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activeTab="3"/>
  </bookViews>
  <sheets>
    <sheet name="NOTA" sheetId="1" r:id="rId1"/>
    <sheet name="PAJAK" sheetId="4" r:id="rId2"/>
    <sheet name="PREVIEW BORDERLESS" sheetId="2" r:id="rId3"/>
    <sheet name="PREVIEW" sheetId="6" r:id="rId4"/>
    <sheet name="_var" sheetId="3" r:id="rId5"/>
    <sheet name="Sheet1" sheetId="5" r:id="rId6"/>
    <sheet name="Sheet2" sheetId="7" r:id="rId7"/>
  </sheets>
  <externalReferences>
    <externalReference r:id="rId8"/>
  </externalReferences>
  <definedNames>
    <definedName name="jNota">PAJAK!$E$3</definedName>
    <definedName name="jumlahBarang" localSheetId="3">PREVIEW!$G$1</definedName>
    <definedName name="jumlahBarang">'PREVIEW BORDERLESS'!$G$1</definedName>
    <definedName name="kToko" localSheetId="3">PREVIEW!$E$1</definedName>
    <definedName name="kToko">'PREVIEW BORDERLESS'!$E$1</definedName>
    <definedName name="newestIdRow" localSheetId="3">PREVIEW!$A$1</definedName>
    <definedName name="newestIdRow">'PREVIEW BORDERLESS'!$A$1</definedName>
    <definedName name="offset" localSheetId="3">PREVIEW!$C$1</definedName>
    <definedName name="offset">'PREVIEW BORDERLESS'!$C$1</definedName>
    <definedName name="pointer">PAJAK!$H$3</definedName>
    <definedName name="ponter">PAJAK!$H$3</definedName>
  </definedNames>
  <calcPr calcId="152511"/>
  <pivotCaches>
    <pivotCache cacheId="4" r:id="rId9"/>
  </pivotCaches>
</workbook>
</file>

<file path=xl/calcChain.xml><?xml version="1.0" encoding="utf-8"?>
<calcChain xmlns="http://schemas.openxmlformats.org/spreadsheetml/2006/main">
  <c r="C112" i="1" l="1"/>
  <c r="C113" i="1"/>
  <c r="H112" i="1"/>
  <c r="B112" i="1" s="1"/>
  <c r="G112" i="1" s="1"/>
  <c r="A112" i="1" s="1"/>
  <c r="AD112" i="1" s="1"/>
  <c r="H113" i="1"/>
  <c r="B113" i="1" s="1"/>
  <c r="G113" i="1" s="1"/>
  <c r="A113" i="1" s="1"/>
  <c r="AD113" i="1" s="1"/>
  <c r="I112" i="1"/>
  <c r="I113" i="1"/>
  <c r="J112" i="1"/>
  <c r="J113" i="1"/>
  <c r="O112" i="1"/>
  <c r="O113" i="1"/>
  <c r="Y112" i="1"/>
  <c r="Z112" i="1" s="1"/>
  <c r="Y113" i="1"/>
  <c r="AA113" i="1" s="1"/>
  <c r="Z113" i="1"/>
  <c r="AB113" i="1"/>
  <c r="AC113" i="1" s="1"/>
  <c r="T113" i="1" s="1"/>
  <c r="AF112" i="1"/>
  <c r="AF113" i="1"/>
  <c r="AA112" i="1" l="1"/>
  <c r="AB112" i="1" s="1"/>
  <c r="AC112" i="1" s="1"/>
  <c r="T112" i="1" s="1"/>
  <c r="J113" i="5" l="1"/>
  <c r="J112" i="5"/>
  <c r="K110" i="5"/>
  <c r="J108" i="5"/>
  <c r="K106" i="5"/>
  <c r="J106" i="5"/>
  <c r="J104" i="5"/>
  <c r="K101" i="5"/>
  <c r="J101" i="5"/>
  <c r="I101" i="5"/>
  <c r="H101" i="5"/>
  <c r="E101" i="5"/>
  <c r="D101" i="5"/>
  <c r="C101" i="5"/>
  <c r="B101" i="5"/>
  <c r="K100" i="5"/>
  <c r="J100" i="5"/>
  <c r="I100" i="5"/>
  <c r="H100" i="5"/>
  <c r="E100" i="5"/>
  <c r="D100" i="5"/>
  <c r="C100" i="5"/>
  <c r="B100" i="5"/>
  <c r="K99" i="5"/>
  <c r="J99" i="5"/>
  <c r="I99" i="5"/>
  <c r="H99" i="5"/>
  <c r="E99" i="5"/>
  <c r="D99" i="5"/>
  <c r="C99" i="5"/>
  <c r="B99" i="5"/>
  <c r="K98" i="5"/>
  <c r="J98" i="5"/>
  <c r="I98" i="5"/>
  <c r="H98" i="5"/>
  <c r="E98" i="5"/>
  <c r="D98" i="5"/>
  <c r="C98" i="5"/>
  <c r="B98" i="5"/>
  <c r="K97" i="5"/>
  <c r="J97" i="5"/>
  <c r="I97" i="5"/>
  <c r="H97" i="5"/>
  <c r="E97" i="5"/>
  <c r="D97" i="5"/>
  <c r="C97" i="5"/>
  <c r="B97" i="5"/>
  <c r="K96" i="5"/>
  <c r="J96" i="5"/>
  <c r="I96" i="5"/>
  <c r="H96" i="5"/>
  <c r="E96" i="5"/>
  <c r="D96" i="5"/>
  <c r="C96" i="5"/>
  <c r="B96" i="5"/>
  <c r="K95" i="5"/>
  <c r="J95" i="5"/>
  <c r="I95" i="5"/>
  <c r="H95" i="5"/>
  <c r="E95" i="5"/>
  <c r="D95" i="5"/>
  <c r="C95" i="5"/>
  <c r="B95" i="5"/>
  <c r="K94" i="5"/>
  <c r="J94" i="5"/>
  <c r="I94" i="5"/>
  <c r="H94" i="5"/>
  <c r="E94" i="5"/>
  <c r="D94" i="5"/>
  <c r="C94" i="5"/>
  <c r="B94" i="5"/>
  <c r="K93" i="5"/>
  <c r="J93" i="5"/>
  <c r="I93" i="5"/>
  <c r="H93" i="5"/>
  <c r="E93" i="5"/>
  <c r="D93" i="5"/>
  <c r="C93" i="5"/>
  <c r="B93" i="5"/>
  <c r="K92" i="5"/>
  <c r="J92" i="5"/>
  <c r="I92" i="5"/>
  <c r="H92" i="5"/>
  <c r="E92" i="5"/>
  <c r="D92" i="5"/>
  <c r="C92" i="5"/>
  <c r="B92" i="5"/>
  <c r="K91" i="5"/>
  <c r="J91" i="5"/>
  <c r="I91" i="5"/>
  <c r="H91" i="5"/>
  <c r="E91" i="5"/>
  <c r="D91" i="5"/>
  <c r="C91" i="5"/>
  <c r="B91" i="5"/>
  <c r="K90" i="5"/>
  <c r="J90" i="5"/>
  <c r="I90" i="5"/>
  <c r="H90" i="5"/>
  <c r="E90" i="5"/>
  <c r="D90" i="5"/>
  <c r="C90" i="5"/>
  <c r="B90" i="5"/>
  <c r="K89" i="5"/>
  <c r="J89" i="5"/>
  <c r="I89" i="5"/>
  <c r="H89" i="5"/>
  <c r="E89" i="5"/>
  <c r="D89" i="5"/>
  <c r="C89" i="5"/>
  <c r="B89" i="5"/>
  <c r="K88" i="5"/>
  <c r="J88" i="5"/>
  <c r="I88" i="5"/>
  <c r="H88" i="5"/>
  <c r="E88" i="5"/>
  <c r="D88" i="5"/>
  <c r="C88" i="5"/>
  <c r="B88" i="5"/>
  <c r="K87" i="5"/>
  <c r="J87" i="5"/>
  <c r="I87" i="5"/>
  <c r="H87" i="5"/>
  <c r="E87" i="5"/>
  <c r="D87" i="5"/>
  <c r="C87" i="5"/>
  <c r="B87" i="5"/>
  <c r="K86" i="5"/>
  <c r="J86" i="5"/>
  <c r="I86" i="5"/>
  <c r="H86" i="5"/>
  <c r="E86" i="5"/>
  <c r="D86" i="5"/>
  <c r="C86" i="5"/>
  <c r="B86" i="5"/>
  <c r="D82" i="5"/>
  <c r="H81" i="5"/>
  <c r="H80" i="5"/>
  <c r="D80" i="5"/>
  <c r="H78" i="5"/>
  <c r="E78" i="5"/>
  <c r="D78" i="5"/>
  <c r="J75" i="5"/>
  <c r="J74" i="5"/>
  <c r="K72" i="5"/>
  <c r="J70" i="5"/>
  <c r="K68" i="5"/>
  <c r="J68" i="5"/>
  <c r="J66" i="5"/>
  <c r="K63" i="5"/>
  <c r="J63" i="5"/>
  <c r="I63" i="5"/>
  <c r="H63" i="5"/>
  <c r="E63" i="5"/>
  <c r="D63" i="5"/>
  <c r="C63" i="5"/>
  <c r="B63" i="5"/>
  <c r="K62" i="5"/>
  <c r="J62" i="5"/>
  <c r="I62" i="5"/>
  <c r="H62" i="5"/>
  <c r="E62" i="5"/>
  <c r="D62" i="5"/>
  <c r="C62" i="5"/>
  <c r="B62" i="5"/>
  <c r="K61" i="5"/>
  <c r="J61" i="5"/>
  <c r="I61" i="5"/>
  <c r="H61" i="5"/>
  <c r="E61" i="5"/>
  <c r="D61" i="5"/>
  <c r="C61" i="5"/>
  <c r="B61" i="5"/>
  <c r="K60" i="5"/>
  <c r="J60" i="5"/>
  <c r="I60" i="5"/>
  <c r="H60" i="5"/>
  <c r="E60" i="5"/>
  <c r="D60" i="5"/>
  <c r="C60" i="5"/>
  <c r="B60" i="5"/>
  <c r="K59" i="5"/>
  <c r="J59" i="5"/>
  <c r="I59" i="5"/>
  <c r="H59" i="5"/>
  <c r="E59" i="5"/>
  <c r="D59" i="5"/>
  <c r="C59" i="5"/>
  <c r="B59" i="5"/>
  <c r="K58" i="5"/>
  <c r="J58" i="5"/>
  <c r="I58" i="5"/>
  <c r="H58" i="5"/>
  <c r="E58" i="5"/>
  <c r="D58" i="5"/>
  <c r="C58" i="5"/>
  <c r="B58" i="5"/>
  <c r="K57" i="5"/>
  <c r="J57" i="5"/>
  <c r="I57" i="5"/>
  <c r="H57" i="5"/>
  <c r="E57" i="5"/>
  <c r="D57" i="5"/>
  <c r="C57" i="5"/>
  <c r="B57" i="5"/>
  <c r="K56" i="5"/>
  <c r="J56" i="5"/>
  <c r="I56" i="5"/>
  <c r="H56" i="5"/>
  <c r="E56" i="5"/>
  <c r="D56" i="5"/>
  <c r="C56" i="5"/>
  <c r="B56" i="5"/>
  <c r="K55" i="5"/>
  <c r="J55" i="5"/>
  <c r="I55" i="5"/>
  <c r="H55" i="5"/>
  <c r="E55" i="5"/>
  <c r="D55" i="5"/>
  <c r="C55" i="5"/>
  <c r="B55" i="5"/>
  <c r="K54" i="5"/>
  <c r="J54" i="5"/>
  <c r="I54" i="5"/>
  <c r="H54" i="5"/>
  <c r="E54" i="5"/>
  <c r="D54" i="5"/>
  <c r="C54" i="5"/>
  <c r="B54" i="5"/>
  <c r="K53" i="5"/>
  <c r="J53" i="5"/>
  <c r="I53" i="5"/>
  <c r="H53" i="5"/>
  <c r="E53" i="5"/>
  <c r="D53" i="5"/>
  <c r="C53" i="5"/>
  <c r="B53" i="5"/>
  <c r="K52" i="5"/>
  <c r="J52" i="5"/>
  <c r="I52" i="5"/>
  <c r="H52" i="5"/>
  <c r="E52" i="5"/>
  <c r="D52" i="5"/>
  <c r="C52" i="5"/>
  <c r="B52" i="5"/>
  <c r="K51" i="5"/>
  <c r="J51" i="5"/>
  <c r="I51" i="5"/>
  <c r="H51" i="5"/>
  <c r="E51" i="5"/>
  <c r="D51" i="5"/>
  <c r="C51" i="5"/>
  <c r="B51" i="5"/>
  <c r="K50" i="5"/>
  <c r="J50" i="5"/>
  <c r="I50" i="5"/>
  <c r="H50" i="5"/>
  <c r="E50" i="5"/>
  <c r="D50" i="5"/>
  <c r="C50" i="5"/>
  <c r="B50" i="5"/>
  <c r="K49" i="5"/>
  <c r="J49" i="5"/>
  <c r="I49" i="5"/>
  <c r="H49" i="5"/>
  <c r="E49" i="5"/>
  <c r="D49" i="5"/>
  <c r="C49" i="5"/>
  <c r="B49" i="5"/>
  <c r="K48" i="5"/>
  <c r="J48" i="5"/>
  <c r="I48" i="5"/>
  <c r="H48" i="5"/>
  <c r="E48" i="5"/>
  <c r="D48" i="5"/>
  <c r="C48" i="5"/>
  <c r="B48" i="5"/>
  <c r="D44" i="5"/>
  <c r="H43" i="5"/>
  <c r="H42" i="5"/>
  <c r="D42" i="5"/>
  <c r="H40" i="5"/>
  <c r="E40" i="5"/>
  <c r="D40" i="5"/>
  <c r="K34" i="5"/>
  <c r="J32" i="5"/>
  <c r="K30" i="5"/>
  <c r="J28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J107" i="6"/>
  <c r="D79" i="6"/>
  <c r="J69" i="6"/>
  <c r="D41" i="6"/>
  <c r="C1" i="6"/>
  <c r="J107" i="2"/>
  <c r="D79" i="2"/>
  <c r="J69" i="2"/>
  <c r="D41" i="2"/>
  <c r="C1" i="2"/>
  <c r="R63" i="4"/>
  <c r="R62" i="4"/>
  <c r="R61" i="4"/>
  <c r="R60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S3" i="4"/>
  <c r="S63" i="4" s="1"/>
  <c r="O3" i="4"/>
  <c r="H3" i="4"/>
  <c r="AF370" i="1"/>
  <c r="AC370" i="1"/>
  <c r="T370" i="1" s="1"/>
  <c r="AB370" i="1"/>
  <c r="AA370" i="1"/>
  <c r="Y370" i="1"/>
  <c r="Z370" i="1" s="1"/>
  <c r="W370" i="1"/>
  <c r="X370" i="1" s="1"/>
  <c r="O370" i="1"/>
  <c r="J370" i="1"/>
  <c r="H370" i="1"/>
  <c r="I370" i="1" s="1"/>
  <c r="C370" i="1"/>
  <c r="B370" i="1"/>
  <c r="G370" i="1" s="1"/>
  <c r="A370" i="1" s="1"/>
  <c r="AD370" i="1" s="1"/>
  <c r="AF369" i="1"/>
  <c r="AC369" i="1"/>
  <c r="T369" i="1" s="1"/>
  <c r="AB369" i="1"/>
  <c r="Y369" i="1"/>
  <c r="Z369" i="1" s="1"/>
  <c r="W369" i="1"/>
  <c r="X369" i="1" s="1"/>
  <c r="O369" i="1"/>
  <c r="J369" i="1"/>
  <c r="H369" i="1"/>
  <c r="I369" i="1" s="1"/>
  <c r="C369" i="1"/>
  <c r="B369" i="1"/>
  <c r="G369" i="1" s="1"/>
  <c r="A369" i="1" s="1"/>
  <c r="AD369" i="1" s="1"/>
  <c r="AF368" i="1"/>
  <c r="AC368" i="1"/>
  <c r="T368" i="1" s="1"/>
  <c r="AB368" i="1"/>
  <c r="AA368" i="1"/>
  <c r="Y368" i="1"/>
  <c r="Z368" i="1" s="1"/>
  <c r="W368" i="1"/>
  <c r="X368" i="1" s="1"/>
  <c r="O368" i="1"/>
  <c r="J368" i="1"/>
  <c r="H368" i="1"/>
  <c r="I368" i="1" s="1"/>
  <c r="C368" i="1"/>
  <c r="B368" i="1"/>
  <c r="G368" i="1" s="1"/>
  <c r="A368" i="1" s="1"/>
  <c r="AD368" i="1" s="1"/>
  <c r="AF367" i="1"/>
  <c r="AC367" i="1"/>
  <c r="T367" i="1" s="1"/>
  <c r="AB367" i="1"/>
  <c r="Y367" i="1"/>
  <c r="Z367" i="1" s="1"/>
  <c r="W367" i="1"/>
  <c r="X367" i="1" s="1"/>
  <c r="O367" i="1"/>
  <c r="J367" i="1"/>
  <c r="H367" i="1"/>
  <c r="I367" i="1" s="1"/>
  <c r="C367" i="1"/>
  <c r="B367" i="1"/>
  <c r="G367" i="1" s="1"/>
  <c r="A367" i="1" s="1"/>
  <c r="AD367" i="1" s="1"/>
  <c r="AF366" i="1"/>
  <c r="AC366" i="1"/>
  <c r="T366" i="1" s="1"/>
  <c r="AB366" i="1"/>
  <c r="AA366" i="1"/>
  <c r="Y366" i="1"/>
  <c r="Z366" i="1" s="1"/>
  <c r="W366" i="1"/>
  <c r="X366" i="1" s="1"/>
  <c r="O366" i="1"/>
  <c r="J366" i="1"/>
  <c r="H366" i="1"/>
  <c r="I366" i="1" s="1"/>
  <c r="C366" i="1"/>
  <c r="B366" i="1"/>
  <c r="G366" i="1" s="1"/>
  <c r="A366" i="1" s="1"/>
  <c r="AD366" i="1" s="1"/>
  <c r="AF365" i="1"/>
  <c r="AC365" i="1"/>
  <c r="T365" i="1" s="1"/>
  <c r="AB365" i="1"/>
  <c r="Y365" i="1"/>
  <c r="Z365" i="1" s="1"/>
  <c r="W365" i="1"/>
  <c r="X365" i="1" s="1"/>
  <c r="O365" i="1"/>
  <c r="J365" i="1"/>
  <c r="H365" i="1"/>
  <c r="I365" i="1" s="1"/>
  <c r="C365" i="1"/>
  <c r="B365" i="1"/>
  <c r="G365" i="1" s="1"/>
  <c r="A365" i="1" s="1"/>
  <c r="AD365" i="1" s="1"/>
  <c r="AF364" i="1"/>
  <c r="AC364" i="1"/>
  <c r="T364" i="1" s="1"/>
  <c r="AB364" i="1"/>
  <c r="AA364" i="1"/>
  <c r="Y364" i="1"/>
  <c r="Z364" i="1" s="1"/>
  <c r="W364" i="1"/>
  <c r="X364" i="1" s="1"/>
  <c r="O364" i="1"/>
  <c r="J364" i="1"/>
  <c r="H364" i="1"/>
  <c r="I364" i="1" s="1"/>
  <c r="C364" i="1"/>
  <c r="B364" i="1"/>
  <c r="G364" i="1" s="1"/>
  <c r="A364" i="1" s="1"/>
  <c r="AD364" i="1" s="1"/>
  <c r="AF363" i="1"/>
  <c r="AC363" i="1"/>
  <c r="T363" i="1" s="1"/>
  <c r="AB363" i="1"/>
  <c r="Y363" i="1"/>
  <c r="Z363" i="1" s="1"/>
  <c r="W363" i="1"/>
  <c r="X363" i="1" s="1"/>
  <c r="O363" i="1"/>
  <c r="J363" i="1"/>
  <c r="H363" i="1"/>
  <c r="I363" i="1" s="1"/>
  <c r="C363" i="1"/>
  <c r="B363" i="1"/>
  <c r="G363" i="1" s="1"/>
  <c r="A363" i="1" s="1"/>
  <c r="AD363" i="1" s="1"/>
  <c r="AF362" i="1"/>
  <c r="AC362" i="1"/>
  <c r="T362" i="1" s="1"/>
  <c r="AB362" i="1"/>
  <c r="AA362" i="1"/>
  <c r="Y362" i="1"/>
  <c r="Z362" i="1" s="1"/>
  <c r="W362" i="1"/>
  <c r="X362" i="1" s="1"/>
  <c r="O362" i="1"/>
  <c r="J362" i="1"/>
  <c r="H362" i="1"/>
  <c r="I362" i="1" s="1"/>
  <c r="C362" i="1"/>
  <c r="B362" i="1"/>
  <c r="G362" i="1" s="1"/>
  <c r="A362" i="1" s="1"/>
  <c r="AD362" i="1" s="1"/>
  <c r="AF361" i="1"/>
  <c r="AC361" i="1"/>
  <c r="T361" i="1" s="1"/>
  <c r="AB361" i="1"/>
  <c r="Y361" i="1"/>
  <c r="Z361" i="1" s="1"/>
  <c r="W361" i="1"/>
  <c r="X361" i="1" s="1"/>
  <c r="O361" i="1"/>
  <c r="J361" i="1"/>
  <c r="H361" i="1"/>
  <c r="I361" i="1" s="1"/>
  <c r="C361" i="1"/>
  <c r="B361" i="1"/>
  <c r="G361" i="1" s="1"/>
  <c r="A361" i="1" s="1"/>
  <c r="AD361" i="1" s="1"/>
  <c r="AF360" i="1"/>
  <c r="AC360" i="1"/>
  <c r="T360" i="1" s="1"/>
  <c r="AB360" i="1"/>
  <c r="AA360" i="1"/>
  <c r="Y360" i="1"/>
  <c r="Z360" i="1" s="1"/>
  <c r="W360" i="1"/>
  <c r="X360" i="1" s="1"/>
  <c r="O360" i="1"/>
  <c r="J360" i="1"/>
  <c r="H360" i="1"/>
  <c r="I360" i="1" s="1"/>
  <c r="C360" i="1"/>
  <c r="B360" i="1"/>
  <c r="G360" i="1" s="1"/>
  <c r="A360" i="1" s="1"/>
  <c r="AD360" i="1" s="1"/>
  <c r="AF359" i="1"/>
  <c r="AC359" i="1"/>
  <c r="T359" i="1" s="1"/>
  <c r="AB359" i="1"/>
  <c r="Y359" i="1"/>
  <c r="Z359" i="1" s="1"/>
  <c r="W359" i="1"/>
  <c r="X359" i="1" s="1"/>
  <c r="O359" i="1"/>
  <c r="J359" i="1"/>
  <c r="H359" i="1"/>
  <c r="I359" i="1" s="1"/>
  <c r="C359" i="1"/>
  <c r="B359" i="1"/>
  <c r="G359" i="1" s="1"/>
  <c r="A359" i="1" s="1"/>
  <c r="AD359" i="1" s="1"/>
  <c r="AF358" i="1"/>
  <c r="AC358" i="1"/>
  <c r="T358" i="1" s="1"/>
  <c r="AB358" i="1"/>
  <c r="AA358" i="1"/>
  <c r="Y358" i="1"/>
  <c r="Z358" i="1" s="1"/>
  <c r="W358" i="1"/>
  <c r="X358" i="1" s="1"/>
  <c r="O358" i="1"/>
  <c r="J358" i="1"/>
  <c r="H358" i="1"/>
  <c r="I358" i="1" s="1"/>
  <c r="C358" i="1"/>
  <c r="B358" i="1"/>
  <c r="G358" i="1" s="1"/>
  <c r="A358" i="1" s="1"/>
  <c r="AD358" i="1" s="1"/>
  <c r="AF357" i="1"/>
  <c r="AC357" i="1"/>
  <c r="T357" i="1" s="1"/>
  <c r="AB357" i="1"/>
  <c r="Y357" i="1"/>
  <c r="Z357" i="1" s="1"/>
  <c r="W357" i="1"/>
  <c r="X357" i="1" s="1"/>
  <c r="O357" i="1"/>
  <c r="J357" i="1"/>
  <c r="H357" i="1"/>
  <c r="I357" i="1" s="1"/>
  <c r="C357" i="1"/>
  <c r="B357" i="1"/>
  <c r="G357" i="1" s="1"/>
  <c r="A357" i="1" s="1"/>
  <c r="AD357" i="1" s="1"/>
  <c r="AF356" i="1"/>
  <c r="AC356" i="1"/>
  <c r="T356" i="1" s="1"/>
  <c r="AB356" i="1"/>
  <c r="AA356" i="1"/>
  <c r="Y356" i="1"/>
  <c r="Z356" i="1" s="1"/>
  <c r="W356" i="1"/>
  <c r="X356" i="1" s="1"/>
  <c r="O356" i="1"/>
  <c r="J356" i="1"/>
  <c r="H356" i="1"/>
  <c r="I356" i="1" s="1"/>
  <c r="C356" i="1"/>
  <c r="B356" i="1"/>
  <c r="G356" i="1" s="1"/>
  <c r="A356" i="1" s="1"/>
  <c r="AD356" i="1" s="1"/>
  <c r="AF355" i="1"/>
  <c r="AC355" i="1"/>
  <c r="T355" i="1" s="1"/>
  <c r="AB355" i="1"/>
  <c r="Y355" i="1"/>
  <c r="Z355" i="1" s="1"/>
  <c r="W355" i="1"/>
  <c r="X355" i="1" s="1"/>
  <c r="O355" i="1"/>
  <c r="J355" i="1"/>
  <c r="H355" i="1"/>
  <c r="I355" i="1" s="1"/>
  <c r="C355" i="1"/>
  <c r="B355" i="1"/>
  <c r="G355" i="1" s="1"/>
  <c r="A355" i="1" s="1"/>
  <c r="AD355" i="1" s="1"/>
  <c r="AF354" i="1"/>
  <c r="AC354" i="1"/>
  <c r="T354" i="1" s="1"/>
  <c r="AB354" i="1"/>
  <c r="AA354" i="1"/>
  <c r="Y354" i="1"/>
  <c r="Z354" i="1" s="1"/>
  <c r="W354" i="1"/>
  <c r="X354" i="1" s="1"/>
  <c r="O354" i="1"/>
  <c r="J354" i="1"/>
  <c r="H354" i="1"/>
  <c r="I354" i="1" s="1"/>
  <c r="C354" i="1"/>
  <c r="B354" i="1"/>
  <c r="G354" i="1" s="1"/>
  <c r="A354" i="1" s="1"/>
  <c r="AD354" i="1" s="1"/>
  <c r="AF353" i="1"/>
  <c r="AC353" i="1"/>
  <c r="T353" i="1" s="1"/>
  <c r="AB353" i="1"/>
  <c r="Y353" i="1"/>
  <c r="Z353" i="1" s="1"/>
  <c r="W353" i="1"/>
  <c r="X353" i="1" s="1"/>
  <c r="O353" i="1"/>
  <c r="J353" i="1"/>
  <c r="H353" i="1"/>
  <c r="I353" i="1" s="1"/>
  <c r="C353" i="1"/>
  <c r="B353" i="1"/>
  <c r="G353" i="1" s="1"/>
  <c r="A353" i="1" s="1"/>
  <c r="AD353" i="1" s="1"/>
  <c r="AF352" i="1"/>
  <c r="AC352" i="1"/>
  <c r="T352" i="1" s="1"/>
  <c r="AB352" i="1"/>
  <c r="AA352" i="1"/>
  <c r="Y352" i="1"/>
  <c r="Z352" i="1" s="1"/>
  <c r="W352" i="1"/>
  <c r="X352" i="1" s="1"/>
  <c r="O352" i="1"/>
  <c r="J352" i="1"/>
  <c r="H352" i="1"/>
  <c r="I352" i="1" s="1"/>
  <c r="C352" i="1"/>
  <c r="B352" i="1"/>
  <c r="G352" i="1" s="1"/>
  <c r="A352" i="1" s="1"/>
  <c r="AD352" i="1" s="1"/>
  <c r="AF351" i="1"/>
  <c r="AC351" i="1"/>
  <c r="T351" i="1" s="1"/>
  <c r="AB351" i="1"/>
  <c r="Y351" i="1"/>
  <c r="Z351" i="1" s="1"/>
  <c r="W351" i="1"/>
  <c r="X351" i="1" s="1"/>
  <c r="O351" i="1"/>
  <c r="J351" i="1"/>
  <c r="H351" i="1"/>
  <c r="I351" i="1" s="1"/>
  <c r="C351" i="1"/>
  <c r="B351" i="1"/>
  <c r="G351" i="1" s="1"/>
  <c r="A351" i="1" s="1"/>
  <c r="AD351" i="1" s="1"/>
  <c r="AF350" i="1"/>
  <c r="AC350" i="1"/>
  <c r="T350" i="1" s="1"/>
  <c r="AB350" i="1"/>
  <c r="AA350" i="1"/>
  <c r="Y350" i="1"/>
  <c r="Z350" i="1" s="1"/>
  <c r="W350" i="1"/>
  <c r="X350" i="1" s="1"/>
  <c r="O350" i="1"/>
  <c r="J350" i="1"/>
  <c r="H350" i="1"/>
  <c r="I350" i="1" s="1"/>
  <c r="C350" i="1"/>
  <c r="B350" i="1"/>
  <c r="G350" i="1" s="1"/>
  <c r="A350" i="1" s="1"/>
  <c r="AD350" i="1" s="1"/>
  <c r="AF349" i="1"/>
  <c r="AC349" i="1"/>
  <c r="T349" i="1" s="1"/>
  <c r="AB349" i="1"/>
  <c r="Y349" i="1"/>
  <c r="Z349" i="1" s="1"/>
  <c r="W349" i="1"/>
  <c r="X349" i="1" s="1"/>
  <c r="O349" i="1"/>
  <c r="J349" i="1"/>
  <c r="H349" i="1"/>
  <c r="I349" i="1" s="1"/>
  <c r="C349" i="1"/>
  <c r="B349" i="1"/>
  <c r="G349" i="1" s="1"/>
  <c r="A349" i="1" s="1"/>
  <c r="AD349" i="1" s="1"/>
  <c r="AF348" i="1"/>
  <c r="AC348" i="1"/>
  <c r="T348" i="1" s="1"/>
  <c r="AB348" i="1"/>
  <c r="AA348" i="1"/>
  <c r="Y348" i="1"/>
  <c r="Z348" i="1" s="1"/>
  <c r="W348" i="1"/>
  <c r="X348" i="1" s="1"/>
  <c r="O348" i="1"/>
  <c r="J348" i="1"/>
  <c r="H348" i="1"/>
  <c r="I348" i="1" s="1"/>
  <c r="C348" i="1"/>
  <c r="B348" i="1"/>
  <c r="G348" i="1" s="1"/>
  <c r="A348" i="1" s="1"/>
  <c r="AD348" i="1" s="1"/>
  <c r="AF347" i="1"/>
  <c r="AC347" i="1"/>
  <c r="T347" i="1" s="1"/>
  <c r="AB347" i="1"/>
  <c r="Y347" i="1"/>
  <c r="Z347" i="1" s="1"/>
  <c r="W347" i="1"/>
  <c r="X347" i="1" s="1"/>
  <c r="O347" i="1"/>
  <c r="J347" i="1"/>
  <c r="H347" i="1"/>
  <c r="I347" i="1" s="1"/>
  <c r="C347" i="1"/>
  <c r="B347" i="1"/>
  <c r="G347" i="1" s="1"/>
  <c r="A347" i="1" s="1"/>
  <c r="AD347" i="1" s="1"/>
  <c r="AF346" i="1"/>
  <c r="AC346" i="1"/>
  <c r="T346" i="1" s="1"/>
  <c r="AB346" i="1"/>
  <c r="AA346" i="1"/>
  <c r="Y346" i="1"/>
  <c r="Z346" i="1" s="1"/>
  <c r="W346" i="1"/>
  <c r="X346" i="1" s="1"/>
  <c r="O346" i="1"/>
  <c r="J346" i="1"/>
  <c r="H346" i="1"/>
  <c r="I346" i="1" s="1"/>
  <c r="C346" i="1"/>
  <c r="B346" i="1"/>
  <c r="G346" i="1" s="1"/>
  <c r="A346" i="1" s="1"/>
  <c r="AD346" i="1" s="1"/>
  <c r="AF345" i="1"/>
  <c r="AC345" i="1"/>
  <c r="T345" i="1" s="1"/>
  <c r="AB345" i="1"/>
  <c r="Y345" i="1"/>
  <c r="Z345" i="1" s="1"/>
  <c r="W345" i="1"/>
  <c r="X345" i="1" s="1"/>
  <c r="O345" i="1"/>
  <c r="J345" i="1"/>
  <c r="H345" i="1"/>
  <c r="I345" i="1" s="1"/>
  <c r="C345" i="1"/>
  <c r="B345" i="1"/>
  <c r="G345" i="1" s="1"/>
  <c r="A345" i="1" s="1"/>
  <c r="AD345" i="1" s="1"/>
  <c r="AF344" i="1"/>
  <c r="AC344" i="1"/>
  <c r="T344" i="1" s="1"/>
  <c r="AB344" i="1"/>
  <c r="AA344" i="1"/>
  <c r="Y344" i="1"/>
  <c r="Z344" i="1" s="1"/>
  <c r="W344" i="1"/>
  <c r="X344" i="1" s="1"/>
  <c r="O344" i="1"/>
  <c r="J344" i="1"/>
  <c r="H344" i="1"/>
  <c r="I344" i="1" s="1"/>
  <c r="C344" i="1"/>
  <c r="B344" i="1"/>
  <c r="G344" i="1" s="1"/>
  <c r="A344" i="1" s="1"/>
  <c r="AD344" i="1" s="1"/>
  <c r="AF343" i="1"/>
  <c r="AC343" i="1"/>
  <c r="T343" i="1" s="1"/>
  <c r="AB343" i="1"/>
  <c r="Y343" i="1"/>
  <c r="Z343" i="1" s="1"/>
  <c r="W343" i="1"/>
  <c r="X343" i="1" s="1"/>
  <c r="O343" i="1"/>
  <c r="J343" i="1"/>
  <c r="H343" i="1"/>
  <c r="I343" i="1" s="1"/>
  <c r="C343" i="1"/>
  <c r="B343" i="1"/>
  <c r="G343" i="1" s="1"/>
  <c r="A343" i="1" s="1"/>
  <c r="AD343" i="1" s="1"/>
  <c r="AF342" i="1"/>
  <c r="AC342" i="1"/>
  <c r="T342" i="1" s="1"/>
  <c r="AB342" i="1"/>
  <c r="AA342" i="1"/>
  <c r="Y342" i="1"/>
  <c r="Z342" i="1" s="1"/>
  <c r="W342" i="1"/>
  <c r="X342" i="1" s="1"/>
  <c r="O342" i="1"/>
  <c r="J342" i="1"/>
  <c r="H342" i="1"/>
  <c r="I342" i="1" s="1"/>
  <c r="C342" i="1"/>
  <c r="B342" i="1"/>
  <c r="G342" i="1" s="1"/>
  <c r="A342" i="1" s="1"/>
  <c r="AD342" i="1" s="1"/>
  <c r="AF341" i="1"/>
  <c r="AC341" i="1"/>
  <c r="T341" i="1" s="1"/>
  <c r="AB341" i="1"/>
  <c r="Y341" i="1"/>
  <c r="Z341" i="1" s="1"/>
  <c r="W341" i="1"/>
  <c r="X341" i="1" s="1"/>
  <c r="O341" i="1"/>
  <c r="J341" i="1"/>
  <c r="H341" i="1"/>
  <c r="I341" i="1" s="1"/>
  <c r="C341" i="1"/>
  <c r="B341" i="1"/>
  <c r="G341" i="1" s="1"/>
  <c r="A341" i="1" s="1"/>
  <c r="AD341" i="1" s="1"/>
  <c r="AF340" i="1"/>
  <c r="AC340" i="1"/>
  <c r="T340" i="1" s="1"/>
  <c r="AB340" i="1"/>
  <c r="AA340" i="1"/>
  <c r="Y340" i="1"/>
  <c r="Z340" i="1" s="1"/>
  <c r="W340" i="1"/>
  <c r="X340" i="1" s="1"/>
  <c r="O340" i="1"/>
  <c r="J340" i="1"/>
  <c r="H340" i="1"/>
  <c r="I340" i="1" s="1"/>
  <c r="C340" i="1"/>
  <c r="B340" i="1"/>
  <c r="G340" i="1" s="1"/>
  <c r="A340" i="1" s="1"/>
  <c r="AD340" i="1" s="1"/>
  <c r="AF339" i="1"/>
  <c r="AC339" i="1"/>
  <c r="T339" i="1" s="1"/>
  <c r="AB339" i="1"/>
  <c r="Y339" i="1"/>
  <c r="W339" i="1"/>
  <c r="X339" i="1" s="1"/>
  <c r="O339" i="1"/>
  <c r="J339" i="1"/>
  <c r="H339" i="1"/>
  <c r="I339" i="1" s="1"/>
  <c r="C339" i="1"/>
  <c r="B339" i="1"/>
  <c r="G339" i="1" s="1"/>
  <c r="A339" i="1" s="1"/>
  <c r="AD339" i="1" s="1"/>
  <c r="AF338" i="1"/>
  <c r="AC338" i="1"/>
  <c r="T338" i="1" s="1"/>
  <c r="AB338" i="1"/>
  <c r="AA338" i="1"/>
  <c r="Y338" i="1"/>
  <c r="Z338" i="1" s="1"/>
  <c r="W338" i="1"/>
  <c r="X338" i="1" s="1"/>
  <c r="O338" i="1"/>
  <c r="J338" i="1"/>
  <c r="H338" i="1"/>
  <c r="I338" i="1" s="1"/>
  <c r="C338" i="1"/>
  <c r="B338" i="1"/>
  <c r="G338" i="1" s="1"/>
  <c r="A338" i="1" s="1"/>
  <c r="AD338" i="1" s="1"/>
  <c r="AF337" i="1"/>
  <c r="AC337" i="1"/>
  <c r="T337" i="1" s="1"/>
  <c r="AB337" i="1"/>
  <c r="Y337" i="1"/>
  <c r="W337" i="1"/>
  <c r="X337" i="1" s="1"/>
  <c r="O337" i="1"/>
  <c r="J337" i="1"/>
  <c r="H337" i="1"/>
  <c r="I337" i="1" s="1"/>
  <c r="C337" i="1"/>
  <c r="B337" i="1"/>
  <c r="G337" i="1" s="1"/>
  <c r="A337" i="1" s="1"/>
  <c r="AD337" i="1" s="1"/>
  <c r="AF336" i="1"/>
  <c r="AC336" i="1"/>
  <c r="T336" i="1" s="1"/>
  <c r="AB336" i="1"/>
  <c r="AA336" i="1"/>
  <c r="Y336" i="1"/>
  <c r="Z336" i="1" s="1"/>
  <c r="W336" i="1"/>
  <c r="X336" i="1" s="1"/>
  <c r="O336" i="1"/>
  <c r="J336" i="1"/>
  <c r="H336" i="1"/>
  <c r="I336" i="1" s="1"/>
  <c r="C336" i="1"/>
  <c r="B336" i="1"/>
  <c r="G336" i="1" s="1"/>
  <c r="A336" i="1" s="1"/>
  <c r="AD336" i="1" s="1"/>
  <c r="AF335" i="1"/>
  <c r="AC335" i="1"/>
  <c r="T335" i="1" s="1"/>
  <c r="AB335" i="1"/>
  <c r="Y335" i="1"/>
  <c r="W335" i="1"/>
  <c r="X335" i="1" s="1"/>
  <c r="O335" i="1"/>
  <c r="J335" i="1"/>
  <c r="H335" i="1"/>
  <c r="I335" i="1" s="1"/>
  <c r="C335" i="1"/>
  <c r="B335" i="1"/>
  <c r="G335" i="1" s="1"/>
  <c r="A335" i="1" s="1"/>
  <c r="AD335" i="1" s="1"/>
  <c r="AF334" i="1"/>
  <c r="AC334" i="1"/>
  <c r="T334" i="1" s="1"/>
  <c r="AB334" i="1"/>
  <c r="AA334" i="1"/>
  <c r="Y334" i="1"/>
  <c r="Z334" i="1" s="1"/>
  <c r="W334" i="1"/>
  <c r="X334" i="1" s="1"/>
  <c r="O334" i="1"/>
  <c r="J334" i="1"/>
  <c r="H334" i="1"/>
  <c r="I334" i="1" s="1"/>
  <c r="C334" i="1"/>
  <c r="B334" i="1"/>
  <c r="G334" i="1" s="1"/>
  <c r="A334" i="1" s="1"/>
  <c r="AD334" i="1" s="1"/>
  <c r="AF333" i="1"/>
  <c r="AC333" i="1"/>
  <c r="T333" i="1" s="1"/>
  <c r="AB333" i="1"/>
  <c r="Y333" i="1"/>
  <c r="W333" i="1"/>
  <c r="X333" i="1" s="1"/>
  <c r="O333" i="1"/>
  <c r="J333" i="1"/>
  <c r="H333" i="1"/>
  <c r="I333" i="1" s="1"/>
  <c r="C333" i="1"/>
  <c r="B333" i="1"/>
  <c r="G333" i="1" s="1"/>
  <c r="A333" i="1" s="1"/>
  <c r="AD333" i="1" s="1"/>
  <c r="AF332" i="1"/>
  <c r="AC332" i="1"/>
  <c r="T332" i="1" s="1"/>
  <c r="AB332" i="1"/>
  <c r="AA332" i="1"/>
  <c r="Y332" i="1"/>
  <c r="Z332" i="1" s="1"/>
  <c r="W332" i="1"/>
  <c r="X332" i="1" s="1"/>
  <c r="O332" i="1"/>
  <c r="J332" i="1"/>
  <c r="H332" i="1"/>
  <c r="I332" i="1" s="1"/>
  <c r="C332" i="1"/>
  <c r="B332" i="1"/>
  <c r="G332" i="1" s="1"/>
  <c r="A332" i="1" s="1"/>
  <c r="AD332" i="1" s="1"/>
  <c r="AF331" i="1"/>
  <c r="AC331" i="1"/>
  <c r="T331" i="1" s="1"/>
  <c r="AB331" i="1"/>
  <c r="Y331" i="1"/>
  <c r="W331" i="1"/>
  <c r="X331" i="1" s="1"/>
  <c r="O331" i="1"/>
  <c r="J331" i="1"/>
  <c r="H331" i="1"/>
  <c r="I331" i="1" s="1"/>
  <c r="C331" i="1"/>
  <c r="B331" i="1"/>
  <c r="G331" i="1" s="1"/>
  <c r="A331" i="1" s="1"/>
  <c r="AD331" i="1" s="1"/>
  <c r="AF330" i="1"/>
  <c r="AC330" i="1"/>
  <c r="T330" i="1" s="1"/>
  <c r="AB330" i="1"/>
  <c r="AA330" i="1"/>
  <c r="Y330" i="1"/>
  <c r="Z330" i="1" s="1"/>
  <c r="W330" i="1"/>
  <c r="X330" i="1" s="1"/>
  <c r="O330" i="1"/>
  <c r="J330" i="1"/>
  <c r="H330" i="1"/>
  <c r="I330" i="1" s="1"/>
  <c r="C330" i="1"/>
  <c r="B330" i="1"/>
  <c r="G330" i="1" s="1"/>
  <c r="A330" i="1" s="1"/>
  <c r="AD330" i="1" s="1"/>
  <c r="AF329" i="1"/>
  <c r="AC329" i="1"/>
  <c r="T329" i="1" s="1"/>
  <c r="AB329" i="1"/>
  <c r="Y329" i="1"/>
  <c r="W329" i="1"/>
  <c r="X329" i="1" s="1"/>
  <c r="O329" i="1"/>
  <c r="J329" i="1"/>
  <c r="I329" i="1"/>
  <c r="H329" i="1"/>
  <c r="C329" i="1"/>
  <c r="B329" i="1"/>
  <c r="G329" i="1" s="1"/>
  <c r="A329" i="1" s="1"/>
  <c r="AD329" i="1" s="1"/>
  <c r="AF328" i="1"/>
  <c r="AC328" i="1"/>
  <c r="AB328" i="1"/>
  <c r="Y328" i="1"/>
  <c r="W328" i="1"/>
  <c r="X328" i="1" s="1"/>
  <c r="T328" i="1"/>
  <c r="O328" i="1"/>
  <c r="J328" i="1"/>
  <c r="H328" i="1"/>
  <c r="I328" i="1" s="1"/>
  <c r="C328" i="1"/>
  <c r="B328" i="1"/>
  <c r="G328" i="1" s="1"/>
  <c r="A328" i="1" s="1"/>
  <c r="AD328" i="1" s="1"/>
  <c r="AF327" i="1"/>
  <c r="AC327" i="1"/>
  <c r="T327" i="1" s="1"/>
  <c r="AB327" i="1"/>
  <c r="Z327" i="1"/>
  <c r="Y327" i="1"/>
  <c r="AA327" i="1" s="1"/>
  <c r="W327" i="1"/>
  <c r="X327" i="1" s="1"/>
  <c r="O327" i="1"/>
  <c r="J327" i="1"/>
  <c r="I327" i="1"/>
  <c r="H327" i="1"/>
  <c r="C327" i="1"/>
  <c r="B327" i="1"/>
  <c r="G327" i="1" s="1"/>
  <c r="A327" i="1" s="1"/>
  <c r="AD327" i="1" s="1"/>
  <c r="AF326" i="1"/>
  <c r="AC326" i="1"/>
  <c r="AB326" i="1"/>
  <c r="Y326" i="1"/>
  <c r="W326" i="1"/>
  <c r="X326" i="1" s="1"/>
  <c r="T326" i="1"/>
  <c r="O326" i="1"/>
  <c r="J326" i="1"/>
  <c r="H326" i="1"/>
  <c r="I326" i="1" s="1"/>
  <c r="C326" i="1"/>
  <c r="B326" i="1"/>
  <c r="G326" i="1" s="1"/>
  <c r="A326" i="1" s="1"/>
  <c r="AD326" i="1" s="1"/>
  <c r="AF325" i="1"/>
  <c r="AC325" i="1"/>
  <c r="T325" i="1" s="1"/>
  <c r="AB325" i="1"/>
  <c r="Z325" i="1"/>
  <c r="Y325" i="1"/>
  <c r="AA325" i="1" s="1"/>
  <c r="W325" i="1"/>
  <c r="X325" i="1" s="1"/>
  <c r="O325" i="1"/>
  <c r="J325" i="1"/>
  <c r="I325" i="1"/>
  <c r="H325" i="1"/>
  <c r="C325" i="1"/>
  <c r="B325" i="1"/>
  <c r="G325" i="1" s="1"/>
  <c r="A325" i="1" s="1"/>
  <c r="AD325" i="1" s="1"/>
  <c r="AF324" i="1"/>
  <c r="AC324" i="1"/>
  <c r="AB324" i="1"/>
  <c r="Y324" i="1"/>
  <c r="W324" i="1"/>
  <c r="X324" i="1" s="1"/>
  <c r="T324" i="1"/>
  <c r="O324" i="1"/>
  <c r="J324" i="1"/>
  <c r="H324" i="1"/>
  <c r="I324" i="1" s="1"/>
  <c r="C324" i="1"/>
  <c r="B324" i="1"/>
  <c r="G324" i="1" s="1"/>
  <c r="A324" i="1" s="1"/>
  <c r="AD324" i="1" s="1"/>
  <c r="AF323" i="1"/>
  <c r="AC323" i="1"/>
  <c r="T323" i="1" s="1"/>
  <c r="AB323" i="1"/>
  <c r="Z323" i="1"/>
  <c r="Y323" i="1"/>
  <c r="AA323" i="1" s="1"/>
  <c r="W323" i="1"/>
  <c r="X323" i="1" s="1"/>
  <c r="O323" i="1"/>
  <c r="J323" i="1"/>
  <c r="I323" i="1"/>
  <c r="H323" i="1"/>
  <c r="C323" i="1"/>
  <c r="B323" i="1"/>
  <c r="G323" i="1" s="1"/>
  <c r="A323" i="1" s="1"/>
  <c r="AD323" i="1" s="1"/>
  <c r="AF322" i="1"/>
  <c r="AC322" i="1"/>
  <c r="AB322" i="1"/>
  <c r="Y322" i="1"/>
  <c r="W322" i="1"/>
  <c r="X322" i="1" s="1"/>
  <c r="T322" i="1"/>
  <c r="O322" i="1"/>
  <c r="J322" i="1"/>
  <c r="H322" i="1"/>
  <c r="I322" i="1" s="1"/>
  <c r="C322" i="1"/>
  <c r="B322" i="1"/>
  <c r="G322" i="1" s="1"/>
  <c r="A322" i="1" s="1"/>
  <c r="AD322" i="1" s="1"/>
  <c r="AF321" i="1"/>
  <c r="AC321" i="1"/>
  <c r="T321" i="1" s="1"/>
  <c r="AB321" i="1"/>
  <c r="Z321" i="1"/>
  <c r="Y321" i="1"/>
  <c r="AA321" i="1" s="1"/>
  <c r="W321" i="1"/>
  <c r="X321" i="1" s="1"/>
  <c r="O321" i="1"/>
  <c r="J321" i="1"/>
  <c r="I321" i="1"/>
  <c r="H321" i="1"/>
  <c r="C321" i="1"/>
  <c r="B321" i="1"/>
  <c r="G321" i="1" s="1"/>
  <c r="A321" i="1" s="1"/>
  <c r="AD321" i="1" s="1"/>
  <c r="AF320" i="1"/>
  <c r="AC320" i="1"/>
  <c r="AB320" i="1"/>
  <c r="Y320" i="1"/>
  <c r="W320" i="1"/>
  <c r="X320" i="1" s="1"/>
  <c r="T320" i="1"/>
  <c r="O320" i="1"/>
  <c r="J320" i="1"/>
  <c r="H320" i="1"/>
  <c r="I320" i="1" s="1"/>
  <c r="C320" i="1"/>
  <c r="B320" i="1"/>
  <c r="G320" i="1" s="1"/>
  <c r="A320" i="1" s="1"/>
  <c r="AD320" i="1" s="1"/>
  <c r="AF319" i="1"/>
  <c r="AC319" i="1"/>
  <c r="T319" i="1" s="1"/>
  <c r="AB319" i="1"/>
  <c r="Z319" i="1"/>
  <c r="Y319" i="1"/>
  <c r="AA319" i="1" s="1"/>
  <c r="W319" i="1"/>
  <c r="X319" i="1" s="1"/>
  <c r="O319" i="1"/>
  <c r="J319" i="1"/>
  <c r="I319" i="1"/>
  <c r="H319" i="1"/>
  <c r="C319" i="1"/>
  <c r="B319" i="1"/>
  <c r="G319" i="1" s="1"/>
  <c r="A319" i="1" s="1"/>
  <c r="AD319" i="1" s="1"/>
  <c r="AF318" i="1"/>
  <c r="AC318" i="1"/>
  <c r="AB318" i="1"/>
  <c r="Y318" i="1"/>
  <c r="W318" i="1"/>
  <c r="X318" i="1" s="1"/>
  <c r="T318" i="1"/>
  <c r="O318" i="1"/>
  <c r="J318" i="1"/>
  <c r="H318" i="1"/>
  <c r="I318" i="1" s="1"/>
  <c r="C318" i="1"/>
  <c r="B318" i="1"/>
  <c r="G318" i="1" s="1"/>
  <c r="A318" i="1" s="1"/>
  <c r="AD318" i="1" s="1"/>
  <c r="AF317" i="1"/>
  <c r="AC317" i="1"/>
  <c r="T317" i="1" s="1"/>
  <c r="AB317" i="1"/>
  <c r="Z317" i="1"/>
  <c r="Y317" i="1"/>
  <c r="AA317" i="1" s="1"/>
  <c r="W317" i="1"/>
  <c r="X317" i="1" s="1"/>
  <c r="O317" i="1"/>
  <c r="J317" i="1"/>
  <c r="I317" i="1"/>
  <c r="H317" i="1"/>
  <c r="C317" i="1"/>
  <c r="B317" i="1"/>
  <c r="G317" i="1" s="1"/>
  <c r="A317" i="1" s="1"/>
  <c r="AD317" i="1" s="1"/>
  <c r="AF316" i="1"/>
  <c r="AC316" i="1"/>
  <c r="AB316" i="1"/>
  <c r="Y316" i="1"/>
  <c r="W316" i="1"/>
  <c r="X316" i="1" s="1"/>
  <c r="T316" i="1"/>
  <c r="O316" i="1"/>
  <c r="J316" i="1"/>
  <c r="H316" i="1"/>
  <c r="I316" i="1" s="1"/>
  <c r="C316" i="1"/>
  <c r="B316" i="1"/>
  <c r="G316" i="1" s="1"/>
  <c r="A316" i="1" s="1"/>
  <c r="AD316" i="1" s="1"/>
  <c r="AF315" i="1"/>
  <c r="AC315" i="1"/>
  <c r="T315" i="1" s="1"/>
  <c r="AB315" i="1"/>
  <c r="Z315" i="1"/>
  <c r="Y315" i="1"/>
  <c r="AA315" i="1" s="1"/>
  <c r="W315" i="1"/>
  <c r="X315" i="1" s="1"/>
  <c r="O315" i="1"/>
  <c r="J315" i="1"/>
  <c r="I315" i="1"/>
  <c r="H315" i="1"/>
  <c r="C315" i="1"/>
  <c r="B315" i="1"/>
  <c r="G315" i="1" s="1"/>
  <c r="A315" i="1" s="1"/>
  <c r="AD315" i="1" s="1"/>
  <c r="AF314" i="1"/>
  <c r="AC314" i="1"/>
  <c r="AB314" i="1"/>
  <c r="Y314" i="1"/>
  <c r="W314" i="1"/>
  <c r="X314" i="1" s="1"/>
  <c r="T314" i="1"/>
  <c r="O314" i="1"/>
  <c r="J314" i="1"/>
  <c r="H314" i="1"/>
  <c r="I314" i="1" s="1"/>
  <c r="C314" i="1"/>
  <c r="B314" i="1"/>
  <c r="G314" i="1" s="1"/>
  <c r="A314" i="1" s="1"/>
  <c r="AD314" i="1" s="1"/>
  <c r="AF313" i="1"/>
  <c r="AC313" i="1"/>
  <c r="T313" i="1" s="1"/>
  <c r="AB313" i="1"/>
  <c r="Z313" i="1"/>
  <c r="Y313" i="1"/>
  <c r="AA313" i="1" s="1"/>
  <c r="W313" i="1"/>
  <c r="X313" i="1" s="1"/>
  <c r="O313" i="1"/>
  <c r="J313" i="1"/>
  <c r="I313" i="1"/>
  <c r="H313" i="1"/>
  <c r="C313" i="1"/>
  <c r="B313" i="1"/>
  <c r="G313" i="1" s="1"/>
  <c r="A313" i="1" s="1"/>
  <c r="AD313" i="1" s="1"/>
  <c r="AF312" i="1"/>
  <c r="AC312" i="1"/>
  <c r="AB312" i="1"/>
  <c r="Y312" i="1"/>
  <c r="W312" i="1"/>
  <c r="X312" i="1" s="1"/>
  <c r="T312" i="1"/>
  <c r="O312" i="1"/>
  <c r="J312" i="1"/>
  <c r="H312" i="1"/>
  <c r="I312" i="1" s="1"/>
  <c r="C312" i="1"/>
  <c r="B312" i="1"/>
  <c r="G312" i="1" s="1"/>
  <c r="A312" i="1" s="1"/>
  <c r="AD312" i="1" s="1"/>
  <c r="AF311" i="1"/>
  <c r="AC311" i="1"/>
  <c r="T311" i="1" s="1"/>
  <c r="AB311" i="1"/>
  <c r="Z311" i="1"/>
  <c r="Y311" i="1"/>
  <c r="AA311" i="1" s="1"/>
  <c r="W311" i="1"/>
  <c r="X311" i="1" s="1"/>
  <c r="O311" i="1"/>
  <c r="J311" i="1"/>
  <c r="I311" i="1"/>
  <c r="H311" i="1"/>
  <c r="C311" i="1"/>
  <c r="B311" i="1"/>
  <c r="G311" i="1" s="1"/>
  <c r="A311" i="1" s="1"/>
  <c r="AD311" i="1" s="1"/>
  <c r="AF310" i="1"/>
  <c r="AC310" i="1"/>
  <c r="AB310" i="1"/>
  <c r="Y310" i="1"/>
  <c r="W310" i="1"/>
  <c r="X310" i="1" s="1"/>
  <c r="T310" i="1"/>
  <c r="O310" i="1"/>
  <c r="J310" i="1"/>
  <c r="H310" i="1"/>
  <c r="I310" i="1" s="1"/>
  <c r="C310" i="1"/>
  <c r="B310" i="1"/>
  <c r="G310" i="1" s="1"/>
  <c r="A310" i="1" s="1"/>
  <c r="AD310" i="1" s="1"/>
  <c r="AF309" i="1"/>
  <c r="AC309" i="1"/>
  <c r="T309" i="1" s="1"/>
  <c r="AB309" i="1"/>
  <c r="Z309" i="1"/>
  <c r="Y309" i="1"/>
  <c r="AA309" i="1" s="1"/>
  <c r="W309" i="1"/>
  <c r="X309" i="1" s="1"/>
  <c r="O309" i="1"/>
  <c r="J309" i="1"/>
  <c r="I309" i="1"/>
  <c r="H309" i="1"/>
  <c r="C309" i="1"/>
  <c r="B309" i="1"/>
  <c r="G309" i="1" s="1"/>
  <c r="A309" i="1" s="1"/>
  <c r="AD309" i="1" s="1"/>
  <c r="AF308" i="1"/>
  <c r="AC308" i="1"/>
  <c r="AB308" i="1"/>
  <c r="Y308" i="1"/>
  <c r="W308" i="1"/>
  <c r="X308" i="1" s="1"/>
  <c r="T308" i="1"/>
  <c r="O308" i="1"/>
  <c r="J308" i="1"/>
  <c r="H308" i="1"/>
  <c r="I308" i="1" s="1"/>
  <c r="C308" i="1"/>
  <c r="B308" i="1"/>
  <c r="G308" i="1" s="1"/>
  <c r="A308" i="1" s="1"/>
  <c r="AD308" i="1" s="1"/>
  <c r="AF307" i="1"/>
  <c r="AC307" i="1"/>
  <c r="T307" i="1" s="1"/>
  <c r="AB307" i="1"/>
  <c r="Z307" i="1"/>
  <c r="Y307" i="1"/>
  <c r="AA307" i="1" s="1"/>
  <c r="W307" i="1"/>
  <c r="X307" i="1" s="1"/>
  <c r="O307" i="1"/>
  <c r="J307" i="1"/>
  <c r="I307" i="1"/>
  <c r="H307" i="1"/>
  <c r="C307" i="1"/>
  <c r="B307" i="1"/>
  <c r="G307" i="1" s="1"/>
  <c r="A307" i="1" s="1"/>
  <c r="AD307" i="1" s="1"/>
  <c r="AF306" i="1"/>
  <c r="AC306" i="1"/>
  <c r="AB306" i="1"/>
  <c r="Y306" i="1"/>
  <c r="W306" i="1"/>
  <c r="X306" i="1" s="1"/>
  <c r="T306" i="1"/>
  <c r="O306" i="1"/>
  <c r="J306" i="1"/>
  <c r="H306" i="1"/>
  <c r="I306" i="1" s="1"/>
  <c r="C306" i="1"/>
  <c r="B306" i="1"/>
  <c r="G306" i="1" s="1"/>
  <c r="A306" i="1" s="1"/>
  <c r="AD306" i="1" s="1"/>
  <c r="AF305" i="1"/>
  <c r="AC305" i="1"/>
  <c r="T305" i="1" s="1"/>
  <c r="AB305" i="1"/>
  <c r="Z305" i="1"/>
  <c r="Y305" i="1"/>
  <c r="AA305" i="1" s="1"/>
  <c r="W305" i="1"/>
  <c r="X305" i="1" s="1"/>
  <c r="O305" i="1"/>
  <c r="J305" i="1"/>
  <c r="I305" i="1"/>
  <c r="H305" i="1"/>
  <c r="C305" i="1"/>
  <c r="B305" i="1"/>
  <c r="G305" i="1" s="1"/>
  <c r="A305" i="1" s="1"/>
  <c r="AD305" i="1" s="1"/>
  <c r="AF304" i="1"/>
  <c r="AC304" i="1"/>
  <c r="AB304" i="1"/>
  <c r="Y304" i="1"/>
  <c r="W304" i="1"/>
  <c r="X304" i="1" s="1"/>
  <c r="T304" i="1"/>
  <c r="O304" i="1"/>
  <c r="J304" i="1"/>
  <c r="H304" i="1"/>
  <c r="I304" i="1" s="1"/>
  <c r="C304" i="1"/>
  <c r="B304" i="1"/>
  <c r="G304" i="1" s="1"/>
  <c r="A304" i="1" s="1"/>
  <c r="AD304" i="1" s="1"/>
  <c r="AF303" i="1"/>
  <c r="AC303" i="1"/>
  <c r="T303" i="1" s="1"/>
  <c r="AB303" i="1"/>
  <c r="Z303" i="1"/>
  <c r="Y303" i="1"/>
  <c r="AA303" i="1" s="1"/>
  <c r="W303" i="1"/>
  <c r="X303" i="1" s="1"/>
  <c r="O303" i="1"/>
  <c r="J303" i="1"/>
  <c r="I303" i="1"/>
  <c r="H303" i="1"/>
  <c r="C303" i="1"/>
  <c r="B303" i="1"/>
  <c r="G303" i="1" s="1"/>
  <c r="A303" i="1" s="1"/>
  <c r="AD303" i="1" s="1"/>
  <c r="AF302" i="1"/>
  <c r="AC302" i="1"/>
  <c r="AB302" i="1"/>
  <c r="Y302" i="1"/>
  <c r="W302" i="1"/>
  <c r="X302" i="1" s="1"/>
  <c r="T302" i="1"/>
  <c r="O302" i="1"/>
  <c r="J302" i="1"/>
  <c r="H302" i="1"/>
  <c r="I302" i="1" s="1"/>
  <c r="C302" i="1"/>
  <c r="B302" i="1"/>
  <c r="G302" i="1" s="1"/>
  <c r="A302" i="1" s="1"/>
  <c r="AD302" i="1" s="1"/>
  <c r="AF301" i="1"/>
  <c r="AC301" i="1"/>
  <c r="T301" i="1" s="1"/>
  <c r="AB301" i="1"/>
  <c r="Z301" i="1"/>
  <c r="Y301" i="1"/>
  <c r="AA301" i="1" s="1"/>
  <c r="W301" i="1"/>
  <c r="X301" i="1" s="1"/>
  <c r="O301" i="1"/>
  <c r="J301" i="1"/>
  <c r="I301" i="1"/>
  <c r="H301" i="1"/>
  <c r="C301" i="1"/>
  <c r="B301" i="1"/>
  <c r="G301" i="1" s="1"/>
  <c r="A301" i="1" s="1"/>
  <c r="AD301" i="1" s="1"/>
  <c r="AF300" i="1"/>
  <c r="AC300" i="1"/>
  <c r="AB300" i="1"/>
  <c r="Y300" i="1"/>
  <c r="W300" i="1"/>
  <c r="X300" i="1" s="1"/>
  <c r="T300" i="1"/>
  <c r="O300" i="1"/>
  <c r="J300" i="1"/>
  <c r="H300" i="1"/>
  <c r="I300" i="1" s="1"/>
  <c r="C300" i="1"/>
  <c r="B300" i="1"/>
  <c r="G300" i="1" s="1"/>
  <c r="A300" i="1" s="1"/>
  <c r="AD300" i="1" s="1"/>
  <c r="AF299" i="1"/>
  <c r="AC299" i="1"/>
  <c r="T299" i="1" s="1"/>
  <c r="AB299" i="1"/>
  <c r="Z299" i="1"/>
  <c r="Y299" i="1"/>
  <c r="AA299" i="1" s="1"/>
  <c r="W299" i="1"/>
  <c r="X299" i="1" s="1"/>
  <c r="O299" i="1"/>
  <c r="J299" i="1"/>
  <c r="I299" i="1"/>
  <c r="H299" i="1"/>
  <c r="C299" i="1"/>
  <c r="B299" i="1"/>
  <c r="G299" i="1" s="1"/>
  <c r="A299" i="1" s="1"/>
  <c r="AD299" i="1" s="1"/>
  <c r="AF298" i="1"/>
  <c r="AC298" i="1"/>
  <c r="AB298" i="1"/>
  <c r="Y298" i="1"/>
  <c r="W298" i="1"/>
  <c r="X298" i="1" s="1"/>
  <c r="T298" i="1"/>
  <c r="O298" i="1"/>
  <c r="J298" i="1"/>
  <c r="H298" i="1"/>
  <c r="I298" i="1" s="1"/>
  <c r="C298" i="1"/>
  <c r="B298" i="1"/>
  <c r="G298" i="1" s="1"/>
  <c r="A298" i="1" s="1"/>
  <c r="AD298" i="1" s="1"/>
  <c r="AF297" i="1"/>
  <c r="AC297" i="1"/>
  <c r="T297" i="1" s="1"/>
  <c r="AB297" i="1"/>
  <c r="Z297" i="1"/>
  <c r="Y297" i="1"/>
  <c r="AA297" i="1" s="1"/>
  <c r="W297" i="1"/>
  <c r="X297" i="1" s="1"/>
  <c r="O297" i="1"/>
  <c r="J297" i="1"/>
  <c r="I297" i="1"/>
  <c r="H297" i="1"/>
  <c r="C297" i="1"/>
  <c r="B297" i="1"/>
  <c r="G297" i="1" s="1"/>
  <c r="A297" i="1" s="1"/>
  <c r="AD297" i="1" s="1"/>
  <c r="AF296" i="1"/>
  <c r="AC296" i="1"/>
  <c r="AB296" i="1"/>
  <c r="Y296" i="1"/>
  <c r="W296" i="1"/>
  <c r="X296" i="1" s="1"/>
  <c r="T296" i="1"/>
  <c r="O296" i="1"/>
  <c r="J296" i="1"/>
  <c r="H296" i="1"/>
  <c r="I296" i="1" s="1"/>
  <c r="C296" i="1"/>
  <c r="B296" i="1"/>
  <c r="G296" i="1" s="1"/>
  <c r="A296" i="1" s="1"/>
  <c r="AD296" i="1" s="1"/>
  <c r="AF295" i="1"/>
  <c r="AC295" i="1"/>
  <c r="T295" i="1" s="1"/>
  <c r="AB295" i="1"/>
  <c r="Z295" i="1"/>
  <c r="Y295" i="1"/>
  <c r="AA295" i="1" s="1"/>
  <c r="W295" i="1"/>
  <c r="X295" i="1" s="1"/>
  <c r="O295" i="1"/>
  <c r="J295" i="1"/>
  <c r="I295" i="1"/>
  <c r="H295" i="1"/>
  <c r="C295" i="1"/>
  <c r="B295" i="1"/>
  <c r="G295" i="1" s="1"/>
  <c r="A295" i="1" s="1"/>
  <c r="AD295" i="1" s="1"/>
  <c r="AF294" i="1"/>
  <c r="AC294" i="1"/>
  <c r="AB294" i="1"/>
  <c r="Y294" i="1"/>
  <c r="W294" i="1"/>
  <c r="X294" i="1" s="1"/>
  <c r="T294" i="1"/>
  <c r="O294" i="1"/>
  <c r="J294" i="1"/>
  <c r="H294" i="1"/>
  <c r="I294" i="1" s="1"/>
  <c r="C294" i="1"/>
  <c r="B294" i="1"/>
  <c r="G294" i="1" s="1"/>
  <c r="A294" i="1" s="1"/>
  <c r="AD294" i="1" s="1"/>
  <c r="AF293" i="1"/>
  <c r="AC293" i="1"/>
  <c r="T293" i="1" s="1"/>
  <c r="AB293" i="1"/>
  <c r="Z293" i="1"/>
  <c r="Y293" i="1"/>
  <c r="AA293" i="1" s="1"/>
  <c r="W293" i="1"/>
  <c r="X293" i="1" s="1"/>
  <c r="O293" i="1"/>
  <c r="J293" i="1"/>
  <c r="I293" i="1"/>
  <c r="H293" i="1"/>
  <c r="C293" i="1"/>
  <c r="B293" i="1"/>
  <c r="G293" i="1" s="1"/>
  <c r="A293" i="1" s="1"/>
  <c r="AD293" i="1" s="1"/>
  <c r="AF292" i="1"/>
  <c r="AC292" i="1"/>
  <c r="AB292" i="1"/>
  <c r="Y292" i="1"/>
  <c r="W292" i="1"/>
  <c r="X292" i="1" s="1"/>
  <c r="T292" i="1"/>
  <c r="O292" i="1"/>
  <c r="J292" i="1"/>
  <c r="H292" i="1"/>
  <c r="I292" i="1" s="1"/>
  <c r="C292" i="1"/>
  <c r="B292" i="1"/>
  <c r="G292" i="1" s="1"/>
  <c r="A292" i="1" s="1"/>
  <c r="AD292" i="1" s="1"/>
  <c r="AF291" i="1"/>
  <c r="AC291" i="1"/>
  <c r="T291" i="1" s="1"/>
  <c r="AB291" i="1"/>
  <c r="Z291" i="1"/>
  <c r="Y291" i="1"/>
  <c r="AA291" i="1" s="1"/>
  <c r="W291" i="1"/>
  <c r="X291" i="1" s="1"/>
  <c r="O291" i="1"/>
  <c r="J291" i="1"/>
  <c r="I291" i="1"/>
  <c r="H291" i="1"/>
  <c r="C291" i="1"/>
  <c r="B291" i="1"/>
  <c r="G291" i="1" s="1"/>
  <c r="A291" i="1" s="1"/>
  <c r="AD291" i="1" s="1"/>
  <c r="AF290" i="1"/>
  <c r="AC290" i="1"/>
  <c r="AB290" i="1"/>
  <c r="Y290" i="1"/>
  <c r="W290" i="1"/>
  <c r="X290" i="1" s="1"/>
  <c r="T290" i="1"/>
  <c r="O290" i="1"/>
  <c r="J290" i="1"/>
  <c r="H290" i="1"/>
  <c r="I290" i="1" s="1"/>
  <c r="C290" i="1"/>
  <c r="B290" i="1"/>
  <c r="G290" i="1" s="1"/>
  <c r="A290" i="1" s="1"/>
  <c r="AD290" i="1" s="1"/>
  <c r="AF289" i="1"/>
  <c r="AC289" i="1"/>
  <c r="T289" i="1" s="1"/>
  <c r="AB289" i="1"/>
  <c r="Z289" i="1"/>
  <c r="Y289" i="1"/>
  <c r="AA289" i="1" s="1"/>
  <c r="W289" i="1"/>
  <c r="X289" i="1" s="1"/>
  <c r="O289" i="1"/>
  <c r="J289" i="1"/>
  <c r="I289" i="1"/>
  <c r="H289" i="1"/>
  <c r="C289" i="1"/>
  <c r="B289" i="1"/>
  <c r="G289" i="1" s="1"/>
  <c r="A289" i="1" s="1"/>
  <c r="AD289" i="1" s="1"/>
  <c r="AF288" i="1"/>
  <c r="AC288" i="1"/>
  <c r="AB288" i="1"/>
  <c r="Y288" i="1"/>
  <c r="W288" i="1"/>
  <c r="X288" i="1" s="1"/>
  <c r="T288" i="1"/>
  <c r="O288" i="1"/>
  <c r="J288" i="1"/>
  <c r="H288" i="1"/>
  <c r="I288" i="1" s="1"/>
  <c r="C288" i="1"/>
  <c r="B288" i="1"/>
  <c r="G288" i="1" s="1"/>
  <c r="A288" i="1" s="1"/>
  <c r="AD288" i="1" s="1"/>
  <c r="AF287" i="1"/>
  <c r="AC287" i="1"/>
  <c r="T287" i="1" s="1"/>
  <c r="AB287" i="1"/>
  <c r="Z287" i="1"/>
  <c r="Y287" i="1"/>
  <c r="AA287" i="1" s="1"/>
  <c r="W287" i="1"/>
  <c r="X287" i="1" s="1"/>
  <c r="O287" i="1"/>
  <c r="J287" i="1"/>
  <c r="I287" i="1"/>
  <c r="H287" i="1"/>
  <c r="C287" i="1"/>
  <c r="B287" i="1"/>
  <c r="G287" i="1" s="1"/>
  <c r="A287" i="1" s="1"/>
  <c r="AD287" i="1" s="1"/>
  <c r="AF286" i="1"/>
  <c r="AC286" i="1"/>
  <c r="AB286" i="1"/>
  <c r="Y286" i="1"/>
  <c r="W286" i="1"/>
  <c r="X286" i="1" s="1"/>
  <c r="T286" i="1"/>
  <c r="O286" i="1"/>
  <c r="J286" i="1"/>
  <c r="H286" i="1"/>
  <c r="I286" i="1" s="1"/>
  <c r="C286" i="1"/>
  <c r="B286" i="1"/>
  <c r="G286" i="1" s="1"/>
  <c r="A286" i="1" s="1"/>
  <c r="AD286" i="1" s="1"/>
  <c r="AF285" i="1"/>
  <c r="AC285" i="1"/>
  <c r="T285" i="1" s="1"/>
  <c r="AB285" i="1"/>
  <c r="Z285" i="1"/>
  <c r="Y285" i="1"/>
  <c r="AA285" i="1" s="1"/>
  <c r="W285" i="1"/>
  <c r="X285" i="1" s="1"/>
  <c r="O285" i="1"/>
  <c r="J285" i="1"/>
  <c r="I285" i="1"/>
  <c r="H285" i="1"/>
  <c r="C285" i="1"/>
  <c r="B285" i="1"/>
  <c r="G285" i="1" s="1"/>
  <c r="A285" i="1" s="1"/>
  <c r="AD285" i="1" s="1"/>
  <c r="AF284" i="1"/>
  <c r="AC284" i="1"/>
  <c r="AB284" i="1"/>
  <c r="Y284" i="1"/>
  <c r="AA284" i="1" s="1"/>
  <c r="W284" i="1"/>
  <c r="X284" i="1" s="1"/>
  <c r="T284" i="1"/>
  <c r="O284" i="1"/>
  <c r="J284" i="1"/>
  <c r="H284" i="1"/>
  <c r="I284" i="1" s="1"/>
  <c r="C284" i="1"/>
  <c r="B284" i="1"/>
  <c r="G284" i="1" s="1"/>
  <c r="A284" i="1" s="1"/>
  <c r="AD284" i="1" s="1"/>
  <c r="AF283" i="1"/>
  <c r="AC283" i="1"/>
  <c r="T283" i="1" s="1"/>
  <c r="AB283" i="1"/>
  <c r="Z283" i="1"/>
  <c r="Y283" i="1"/>
  <c r="AA283" i="1" s="1"/>
  <c r="W283" i="1"/>
  <c r="X283" i="1" s="1"/>
  <c r="O283" i="1"/>
  <c r="J283" i="1"/>
  <c r="I283" i="1"/>
  <c r="H283" i="1"/>
  <c r="C283" i="1"/>
  <c r="B283" i="1"/>
  <c r="G283" i="1" s="1"/>
  <c r="A283" i="1" s="1"/>
  <c r="AD283" i="1" s="1"/>
  <c r="AF282" i="1"/>
  <c r="AC282" i="1"/>
  <c r="AB282" i="1"/>
  <c r="Y282" i="1"/>
  <c r="AA282" i="1" s="1"/>
  <c r="W282" i="1"/>
  <c r="X282" i="1" s="1"/>
  <c r="T282" i="1"/>
  <c r="O282" i="1"/>
  <c r="J282" i="1"/>
  <c r="H282" i="1"/>
  <c r="I282" i="1" s="1"/>
  <c r="C282" i="1"/>
  <c r="B282" i="1"/>
  <c r="G282" i="1" s="1"/>
  <c r="A282" i="1" s="1"/>
  <c r="AD282" i="1" s="1"/>
  <c r="AF281" i="1"/>
  <c r="AC281" i="1"/>
  <c r="T281" i="1" s="1"/>
  <c r="AB281" i="1"/>
  <c r="Z281" i="1"/>
  <c r="Y281" i="1"/>
  <c r="AA281" i="1" s="1"/>
  <c r="W281" i="1"/>
  <c r="X281" i="1" s="1"/>
  <c r="O281" i="1"/>
  <c r="J281" i="1"/>
  <c r="I281" i="1"/>
  <c r="H281" i="1"/>
  <c r="C281" i="1"/>
  <c r="B281" i="1"/>
  <c r="G281" i="1" s="1"/>
  <c r="A281" i="1" s="1"/>
  <c r="AD281" i="1" s="1"/>
  <c r="AF280" i="1"/>
  <c r="AC280" i="1"/>
  <c r="AB280" i="1"/>
  <c r="Y280" i="1"/>
  <c r="AA280" i="1" s="1"/>
  <c r="W280" i="1"/>
  <c r="X280" i="1" s="1"/>
  <c r="T280" i="1"/>
  <c r="O280" i="1"/>
  <c r="J280" i="1"/>
  <c r="H280" i="1"/>
  <c r="I280" i="1" s="1"/>
  <c r="C280" i="1"/>
  <c r="B280" i="1"/>
  <c r="G280" i="1" s="1"/>
  <c r="A280" i="1" s="1"/>
  <c r="AD280" i="1" s="1"/>
  <c r="AF279" i="1"/>
  <c r="AC279" i="1"/>
  <c r="T279" i="1" s="1"/>
  <c r="AB279" i="1"/>
  <c r="Z279" i="1"/>
  <c r="Y279" i="1"/>
  <c r="AA279" i="1" s="1"/>
  <c r="W279" i="1"/>
  <c r="X279" i="1" s="1"/>
  <c r="O279" i="1"/>
  <c r="J279" i="1"/>
  <c r="I279" i="1"/>
  <c r="H279" i="1"/>
  <c r="C279" i="1"/>
  <c r="B279" i="1"/>
  <c r="G279" i="1" s="1"/>
  <c r="A279" i="1" s="1"/>
  <c r="AD279" i="1" s="1"/>
  <c r="AF278" i="1"/>
  <c r="AC278" i="1"/>
  <c r="AB278" i="1"/>
  <c r="Y278" i="1"/>
  <c r="AA278" i="1" s="1"/>
  <c r="W278" i="1"/>
  <c r="X278" i="1" s="1"/>
  <c r="T278" i="1"/>
  <c r="O278" i="1"/>
  <c r="J278" i="1"/>
  <c r="H278" i="1"/>
  <c r="I278" i="1" s="1"/>
  <c r="C278" i="1"/>
  <c r="B278" i="1"/>
  <c r="G278" i="1" s="1"/>
  <c r="A278" i="1" s="1"/>
  <c r="AD278" i="1" s="1"/>
  <c r="AF277" i="1"/>
  <c r="AC277" i="1"/>
  <c r="T277" i="1" s="1"/>
  <c r="AB277" i="1"/>
  <c r="Z277" i="1"/>
  <c r="Y277" i="1"/>
  <c r="AA277" i="1" s="1"/>
  <c r="W277" i="1"/>
  <c r="X277" i="1" s="1"/>
  <c r="O277" i="1"/>
  <c r="J277" i="1"/>
  <c r="I277" i="1"/>
  <c r="H277" i="1"/>
  <c r="C277" i="1"/>
  <c r="B277" i="1"/>
  <c r="G277" i="1" s="1"/>
  <c r="A277" i="1" s="1"/>
  <c r="AD277" i="1" s="1"/>
  <c r="AF276" i="1"/>
  <c r="AC276" i="1"/>
  <c r="AB276" i="1"/>
  <c r="Y276" i="1"/>
  <c r="AA276" i="1" s="1"/>
  <c r="W276" i="1"/>
  <c r="X276" i="1" s="1"/>
  <c r="T276" i="1"/>
  <c r="O276" i="1"/>
  <c r="J276" i="1"/>
  <c r="H276" i="1"/>
  <c r="I276" i="1" s="1"/>
  <c r="C276" i="1"/>
  <c r="B276" i="1"/>
  <c r="G276" i="1" s="1"/>
  <c r="A276" i="1" s="1"/>
  <c r="AD276" i="1" s="1"/>
  <c r="AF275" i="1"/>
  <c r="AC275" i="1"/>
  <c r="T275" i="1" s="1"/>
  <c r="AB275" i="1"/>
  <c r="Z275" i="1"/>
  <c r="Y275" i="1"/>
  <c r="AA275" i="1" s="1"/>
  <c r="W275" i="1"/>
  <c r="X275" i="1" s="1"/>
  <c r="O275" i="1"/>
  <c r="J275" i="1"/>
  <c r="I275" i="1"/>
  <c r="H275" i="1"/>
  <c r="C275" i="1"/>
  <c r="B275" i="1"/>
  <c r="G275" i="1" s="1"/>
  <c r="A275" i="1" s="1"/>
  <c r="AD275" i="1" s="1"/>
  <c r="AF274" i="1"/>
  <c r="AC274" i="1"/>
  <c r="AB274" i="1"/>
  <c r="Y274" i="1"/>
  <c r="AA274" i="1" s="1"/>
  <c r="W274" i="1"/>
  <c r="X274" i="1" s="1"/>
  <c r="T274" i="1"/>
  <c r="O274" i="1"/>
  <c r="J274" i="1"/>
  <c r="H274" i="1"/>
  <c r="I274" i="1" s="1"/>
  <c r="C274" i="1"/>
  <c r="B274" i="1"/>
  <c r="G274" i="1" s="1"/>
  <c r="A274" i="1" s="1"/>
  <c r="AD274" i="1" s="1"/>
  <c r="AF273" i="1"/>
  <c r="AC273" i="1"/>
  <c r="T273" i="1" s="1"/>
  <c r="AB273" i="1"/>
  <c r="Z273" i="1"/>
  <c r="Y273" i="1"/>
  <c r="AA273" i="1" s="1"/>
  <c r="W273" i="1"/>
  <c r="X273" i="1" s="1"/>
  <c r="O273" i="1"/>
  <c r="J273" i="1"/>
  <c r="I273" i="1"/>
  <c r="H273" i="1"/>
  <c r="C273" i="1"/>
  <c r="B273" i="1"/>
  <c r="G273" i="1" s="1"/>
  <c r="A273" i="1" s="1"/>
  <c r="AD273" i="1" s="1"/>
  <c r="AF272" i="1"/>
  <c r="AC272" i="1"/>
  <c r="AB272" i="1"/>
  <c r="Y272" i="1"/>
  <c r="AA272" i="1" s="1"/>
  <c r="W272" i="1"/>
  <c r="X272" i="1" s="1"/>
  <c r="T272" i="1"/>
  <c r="O272" i="1"/>
  <c r="J272" i="1"/>
  <c r="H272" i="1"/>
  <c r="I272" i="1" s="1"/>
  <c r="C272" i="1"/>
  <c r="B272" i="1"/>
  <c r="G272" i="1" s="1"/>
  <c r="A272" i="1" s="1"/>
  <c r="AD272" i="1" s="1"/>
  <c r="AF271" i="1"/>
  <c r="AC271" i="1"/>
  <c r="T271" i="1" s="1"/>
  <c r="AB271" i="1"/>
  <c r="Z271" i="1"/>
  <c r="Y271" i="1"/>
  <c r="AA271" i="1" s="1"/>
  <c r="W271" i="1"/>
  <c r="X271" i="1" s="1"/>
  <c r="O271" i="1"/>
  <c r="J271" i="1"/>
  <c r="I271" i="1"/>
  <c r="H271" i="1"/>
  <c r="C271" i="1"/>
  <c r="B271" i="1"/>
  <c r="G271" i="1" s="1"/>
  <c r="A271" i="1" s="1"/>
  <c r="AD271" i="1" s="1"/>
  <c r="AF270" i="1"/>
  <c r="AC270" i="1"/>
  <c r="AB270" i="1"/>
  <c r="Y270" i="1"/>
  <c r="AA270" i="1" s="1"/>
  <c r="W270" i="1"/>
  <c r="X270" i="1" s="1"/>
  <c r="T270" i="1"/>
  <c r="O270" i="1"/>
  <c r="J270" i="1"/>
  <c r="H270" i="1"/>
  <c r="I270" i="1" s="1"/>
  <c r="C270" i="1"/>
  <c r="B270" i="1"/>
  <c r="G270" i="1" s="1"/>
  <c r="A270" i="1" s="1"/>
  <c r="AD270" i="1" s="1"/>
  <c r="AF269" i="1"/>
  <c r="AC269" i="1"/>
  <c r="T269" i="1" s="1"/>
  <c r="AB269" i="1"/>
  <c r="Z269" i="1"/>
  <c r="Y269" i="1"/>
  <c r="AA269" i="1" s="1"/>
  <c r="W269" i="1"/>
  <c r="X269" i="1" s="1"/>
  <c r="O269" i="1"/>
  <c r="J269" i="1"/>
  <c r="I269" i="1"/>
  <c r="H269" i="1"/>
  <c r="C269" i="1"/>
  <c r="B269" i="1"/>
  <c r="G269" i="1" s="1"/>
  <c r="A269" i="1" s="1"/>
  <c r="AD269" i="1" s="1"/>
  <c r="AF268" i="1"/>
  <c r="AC268" i="1"/>
  <c r="AB268" i="1"/>
  <c r="Y268" i="1"/>
  <c r="AA268" i="1" s="1"/>
  <c r="W268" i="1"/>
  <c r="X268" i="1" s="1"/>
  <c r="T268" i="1"/>
  <c r="O268" i="1"/>
  <c r="J268" i="1"/>
  <c r="H268" i="1"/>
  <c r="I268" i="1" s="1"/>
  <c r="C268" i="1"/>
  <c r="B268" i="1"/>
  <c r="G268" i="1" s="1"/>
  <c r="A268" i="1" s="1"/>
  <c r="AD268" i="1" s="1"/>
  <c r="AF267" i="1"/>
  <c r="AC267" i="1"/>
  <c r="T267" i="1" s="1"/>
  <c r="AB267" i="1"/>
  <c r="Z267" i="1"/>
  <c r="Y267" i="1"/>
  <c r="AA267" i="1" s="1"/>
  <c r="W267" i="1"/>
  <c r="X267" i="1" s="1"/>
  <c r="O267" i="1"/>
  <c r="J267" i="1"/>
  <c r="I267" i="1"/>
  <c r="H267" i="1"/>
  <c r="C267" i="1"/>
  <c r="B267" i="1"/>
  <c r="G267" i="1" s="1"/>
  <c r="A267" i="1" s="1"/>
  <c r="AD267" i="1" s="1"/>
  <c r="AF266" i="1"/>
  <c r="AC266" i="1"/>
  <c r="AB266" i="1"/>
  <c r="Y266" i="1"/>
  <c r="AA266" i="1" s="1"/>
  <c r="W266" i="1"/>
  <c r="X266" i="1" s="1"/>
  <c r="T266" i="1"/>
  <c r="O266" i="1"/>
  <c r="J266" i="1"/>
  <c r="H266" i="1"/>
  <c r="I266" i="1" s="1"/>
  <c r="C266" i="1"/>
  <c r="B266" i="1"/>
  <c r="G266" i="1" s="1"/>
  <c r="A266" i="1" s="1"/>
  <c r="AD266" i="1" s="1"/>
  <c r="AF265" i="1"/>
  <c r="AC265" i="1"/>
  <c r="T265" i="1" s="1"/>
  <c r="AB265" i="1"/>
  <c r="Z265" i="1"/>
  <c r="Y265" i="1"/>
  <c r="AA265" i="1" s="1"/>
  <c r="W265" i="1"/>
  <c r="X265" i="1" s="1"/>
  <c r="O265" i="1"/>
  <c r="J265" i="1"/>
  <c r="I265" i="1"/>
  <c r="H265" i="1"/>
  <c r="C265" i="1"/>
  <c r="B265" i="1"/>
  <c r="G265" i="1" s="1"/>
  <c r="A265" i="1" s="1"/>
  <c r="AD265" i="1" s="1"/>
  <c r="AF264" i="1"/>
  <c r="AC264" i="1"/>
  <c r="AB264" i="1"/>
  <c r="Y264" i="1"/>
  <c r="AA264" i="1" s="1"/>
  <c r="W264" i="1"/>
  <c r="X264" i="1" s="1"/>
  <c r="T264" i="1"/>
  <c r="O264" i="1"/>
  <c r="J264" i="1"/>
  <c r="H264" i="1"/>
  <c r="I264" i="1" s="1"/>
  <c r="C264" i="1"/>
  <c r="B264" i="1"/>
  <c r="G264" i="1" s="1"/>
  <c r="A264" i="1" s="1"/>
  <c r="AD264" i="1" s="1"/>
  <c r="AF263" i="1"/>
  <c r="AC263" i="1"/>
  <c r="T263" i="1" s="1"/>
  <c r="AB263" i="1"/>
  <c r="Z263" i="1"/>
  <c r="Y263" i="1"/>
  <c r="AA263" i="1" s="1"/>
  <c r="W263" i="1"/>
  <c r="X263" i="1" s="1"/>
  <c r="O263" i="1"/>
  <c r="J263" i="1"/>
  <c r="I263" i="1"/>
  <c r="H263" i="1"/>
  <c r="C263" i="1"/>
  <c r="B263" i="1"/>
  <c r="G263" i="1" s="1"/>
  <c r="A263" i="1" s="1"/>
  <c r="AD263" i="1" s="1"/>
  <c r="AF262" i="1"/>
  <c r="AC262" i="1"/>
  <c r="AB262" i="1"/>
  <c r="Y262" i="1"/>
  <c r="AA262" i="1" s="1"/>
  <c r="W262" i="1"/>
  <c r="X262" i="1" s="1"/>
  <c r="T262" i="1"/>
  <c r="O262" i="1"/>
  <c r="J262" i="1"/>
  <c r="H262" i="1"/>
  <c r="I262" i="1" s="1"/>
  <c r="C262" i="1"/>
  <c r="B262" i="1"/>
  <c r="G262" i="1" s="1"/>
  <c r="A262" i="1" s="1"/>
  <c r="AD262" i="1" s="1"/>
  <c r="AF261" i="1"/>
  <c r="AC261" i="1"/>
  <c r="T261" i="1" s="1"/>
  <c r="AB261" i="1"/>
  <c r="Z261" i="1"/>
  <c r="Y261" i="1"/>
  <c r="AA261" i="1" s="1"/>
  <c r="W261" i="1"/>
  <c r="X261" i="1" s="1"/>
  <c r="O261" i="1"/>
  <c r="J261" i="1"/>
  <c r="I261" i="1"/>
  <c r="H261" i="1"/>
  <c r="C261" i="1"/>
  <c r="B261" i="1"/>
  <c r="G261" i="1" s="1"/>
  <c r="A261" i="1" s="1"/>
  <c r="AD261" i="1" s="1"/>
  <c r="AF260" i="1"/>
  <c r="AC260" i="1"/>
  <c r="AB260" i="1"/>
  <c r="Y260" i="1"/>
  <c r="AA260" i="1" s="1"/>
  <c r="W260" i="1"/>
  <c r="X260" i="1" s="1"/>
  <c r="T260" i="1"/>
  <c r="O260" i="1"/>
  <c r="J260" i="1"/>
  <c r="H260" i="1"/>
  <c r="I260" i="1" s="1"/>
  <c r="C260" i="1"/>
  <c r="B260" i="1"/>
  <c r="G260" i="1" s="1"/>
  <c r="A260" i="1" s="1"/>
  <c r="AD260" i="1" s="1"/>
  <c r="AF259" i="1"/>
  <c r="AC259" i="1"/>
  <c r="T259" i="1" s="1"/>
  <c r="AB259" i="1"/>
  <c r="Z259" i="1"/>
  <c r="Y259" i="1"/>
  <c r="AA259" i="1" s="1"/>
  <c r="W259" i="1"/>
  <c r="X259" i="1" s="1"/>
  <c r="O259" i="1"/>
  <c r="J259" i="1"/>
  <c r="I259" i="1"/>
  <c r="H259" i="1"/>
  <c r="C259" i="1"/>
  <c r="B259" i="1"/>
  <c r="G259" i="1" s="1"/>
  <c r="A259" i="1" s="1"/>
  <c r="AD259" i="1" s="1"/>
  <c r="AF258" i="1"/>
  <c r="AC258" i="1"/>
  <c r="AB258" i="1"/>
  <c r="Y258" i="1"/>
  <c r="AA258" i="1" s="1"/>
  <c r="W258" i="1"/>
  <c r="X258" i="1" s="1"/>
  <c r="T258" i="1"/>
  <c r="O258" i="1"/>
  <c r="J258" i="1"/>
  <c r="H258" i="1"/>
  <c r="I258" i="1" s="1"/>
  <c r="C258" i="1"/>
  <c r="B258" i="1"/>
  <c r="G258" i="1" s="1"/>
  <c r="A258" i="1" s="1"/>
  <c r="AD258" i="1" s="1"/>
  <c r="AF257" i="1"/>
  <c r="AC257" i="1"/>
  <c r="T257" i="1" s="1"/>
  <c r="AB257" i="1"/>
  <c r="Z257" i="1"/>
  <c r="Y257" i="1"/>
  <c r="AA257" i="1" s="1"/>
  <c r="W257" i="1"/>
  <c r="X257" i="1" s="1"/>
  <c r="O257" i="1"/>
  <c r="J257" i="1"/>
  <c r="I257" i="1"/>
  <c r="H257" i="1"/>
  <c r="C257" i="1"/>
  <c r="B257" i="1"/>
  <c r="G257" i="1" s="1"/>
  <c r="A257" i="1" s="1"/>
  <c r="AD257" i="1" s="1"/>
  <c r="AF256" i="1"/>
  <c r="AC256" i="1"/>
  <c r="AB256" i="1"/>
  <c r="Y256" i="1"/>
  <c r="AA256" i="1" s="1"/>
  <c r="W256" i="1"/>
  <c r="X256" i="1" s="1"/>
  <c r="T256" i="1"/>
  <c r="O256" i="1"/>
  <c r="J256" i="1"/>
  <c r="H256" i="1"/>
  <c r="I256" i="1" s="1"/>
  <c r="C256" i="1"/>
  <c r="B256" i="1"/>
  <c r="G256" i="1" s="1"/>
  <c r="A256" i="1" s="1"/>
  <c r="AD256" i="1" s="1"/>
  <c r="AF255" i="1"/>
  <c r="AC255" i="1"/>
  <c r="T255" i="1" s="1"/>
  <c r="AB255" i="1"/>
  <c r="Z255" i="1"/>
  <c r="Y255" i="1"/>
  <c r="AA255" i="1" s="1"/>
  <c r="W255" i="1"/>
  <c r="X255" i="1" s="1"/>
  <c r="O255" i="1"/>
  <c r="J255" i="1"/>
  <c r="I255" i="1"/>
  <c r="H255" i="1"/>
  <c r="C255" i="1"/>
  <c r="B255" i="1"/>
  <c r="G255" i="1" s="1"/>
  <c r="A255" i="1" s="1"/>
  <c r="AD255" i="1" s="1"/>
  <c r="AF254" i="1"/>
  <c r="AC254" i="1"/>
  <c r="AB254" i="1"/>
  <c r="Y254" i="1"/>
  <c r="AA254" i="1" s="1"/>
  <c r="W254" i="1"/>
  <c r="X254" i="1" s="1"/>
  <c r="T254" i="1"/>
  <c r="O254" i="1"/>
  <c r="J254" i="1"/>
  <c r="H254" i="1"/>
  <c r="I254" i="1" s="1"/>
  <c r="C254" i="1"/>
  <c r="B254" i="1"/>
  <c r="G254" i="1" s="1"/>
  <c r="A254" i="1" s="1"/>
  <c r="AD254" i="1" s="1"/>
  <c r="AF253" i="1"/>
  <c r="AC253" i="1"/>
  <c r="T253" i="1" s="1"/>
  <c r="AB253" i="1"/>
  <c r="Z253" i="1"/>
  <c r="Y253" i="1"/>
  <c r="AA253" i="1" s="1"/>
  <c r="W253" i="1"/>
  <c r="X253" i="1" s="1"/>
  <c r="O253" i="1"/>
  <c r="J253" i="1"/>
  <c r="I253" i="1"/>
  <c r="H253" i="1"/>
  <c r="C253" i="1"/>
  <c r="B253" i="1"/>
  <c r="G253" i="1" s="1"/>
  <c r="A253" i="1" s="1"/>
  <c r="AD253" i="1" s="1"/>
  <c r="AF252" i="1"/>
  <c r="AC252" i="1"/>
  <c r="AB252" i="1"/>
  <c r="Y252" i="1"/>
  <c r="AA252" i="1" s="1"/>
  <c r="W252" i="1"/>
  <c r="X252" i="1" s="1"/>
  <c r="T252" i="1"/>
  <c r="O252" i="1"/>
  <c r="J252" i="1"/>
  <c r="H252" i="1"/>
  <c r="I252" i="1" s="1"/>
  <c r="C252" i="1"/>
  <c r="B252" i="1"/>
  <c r="G252" i="1" s="1"/>
  <c r="A252" i="1" s="1"/>
  <c r="AD252" i="1" s="1"/>
  <c r="AF251" i="1"/>
  <c r="AC251" i="1"/>
  <c r="T251" i="1" s="1"/>
  <c r="AB251" i="1"/>
  <c r="Z251" i="1"/>
  <c r="Y251" i="1"/>
  <c r="AA251" i="1" s="1"/>
  <c r="W251" i="1"/>
  <c r="X251" i="1" s="1"/>
  <c r="O251" i="1"/>
  <c r="J251" i="1"/>
  <c r="I251" i="1"/>
  <c r="H251" i="1"/>
  <c r="C251" i="1"/>
  <c r="B251" i="1"/>
  <c r="G251" i="1" s="1"/>
  <c r="A251" i="1" s="1"/>
  <c r="AD251" i="1" s="1"/>
  <c r="AF250" i="1"/>
  <c r="AC250" i="1"/>
  <c r="AB250" i="1"/>
  <c r="Y250" i="1"/>
  <c r="AA250" i="1" s="1"/>
  <c r="W250" i="1"/>
  <c r="X250" i="1" s="1"/>
  <c r="T250" i="1"/>
  <c r="O250" i="1"/>
  <c r="J250" i="1"/>
  <c r="H250" i="1"/>
  <c r="I250" i="1" s="1"/>
  <c r="C250" i="1"/>
  <c r="B250" i="1"/>
  <c r="G250" i="1" s="1"/>
  <c r="A250" i="1" s="1"/>
  <c r="AD250" i="1" s="1"/>
  <c r="AF249" i="1"/>
  <c r="AC249" i="1"/>
  <c r="T249" i="1" s="1"/>
  <c r="AB249" i="1"/>
  <c r="Z249" i="1"/>
  <c r="Y249" i="1"/>
  <c r="AA249" i="1" s="1"/>
  <c r="W249" i="1"/>
  <c r="X249" i="1" s="1"/>
  <c r="O249" i="1"/>
  <c r="J249" i="1"/>
  <c r="I249" i="1"/>
  <c r="H249" i="1"/>
  <c r="C249" i="1"/>
  <c r="B249" i="1"/>
  <c r="G249" i="1" s="1"/>
  <c r="A249" i="1" s="1"/>
  <c r="AD249" i="1" s="1"/>
  <c r="AF248" i="1"/>
  <c r="AC248" i="1"/>
  <c r="AB248" i="1"/>
  <c r="Y248" i="1"/>
  <c r="AA248" i="1" s="1"/>
  <c r="W248" i="1"/>
  <c r="X248" i="1" s="1"/>
  <c r="T248" i="1"/>
  <c r="O248" i="1"/>
  <c r="J248" i="1"/>
  <c r="H248" i="1"/>
  <c r="I248" i="1" s="1"/>
  <c r="C248" i="1"/>
  <c r="B248" i="1"/>
  <c r="G248" i="1" s="1"/>
  <c r="A248" i="1" s="1"/>
  <c r="AD248" i="1" s="1"/>
  <c r="AF247" i="1"/>
  <c r="AC247" i="1"/>
  <c r="T247" i="1" s="1"/>
  <c r="AB247" i="1"/>
  <c r="Z247" i="1"/>
  <c r="Y247" i="1"/>
  <c r="AA247" i="1" s="1"/>
  <c r="W247" i="1"/>
  <c r="X247" i="1" s="1"/>
  <c r="O247" i="1"/>
  <c r="J247" i="1"/>
  <c r="I247" i="1"/>
  <c r="H247" i="1"/>
  <c r="C247" i="1"/>
  <c r="B247" i="1"/>
  <c r="G247" i="1" s="1"/>
  <c r="A247" i="1" s="1"/>
  <c r="AD247" i="1" s="1"/>
  <c r="AF246" i="1"/>
  <c r="AC246" i="1"/>
  <c r="AB246" i="1"/>
  <c r="Y246" i="1"/>
  <c r="AA246" i="1" s="1"/>
  <c r="W246" i="1"/>
  <c r="X246" i="1" s="1"/>
  <c r="T246" i="1"/>
  <c r="O246" i="1"/>
  <c r="J246" i="1"/>
  <c r="H246" i="1"/>
  <c r="I246" i="1" s="1"/>
  <c r="C246" i="1"/>
  <c r="B246" i="1"/>
  <c r="G246" i="1" s="1"/>
  <c r="A246" i="1" s="1"/>
  <c r="AD246" i="1" s="1"/>
  <c r="AF245" i="1"/>
  <c r="AC245" i="1"/>
  <c r="T245" i="1" s="1"/>
  <c r="AB245" i="1"/>
  <c r="Z245" i="1"/>
  <c r="Y245" i="1"/>
  <c r="AA245" i="1" s="1"/>
  <c r="W245" i="1"/>
  <c r="X245" i="1" s="1"/>
  <c r="O245" i="1"/>
  <c r="J245" i="1"/>
  <c r="I245" i="1"/>
  <c r="H245" i="1"/>
  <c r="C245" i="1"/>
  <c r="B245" i="1"/>
  <c r="G245" i="1" s="1"/>
  <c r="A245" i="1" s="1"/>
  <c r="AD245" i="1" s="1"/>
  <c r="AF244" i="1"/>
  <c r="AC244" i="1"/>
  <c r="AB244" i="1"/>
  <c r="Y244" i="1"/>
  <c r="AA244" i="1" s="1"/>
  <c r="W244" i="1"/>
  <c r="X244" i="1" s="1"/>
  <c r="T244" i="1"/>
  <c r="O244" i="1"/>
  <c r="J244" i="1"/>
  <c r="H244" i="1"/>
  <c r="I244" i="1" s="1"/>
  <c r="C244" i="1"/>
  <c r="B244" i="1"/>
  <c r="G244" i="1" s="1"/>
  <c r="A244" i="1" s="1"/>
  <c r="AD244" i="1" s="1"/>
  <c r="AF243" i="1"/>
  <c r="AC243" i="1"/>
  <c r="T243" i="1" s="1"/>
  <c r="AB243" i="1"/>
  <c r="Z243" i="1"/>
  <c r="Y243" i="1"/>
  <c r="AA243" i="1" s="1"/>
  <c r="W243" i="1"/>
  <c r="X243" i="1" s="1"/>
  <c r="O243" i="1"/>
  <c r="J243" i="1"/>
  <c r="I243" i="1"/>
  <c r="H243" i="1"/>
  <c r="C243" i="1"/>
  <c r="B243" i="1"/>
  <c r="G243" i="1" s="1"/>
  <c r="A243" i="1" s="1"/>
  <c r="AD243" i="1" s="1"/>
  <c r="AF242" i="1"/>
  <c r="AC242" i="1"/>
  <c r="AB242" i="1"/>
  <c r="Y242" i="1"/>
  <c r="AA242" i="1" s="1"/>
  <c r="W242" i="1"/>
  <c r="X242" i="1" s="1"/>
  <c r="T242" i="1"/>
  <c r="O242" i="1"/>
  <c r="J242" i="1"/>
  <c r="H242" i="1"/>
  <c r="I242" i="1" s="1"/>
  <c r="C242" i="1"/>
  <c r="B242" i="1"/>
  <c r="G242" i="1" s="1"/>
  <c r="A242" i="1" s="1"/>
  <c r="AD242" i="1" s="1"/>
  <c r="AF241" i="1"/>
  <c r="AC241" i="1"/>
  <c r="T241" i="1" s="1"/>
  <c r="AB241" i="1"/>
  <c r="Z241" i="1"/>
  <c r="Y241" i="1"/>
  <c r="AA241" i="1" s="1"/>
  <c r="W241" i="1"/>
  <c r="X241" i="1" s="1"/>
  <c r="O241" i="1"/>
  <c r="J241" i="1"/>
  <c r="I241" i="1"/>
  <c r="H241" i="1"/>
  <c r="C241" i="1"/>
  <c r="B241" i="1"/>
  <c r="G241" i="1" s="1"/>
  <c r="A241" i="1" s="1"/>
  <c r="AD241" i="1" s="1"/>
  <c r="AF240" i="1"/>
  <c r="AC240" i="1"/>
  <c r="AB240" i="1"/>
  <c r="Y240" i="1"/>
  <c r="AA240" i="1" s="1"/>
  <c r="W240" i="1"/>
  <c r="X240" i="1" s="1"/>
  <c r="T240" i="1"/>
  <c r="O240" i="1"/>
  <c r="J240" i="1"/>
  <c r="H240" i="1"/>
  <c r="I240" i="1" s="1"/>
  <c r="C240" i="1"/>
  <c r="B240" i="1"/>
  <c r="G240" i="1" s="1"/>
  <c r="A240" i="1" s="1"/>
  <c r="AD240" i="1" s="1"/>
  <c r="AF239" i="1"/>
  <c r="AC239" i="1"/>
  <c r="T239" i="1" s="1"/>
  <c r="AB239" i="1"/>
  <c r="Z239" i="1"/>
  <c r="Y239" i="1"/>
  <c r="AA239" i="1" s="1"/>
  <c r="W239" i="1"/>
  <c r="X239" i="1" s="1"/>
  <c r="O239" i="1"/>
  <c r="J239" i="1"/>
  <c r="I239" i="1"/>
  <c r="H239" i="1"/>
  <c r="C239" i="1"/>
  <c r="B239" i="1"/>
  <c r="G239" i="1" s="1"/>
  <c r="A239" i="1" s="1"/>
  <c r="AD239" i="1" s="1"/>
  <c r="AF238" i="1"/>
  <c r="AC238" i="1"/>
  <c r="AB238" i="1"/>
  <c r="Y238" i="1"/>
  <c r="AA238" i="1" s="1"/>
  <c r="W238" i="1"/>
  <c r="X238" i="1" s="1"/>
  <c r="T238" i="1"/>
  <c r="O238" i="1"/>
  <c r="J238" i="1"/>
  <c r="H238" i="1"/>
  <c r="I238" i="1" s="1"/>
  <c r="C238" i="1"/>
  <c r="B238" i="1"/>
  <c r="G238" i="1" s="1"/>
  <c r="A238" i="1" s="1"/>
  <c r="AD238" i="1" s="1"/>
  <c r="AF237" i="1"/>
  <c r="AC237" i="1"/>
  <c r="T237" i="1" s="1"/>
  <c r="AB237" i="1"/>
  <c r="Z237" i="1"/>
  <c r="Y237" i="1"/>
  <c r="AA237" i="1" s="1"/>
  <c r="W237" i="1"/>
  <c r="X237" i="1" s="1"/>
  <c r="O237" i="1"/>
  <c r="J237" i="1"/>
  <c r="I237" i="1"/>
  <c r="H237" i="1"/>
  <c r="C237" i="1"/>
  <c r="B237" i="1"/>
  <c r="G237" i="1" s="1"/>
  <c r="A237" i="1" s="1"/>
  <c r="AD237" i="1" s="1"/>
  <c r="AF236" i="1"/>
  <c r="AC236" i="1"/>
  <c r="T236" i="1" s="1"/>
  <c r="AB236" i="1"/>
  <c r="Z236" i="1"/>
  <c r="Y236" i="1"/>
  <c r="AA236" i="1" s="1"/>
  <c r="W236" i="1"/>
  <c r="X236" i="1" s="1"/>
  <c r="O236" i="1"/>
  <c r="J236" i="1"/>
  <c r="I236" i="1"/>
  <c r="H236" i="1"/>
  <c r="C236" i="1"/>
  <c r="B236" i="1"/>
  <c r="G236" i="1" s="1"/>
  <c r="A236" i="1" s="1"/>
  <c r="AD236" i="1" s="1"/>
  <c r="AF235" i="1"/>
  <c r="AC235" i="1"/>
  <c r="AB235" i="1"/>
  <c r="Y235" i="1"/>
  <c r="AA235" i="1" s="1"/>
  <c r="W235" i="1"/>
  <c r="X235" i="1" s="1"/>
  <c r="T235" i="1"/>
  <c r="O235" i="1"/>
  <c r="J235" i="1"/>
  <c r="H235" i="1"/>
  <c r="I235" i="1" s="1"/>
  <c r="C235" i="1"/>
  <c r="B235" i="1"/>
  <c r="G235" i="1" s="1"/>
  <c r="A235" i="1" s="1"/>
  <c r="AD235" i="1" s="1"/>
  <c r="AF234" i="1"/>
  <c r="AC234" i="1"/>
  <c r="T234" i="1" s="1"/>
  <c r="AB234" i="1"/>
  <c r="Z234" i="1"/>
  <c r="Y234" i="1"/>
  <c r="AA234" i="1" s="1"/>
  <c r="W234" i="1"/>
  <c r="X234" i="1" s="1"/>
  <c r="O234" i="1"/>
  <c r="J234" i="1"/>
  <c r="I234" i="1"/>
  <c r="H234" i="1"/>
  <c r="C234" i="1"/>
  <c r="B234" i="1"/>
  <c r="G234" i="1" s="1"/>
  <c r="A234" i="1" s="1"/>
  <c r="AD234" i="1" s="1"/>
  <c r="AF233" i="1"/>
  <c r="AC233" i="1"/>
  <c r="AB233" i="1"/>
  <c r="Y233" i="1"/>
  <c r="AA233" i="1" s="1"/>
  <c r="W233" i="1"/>
  <c r="X233" i="1" s="1"/>
  <c r="T233" i="1"/>
  <c r="O233" i="1"/>
  <c r="J233" i="1"/>
  <c r="H233" i="1"/>
  <c r="I233" i="1" s="1"/>
  <c r="C233" i="1"/>
  <c r="B233" i="1"/>
  <c r="G233" i="1" s="1"/>
  <c r="A233" i="1" s="1"/>
  <c r="AD233" i="1" s="1"/>
  <c r="AF232" i="1"/>
  <c r="AC232" i="1"/>
  <c r="T232" i="1" s="1"/>
  <c r="AB232" i="1"/>
  <c r="Z232" i="1"/>
  <c r="Y232" i="1"/>
  <c r="AA232" i="1" s="1"/>
  <c r="W232" i="1"/>
  <c r="X232" i="1" s="1"/>
  <c r="O232" i="1"/>
  <c r="J232" i="1"/>
  <c r="I232" i="1"/>
  <c r="H232" i="1"/>
  <c r="C232" i="1"/>
  <c r="B232" i="1"/>
  <c r="G232" i="1" s="1"/>
  <c r="A232" i="1" s="1"/>
  <c r="AD232" i="1" s="1"/>
  <c r="AF231" i="1"/>
  <c r="AC231" i="1"/>
  <c r="AB231" i="1"/>
  <c r="Y231" i="1"/>
  <c r="AA231" i="1" s="1"/>
  <c r="W231" i="1"/>
  <c r="X231" i="1" s="1"/>
  <c r="T231" i="1"/>
  <c r="O231" i="1"/>
  <c r="J231" i="1"/>
  <c r="H231" i="1"/>
  <c r="I231" i="1" s="1"/>
  <c r="C231" i="1"/>
  <c r="B231" i="1"/>
  <c r="G231" i="1" s="1"/>
  <c r="A231" i="1" s="1"/>
  <c r="AD231" i="1" s="1"/>
  <c r="AF230" i="1"/>
  <c r="AC230" i="1"/>
  <c r="T230" i="1" s="1"/>
  <c r="AB230" i="1"/>
  <c r="Z230" i="1"/>
  <c r="Y230" i="1"/>
  <c r="AA230" i="1" s="1"/>
  <c r="W230" i="1"/>
  <c r="X230" i="1" s="1"/>
  <c r="O230" i="1"/>
  <c r="J230" i="1"/>
  <c r="I230" i="1"/>
  <c r="H230" i="1"/>
  <c r="C230" i="1"/>
  <c r="B230" i="1"/>
  <c r="G230" i="1" s="1"/>
  <c r="A230" i="1" s="1"/>
  <c r="AD230" i="1" s="1"/>
  <c r="AF229" i="1"/>
  <c r="AC229" i="1"/>
  <c r="AB229" i="1"/>
  <c r="Y229" i="1"/>
  <c r="AA229" i="1" s="1"/>
  <c r="W229" i="1"/>
  <c r="X229" i="1" s="1"/>
  <c r="T229" i="1"/>
  <c r="O229" i="1"/>
  <c r="J229" i="1"/>
  <c r="H229" i="1"/>
  <c r="I229" i="1" s="1"/>
  <c r="C229" i="1"/>
  <c r="B229" i="1"/>
  <c r="G229" i="1" s="1"/>
  <c r="A229" i="1" s="1"/>
  <c r="AD229" i="1" s="1"/>
  <c r="AF228" i="1"/>
  <c r="AC228" i="1"/>
  <c r="T228" i="1" s="1"/>
  <c r="AB228" i="1"/>
  <c r="Z228" i="1"/>
  <c r="Y228" i="1"/>
  <c r="AA228" i="1" s="1"/>
  <c r="W228" i="1"/>
  <c r="X228" i="1" s="1"/>
  <c r="O228" i="1"/>
  <c r="J228" i="1"/>
  <c r="I228" i="1"/>
  <c r="H228" i="1"/>
  <c r="C228" i="1"/>
  <c r="B228" i="1"/>
  <c r="G228" i="1" s="1"/>
  <c r="A228" i="1" s="1"/>
  <c r="AD228" i="1" s="1"/>
  <c r="AF227" i="1"/>
  <c r="AC227" i="1"/>
  <c r="AB227" i="1"/>
  <c r="Y227" i="1"/>
  <c r="AA227" i="1" s="1"/>
  <c r="W227" i="1"/>
  <c r="X227" i="1" s="1"/>
  <c r="T227" i="1"/>
  <c r="O227" i="1"/>
  <c r="J227" i="1"/>
  <c r="H227" i="1"/>
  <c r="I227" i="1" s="1"/>
  <c r="C227" i="1"/>
  <c r="B227" i="1"/>
  <c r="G227" i="1" s="1"/>
  <c r="A227" i="1" s="1"/>
  <c r="AD227" i="1" s="1"/>
  <c r="AF226" i="1"/>
  <c r="AC226" i="1"/>
  <c r="T226" i="1" s="1"/>
  <c r="AB226" i="1"/>
  <c r="Z226" i="1"/>
  <c r="Y226" i="1"/>
  <c r="AA226" i="1" s="1"/>
  <c r="W226" i="1"/>
  <c r="X226" i="1" s="1"/>
  <c r="O226" i="1"/>
  <c r="J226" i="1"/>
  <c r="I226" i="1"/>
  <c r="H226" i="1"/>
  <c r="C226" i="1"/>
  <c r="B226" i="1"/>
  <c r="G226" i="1" s="1"/>
  <c r="A226" i="1" s="1"/>
  <c r="AD226" i="1" s="1"/>
  <c r="AF225" i="1"/>
  <c r="AC225" i="1"/>
  <c r="AB225" i="1"/>
  <c r="Y225" i="1"/>
  <c r="AA225" i="1" s="1"/>
  <c r="W225" i="1"/>
  <c r="X225" i="1" s="1"/>
  <c r="T225" i="1"/>
  <c r="O225" i="1"/>
  <c r="J225" i="1"/>
  <c r="H225" i="1"/>
  <c r="I225" i="1" s="1"/>
  <c r="C225" i="1"/>
  <c r="B225" i="1"/>
  <c r="G225" i="1" s="1"/>
  <c r="A225" i="1" s="1"/>
  <c r="AD225" i="1" s="1"/>
  <c r="AF224" i="1"/>
  <c r="AC224" i="1"/>
  <c r="T224" i="1" s="1"/>
  <c r="AB224" i="1"/>
  <c r="Z224" i="1"/>
  <c r="Y224" i="1"/>
  <c r="AA224" i="1" s="1"/>
  <c r="W224" i="1"/>
  <c r="X224" i="1" s="1"/>
  <c r="O224" i="1"/>
  <c r="J224" i="1"/>
  <c r="I224" i="1"/>
  <c r="H224" i="1"/>
  <c r="C224" i="1"/>
  <c r="B224" i="1"/>
  <c r="G224" i="1" s="1"/>
  <c r="A224" i="1" s="1"/>
  <c r="AD224" i="1" s="1"/>
  <c r="AF223" i="1"/>
  <c r="AC223" i="1"/>
  <c r="AB223" i="1"/>
  <c r="Y223" i="1"/>
  <c r="AA223" i="1" s="1"/>
  <c r="W223" i="1"/>
  <c r="X223" i="1" s="1"/>
  <c r="T223" i="1"/>
  <c r="O223" i="1"/>
  <c r="J223" i="1"/>
  <c r="H223" i="1"/>
  <c r="I223" i="1" s="1"/>
  <c r="C223" i="1"/>
  <c r="B223" i="1"/>
  <c r="G223" i="1" s="1"/>
  <c r="A223" i="1" s="1"/>
  <c r="AD223" i="1" s="1"/>
  <c r="AF222" i="1"/>
  <c r="AC222" i="1"/>
  <c r="T222" i="1" s="1"/>
  <c r="AB222" i="1"/>
  <c r="Z222" i="1"/>
  <c r="Y222" i="1"/>
  <c r="AA222" i="1" s="1"/>
  <c r="W222" i="1"/>
  <c r="X222" i="1" s="1"/>
  <c r="O222" i="1"/>
  <c r="J222" i="1"/>
  <c r="I222" i="1"/>
  <c r="H222" i="1"/>
  <c r="C222" i="1"/>
  <c r="B222" i="1"/>
  <c r="G222" i="1" s="1"/>
  <c r="A222" i="1" s="1"/>
  <c r="AD222" i="1" s="1"/>
  <c r="AF221" i="1"/>
  <c r="AC221" i="1"/>
  <c r="AB221" i="1"/>
  <c r="Y221" i="1"/>
  <c r="AA221" i="1" s="1"/>
  <c r="W221" i="1"/>
  <c r="X221" i="1" s="1"/>
  <c r="T221" i="1"/>
  <c r="O221" i="1"/>
  <c r="J221" i="1"/>
  <c r="H221" i="1"/>
  <c r="I221" i="1" s="1"/>
  <c r="C221" i="1"/>
  <c r="B221" i="1"/>
  <c r="G221" i="1" s="1"/>
  <c r="A221" i="1" s="1"/>
  <c r="AD221" i="1" s="1"/>
  <c r="AF220" i="1"/>
  <c r="AC220" i="1"/>
  <c r="T220" i="1" s="1"/>
  <c r="AB220" i="1"/>
  <c r="Z220" i="1"/>
  <c r="Y220" i="1"/>
  <c r="AA220" i="1" s="1"/>
  <c r="W220" i="1"/>
  <c r="X220" i="1" s="1"/>
  <c r="O220" i="1"/>
  <c r="J220" i="1"/>
  <c r="I220" i="1"/>
  <c r="H220" i="1"/>
  <c r="C220" i="1"/>
  <c r="B220" i="1"/>
  <c r="G220" i="1" s="1"/>
  <c r="A220" i="1" s="1"/>
  <c r="AD220" i="1" s="1"/>
  <c r="AF219" i="1"/>
  <c r="AC219" i="1"/>
  <c r="AB219" i="1"/>
  <c r="Y219" i="1"/>
  <c r="AA219" i="1" s="1"/>
  <c r="W219" i="1"/>
  <c r="X219" i="1" s="1"/>
  <c r="T219" i="1"/>
  <c r="O219" i="1"/>
  <c r="J219" i="1"/>
  <c r="H219" i="1"/>
  <c r="I219" i="1" s="1"/>
  <c r="C219" i="1"/>
  <c r="B219" i="1"/>
  <c r="G219" i="1" s="1"/>
  <c r="A219" i="1" s="1"/>
  <c r="AD219" i="1" s="1"/>
  <c r="AF218" i="1"/>
  <c r="AC218" i="1"/>
  <c r="T218" i="1" s="1"/>
  <c r="AB218" i="1"/>
  <c r="Z218" i="1"/>
  <c r="Y218" i="1"/>
  <c r="AA218" i="1" s="1"/>
  <c r="W218" i="1"/>
  <c r="X218" i="1" s="1"/>
  <c r="O218" i="1"/>
  <c r="J218" i="1"/>
  <c r="I218" i="1"/>
  <c r="H218" i="1"/>
  <c r="C218" i="1"/>
  <c r="B218" i="1"/>
  <c r="G218" i="1" s="1"/>
  <c r="A218" i="1" s="1"/>
  <c r="AD218" i="1" s="1"/>
  <c r="AF217" i="1"/>
  <c r="AC217" i="1"/>
  <c r="AB217" i="1"/>
  <c r="Y217" i="1"/>
  <c r="AA217" i="1" s="1"/>
  <c r="W217" i="1"/>
  <c r="X217" i="1" s="1"/>
  <c r="T217" i="1"/>
  <c r="O217" i="1"/>
  <c r="J217" i="1"/>
  <c r="H217" i="1"/>
  <c r="I217" i="1" s="1"/>
  <c r="C217" i="1"/>
  <c r="B217" i="1"/>
  <c r="G217" i="1" s="1"/>
  <c r="A217" i="1" s="1"/>
  <c r="AD217" i="1" s="1"/>
  <c r="AF216" i="1"/>
  <c r="AC216" i="1"/>
  <c r="T216" i="1" s="1"/>
  <c r="AB216" i="1"/>
  <c r="Z216" i="1"/>
  <c r="Y216" i="1"/>
  <c r="AA216" i="1" s="1"/>
  <c r="W216" i="1"/>
  <c r="X216" i="1" s="1"/>
  <c r="O216" i="1"/>
  <c r="J216" i="1"/>
  <c r="I216" i="1"/>
  <c r="H216" i="1"/>
  <c r="C216" i="1"/>
  <c r="B216" i="1"/>
  <c r="G216" i="1" s="1"/>
  <c r="A216" i="1" s="1"/>
  <c r="AD216" i="1" s="1"/>
  <c r="AF215" i="1"/>
  <c r="AC215" i="1"/>
  <c r="AB215" i="1"/>
  <c r="Y215" i="1"/>
  <c r="AA215" i="1" s="1"/>
  <c r="W215" i="1"/>
  <c r="X215" i="1" s="1"/>
  <c r="T215" i="1"/>
  <c r="O215" i="1"/>
  <c r="J215" i="1"/>
  <c r="H215" i="1"/>
  <c r="I215" i="1" s="1"/>
  <c r="C215" i="1"/>
  <c r="B215" i="1"/>
  <c r="G215" i="1" s="1"/>
  <c r="A215" i="1" s="1"/>
  <c r="AD215" i="1" s="1"/>
  <c r="AF214" i="1"/>
  <c r="AC214" i="1"/>
  <c r="T214" i="1" s="1"/>
  <c r="AB214" i="1"/>
  <c r="Z214" i="1"/>
  <c r="Y214" i="1"/>
  <c r="AA214" i="1" s="1"/>
  <c r="W214" i="1"/>
  <c r="X214" i="1" s="1"/>
  <c r="O214" i="1"/>
  <c r="J214" i="1"/>
  <c r="I214" i="1"/>
  <c r="H214" i="1"/>
  <c r="C214" i="1"/>
  <c r="B214" i="1"/>
  <c r="G214" i="1" s="1"/>
  <c r="A214" i="1" s="1"/>
  <c r="AD214" i="1" s="1"/>
  <c r="AF213" i="1"/>
  <c r="AC213" i="1"/>
  <c r="AB213" i="1"/>
  <c r="Y213" i="1"/>
  <c r="AA213" i="1" s="1"/>
  <c r="W213" i="1"/>
  <c r="X213" i="1" s="1"/>
  <c r="T213" i="1"/>
  <c r="O213" i="1"/>
  <c r="J213" i="1"/>
  <c r="H213" i="1"/>
  <c r="I213" i="1" s="1"/>
  <c r="C213" i="1"/>
  <c r="B213" i="1"/>
  <c r="G213" i="1" s="1"/>
  <c r="A213" i="1" s="1"/>
  <c r="AD213" i="1" s="1"/>
  <c r="AF212" i="1"/>
  <c r="AC212" i="1"/>
  <c r="T212" i="1" s="1"/>
  <c r="AB212" i="1"/>
  <c r="Z212" i="1"/>
  <c r="Y212" i="1"/>
  <c r="AA212" i="1" s="1"/>
  <c r="W212" i="1"/>
  <c r="X212" i="1" s="1"/>
  <c r="O212" i="1"/>
  <c r="J212" i="1"/>
  <c r="I212" i="1"/>
  <c r="H212" i="1"/>
  <c r="C212" i="1"/>
  <c r="B212" i="1"/>
  <c r="G212" i="1" s="1"/>
  <c r="A212" i="1" s="1"/>
  <c r="AD212" i="1" s="1"/>
  <c r="AF211" i="1"/>
  <c r="AC211" i="1"/>
  <c r="AB211" i="1"/>
  <c r="Y211" i="1"/>
  <c r="AA211" i="1" s="1"/>
  <c r="W211" i="1"/>
  <c r="X211" i="1" s="1"/>
  <c r="T211" i="1"/>
  <c r="O211" i="1"/>
  <c r="J211" i="1"/>
  <c r="H211" i="1"/>
  <c r="I211" i="1" s="1"/>
  <c r="C211" i="1"/>
  <c r="B211" i="1"/>
  <c r="G211" i="1" s="1"/>
  <c r="A211" i="1" s="1"/>
  <c r="AD211" i="1" s="1"/>
  <c r="AF210" i="1"/>
  <c r="AC210" i="1"/>
  <c r="T210" i="1" s="1"/>
  <c r="AB210" i="1"/>
  <c r="Z210" i="1"/>
  <c r="Y210" i="1"/>
  <c r="AA210" i="1" s="1"/>
  <c r="W210" i="1"/>
  <c r="X210" i="1" s="1"/>
  <c r="O210" i="1"/>
  <c r="J210" i="1"/>
  <c r="I210" i="1"/>
  <c r="H210" i="1"/>
  <c r="C210" i="1"/>
  <c r="B210" i="1"/>
  <c r="G210" i="1" s="1"/>
  <c r="A210" i="1" s="1"/>
  <c r="AD210" i="1" s="1"/>
  <c r="AF209" i="1"/>
  <c r="AC209" i="1"/>
  <c r="AB209" i="1"/>
  <c r="Y209" i="1"/>
  <c r="AA209" i="1" s="1"/>
  <c r="W209" i="1"/>
  <c r="X209" i="1" s="1"/>
  <c r="T209" i="1"/>
  <c r="O209" i="1"/>
  <c r="J209" i="1"/>
  <c r="H209" i="1"/>
  <c r="I209" i="1" s="1"/>
  <c r="C209" i="1"/>
  <c r="B209" i="1"/>
  <c r="G209" i="1" s="1"/>
  <c r="A209" i="1" s="1"/>
  <c r="AD209" i="1" s="1"/>
  <c r="AF208" i="1"/>
  <c r="AC208" i="1"/>
  <c r="T208" i="1" s="1"/>
  <c r="AB208" i="1"/>
  <c r="Z208" i="1"/>
  <c r="Y208" i="1"/>
  <c r="AA208" i="1" s="1"/>
  <c r="W208" i="1"/>
  <c r="X208" i="1" s="1"/>
  <c r="O208" i="1"/>
  <c r="J208" i="1"/>
  <c r="I208" i="1"/>
  <c r="H208" i="1"/>
  <c r="C208" i="1"/>
  <c r="B208" i="1"/>
  <c r="G208" i="1" s="1"/>
  <c r="A208" i="1" s="1"/>
  <c r="AD208" i="1" s="1"/>
  <c r="AF207" i="1"/>
  <c r="AC207" i="1"/>
  <c r="AB207" i="1"/>
  <c r="Y207" i="1"/>
  <c r="AA207" i="1" s="1"/>
  <c r="W207" i="1"/>
  <c r="X207" i="1" s="1"/>
  <c r="T207" i="1"/>
  <c r="O207" i="1"/>
  <c r="J207" i="1"/>
  <c r="H207" i="1"/>
  <c r="I207" i="1" s="1"/>
  <c r="C207" i="1"/>
  <c r="B207" i="1"/>
  <c r="G207" i="1" s="1"/>
  <c r="A207" i="1" s="1"/>
  <c r="AD207" i="1" s="1"/>
  <c r="AF206" i="1"/>
  <c r="AC206" i="1"/>
  <c r="T206" i="1" s="1"/>
  <c r="AB206" i="1"/>
  <c r="Z206" i="1"/>
  <c r="Y206" i="1"/>
  <c r="AA206" i="1" s="1"/>
  <c r="W206" i="1"/>
  <c r="X206" i="1" s="1"/>
  <c r="O206" i="1"/>
  <c r="J206" i="1"/>
  <c r="I206" i="1"/>
  <c r="H206" i="1"/>
  <c r="C206" i="1"/>
  <c r="B206" i="1"/>
  <c r="G206" i="1" s="1"/>
  <c r="A206" i="1" s="1"/>
  <c r="AD206" i="1" s="1"/>
  <c r="AF205" i="1"/>
  <c r="AC205" i="1"/>
  <c r="AB205" i="1"/>
  <c r="Y205" i="1"/>
  <c r="AA205" i="1" s="1"/>
  <c r="W205" i="1"/>
  <c r="X205" i="1" s="1"/>
  <c r="T205" i="1"/>
  <c r="O205" i="1"/>
  <c r="J205" i="1"/>
  <c r="H205" i="1"/>
  <c r="I205" i="1" s="1"/>
  <c r="C205" i="1"/>
  <c r="B205" i="1"/>
  <c r="G205" i="1" s="1"/>
  <c r="A205" i="1" s="1"/>
  <c r="AD205" i="1" s="1"/>
  <c r="AF204" i="1"/>
  <c r="AC204" i="1"/>
  <c r="T204" i="1" s="1"/>
  <c r="AB204" i="1"/>
  <c r="Z204" i="1"/>
  <c r="Y204" i="1"/>
  <c r="AA204" i="1" s="1"/>
  <c r="W204" i="1"/>
  <c r="X204" i="1" s="1"/>
  <c r="O204" i="1"/>
  <c r="J204" i="1"/>
  <c r="I204" i="1"/>
  <c r="H204" i="1"/>
  <c r="C204" i="1"/>
  <c r="B204" i="1"/>
  <c r="G204" i="1" s="1"/>
  <c r="A204" i="1" s="1"/>
  <c r="AD204" i="1" s="1"/>
  <c r="AF203" i="1"/>
  <c r="AC203" i="1"/>
  <c r="AB203" i="1"/>
  <c r="Y203" i="1"/>
  <c r="W203" i="1"/>
  <c r="X203" i="1" s="1"/>
  <c r="T203" i="1"/>
  <c r="O203" i="1"/>
  <c r="J203" i="1"/>
  <c r="H203" i="1"/>
  <c r="I203" i="1" s="1"/>
  <c r="C203" i="1"/>
  <c r="B203" i="1"/>
  <c r="G203" i="1" s="1"/>
  <c r="A203" i="1" s="1"/>
  <c r="AD203" i="1" s="1"/>
  <c r="AF202" i="1"/>
  <c r="AC202" i="1"/>
  <c r="T202" i="1" s="1"/>
  <c r="AB202" i="1"/>
  <c r="Z202" i="1"/>
  <c r="Y202" i="1"/>
  <c r="AA202" i="1" s="1"/>
  <c r="W202" i="1"/>
  <c r="X202" i="1" s="1"/>
  <c r="O202" i="1"/>
  <c r="J202" i="1"/>
  <c r="I202" i="1"/>
  <c r="H202" i="1"/>
  <c r="C202" i="1"/>
  <c r="B202" i="1"/>
  <c r="G202" i="1" s="1"/>
  <c r="A202" i="1" s="1"/>
  <c r="AD202" i="1" s="1"/>
  <c r="AF201" i="1"/>
  <c r="AC201" i="1"/>
  <c r="AB201" i="1"/>
  <c r="Y201" i="1"/>
  <c r="W201" i="1"/>
  <c r="X201" i="1" s="1"/>
  <c r="T201" i="1"/>
  <c r="O201" i="1"/>
  <c r="J201" i="1"/>
  <c r="H201" i="1"/>
  <c r="I201" i="1" s="1"/>
  <c r="C201" i="1"/>
  <c r="B201" i="1"/>
  <c r="G201" i="1" s="1"/>
  <c r="A201" i="1" s="1"/>
  <c r="AD201" i="1" s="1"/>
  <c r="AF200" i="1"/>
  <c r="AC200" i="1"/>
  <c r="T200" i="1" s="1"/>
  <c r="AB200" i="1"/>
  <c r="Z200" i="1"/>
  <c r="Y200" i="1"/>
  <c r="AA200" i="1" s="1"/>
  <c r="W200" i="1"/>
  <c r="X200" i="1" s="1"/>
  <c r="O200" i="1"/>
  <c r="J200" i="1"/>
  <c r="I200" i="1"/>
  <c r="H200" i="1"/>
  <c r="C200" i="1"/>
  <c r="B200" i="1"/>
  <c r="G200" i="1" s="1"/>
  <c r="A200" i="1" s="1"/>
  <c r="AD200" i="1" s="1"/>
  <c r="AF199" i="1"/>
  <c r="AC199" i="1"/>
  <c r="AB199" i="1"/>
  <c r="Y199" i="1"/>
  <c r="W199" i="1"/>
  <c r="X199" i="1" s="1"/>
  <c r="T199" i="1"/>
  <c r="O199" i="1"/>
  <c r="J199" i="1"/>
  <c r="H199" i="1"/>
  <c r="I199" i="1" s="1"/>
  <c r="C199" i="1"/>
  <c r="B199" i="1"/>
  <c r="G199" i="1" s="1"/>
  <c r="A199" i="1" s="1"/>
  <c r="AD199" i="1" s="1"/>
  <c r="AF198" i="1"/>
  <c r="AC198" i="1"/>
  <c r="T198" i="1" s="1"/>
  <c r="AB198" i="1"/>
  <c r="Z198" i="1"/>
  <c r="Y198" i="1"/>
  <c r="AA198" i="1" s="1"/>
  <c r="W198" i="1"/>
  <c r="X198" i="1" s="1"/>
  <c r="O198" i="1"/>
  <c r="J198" i="1"/>
  <c r="I198" i="1"/>
  <c r="H198" i="1"/>
  <c r="C198" i="1"/>
  <c r="B198" i="1"/>
  <c r="G198" i="1" s="1"/>
  <c r="A198" i="1" s="1"/>
  <c r="AD198" i="1" s="1"/>
  <c r="AF197" i="1"/>
  <c r="AC197" i="1"/>
  <c r="AB197" i="1"/>
  <c r="Y197" i="1"/>
  <c r="W197" i="1"/>
  <c r="X197" i="1" s="1"/>
  <c r="T197" i="1"/>
  <c r="O197" i="1"/>
  <c r="J197" i="1"/>
  <c r="H197" i="1"/>
  <c r="I197" i="1" s="1"/>
  <c r="C197" i="1"/>
  <c r="B197" i="1"/>
  <c r="G197" i="1" s="1"/>
  <c r="A197" i="1" s="1"/>
  <c r="AD197" i="1" s="1"/>
  <c r="AF196" i="1"/>
  <c r="AC196" i="1"/>
  <c r="T196" i="1" s="1"/>
  <c r="AB196" i="1"/>
  <c r="Z196" i="1"/>
  <c r="Y196" i="1"/>
  <c r="AA196" i="1" s="1"/>
  <c r="W196" i="1"/>
  <c r="X196" i="1" s="1"/>
  <c r="O196" i="1"/>
  <c r="J196" i="1"/>
  <c r="I196" i="1"/>
  <c r="H196" i="1"/>
  <c r="C196" i="1"/>
  <c r="B196" i="1"/>
  <c r="G196" i="1" s="1"/>
  <c r="A196" i="1" s="1"/>
  <c r="AD196" i="1" s="1"/>
  <c r="AF195" i="1"/>
  <c r="AC195" i="1"/>
  <c r="AB195" i="1"/>
  <c r="Y195" i="1"/>
  <c r="W195" i="1"/>
  <c r="X195" i="1" s="1"/>
  <c r="T195" i="1"/>
  <c r="O195" i="1"/>
  <c r="J195" i="1"/>
  <c r="H195" i="1"/>
  <c r="I195" i="1" s="1"/>
  <c r="C195" i="1"/>
  <c r="B195" i="1"/>
  <c r="G195" i="1" s="1"/>
  <c r="A195" i="1" s="1"/>
  <c r="AD195" i="1" s="1"/>
  <c r="AF194" i="1"/>
  <c r="AC194" i="1"/>
  <c r="T194" i="1" s="1"/>
  <c r="AB194" i="1"/>
  <c r="Z194" i="1"/>
  <c r="Y194" i="1"/>
  <c r="AA194" i="1" s="1"/>
  <c r="W194" i="1"/>
  <c r="X194" i="1" s="1"/>
  <c r="O194" i="1"/>
  <c r="J194" i="1"/>
  <c r="I194" i="1"/>
  <c r="H194" i="1"/>
  <c r="C194" i="1"/>
  <c r="B194" i="1"/>
  <c r="G194" i="1" s="1"/>
  <c r="A194" i="1" s="1"/>
  <c r="AD194" i="1" s="1"/>
  <c r="AF193" i="1"/>
  <c r="AC193" i="1"/>
  <c r="AB193" i="1"/>
  <c r="Y193" i="1"/>
  <c r="W193" i="1"/>
  <c r="X193" i="1" s="1"/>
  <c r="T193" i="1"/>
  <c r="O193" i="1"/>
  <c r="J193" i="1"/>
  <c r="H193" i="1"/>
  <c r="I193" i="1" s="1"/>
  <c r="C193" i="1"/>
  <c r="B193" i="1"/>
  <c r="G193" i="1" s="1"/>
  <c r="A193" i="1" s="1"/>
  <c r="AD193" i="1" s="1"/>
  <c r="AF192" i="1"/>
  <c r="AC192" i="1"/>
  <c r="T192" i="1" s="1"/>
  <c r="AB192" i="1"/>
  <c r="Z192" i="1"/>
  <c r="Y192" i="1"/>
  <c r="AA192" i="1" s="1"/>
  <c r="W192" i="1"/>
  <c r="X192" i="1" s="1"/>
  <c r="O192" i="1"/>
  <c r="J192" i="1"/>
  <c r="I192" i="1"/>
  <c r="H192" i="1"/>
  <c r="C192" i="1"/>
  <c r="B192" i="1"/>
  <c r="G192" i="1" s="1"/>
  <c r="A192" i="1" s="1"/>
  <c r="AD192" i="1" s="1"/>
  <c r="AF191" i="1"/>
  <c r="AC191" i="1"/>
  <c r="AB191" i="1"/>
  <c r="Y191" i="1"/>
  <c r="W191" i="1"/>
  <c r="X191" i="1" s="1"/>
  <c r="T191" i="1"/>
  <c r="O191" i="1"/>
  <c r="J191" i="1"/>
  <c r="H191" i="1"/>
  <c r="I191" i="1" s="1"/>
  <c r="C191" i="1"/>
  <c r="B191" i="1"/>
  <c r="G191" i="1" s="1"/>
  <c r="A191" i="1" s="1"/>
  <c r="AD191" i="1" s="1"/>
  <c r="AF190" i="1"/>
  <c r="AC190" i="1"/>
  <c r="T190" i="1" s="1"/>
  <c r="AB190" i="1"/>
  <c r="Z190" i="1"/>
  <c r="Y190" i="1"/>
  <c r="AA190" i="1" s="1"/>
  <c r="W190" i="1"/>
  <c r="X190" i="1" s="1"/>
  <c r="O190" i="1"/>
  <c r="J190" i="1"/>
  <c r="I190" i="1"/>
  <c r="H190" i="1"/>
  <c r="C190" i="1"/>
  <c r="B190" i="1"/>
  <c r="G190" i="1" s="1"/>
  <c r="A190" i="1" s="1"/>
  <c r="AD190" i="1" s="1"/>
  <c r="AF189" i="1"/>
  <c r="AC189" i="1"/>
  <c r="AB189" i="1"/>
  <c r="Y189" i="1"/>
  <c r="W189" i="1"/>
  <c r="X189" i="1" s="1"/>
  <c r="T189" i="1"/>
  <c r="O189" i="1"/>
  <c r="J189" i="1"/>
  <c r="H189" i="1"/>
  <c r="I189" i="1" s="1"/>
  <c r="C189" i="1"/>
  <c r="B189" i="1"/>
  <c r="G189" i="1" s="1"/>
  <c r="A189" i="1" s="1"/>
  <c r="AD189" i="1" s="1"/>
  <c r="AF188" i="1"/>
  <c r="AC188" i="1"/>
  <c r="T188" i="1" s="1"/>
  <c r="AB188" i="1"/>
  <c r="Z188" i="1"/>
  <c r="Y188" i="1"/>
  <c r="AA188" i="1" s="1"/>
  <c r="W188" i="1"/>
  <c r="X188" i="1" s="1"/>
  <c r="O188" i="1"/>
  <c r="J188" i="1"/>
  <c r="I188" i="1"/>
  <c r="H188" i="1"/>
  <c r="C188" i="1"/>
  <c r="B188" i="1"/>
  <c r="G188" i="1" s="1"/>
  <c r="A188" i="1" s="1"/>
  <c r="AD188" i="1" s="1"/>
  <c r="AF187" i="1"/>
  <c r="AC187" i="1"/>
  <c r="AB187" i="1"/>
  <c r="Y187" i="1"/>
  <c r="W187" i="1"/>
  <c r="X187" i="1" s="1"/>
  <c r="T187" i="1"/>
  <c r="O187" i="1"/>
  <c r="J187" i="1"/>
  <c r="H187" i="1"/>
  <c r="I187" i="1" s="1"/>
  <c r="C187" i="1"/>
  <c r="B187" i="1"/>
  <c r="G187" i="1" s="1"/>
  <c r="A187" i="1" s="1"/>
  <c r="AD187" i="1" s="1"/>
  <c r="AF186" i="1"/>
  <c r="AC186" i="1"/>
  <c r="T186" i="1" s="1"/>
  <c r="AB186" i="1"/>
  <c r="Z186" i="1"/>
  <c r="Y186" i="1"/>
  <c r="AA186" i="1" s="1"/>
  <c r="W186" i="1"/>
  <c r="X186" i="1" s="1"/>
  <c r="O186" i="1"/>
  <c r="J186" i="1"/>
  <c r="I186" i="1"/>
  <c r="H186" i="1"/>
  <c r="C186" i="1"/>
  <c r="B186" i="1"/>
  <c r="G186" i="1" s="1"/>
  <c r="A186" i="1" s="1"/>
  <c r="AD186" i="1" s="1"/>
  <c r="AF185" i="1"/>
  <c r="AC185" i="1"/>
  <c r="AB185" i="1"/>
  <c r="Y185" i="1"/>
  <c r="W185" i="1"/>
  <c r="X185" i="1" s="1"/>
  <c r="T185" i="1"/>
  <c r="O185" i="1"/>
  <c r="J185" i="1"/>
  <c r="H185" i="1"/>
  <c r="I185" i="1" s="1"/>
  <c r="C185" i="1"/>
  <c r="B185" i="1"/>
  <c r="G185" i="1" s="1"/>
  <c r="A185" i="1" s="1"/>
  <c r="AD185" i="1" s="1"/>
  <c r="AF184" i="1"/>
  <c r="AC184" i="1"/>
  <c r="T184" i="1" s="1"/>
  <c r="AB184" i="1"/>
  <c r="Z184" i="1"/>
  <c r="Y184" i="1"/>
  <c r="AA184" i="1" s="1"/>
  <c r="W184" i="1"/>
  <c r="X184" i="1" s="1"/>
  <c r="O184" i="1"/>
  <c r="J184" i="1"/>
  <c r="I184" i="1"/>
  <c r="H184" i="1"/>
  <c r="C184" i="1"/>
  <c r="B184" i="1"/>
  <c r="G184" i="1" s="1"/>
  <c r="A184" i="1" s="1"/>
  <c r="AD184" i="1" s="1"/>
  <c r="AF183" i="1"/>
  <c r="AC183" i="1"/>
  <c r="AB183" i="1"/>
  <c r="Y183" i="1"/>
  <c r="W183" i="1"/>
  <c r="X183" i="1" s="1"/>
  <c r="T183" i="1"/>
  <c r="O183" i="1"/>
  <c r="J183" i="1"/>
  <c r="H183" i="1"/>
  <c r="I183" i="1" s="1"/>
  <c r="C183" i="1"/>
  <c r="B183" i="1"/>
  <c r="G183" i="1" s="1"/>
  <c r="A183" i="1" s="1"/>
  <c r="AD183" i="1" s="1"/>
  <c r="AF182" i="1"/>
  <c r="AC182" i="1"/>
  <c r="T182" i="1" s="1"/>
  <c r="AB182" i="1"/>
  <c r="Z182" i="1"/>
  <c r="Y182" i="1"/>
  <c r="AA182" i="1" s="1"/>
  <c r="W182" i="1"/>
  <c r="X182" i="1" s="1"/>
  <c r="O182" i="1"/>
  <c r="J182" i="1"/>
  <c r="I182" i="1"/>
  <c r="H182" i="1"/>
  <c r="C182" i="1"/>
  <c r="B182" i="1"/>
  <c r="G182" i="1" s="1"/>
  <c r="A182" i="1" s="1"/>
  <c r="AD182" i="1" s="1"/>
  <c r="AF181" i="1"/>
  <c r="AC181" i="1"/>
  <c r="AB181" i="1"/>
  <c r="Y181" i="1"/>
  <c r="AA181" i="1" s="1"/>
  <c r="W181" i="1"/>
  <c r="X181" i="1" s="1"/>
  <c r="T181" i="1"/>
  <c r="O181" i="1"/>
  <c r="J181" i="1"/>
  <c r="H181" i="1"/>
  <c r="I181" i="1" s="1"/>
  <c r="C181" i="1"/>
  <c r="B181" i="1"/>
  <c r="G181" i="1" s="1"/>
  <c r="A181" i="1" s="1"/>
  <c r="AD181" i="1" s="1"/>
  <c r="AF180" i="1"/>
  <c r="AC180" i="1"/>
  <c r="T180" i="1" s="1"/>
  <c r="AB180" i="1"/>
  <c r="Z180" i="1"/>
  <c r="Y180" i="1"/>
  <c r="AA180" i="1" s="1"/>
  <c r="W180" i="1"/>
  <c r="X180" i="1" s="1"/>
  <c r="O180" i="1"/>
  <c r="J180" i="1"/>
  <c r="I180" i="1"/>
  <c r="H180" i="1"/>
  <c r="C180" i="1"/>
  <c r="B180" i="1"/>
  <c r="G180" i="1" s="1"/>
  <c r="A180" i="1" s="1"/>
  <c r="AD180" i="1" s="1"/>
  <c r="AF179" i="1"/>
  <c r="AC179" i="1"/>
  <c r="AB179" i="1"/>
  <c r="Y179" i="1"/>
  <c r="AA179" i="1" s="1"/>
  <c r="W179" i="1"/>
  <c r="X179" i="1" s="1"/>
  <c r="T179" i="1"/>
  <c r="O179" i="1"/>
  <c r="J179" i="1"/>
  <c r="H179" i="1"/>
  <c r="I179" i="1" s="1"/>
  <c r="C179" i="1"/>
  <c r="B179" i="1"/>
  <c r="G179" i="1" s="1"/>
  <c r="A179" i="1" s="1"/>
  <c r="AD179" i="1" s="1"/>
  <c r="AF178" i="1"/>
  <c r="AC178" i="1"/>
  <c r="T178" i="1" s="1"/>
  <c r="AB178" i="1"/>
  <c r="Z178" i="1"/>
  <c r="Y178" i="1"/>
  <c r="AA178" i="1" s="1"/>
  <c r="W178" i="1"/>
  <c r="X178" i="1" s="1"/>
  <c r="O178" i="1"/>
  <c r="J178" i="1"/>
  <c r="I178" i="1"/>
  <c r="H178" i="1"/>
  <c r="C178" i="1"/>
  <c r="B178" i="1"/>
  <c r="G178" i="1" s="1"/>
  <c r="A178" i="1" s="1"/>
  <c r="AD178" i="1" s="1"/>
  <c r="AF177" i="1"/>
  <c r="AC177" i="1"/>
  <c r="AB177" i="1"/>
  <c r="Y177" i="1"/>
  <c r="AA177" i="1" s="1"/>
  <c r="W177" i="1"/>
  <c r="X177" i="1" s="1"/>
  <c r="T177" i="1"/>
  <c r="O177" i="1"/>
  <c r="J177" i="1"/>
  <c r="H177" i="1"/>
  <c r="I177" i="1" s="1"/>
  <c r="C177" i="1"/>
  <c r="B177" i="1"/>
  <c r="G177" i="1" s="1"/>
  <c r="A177" i="1" s="1"/>
  <c r="AD177" i="1" s="1"/>
  <c r="AF176" i="1"/>
  <c r="AC176" i="1"/>
  <c r="T176" i="1" s="1"/>
  <c r="AB176" i="1"/>
  <c r="Z176" i="1"/>
  <c r="Y176" i="1"/>
  <c r="AA176" i="1" s="1"/>
  <c r="W176" i="1"/>
  <c r="X176" i="1" s="1"/>
  <c r="O176" i="1"/>
  <c r="J176" i="1"/>
  <c r="I176" i="1"/>
  <c r="H176" i="1"/>
  <c r="C176" i="1"/>
  <c r="B176" i="1"/>
  <c r="G176" i="1" s="1"/>
  <c r="A176" i="1" s="1"/>
  <c r="AD176" i="1" s="1"/>
  <c r="AF175" i="1"/>
  <c r="AC175" i="1"/>
  <c r="AB175" i="1"/>
  <c r="Y175" i="1"/>
  <c r="AA175" i="1" s="1"/>
  <c r="W175" i="1"/>
  <c r="X175" i="1" s="1"/>
  <c r="T175" i="1"/>
  <c r="O175" i="1"/>
  <c r="J175" i="1"/>
  <c r="H175" i="1"/>
  <c r="I175" i="1" s="1"/>
  <c r="C175" i="1"/>
  <c r="B175" i="1"/>
  <c r="G175" i="1" s="1"/>
  <c r="A175" i="1" s="1"/>
  <c r="AD175" i="1" s="1"/>
  <c r="AF174" i="1"/>
  <c r="AC174" i="1"/>
  <c r="T174" i="1" s="1"/>
  <c r="AB174" i="1"/>
  <c r="Z174" i="1"/>
  <c r="Y174" i="1"/>
  <c r="AA174" i="1" s="1"/>
  <c r="W174" i="1"/>
  <c r="X174" i="1" s="1"/>
  <c r="O174" i="1"/>
  <c r="J174" i="1"/>
  <c r="I174" i="1"/>
  <c r="H174" i="1"/>
  <c r="C174" i="1"/>
  <c r="B174" i="1"/>
  <c r="G174" i="1" s="1"/>
  <c r="A174" i="1" s="1"/>
  <c r="AD174" i="1" s="1"/>
  <c r="AF173" i="1"/>
  <c r="AC173" i="1"/>
  <c r="AB173" i="1"/>
  <c r="Y173" i="1"/>
  <c r="AA173" i="1" s="1"/>
  <c r="W173" i="1"/>
  <c r="X173" i="1" s="1"/>
  <c r="T173" i="1"/>
  <c r="O173" i="1"/>
  <c r="J173" i="1"/>
  <c r="H173" i="1"/>
  <c r="I173" i="1" s="1"/>
  <c r="C173" i="1"/>
  <c r="B173" i="1"/>
  <c r="G173" i="1" s="1"/>
  <c r="A173" i="1" s="1"/>
  <c r="AD173" i="1" s="1"/>
  <c r="AF172" i="1"/>
  <c r="AC172" i="1"/>
  <c r="T172" i="1" s="1"/>
  <c r="AB172" i="1"/>
  <c r="Z172" i="1"/>
  <c r="Y172" i="1"/>
  <c r="AA172" i="1" s="1"/>
  <c r="W172" i="1"/>
  <c r="X172" i="1" s="1"/>
  <c r="O172" i="1"/>
  <c r="J172" i="1"/>
  <c r="I172" i="1"/>
  <c r="H172" i="1"/>
  <c r="C172" i="1"/>
  <c r="B172" i="1"/>
  <c r="G172" i="1" s="1"/>
  <c r="A172" i="1" s="1"/>
  <c r="AD172" i="1" s="1"/>
  <c r="AF171" i="1"/>
  <c r="AC171" i="1"/>
  <c r="AB171" i="1"/>
  <c r="Y171" i="1"/>
  <c r="AA171" i="1" s="1"/>
  <c r="W171" i="1"/>
  <c r="X171" i="1" s="1"/>
  <c r="T171" i="1"/>
  <c r="O171" i="1"/>
  <c r="J171" i="1"/>
  <c r="H171" i="1"/>
  <c r="I171" i="1" s="1"/>
  <c r="C171" i="1"/>
  <c r="B171" i="1"/>
  <c r="G171" i="1" s="1"/>
  <c r="A171" i="1" s="1"/>
  <c r="AD171" i="1" s="1"/>
  <c r="AF170" i="1"/>
  <c r="AC170" i="1"/>
  <c r="T170" i="1" s="1"/>
  <c r="AB170" i="1"/>
  <c r="Z170" i="1"/>
  <c r="Y170" i="1"/>
  <c r="AA170" i="1" s="1"/>
  <c r="W170" i="1"/>
  <c r="X170" i="1" s="1"/>
  <c r="O170" i="1"/>
  <c r="J170" i="1"/>
  <c r="I170" i="1"/>
  <c r="H170" i="1"/>
  <c r="C170" i="1"/>
  <c r="B170" i="1"/>
  <c r="G170" i="1" s="1"/>
  <c r="A170" i="1" s="1"/>
  <c r="AD170" i="1" s="1"/>
  <c r="AF169" i="1"/>
  <c r="AC169" i="1"/>
  <c r="AB169" i="1"/>
  <c r="Y169" i="1"/>
  <c r="AA169" i="1" s="1"/>
  <c r="W169" i="1"/>
  <c r="X169" i="1" s="1"/>
  <c r="T169" i="1"/>
  <c r="O169" i="1"/>
  <c r="J169" i="1"/>
  <c r="H169" i="1"/>
  <c r="I169" i="1" s="1"/>
  <c r="C169" i="1"/>
  <c r="B169" i="1"/>
  <c r="G169" i="1" s="1"/>
  <c r="A169" i="1" s="1"/>
  <c r="AD169" i="1" s="1"/>
  <c r="AF168" i="1"/>
  <c r="AC168" i="1"/>
  <c r="T168" i="1" s="1"/>
  <c r="AB168" i="1"/>
  <c r="Z168" i="1"/>
  <c r="Y168" i="1"/>
  <c r="AA168" i="1" s="1"/>
  <c r="W168" i="1"/>
  <c r="X168" i="1" s="1"/>
  <c r="O168" i="1"/>
  <c r="J168" i="1"/>
  <c r="I168" i="1"/>
  <c r="H168" i="1"/>
  <c r="C168" i="1"/>
  <c r="B168" i="1"/>
  <c r="G168" i="1" s="1"/>
  <c r="A168" i="1" s="1"/>
  <c r="AD168" i="1" s="1"/>
  <c r="AF167" i="1"/>
  <c r="AC167" i="1"/>
  <c r="AB167" i="1"/>
  <c r="Y167" i="1"/>
  <c r="AA167" i="1" s="1"/>
  <c r="W167" i="1"/>
  <c r="X167" i="1" s="1"/>
  <c r="T167" i="1"/>
  <c r="O167" i="1"/>
  <c r="J167" i="1"/>
  <c r="H167" i="1"/>
  <c r="I167" i="1" s="1"/>
  <c r="C167" i="1"/>
  <c r="B167" i="1"/>
  <c r="G167" i="1" s="1"/>
  <c r="A167" i="1" s="1"/>
  <c r="AD167" i="1" s="1"/>
  <c r="AF166" i="1"/>
  <c r="AC166" i="1"/>
  <c r="T166" i="1" s="1"/>
  <c r="AB166" i="1"/>
  <c r="Z166" i="1"/>
  <c r="Y166" i="1"/>
  <c r="AA166" i="1" s="1"/>
  <c r="W166" i="1"/>
  <c r="X166" i="1" s="1"/>
  <c r="O166" i="1"/>
  <c r="J166" i="1"/>
  <c r="I166" i="1"/>
  <c r="H166" i="1"/>
  <c r="C166" i="1"/>
  <c r="B166" i="1"/>
  <c r="G166" i="1" s="1"/>
  <c r="A166" i="1" s="1"/>
  <c r="AD166" i="1" s="1"/>
  <c r="AF165" i="1"/>
  <c r="AC165" i="1"/>
  <c r="AB165" i="1"/>
  <c r="Y165" i="1"/>
  <c r="AA165" i="1" s="1"/>
  <c r="W165" i="1"/>
  <c r="X165" i="1" s="1"/>
  <c r="T165" i="1"/>
  <c r="O165" i="1"/>
  <c r="J165" i="1"/>
  <c r="H165" i="1"/>
  <c r="I165" i="1" s="1"/>
  <c r="C165" i="1"/>
  <c r="B165" i="1"/>
  <c r="G165" i="1" s="1"/>
  <c r="A165" i="1" s="1"/>
  <c r="AD165" i="1" s="1"/>
  <c r="AF164" i="1"/>
  <c r="AC164" i="1"/>
  <c r="T164" i="1" s="1"/>
  <c r="AB164" i="1"/>
  <c r="Z164" i="1"/>
  <c r="Y164" i="1"/>
  <c r="AA164" i="1" s="1"/>
  <c r="W164" i="1"/>
  <c r="X164" i="1" s="1"/>
  <c r="O164" i="1"/>
  <c r="J164" i="1"/>
  <c r="I164" i="1"/>
  <c r="H164" i="1"/>
  <c r="C164" i="1"/>
  <c r="B164" i="1"/>
  <c r="G164" i="1" s="1"/>
  <c r="A164" i="1" s="1"/>
  <c r="AD164" i="1" s="1"/>
  <c r="AF163" i="1"/>
  <c r="AC163" i="1"/>
  <c r="AB163" i="1"/>
  <c r="Y163" i="1"/>
  <c r="AA163" i="1" s="1"/>
  <c r="W163" i="1"/>
  <c r="X163" i="1" s="1"/>
  <c r="T163" i="1"/>
  <c r="O163" i="1"/>
  <c r="J163" i="1"/>
  <c r="H163" i="1"/>
  <c r="I163" i="1" s="1"/>
  <c r="C163" i="1"/>
  <c r="B163" i="1"/>
  <c r="G163" i="1" s="1"/>
  <c r="A163" i="1" s="1"/>
  <c r="AD163" i="1" s="1"/>
  <c r="AF162" i="1"/>
  <c r="AC162" i="1"/>
  <c r="T162" i="1" s="1"/>
  <c r="AB162" i="1"/>
  <c r="Z162" i="1"/>
  <c r="Y162" i="1"/>
  <c r="AA162" i="1" s="1"/>
  <c r="W162" i="1"/>
  <c r="X162" i="1" s="1"/>
  <c r="O162" i="1"/>
  <c r="J162" i="1"/>
  <c r="I162" i="1"/>
  <c r="H162" i="1"/>
  <c r="C162" i="1"/>
  <c r="B162" i="1"/>
  <c r="G162" i="1" s="1"/>
  <c r="A162" i="1" s="1"/>
  <c r="AD162" i="1" s="1"/>
  <c r="AF161" i="1"/>
  <c r="AC161" i="1"/>
  <c r="AB161" i="1"/>
  <c r="Y161" i="1"/>
  <c r="AA161" i="1" s="1"/>
  <c r="W161" i="1"/>
  <c r="X161" i="1" s="1"/>
  <c r="T161" i="1"/>
  <c r="O161" i="1"/>
  <c r="J161" i="1"/>
  <c r="H161" i="1"/>
  <c r="I161" i="1" s="1"/>
  <c r="C161" i="1"/>
  <c r="B161" i="1"/>
  <c r="G161" i="1" s="1"/>
  <c r="A161" i="1" s="1"/>
  <c r="AD161" i="1" s="1"/>
  <c r="AF160" i="1"/>
  <c r="AC160" i="1"/>
  <c r="T160" i="1" s="1"/>
  <c r="AB160" i="1"/>
  <c r="Z160" i="1"/>
  <c r="Y160" i="1"/>
  <c r="AA160" i="1" s="1"/>
  <c r="W160" i="1"/>
  <c r="X160" i="1" s="1"/>
  <c r="O160" i="1"/>
  <c r="J160" i="1"/>
  <c r="I160" i="1"/>
  <c r="H160" i="1"/>
  <c r="C160" i="1"/>
  <c r="B160" i="1"/>
  <c r="G160" i="1" s="1"/>
  <c r="A160" i="1" s="1"/>
  <c r="AD160" i="1" s="1"/>
  <c r="AF159" i="1"/>
  <c r="AC159" i="1"/>
  <c r="AB159" i="1"/>
  <c r="Y159" i="1"/>
  <c r="AA159" i="1" s="1"/>
  <c r="W159" i="1"/>
  <c r="X159" i="1" s="1"/>
  <c r="T159" i="1"/>
  <c r="O159" i="1"/>
  <c r="J159" i="1"/>
  <c r="H159" i="1"/>
  <c r="I159" i="1" s="1"/>
  <c r="C159" i="1"/>
  <c r="B159" i="1"/>
  <c r="G159" i="1" s="1"/>
  <c r="A159" i="1" s="1"/>
  <c r="AD159" i="1" s="1"/>
  <c r="AF158" i="1"/>
  <c r="AC158" i="1"/>
  <c r="T158" i="1" s="1"/>
  <c r="AB158" i="1"/>
  <c r="Z158" i="1"/>
  <c r="Y158" i="1"/>
  <c r="AA158" i="1" s="1"/>
  <c r="W158" i="1"/>
  <c r="X158" i="1" s="1"/>
  <c r="O158" i="1"/>
  <c r="J158" i="1"/>
  <c r="I158" i="1"/>
  <c r="H158" i="1"/>
  <c r="C158" i="1"/>
  <c r="B158" i="1"/>
  <c r="G158" i="1" s="1"/>
  <c r="A158" i="1" s="1"/>
  <c r="AD158" i="1" s="1"/>
  <c r="AF157" i="1"/>
  <c r="AC157" i="1"/>
  <c r="AB157" i="1"/>
  <c r="Y157" i="1"/>
  <c r="AA157" i="1" s="1"/>
  <c r="W157" i="1"/>
  <c r="X157" i="1" s="1"/>
  <c r="T157" i="1"/>
  <c r="O157" i="1"/>
  <c r="J157" i="1"/>
  <c r="H157" i="1"/>
  <c r="I157" i="1" s="1"/>
  <c r="C157" i="1"/>
  <c r="B157" i="1"/>
  <c r="G157" i="1" s="1"/>
  <c r="A157" i="1" s="1"/>
  <c r="AD157" i="1" s="1"/>
  <c r="AF156" i="1"/>
  <c r="AC156" i="1"/>
  <c r="T156" i="1" s="1"/>
  <c r="AB156" i="1"/>
  <c r="Z156" i="1"/>
  <c r="Y156" i="1"/>
  <c r="AA156" i="1" s="1"/>
  <c r="W156" i="1"/>
  <c r="X156" i="1" s="1"/>
  <c r="O156" i="1"/>
  <c r="J156" i="1"/>
  <c r="I156" i="1"/>
  <c r="H156" i="1"/>
  <c r="C156" i="1"/>
  <c r="B156" i="1"/>
  <c r="G156" i="1" s="1"/>
  <c r="A156" i="1" s="1"/>
  <c r="AD156" i="1" s="1"/>
  <c r="AF155" i="1"/>
  <c r="AC155" i="1"/>
  <c r="AB155" i="1"/>
  <c r="Y155" i="1"/>
  <c r="AA155" i="1" s="1"/>
  <c r="W155" i="1"/>
  <c r="X155" i="1" s="1"/>
  <c r="T155" i="1"/>
  <c r="O155" i="1"/>
  <c r="J155" i="1"/>
  <c r="H155" i="1"/>
  <c r="I155" i="1" s="1"/>
  <c r="C155" i="1"/>
  <c r="B155" i="1"/>
  <c r="G155" i="1" s="1"/>
  <c r="A155" i="1" s="1"/>
  <c r="AD155" i="1" s="1"/>
  <c r="AF154" i="1"/>
  <c r="AC154" i="1"/>
  <c r="T154" i="1" s="1"/>
  <c r="AB154" i="1"/>
  <c r="Z154" i="1"/>
  <c r="Y154" i="1"/>
  <c r="AA154" i="1" s="1"/>
  <c r="W154" i="1"/>
  <c r="X154" i="1" s="1"/>
  <c r="O154" i="1"/>
  <c r="J154" i="1"/>
  <c r="I154" i="1"/>
  <c r="H154" i="1"/>
  <c r="C154" i="1"/>
  <c r="B154" i="1"/>
  <c r="G154" i="1" s="1"/>
  <c r="A154" i="1" s="1"/>
  <c r="AD154" i="1" s="1"/>
  <c r="AF153" i="1"/>
  <c r="AC153" i="1"/>
  <c r="AB153" i="1"/>
  <c r="Y153" i="1"/>
  <c r="AA153" i="1" s="1"/>
  <c r="W153" i="1"/>
  <c r="X153" i="1" s="1"/>
  <c r="T153" i="1"/>
  <c r="O153" i="1"/>
  <c r="J153" i="1"/>
  <c r="H153" i="1"/>
  <c r="I153" i="1" s="1"/>
  <c r="C153" i="1"/>
  <c r="B153" i="1"/>
  <c r="G153" i="1" s="1"/>
  <c r="A153" i="1" s="1"/>
  <c r="AD153" i="1" s="1"/>
  <c r="AF152" i="1"/>
  <c r="AC152" i="1"/>
  <c r="T152" i="1" s="1"/>
  <c r="AB152" i="1"/>
  <c r="Z152" i="1"/>
  <c r="Y152" i="1"/>
  <c r="AA152" i="1" s="1"/>
  <c r="W152" i="1"/>
  <c r="X152" i="1" s="1"/>
  <c r="O152" i="1"/>
  <c r="J152" i="1"/>
  <c r="I152" i="1"/>
  <c r="H152" i="1"/>
  <c r="C152" i="1"/>
  <c r="B152" i="1"/>
  <c r="G152" i="1" s="1"/>
  <c r="A152" i="1" s="1"/>
  <c r="AD152" i="1" s="1"/>
  <c r="AF151" i="1"/>
  <c r="AC151" i="1"/>
  <c r="AB151" i="1"/>
  <c r="Y151" i="1"/>
  <c r="AA151" i="1" s="1"/>
  <c r="W151" i="1"/>
  <c r="X151" i="1" s="1"/>
  <c r="T151" i="1"/>
  <c r="O151" i="1"/>
  <c r="J151" i="1"/>
  <c r="H151" i="1"/>
  <c r="I151" i="1" s="1"/>
  <c r="C151" i="1"/>
  <c r="B151" i="1"/>
  <c r="G151" i="1" s="1"/>
  <c r="A151" i="1" s="1"/>
  <c r="AD151" i="1" s="1"/>
  <c r="AF150" i="1"/>
  <c r="AC150" i="1"/>
  <c r="T150" i="1" s="1"/>
  <c r="AB150" i="1"/>
  <c r="Z150" i="1"/>
  <c r="Y150" i="1"/>
  <c r="AA150" i="1" s="1"/>
  <c r="W150" i="1"/>
  <c r="X150" i="1" s="1"/>
  <c r="O150" i="1"/>
  <c r="J150" i="1"/>
  <c r="I150" i="1"/>
  <c r="H150" i="1"/>
  <c r="C150" i="1"/>
  <c r="B150" i="1"/>
  <c r="G150" i="1" s="1"/>
  <c r="A150" i="1" s="1"/>
  <c r="AD150" i="1" s="1"/>
  <c r="AF149" i="1"/>
  <c r="AC149" i="1"/>
  <c r="AB149" i="1"/>
  <c r="Y149" i="1"/>
  <c r="AA149" i="1" s="1"/>
  <c r="W149" i="1"/>
  <c r="X149" i="1" s="1"/>
  <c r="T149" i="1"/>
  <c r="O149" i="1"/>
  <c r="J149" i="1"/>
  <c r="H149" i="1"/>
  <c r="I149" i="1" s="1"/>
  <c r="C149" i="1"/>
  <c r="B149" i="1"/>
  <c r="G149" i="1" s="1"/>
  <c r="A149" i="1" s="1"/>
  <c r="AD149" i="1" s="1"/>
  <c r="AF148" i="1"/>
  <c r="AC148" i="1"/>
  <c r="T148" i="1" s="1"/>
  <c r="AB148" i="1"/>
  <c r="Z148" i="1"/>
  <c r="Y148" i="1"/>
  <c r="AA148" i="1" s="1"/>
  <c r="W148" i="1"/>
  <c r="X148" i="1" s="1"/>
  <c r="O148" i="1"/>
  <c r="J148" i="1"/>
  <c r="I148" i="1"/>
  <c r="H148" i="1"/>
  <c r="C148" i="1"/>
  <c r="B148" i="1"/>
  <c r="G148" i="1" s="1"/>
  <c r="A148" i="1" s="1"/>
  <c r="AD148" i="1" s="1"/>
  <c r="AF147" i="1"/>
  <c r="AC147" i="1"/>
  <c r="AB147" i="1"/>
  <c r="Y147" i="1"/>
  <c r="AA147" i="1" s="1"/>
  <c r="W147" i="1"/>
  <c r="X147" i="1" s="1"/>
  <c r="T147" i="1"/>
  <c r="O147" i="1"/>
  <c r="J147" i="1"/>
  <c r="H147" i="1"/>
  <c r="I147" i="1" s="1"/>
  <c r="C147" i="1"/>
  <c r="B147" i="1"/>
  <c r="G147" i="1" s="1"/>
  <c r="A147" i="1" s="1"/>
  <c r="AD147" i="1" s="1"/>
  <c r="AF146" i="1"/>
  <c r="AC146" i="1"/>
  <c r="T146" i="1" s="1"/>
  <c r="AB146" i="1"/>
  <c r="Z146" i="1"/>
  <c r="Y146" i="1"/>
  <c r="AA146" i="1" s="1"/>
  <c r="W146" i="1"/>
  <c r="X146" i="1" s="1"/>
  <c r="O146" i="1"/>
  <c r="J146" i="1"/>
  <c r="I146" i="1"/>
  <c r="H146" i="1"/>
  <c r="C146" i="1"/>
  <c r="B146" i="1"/>
  <c r="G146" i="1" s="1"/>
  <c r="A146" i="1" s="1"/>
  <c r="AD146" i="1" s="1"/>
  <c r="AF145" i="1"/>
  <c r="Y145" i="1"/>
  <c r="AA145" i="1" s="1"/>
  <c r="O145" i="1"/>
  <c r="J145" i="1"/>
  <c r="H145" i="1"/>
  <c r="I145" i="1" s="1"/>
  <c r="C145" i="1"/>
  <c r="AF144" i="1"/>
  <c r="AC144" i="1"/>
  <c r="T144" i="1" s="1"/>
  <c r="AB144" i="1"/>
  <c r="Z144" i="1"/>
  <c r="Y144" i="1"/>
  <c r="AA144" i="1" s="1"/>
  <c r="W144" i="1"/>
  <c r="X144" i="1" s="1"/>
  <c r="O144" i="1"/>
  <c r="J144" i="1"/>
  <c r="I144" i="1"/>
  <c r="H144" i="1"/>
  <c r="C144" i="1"/>
  <c r="B144" i="1"/>
  <c r="G144" i="1" s="1"/>
  <c r="A144" i="1" s="1"/>
  <c r="AD144" i="1" s="1"/>
  <c r="AF143" i="1"/>
  <c r="Y143" i="1"/>
  <c r="AA143" i="1" s="1"/>
  <c r="O143" i="1"/>
  <c r="J143" i="1"/>
  <c r="H143" i="1"/>
  <c r="I143" i="1" s="1"/>
  <c r="C143" i="1"/>
  <c r="AF142" i="1"/>
  <c r="AC142" i="1"/>
  <c r="T142" i="1" s="1"/>
  <c r="AB142" i="1"/>
  <c r="Z142" i="1"/>
  <c r="Y142" i="1"/>
  <c r="AA142" i="1" s="1"/>
  <c r="W142" i="1"/>
  <c r="X142" i="1" s="1"/>
  <c r="O142" i="1"/>
  <c r="J142" i="1"/>
  <c r="I142" i="1"/>
  <c r="H142" i="1"/>
  <c r="C142" i="1"/>
  <c r="B142" i="1"/>
  <c r="G142" i="1" s="1"/>
  <c r="A142" i="1" s="1"/>
  <c r="AD142" i="1" s="1"/>
  <c r="AF141" i="1"/>
  <c r="Y141" i="1"/>
  <c r="AA141" i="1" s="1"/>
  <c r="O141" i="1"/>
  <c r="J141" i="1"/>
  <c r="H141" i="1"/>
  <c r="I141" i="1" s="1"/>
  <c r="C141" i="1"/>
  <c r="B141" i="1"/>
  <c r="G141" i="1" s="1"/>
  <c r="A141" i="1" s="1"/>
  <c r="AD141" i="1" s="1"/>
  <c r="AF140" i="1"/>
  <c r="Y140" i="1"/>
  <c r="AA140" i="1" s="1"/>
  <c r="O140" i="1"/>
  <c r="J140" i="1"/>
  <c r="I140" i="1"/>
  <c r="H140" i="1"/>
  <c r="C140" i="1"/>
  <c r="B140" i="1"/>
  <c r="G140" i="1" s="1"/>
  <c r="A140" i="1" s="1"/>
  <c r="AD140" i="1" s="1"/>
  <c r="AF139" i="1"/>
  <c r="Y139" i="1"/>
  <c r="AA139" i="1" s="1"/>
  <c r="O139" i="1"/>
  <c r="J139" i="1"/>
  <c r="H139" i="1"/>
  <c r="I139" i="1" s="1"/>
  <c r="C139" i="1"/>
  <c r="B139" i="1"/>
  <c r="G139" i="1" s="1"/>
  <c r="A139" i="1" s="1"/>
  <c r="AD139" i="1" s="1"/>
  <c r="AF138" i="1"/>
  <c r="Z138" i="1"/>
  <c r="AB138" i="1" s="1"/>
  <c r="AC138" i="1" s="1"/>
  <c r="T138" i="1" s="1"/>
  <c r="Y138" i="1"/>
  <c r="AA138" i="1" s="1"/>
  <c r="O138" i="1"/>
  <c r="J138" i="1"/>
  <c r="H138" i="1"/>
  <c r="I138" i="1" s="1"/>
  <c r="C138" i="1"/>
  <c r="AF137" i="1"/>
  <c r="AC137" i="1"/>
  <c r="AB137" i="1"/>
  <c r="Y137" i="1"/>
  <c r="AA137" i="1" s="1"/>
  <c r="W137" i="1"/>
  <c r="X137" i="1" s="1"/>
  <c r="T137" i="1"/>
  <c r="O137" i="1"/>
  <c r="J137" i="1"/>
  <c r="H137" i="1"/>
  <c r="I137" i="1" s="1"/>
  <c r="C137" i="1"/>
  <c r="B137" i="1"/>
  <c r="G137" i="1" s="1"/>
  <c r="A137" i="1" s="1"/>
  <c r="AD137" i="1" s="1"/>
  <c r="AF136" i="1"/>
  <c r="Y136" i="1"/>
  <c r="AA136" i="1" s="1"/>
  <c r="O136" i="1"/>
  <c r="J136" i="1"/>
  <c r="I136" i="1"/>
  <c r="H136" i="1"/>
  <c r="C136" i="1"/>
  <c r="B136" i="1"/>
  <c r="G136" i="1" s="1"/>
  <c r="A136" i="1" s="1"/>
  <c r="AD136" i="1" s="1"/>
  <c r="AF135" i="1"/>
  <c r="Y135" i="1"/>
  <c r="AA135" i="1" s="1"/>
  <c r="O135" i="1"/>
  <c r="J135" i="1"/>
  <c r="H135" i="1"/>
  <c r="I135" i="1" s="1"/>
  <c r="C135" i="1"/>
  <c r="B135" i="1"/>
  <c r="G135" i="1" s="1"/>
  <c r="A135" i="1" s="1"/>
  <c r="AD135" i="1" s="1"/>
  <c r="AF134" i="1"/>
  <c r="Y134" i="1"/>
  <c r="AA134" i="1" s="1"/>
  <c r="O134" i="1"/>
  <c r="J134" i="1"/>
  <c r="H134" i="1"/>
  <c r="I134" i="1" s="1"/>
  <c r="C134" i="1"/>
  <c r="AF133" i="1"/>
  <c r="AC133" i="1"/>
  <c r="AB133" i="1"/>
  <c r="Y133" i="1"/>
  <c r="AA133" i="1" s="1"/>
  <c r="W133" i="1"/>
  <c r="X133" i="1" s="1"/>
  <c r="T133" i="1"/>
  <c r="O133" i="1"/>
  <c r="J133" i="1"/>
  <c r="H133" i="1"/>
  <c r="I133" i="1" s="1"/>
  <c r="C133" i="1"/>
  <c r="B133" i="1"/>
  <c r="G133" i="1" s="1"/>
  <c r="A133" i="1" s="1"/>
  <c r="AD133" i="1" s="1"/>
  <c r="AF132" i="1"/>
  <c r="Y132" i="1"/>
  <c r="AA132" i="1" s="1"/>
  <c r="O132" i="1"/>
  <c r="J132" i="1"/>
  <c r="I132" i="1"/>
  <c r="H132" i="1"/>
  <c r="C132" i="1"/>
  <c r="AF131" i="1"/>
  <c r="AC131" i="1"/>
  <c r="AB131" i="1"/>
  <c r="Y131" i="1"/>
  <c r="AA131" i="1" s="1"/>
  <c r="W131" i="1"/>
  <c r="X131" i="1" s="1"/>
  <c r="T131" i="1"/>
  <c r="O131" i="1"/>
  <c r="J131" i="1"/>
  <c r="H131" i="1"/>
  <c r="I131" i="1" s="1"/>
  <c r="C131" i="1"/>
  <c r="B131" i="1"/>
  <c r="G131" i="1" s="1"/>
  <c r="A131" i="1" s="1"/>
  <c r="AD131" i="1" s="1"/>
  <c r="AF130" i="1"/>
  <c r="Z130" i="1"/>
  <c r="AB130" i="1" s="1"/>
  <c r="AC130" i="1" s="1"/>
  <c r="T130" i="1" s="1"/>
  <c r="Y130" i="1"/>
  <c r="AA130" i="1" s="1"/>
  <c r="O130" i="1"/>
  <c r="J130" i="1"/>
  <c r="I130" i="1"/>
  <c r="H130" i="1"/>
  <c r="C130" i="1"/>
  <c r="B130" i="1"/>
  <c r="G130" i="1" s="1"/>
  <c r="A130" i="1" s="1"/>
  <c r="AD130" i="1" s="1"/>
  <c r="AF129" i="1"/>
  <c r="Y129" i="1"/>
  <c r="AA129" i="1" s="1"/>
  <c r="O129" i="1"/>
  <c r="J129" i="1"/>
  <c r="H129" i="1"/>
  <c r="I129" i="1" s="1"/>
  <c r="C129" i="1"/>
  <c r="AF128" i="1"/>
  <c r="AC128" i="1"/>
  <c r="T128" i="1" s="1"/>
  <c r="AB128" i="1"/>
  <c r="Z128" i="1"/>
  <c r="Y128" i="1"/>
  <c r="AA128" i="1" s="1"/>
  <c r="W128" i="1"/>
  <c r="X128" i="1" s="1"/>
  <c r="O128" i="1"/>
  <c r="J128" i="1"/>
  <c r="I128" i="1"/>
  <c r="H128" i="1"/>
  <c r="C128" i="1"/>
  <c r="B128" i="1"/>
  <c r="G128" i="1" s="1"/>
  <c r="A128" i="1" s="1"/>
  <c r="AD128" i="1" s="1"/>
  <c r="AF127" i="1"/>
  <c r="Y127" i="1"/>
  <c r="Z127" i="1" s="1"/>
  <c r="O127" i="1"/>
  <c r="J127" i="1"/>
  <c r="I127" i="1"/>
  <c r="H127" i="1"/>
  <c r="C127" i="1"/>
  <c r="B127" i="1"/>
  <c r="G127" i="1" s="1"/>
  <c r="A127" i="1" s="1"/>
  <c r="AF126" i="1"/>
  <c r="Y126" i="1"/>
  <c r="Z126" i="1" s="1"/>
  <c r="O126" i="1"/>
  <c r="J126" i="1"/>
  <c r="H126" i="1"/>
  <c r="I126" i="1" s="1"/>
  <c r="C126" i="1"/>
  <c r="AF125" i="1"/>
  <c r="AC125" i="1"/>
  <c r="AB125" i="1"/>
  <c r="Y125" i="1"/>
  <c r="AA125" i="1" s="1"/>
  <c r="W125" i="1"/>
  <c r="X125" i="1" s="1"/>
  <c r="T125" i="1"/>
  <c r="O125" i="1"/>
  <c r="J125" i="1"/>
  <c r="H125" i="1"/>
  <c r="I125" i="1" s="1"/>
  <c r="C125" i="1"/>
  <c r="B125" i="1"/>
  <c r="G125" i="1" s="1"/>
  <c r="A125" i="1" s="1"/>
  <c r="AD125" i="1" s="1"/>
  <c r="AF124" i="1"/>
  <c r="Z124" i="1"/>
  <c r="Y124" i="1"/>
  <c r="O124" i="1"/>
  <c r="J124" i="1"/>
  <c r="I124" i="1"/>
  <c r="H124" i="1"/>
  <c r="C124" i="1"/>
  <c r="B124" i="1"/>
  <c r="G124" i="1" s="1"/>
  <c r="A124" i="1" s="1"/>
  <c r="AF123" i="1"/>
  <c r="Y123" i="1"/>
  <c r="Z123" i="1" s="1"/>
  <c r="O123" i="1"/>
  <c r="J123" i="1"/>
  <c r="H123" i="1"/>
  <c r="I123" i="1" s="1"/>
  <c r="C123" i="1"/>
  <c r="B123" i="1"/>
  <c r="G123" i="1" s="1"/>
  <c r="A123" i="1" s="1"/>
  <c r="AF122" i="1"/>
  <c r="Z122" i="1"/>
  <c r="Y122" i="1"/>
  <c r="O122" i="1"/>
  <c r="J122" i="1"/>
  <c r="H122" i="1"/>
  <c r="I122" i="1" s="1"/>
  <c r="C122" i="1"/>
  <c r="B122" i="1"/>
  <c r="G122" i="1" s="1"/>
  <c r="A122" i="1" s="1"/>
  <c r="AF121" i="1"/>
  <c r="AA121" i="1"/>
  <c r="Y121" i="1"/>
  <c r="O121" i="1"/>
  <c r="J121" i="1"/>
  <c r="I121" i="1"/>
  <c r="H121" i="1"/>
  <c r="C121" i="1"/>
  <c r="B121" i="1"/>
  <c r="G121" i="1" s="1"/>
  <c r="A121" i="1" s="1"/>
  <c r="AF120" i="1"/>
  <c r="Y120" i="1"/>
  <c r="Z120" i="1" s="1"/>
  <c r="O120" i="1"/>
  <c r="J120" i="1"/>
  <c r="H120" i="1"/>
  <c r="I120" i="1" s="1"/>
  <c r="C120" i="1"/>
  <c r="B120" i="1"/>
  <c r="G120" i="1" s="1"/>
  <c r="A120" i="1" s="1"/>
  <c r="AF119" i="1"/>
  <c r="Y119" i="1"/>
  <c r="Z119" i="1" s="1"/>
  <c r="O119" i="1"/>
  <c r="J119" i="1"/>
  <c r="H119" i="1"/>
  <c r="I119" i="1" s="1"/>
  <c r="C119" i="1"/>
  <c r="B119" i="1"/>
  <c r="G119" i="1" s="1"/>
  <c r="A119" i="1" s="1"/>
  <c r="AF118" i="1"/>
  <c r="Z118" i="1"/>
  <c r="Y118" i="1"/>
  <c r="O118" i="1"/>
  <c r="J118" i="1"/>
  <c r="H118" i="1"/>
  <c r="I118" i="1" s="1"/>
  <c r="C118" i="1"/>
  <c r="B118" i="1"/>
  <c r="G118" i="1" s="1"/>
  <c r="A118" i="1" s="1"/>
  <c r="AF117" i="1"/>
  <c r="AA117" i="1"/>
  <c r="Y117" i="1"/>
  <c r="Z117" i="1" s="1"/>
  <c r="O117" i="1"/>
  <c r="J117" i="1"/>
  <c r="I117" i="1"/>
  <c r="H117" i="1"/>
  <c r="C117" i="1"/>
  <c r="B117" i="1"/>
  <c r="G117" i="1" s="1"/>
  <c r="A117" i="1" s="1"/>
  <c r="AF116" i="1"/>
  <c r="Y116" i="1"/>
  <c r="Z116" i="1" s="1"/>
  <c r="O116" i="1"/>
  <c r="J116" i="1"/>
  <c r="H116" i="1"/>
  <c r="I116" i="1" s="1"/>
  <c r="C116" i="1"/>
  <c r="B116" i="1"/>
  <c r="G116" i="1" s="1"/>
  <c r="A116" i="1" s="1"/>
  <c r="AF115" i="1"/>
  <c r="Y115" i="1"/>
  <c r="Z115" i="1" s="1"/>
  <c r="O115" i="1"/>
  <c r="J115" i="1"/>
  <c r="H115" i="1"/>
  <c r="I115" i="1" s="1"/>
  <c r="C115" i="1"/>
  <c r="AF114" i="1"/>
  <c r="AC114" i="1"/>
  <c r="T114" i="1" s="1"/>
  <c r="AB114" i="1"/>
  <c r="Y114" i="1"/>
  <c r="Z114" i="1" s="1"/>
  <c r="W114" i="1"/>
  <c r="X114" i="1" s="1"/>
  <c r="O114" i="1"/>
  <c r="J114" i="1"/>
  <c r="H114" i="1"/>
  <c r="I114" i="1" s="1"/>
  <c r="C114" i="1"/>
  <c r="B114" i="1"/>
  <c r="G114" i="1" s="1"/>
  <c r="A114" i="1" s="1"/>
  <c r="AD114" i="1" s="1"/>
  <c r="AF111" i="1"/>
  <c r="Y111" i="1"/>
  <c r="Z111" i="1" s="1"/>
  <c r="O111" i="1"/>
  <c r="J111" i="1"/>
  <c r="H111" i="1"/>
  <c r="I111" i="1" s="1"/>
  <c r="C111" i="1"/>
  <c r="B111" i="1"/>
  <c r="G111" i="1" s="1"/>
  <c r="A111" i="1" s="1"/>
  <c r="AF110" i="1"/>
  <c r="Z110" i="1"/>
  <c r="Y110" i="1"/>
  <c r="O110" i="1"/>
  <c r="J110" i="1"/>
  <c r="H110" i="1"/>
  <c r="I110" i="1" s="1"/>
  <c r="C110" i="1"/>
  <c r="B110" i="1"/>
  <c r="G110" i="1" s="1"/>
  <c r="A110" i="1" s="1"/>
  <c r="AF109" i="1"/>
  <c r="Y109" i="1"/>
  <c r="Z109" i="1" s="1"/>
  <c r="O109" i="1"/>
  <c r="J109" i="1"/>
  <c r="H109" i="1"/>
  <c r="I109" i="1" s="1"/>
  <c r="C109" i="1"/>
  <c r="AF108" i="1"/>
  <c r="AC108" i="1"/>
  <c r="T108" i="1" s="1"/>
  <c r="AB108" i="1"/>
  <c r="Y108" i="1"/>
  <c r="Z108" i="1" s="1"/>
  <c r="W108" i="1"/>
  <c r="X108" i="1" s="1"/>
  <c r="O108" i="1"/>
  <c r="J108" i="1"/>
  <c r="H108" i="1"/>
  <c r="I108" i="1" s="1"/>
  <c r="C108" i="1"/>
  <c r="B108" i="1"/>
  <c r="G108" i="1" s="1"/>
  <c r="A108" i="1" s="1"/>
  <c r="AD108" i="1" s="1"/>
  <c r="AF107" i="1"/>
  <c r="Y107" i="1"/>
  <c r="Z107" i="1" s="1"/>
  <c r="O107" i="1"/>
  <c r="J107" i="1"/>
  <c r="H107" i="1"/>
  <c r="I107" i="1" s="1"/>
  <c r="C107" i="1"/>
  <c r="B107" i="1"/>
  <c r="G107" i="1" s="1"/>
  <c r="A107" i="1" s="1"/>
  <c r="AF106" i="1"/>
  <c r="Z106" i="1"/>
  <c r="Y106" i="1"/>
  <c r="O106" i="1"/>
  <c r="J106" i="1"/>
  <c r="H106" i="1"/>
  <c r="I106" i="1" s="1"/>
  <c r="C106" i="1"/>
  <c r="B106" i="1"/>
  <c r="G106" i="1" s="1"/>
  <c r="A106" i="1" s="1"/>
  <c r="AF105" i="1"/>
  <c r="Y105" i="1"/>
  <c r="Z105" i="1" s="1"/>
  <c r="O105" i="1"/>
  <c r="J105" i="1"/>
  <c r="H105" i="1"/>
  <c r="I105" i="1" s="1"/>
  <c r="C105" i="1"/>
  <c r="B105" i="1"/>
  <c r="G105" i="1" s="1"/>
  <c r="A105" i="1" s="1"/>
  <c r="AF104" i="1"/>
  <c r="Z104" i="1"/>
  <c r="Y104" i="1"/>
  <c r="O104" i="1"/>
  <c r="J104" i="1"/>
  <c r="H104" i="1"/>
  <c r="I104" i="1" s="1"/>
  <c r="C104" i="1"/>
  <c r="B104" i="1"/>
  <c r="G104" i="1" s="1"/>
  <c r="A104" i="1" s="1"/>
  <c r="AF103" i="1"/>
  <c r="Y103" i="1"/>
  <c r="Z103" i="1" s="1"/>
  <c r="O103" i="1"/>
  <c r="J103" i="1"/>
  <c r="H103" i="1"/>
  <c r="I103" i="1" s="1"/>
  <c r="C103" i="1"/>
  <c r="B103" i="1"/>
  <c r="G103" i="1" s="1"/>
  <c r="A103" i="1" s="1"/>
  <c r="AF102" i="1"/>
  <c r="Z102" i="1"/>
  <c r="Y102" i="1"/>
  <c r="O102" i="1"/>
  <c r="J102" i="1"/>
  <c r="H102" i="1"/>
  <c r="I102" i="1" s="1"/>
  <c r="C102" i="1"/>
  <c r="AF101" i="1"/>
  <c r="AC101" i="1"/>
  <c r="AB101" i="1"/>
  <c r="Y101" i="1"/>
  <c r="AA101" i="1" s="1"/>
  <c r="W101" i="1"/>
  <c r="X101" i="1" s="1"/>
  <c r="T101" i="1"/>
  <c r="O101" i="1"/>
  <c r="J101" i="1"/>
  <c r="H101" i="1"/>
  <c r="I101" i="1" s="1"/>
  <c r="C101" i="1"/>
  <c r="B101" i="1"/>
  <c r="G101" i="1" s="1"/>
  <c r="A101" i="1" s="1"/>
  <c r="AD101" i="1" s="1"/>
  <c r="AF100" i="1"/>
  <c r="Z100" i="1"/>
  <c r="Y100" i="1"/>
  <c r="O100" i="1"/>
  <c r="J100" i="1"/>
  <c r="H100" i="1"/>
  <c r="I100" i="1" s="1"/>
  <c r="C100" i="1"/>
  <c r="B100" i="1"/>
  <c r="G100" i="1" s="1"/>
  <c r="A100" i="1" s="1"/>
  <c r="AF99" i="1"/>
  <c r="Y99" i="1"/>
  <c r="O99" i="1"/>
  <c r="J99" i="1"/>
  <c r="H99" i="1"/>
  <c r="I99" i="1" s="1"/>
  <c r="C99" i="1"/>
  <c r="B99" i="1"/>
  <c r="G99" i="1" s="1"/>
  <c r="A99" i="1" s="1"/>
  <c r="AF98" i="1"/>
  <c r="Z98" i="1"/>
  <c r="Y98" i="1"/>
  <c r="O98" i="1"/>
  <c r="J98" i="1"/>
  <c r="H98" i="1"/>
  <c r="I98" i="1" s="1"/>
  <c r="C98" i="1"/>
  <c r="B98" i="1"/>
  <c r="G98" i="1" s="1"/>
  <c r="A98" i="1" s="1"/>
  <c r="AF97" i="1"/>
  <c r="Y97" i="1"/>
  <c r="O97" i="1"/>
  <c r="J97" i="1"/>
  <c r="H97" i="1"/>
  <c r="I97" i="1" s="1"/>
  <c r="C97" i="1"/>
  <c r="AF96" i="1"/>
  <c r="AC96" i="1"/>
  <c r="AB96" i="1"/>
  <c r="Y96" i="1"/>
  <c r="Z96" i="1" s="1"/>
  <c r="W96" i="1"/>
  <c r="X96" i="1" s="1"/>
  <c r="T96" i="1"/>
  <c r="O96" i="1"/>
  <c r="J96" i="1"/>
  <c r="H96" i="1"/>
  <c r="I96" i="1" s="1"/>
  <c r="C96" i="1"/>
  <c r="B96" i="1"/>
  <c r="G96" i="1" s="1"/>
  <c r="A96" i="1" s="1"/>
  <c r="AD96" i="1" s="1"/>
  <c r="AF95" i="1"/>
  <c r="AA95" i="1"/>
  <c r="Y95" i="1"/>
  <c r="Z95" i="1" s="1"/>
  <c r="O95" i="1"/>
  <c r="J95" i="1"/>
  <c r="I95" i="1"/>
  <c r="H95" i="1"/>
  <c r="C95" i="1"/>
  <c r="B95" i="1"/>
  <c r="G95" i="1" s="1"/>
  <c r="A95" i="1" s="1"/>
  <c r="AF94" i="1"/>
  <c r="Y94" i="1"/>
  <c r="Z94" i="1" s="1"/>
  <c r="O94" i="1"/>
  <c r="J94" i="1"/>
  <c r="H94" i="1"/>
  <c r="I94" i="1" s="1"/>
  <c r="C94" i="1"/>
  <c r="B94" i="1"/>
  <c r="G94" i="1" s="1"/>
  <c r="A94" i="1" s="1"/>
  <c r="AF93" i="1"/>
  <c r="Y93" i="1"/>
  <c r="Z93" i="1" s="1"/>
  <c r="O93" i="1"/>
  <c r="J93" i="1"/>
  <c r="H93" i="1"/>
  <c r="I93" i="1" s="1"/>
  <c r="C93" i="1"/>
  <c r="B93" i="1"/>
  <c r="G93" i="1" s="1"/>
  <c r="A93" i="1" s="1"/>
  <c r="AF92" i="1"/>
  <c r="Z92" i="1"/>
  <c r="Y92" i="1"/>
  <c r="O92" i="1"/>
  <c r="J92" i="1"/>
  <c r="H92" i="1"/>
  <c r="I92" i="1" s="1"/>
  <c r="C92" i="1"/>
  <c r="B92" i="1"/>
  <c r="G92" i="1" s="1"/>
  <c r="A92" i="1" s="1"/>
  <c r="AF91" i="1"/>
  <c r="AA91" i="1"/>
  <c r="Y91" i="1"/>
  <c r="Z91" i="1" s="1"/>
  <c r="O91" i="1"/>
  <c r="J91" i="1"/>
  <c r="I91" i="1"/>
  <c r="H91" i="1"/>
  <c r="C91" i="1"/>
  <c r="B91" i="1"/>
  <c r="G91" i="1" s="1"/>
  <c r="A91" i="1" s="1"/>
  <c r="AF90" i="1"/>
  <c r="Y90" i="1"/>
  <c r="Z90" i="1" s="1"/>
  <c r="O90" i="1"/>
  <c r="J90" i="1"/>
  <c r="H90" i="1"/>
  <c r="I90" i="1" s="1"/>
  <c r="C90" i="1"/>
  <c r="B90" i="1"/>
  <c r="G90" i="1" s="1"/>
  <c r="A90" i="1" s="1"/>
  <c r="AF89" i="1"/>
  <c r="Y89" i="1"/>
  <c r="Z89" i="1" s="1"/>
  <c r="O89" i="1"/>
  <c r="J89" i="1"/>
  <c r="H89" i="1"/>
  <c r="I89" i="1" s="1"/>
  <c r="C89" i="1"/>
  <c r="AF88" i="1"/>
  <c r="AC88" i="1"/>
  <c r="T88" i="1" s="1"/>
  <c r="AB88" i="1"/>
  <c r="Y88" i="1"/>
  <c r="Z88" i="1" s="1"/>
  <c r="W88" i="1"/>
  <c r="X88" i="1" s="1"/>
  <c r="O88" i="1"/>
  <c r="J88" i="1"/>
  <c r="H88" i="1"/>
  <c r="I88" i="1" s="1"/>
  <c r="C88" i="1"/>
  <c r="B88" i="1"/>
  <c r="G88" i="1" s="1"/>
  <c r="A88" i="1" s="1"/>
  <c r="AD88" i="1" s="1"/>
  <c r="AF87" i="1"/>
  <c r="Y87" i="1"/>
  <c r="Z87" i="1" s="1"/>
  <c r="O87" i="1"/>
  <c r="J87" i="1"/>
  <c r="H87" i="1"/>
  <c r="I87" i="1" s="1"/>
  <c r="C87" i="1"/>
  <c r="B87" i="1"/>
  <c r="G87" i="1" s="1"/>
  <c r="A87" i="1" s="1"/>
  <c r="AF86" i="1"/>
  <c r="Z86" i="1"/>
  <c r="Y86" i="1"/>
  <c r="O86" i="1"/>
  <c r="J86" i="1"/>
  <c r="H86" i="1"/>
  <c r="I86" i="1" s="1"/>
  <c r="C86" i="1"/>
  <c r="B86" i="1"/>
  <c r="G86" i="1" s="1"/>
  <c r="A86" i="1" s="1"/>
  <c r="AF85" i="1"/>
  <c r="Y85" i="1"/>
  <c r="Z85" i="1" s="1"/>
  <c r="O85" i="1"/>
  <c r="J85" i="1"/>
  <c r="H85" i="1"/>
  <c r="I85" i="1" s="1"/>
  <c r="C85" i="1"/>
  <c r="B85" i="1"/>
  <c r="G85" i="1" s="1"/>
  <c r="A85" i="1" s="1"/>
  <c r="AF84" i="1"/>
  <c r="Z84" i="1"/>
  <c r="Y84" i="1"/>
  <c r="O84" i="1"/>
  <c r="J84" i="1"/>
  <c r="H84" i="1"/>
  <c r="I84" i="1" s="1"/>
  <c r="C84" i="1"/>
  <c r="B84" i="1"/>
  <c r="G84" i="1" s="1"/>
  <c r="A84" i="1" s="1"/>
  <c r="AF83" i="1"/>
  <c r="Y83" i="1"/>
  <c r="Z83" i="1" s="1"/>
  <c r="O83" i="1"/>
  <c r="J83" i="1"/>
  <c r="H83" i="1"/>
  <c r="I83" i="1" s="1"/>
  <c r="C83" i="1"/>
  <c r="AF82" i="1"/>
  <c r="AC82" i="1"/>
  <c r="AB82" i="1"/>
  <c r="Y82" i="1"/>
  <c r="Z82" i="1" s="1"/>
  <c r="W82" i="1"/>
  <c r="X82" i="1" s="1"/>
  <c r="T82" i="1"/>
  <c r="O82" i="1"/>
  <c r="J82" i="1"/>
  <c r="H82" i="1"/>
  <c r="I82" i="1" s="1"/>
  <c r="C82" i="1"/>
  <c r="B82" i="1"/>
  <c r="G82" i="1" s="1"/>
  <c r="A82" i="1" s="1"/>
  <c r="AD82" i="1" s="1"/>
  <c r="AF81" i="1"/>
  <c r="AA81" i="1"/>
  <c r="Y81" i="1"/>
  <c r="Z81" i="1" s="1"/>
  <c r="O81" i="1"/>
  <c r="J81" i="1"/>
  <c r="I81" i="1"/>
  <c r="H81" i="1"/>
  <c r="C81" i="1"/>
  <c r="AF80" i="1"/>
  <c r="AC80" i="1"/>
  <c r="T80" i="1" s="1"/>
  <c r="AB80" i="1"/>
  <c r="AA80" i="1"/>
  <c r="Y80" i="1"/>
  <c r="Z80" i="1" s="1"/>
  <c r="W80" i="1"/>
  <c r="X80" i="1" s="1"/>
  <c r="O80" i="1"/>
  <c r="J80" i="1"/>
  <c r="H80" i="1"/>
  <c r="I80" i="1" s="1"/>
  <c r="C80" i="1"/>
  <c r="B80" i="1"/>
  <c r="G80" i="1" s="1"/>
  <c r="A80" i="1" s="1"/>
  <c r="AD80" i="1" s="1"/>
  <c r="AF79" i="1"/>
  <c r="Y79" i="1"/>
  <c r="Z79" i="1" s="1"/>
  <c r="O79" i="1"/>
  <c r="J79" i="1"/>
  <c r="I79" i="1"/>
  <c r="H79" i="1"/>
  <c r="C79" i="1"/>
  <c r="B79" i="1"/>
  <c r="G79" i="1" s="1"/>
  <c r="A79" i="1" s="1"/>
  <c r="AF78" i="1"/>
  <c r="Y78" i="1"/>
  <c r="Z78" i="1" s="1"/>
  <c r="O78" i="1"/>
  <c r="J78" i="1"/>
  <c r="H78" i="1"/>
  <c r="I78" i="1" s="1"/>
  <c r="C78" i="1"/>
  <c r="B78" i="1"/>
  <c r="G78" i="1" s="1"/>
  <c r="A78" i="1" s="1"/>
  <c r="AF77" i="1"/>
  <c r="Y77" i="1"/>
  <c r="Z77" i="1" s="1"/>
  <c r="O77" i="1"/>
  <c r="J77" i="1"/>
  <c r="I77" i="1"/>
  <c r="H77" i="1"/>
  <c r="C77" i="1"/>
  <c r="B77" i="1"/>
  <c r="G77" i="1" s="1"/>
  <c r="A77" i="1" s="1"/>
  <c r="AF76" i="1"/>
  <c r="Y76" i="1"/>
  <c r="Z76" i="1" s="1"/>
  <c r="O76" i="1"/>
  <c r="J76" i="1"/>
  <c r="H76" i="1"/>
  <c r="I76" i="1" s="1"/>
  <c r="C76" i="1"/>
  <c r="B76" i="1"/>
  <c r="G76" i="1" s="1"/>
  <c r="A76" i="1" s="1"/>
  <c r="AF75" i="1"/>
  <c r="Y75" i="1"/>
  <c r="Z75" i="1" s="1"/>
  <c r="O75" i="1"/>
  <c r="J75" i="1"/>
  <c r="I75" i="1"/>
  <c r="H75" i="1"/>
  <c r="C75" i="1"/>
  <c r="B75" i="1"/>
  <c r="G75" i="1" s="1"/>
  <c r="A75" i="1" s="1"/>
  <c r="AF74" i="1"/>
  <c r="Y74" i="1"/>
  <c r="Z74" i="1" s="1"/>
  <c r="O74" i="1"/>
  <c r="J74" i="1"/>
  <c r="H74" i="1"/>
  <c r="I74" i="1" s="1"/>
  <c r="C74" i="1"/>
  <c r="B74" i="1"/>
  <c r="G74" i="1" s="1"/>
  <c r="A74" i="1" s="1"/>
  <c r="AF73" i="1"/>
  <c r="Y73" i="1"/>
  <c r="Z73" i="1" s="1"/>
  <c r="O73" i="1"/>
  <c r="J73" i="1"/>
  <c r="I73" i="1"/>
  <c r="H73" i="1"/>
  <c r="C73" i="1"/>
  <c r="B73" i="1"/>
  <c r="G73" i="1" s="1"/>
  <c r="A73" i="1" s="1"/>
  <c r="AF72" i="1"/>
  <c r="Y72" i="1"/>
  <c r="Z72" i="1" s="1"/>
  <c r="O72" i="1"/>
  <c r="J72" i="1"/>
  <c r="H72" i="1"/>
  <c r="I72" i="1" s="1"/>
  <c r="C72" i="1"/>
  <c r="B72" i="1"/>
  <c r="G72" i="1" s="1"/>
  <c r="A72" i="1" s="1"/>
  <c r="AF71" i="1"/>
  <c r="Y71" i="1"/>
  <c r="Z71" i="1" s="1"/>
  <c r="O71" i="1"/>
  <c r="J71" i="1"/>
  <c r="I71" i="1"/>
  <c r="H71" i="1"/>
  <c r="C71" i="1"/>
  <c r="AF70" i="1"/>
  <c r="AC70" i="1"/>
  <c r="AB70" i="1"/>
  <c r="Y70" i="1"/>
  <c r="Z70" i="1" s="1"/>
  <c r="W70" i="1"/>
  <c r="X70" i="1" s="1"/>
  <c r="T70" i="1"/>
  <c r="O70" i="1"/>
  <c r="J70" i="1"/>
  <c r="H70" i="1"/>
  <c r="I70" i="1" s="1"/>
  <c r="C70" i="1"/>
  <c r="B70" i="1"/>
  <c r="G70" i="1" s="1"/>
  <c r="A70" i="1" s="1"/>
  <c r="AD70" i="1" s="1"/>
  <c r="AF69" i="1"/>
  <c r="Y69" i="1"/>
  <c r="Z69" i="1" s="1"/>
  <c r="O69" i="1"/>
  <c r="J69" i="1"/>
  <c r="H69" i="1"/>
  <c r="I69" i="1" s="1"/>
  <c r="C69" i="1"/>
  <c r="B69" i="1"/>
  <c r="G69" i="1" s="1"/>
  <c r="A69" i="1" s="1"/>
  <c r="AF68" i="1"/>
  <c r="Z68" i="1"/>
  <c r="Y68" i="1"/>
  <c r="O68" i="1"/>
  <c r="J68" i="1"/>
  <c r="H68" i="1"/>
  <c r="I68" i="1" s="1"/>
  <c r="C68" i="1"/>
  <c r="B68" i="1"/>
  <c r="G68" i="1" s="1"/>
  <c r="A68" i="1" s="1"/>
  <c r="AF67" i="1"/>
  <c r="AA67" i="1"/>
  <c r="Y67" i="1"/>
  <c r="Z67" i="1" s="1"/>
  <c r="O67" i="1"/>
  <c r="J67" i="1"/>
  <c r="I67" i="1"/>
  <c r="H67" i="1"/>
  <c r="C67" i="1"/>
  <c r="B67" i="1"/>
  <c r="G67" i="1" s="1"/>
  <c r="A67" i="1" s="1"/>
  <c r="AF66" i="1"/>
  <c r="Y66" i="1"/>
  <c r="Z66" i="1" s="1"/>
  <c r="O66" i="1"/>
  <c r="J66" i="1"/>
  <c r="H66" i="1"/>
  <c r="I66" i="1" s="1"/>
  <c r="C66" i="1"/>
  <c r="B66" i="1"/>
  <c r="G66" i="1" s="1"/>
  <c r="A66" i="1" s="1"/>
  <c r="AF65" i="1"/>
  <c r="Y65" i="1"/>
  <c r="Z65" i="1" s="1"/>
  <c r="O65" i="1"/>
  <c r="J65" i="1"/>
  <c r="H65" i="1"/>
  <c r="I65" i="1" s="1"/>
  <c r="C65" i="1"/>
  <c r="B65" i="1"/>
  <c r="G65" i="1" s="1"/>
  <c r="A65" i="1" s="1"/>
  <c r="AF64" i="1"/>
  <c r="Z64" i="1"/>
  <c r="Y64" i="1"/>
  <c r="O64" i="1"/>
  <c r="J64" i="1"/>
  <c r="H64" i="1"/>
  <c r="I64" i="1" s="1"/>
  <c r="C64" i="1"/>
  <c r="B64" i="1"/>
  <c r="G64" i="1" s="1"/>
  <c r="A64" i="1" s="1"/>
  <c r="AF63" i="1"/>
  <c r="AA63" i="1"/>
  <c r="Y63" i="1"/>
  <c r="Z63" i="1" s="1"/>
  <c r="O63" i="1"/>
  <c r="J63" i="1"/>
  <c r="I63" i="1"/>
  <c r="H63" i="1"/>
  <c r="C63" i="1"/>
  <c r="B63" i="1"/>
  <c r="G63" i="1" s="1"/>
  <c r="A63" i="1" s="1"/>
  <c r="AF62" i="1"/>
  <c r="Y62" i="1"/>
  <c r="Z62" i="1" s="1"/>
  <c r="O62" i="1"/>
  <c r="J62" i="1"/>
  <c r="H62" i="1"/>
  <c r="I62" i="1" s="1"/>
  <c r="C62" i="1"/>
  <c r="B62" i="1"/>
  <c r="G62" i="1" s="1"/>
  <c r="A62" i="1" s="1"/>
  <c r="AF61" i="1"/>
  <c r="Y61" i="1"/>
  <c r="Z61" i="1" s="1"/>
  <c r="O61" i="1"/>
  <c r="J61" i="1"/>
  <c r="H61" i="1"/>
  <c r="I61" i="1" s="1"/>
  <c r="C61" i="1"/>
  <c r="B61" i="1"/>
  <c r="G61" i="1" s="1"/>
  <c r="A61" i="1" s="1"/>
  <c r="AF60" i="1"/>
  <c r="Z60" i="1"/>
  <c r="Y60" i="1"/>
  <c r="O60" i="1"/>
  <c r="J60" i="1"/>
  <c r="H60" i="1"/>
  <c r="I60" i="1" s="1"/>
  <c r="C60" i="1"/>
  <c r="B60" i="1"/>
  <c r="G60" i="1" s="1"/>
  <c r="A60" i="1" s="1"/>
  <c r="AF59" i="1"/>
  <c r="AA59" i="1"/>
  <c r="Y59" i="1"/>
  <c r="Z59" i="1" s="1"/>
  <c r="O59" i="1"/>
  <c r="J59" i="1"/>
  <c r="I59" i="1"/>
  <c r="H59" i="1"/>
  <c r="C59" i="1"/>
  <c r="B59" i="1"/>
  <c r="G59" i="1" s="1"/>
  <c r="A59" i="1" s="1"/>
  <c r="AF58" i="1"/>
  <c r="Y58" i="1"/>
  <c r="Z58" i="1" s="1"/>
  <c r="O58" i="1"/>
  <c r="J58" i="1"/>
  <c r="H58" i="1"/>
  <c r="I58" i="1" s="1"/>
  <c r="C58" i="1"/>
  <c r="B58" i="1"/>
  <c r="G58" i="1" s="1"/>
  <c r="A58" i="1" s="1"/>
  <c r="AF57" i="1"/>
  <c r="Y57" i="1"/>
  <c r="Z57" i="1" s="1"/>
  <c r="O57" i="1"/>
  <c r="J57" i="1"/>
  <c r="H57" i="1"/>
  <c r="I57" i="1" s="1"/>
  <c r="C57" i="1"/>
  <c r="B57" i="1"/>
  <c r="G57" i="1" s="1"/>
  <c r="A57" i="1" s="1"/>
  <c r="AF56" i="1"/>
  <c r="Z56" i="1"/>
  <c r="Y56" i="1"/>
  <c r="O56" i="1"/>
  <c r="J56" i="1"/>
  <c r="H56" i="1"/>
  <c r="I56" i="1" s="1"/>
  <c r="C56" i="1"/>
  <c r="AF55" i="1"/>
  <c r="AC55" i="1"/>
  <c r="AB55" i="1"/>
  <c r="Y55" i="1"/>
  <c r="AA55" i="1" s="1"/>
  <c r="W55" i="1"/>
  <c r="X55" i="1" s="1"/>
  <c r="T55" i="1"/>
  <c r="O55" i="1"/>
  <c r="J55" i="1"/>
  <c r="H55" i="1"/>
  <c r="I55" i="1" s="1"/>
  <c r="C55" i="1"/>
  <c r="B55" i="1"/>
  <c r="G55" i="1" s="1"/>
  <c r="A55" i="1" s="1"/>
  <c r="AD55" i="1" s="1"/>
  <c r="AF54" i="1"/>
  <c r="Z54" i="1"/>
  <c r="Y54" i="1"/>
  <c r="O54" i="1"/>
  <c r="J54" i="1"/>
  <c r="H54" i="1"/>
  <c r="I54" i="1" s="1"/>
  <c r="C54" i="1"/>
  <c r="B54" i="1"/>
  <c r="G54" i="1" s="1"/>
  <c r="A54" i="1" s="1"/>
  <c r="AF53" i="1"/>
  <c r="Y53" i="1"/>
  <c r="AA53" i="1" s="1"/>
  <c r="O53" i="1"/>
  <c r="J53" i="1"/>
  <c r="H53" i="1"/>
  <c r="I53" i="1" s="1"/>
  <c r="C53" i="1"/>
  <c r="AF52" i="1"/>
  <c r="AC52" i="1"/>
  <c r="AB52" i="1"/>
  <c r="Y52" i="1"/>
  <c r="AA52" i="1" s="1"/>
  <c r="W52" i="1"/>
  <c r="X52" i="1" s="1"/>
  <c r="T52" i="1"/>
  <c r="O52" i="1"/>
  <c r="J52" i="1"/>
  <c r="H52" i="1"/>
  <c r="I52" i="1" s="1"/>
  <c r="C52" i="1"/>
  <c r="B52" i="1"/>
  <c r="G52" i="1" s="1"/>
  <c r="A52" i="1" s="1"/>
  <c r="AD52" i="1" s="1"/>
  <c r="AH51" i="1"/>
  <c r="AF51" i="1"/>
  <c r="Y51" i="1"/>
  <c r="Z51" i="1" s="1"/>
  <c r="O51" i="1"/>
  <c r="J51" i="1"/>
  <c r="H51" i="1"/>
  <c r="I51" i="1" s="1"/>
  <c r="C51" i="1"/>
  <c r="B51" i="1"/>
  <c r="G51" i="1" s="1"/>
  <c r="A51" i="1" s="1"/>
  <c r="AF50" i="1"/>
  <c r="Y50" i="1"/>
  <c r="O50" i="1"/>
  <c r="J50" i="1"/>
  <c r="I50" i="1"/>
  <c r="H50" i="1"/>
  <c r="C50" i="1"/>
  <c r="AF49" i="1"/>
  <c r="AC49" i="1"/>
  <c r="AB49" i="1"/>
  <c r="Y49" i="1"/>
  <c r="AA49" i="1" s="1"/>
  <c r="W49" i="1"/>
  <c r="X49" i="1" s="1"/>
  <c r="T49" i="1"/>
  <c r="O49" i="1"/>
  <c r="J49" i="1"/>
  <c r="H49" i="1"/>
  <c r="I49" i="1" s="1"/>
  <c r="C49" i="1"/>
  <c r="B49" i="1"/>
  <c r="G49" i="1" s="1"/>
  <c r="A49" i="1" s="1"/>
  <c r="AD49" i="1" s="1"/>
  <c r="AF48" i="1"/>
  <c r="Y48" i="1"/>
  <c r="O48" i="1"/>
  <c r="J48" i="1"/>
  <c r="I48" i="1"/>
  <c r="H48" i="1"/>
  <c r="C48" i="1"/>
  <c r="B48" i="1"/>
  <c r="G48" i="1" s="1"/>
  <c r="A48" i="1" s="1"/>
  <c r="AF47" i="1"/>
  <c r="Y47" i="1"/>
  <c r="Z47" i="1" s="1"/>
  <c r="O47" i="1"/>
  <c r="J47" i="1"/>
  <c r="H47" i="1"/>
  <c r="I47" i="1" s="1"/>
  <c r="C47" i="1"/>
  <c r="B47" i="1"/>
  <c r="G47" i="1" s="1"/>
  <c r="A47" i="1" s="1"/>
  <c r="AF46" i="1"/>
  <c r="Y46" i="1"/>
  <c r="O46" i="1"/>
  <c r="J46" i="1"/>
  <c r="I46" i="1"/>
  <c r="H46" i="1"/>
  <c r="C46" i="1"/>
  <c r="B46" i="1"/>
  <c r="G46" i="1" s="1"/>
  <c r="A46" i="1" s="1"/>
  <c r="AF45" i="1"/>
  <c r="Y45" i="1"/>
  <c r="Z45" i="1" s="1"/>
  <c r="O45" i="1"/>
  <c r="J45" i="1"/>
  <c r="H45" i="1"/>
  <c r="I45" i="1" s="1"/>
  <c r="C45" i="1"/>
  <c r="AF44" i="1"/>
  <c r="AC44" i="1"/>
  <c r="T44" i="1" s="1"/>
  <c r="AB44" i="1"/>
  <c r="Z44" i="1"/>
  <c r="Y44" i="1"/>
  <c r="AA44" i="1" s="1"/>
  <c r="W44" i="1"/>
  <c r="X44" i="1" s="1"/>
  <c r="O44" i="1"/>
  <c r="J44" i="1"/>
  <c r="I44" i="1"/>
  <c r="H44" i="1"/>
  <c r="C44" i="1"/>
  <c r="B44" i="1"/>
  <c r="G44" i="1" s="1"/>
  <c r="A44" i="1" s="1"/>
  <c r="AD44" i="1" s="1"/>
  <c r="AF43" i="1"/>
  <c r="Y43" i="1"/>
  <c r="Z43" i="1" s="1"/>
  <c r="O43" i="1"/>
  <c r="J43" i="1"/>
  <c r="H43" i="1"/>
  <c r="I43" i="1" s="1"/>
  <c r="C43" i="1"/>
  <c r="B43" i="1"/>
  <c r="G43" i="1" s="1"/>
  <c r="A43" i="1" s="1"/>
  <c r="AF42" i="1"/>
  <c r="Y42" i="1"/>
  <c r="O42" i="1"/>
  <c r="J42" i="1"/>
  <c r="I42" i="1"/>
  <c r="H42" i="1"/>
  <c r="C42" i="1"/>
  <c r="AF41" i="1"/>
  <c r="AC41" i="1"/>
  <c r="AB41" i="1"/>
  <c r="Y41" i="1"/>
  <c r="Z41" i="1" s="1"/>
  <c r="W41" i="1"/>
  <c r="X41" i="1" s="1"/>
  <c r="T41" i="1"/>
  <c r="O41" i="1"/>
  <c r="J41" i="1"/>
  <c r="H41" i="1"/>
  <c r="I41" i="1" s="1"/>
  <c r="C41" i="1"/>
  <c r="B41" i="1"/>
  <c r="G41" i="1" s="1"/>
  <c r="A41" i="1" s="1"/>
  <c r="AD41" i="1" s="1"/>
  <c r="AF40" i="1"/>
  <c r="Y40" i="1"/>
  <c r="Z40" i="1" s="1"/>
  <c r="O40" i="1"/>
  <c r="J40" i="1"/>
  <c r="I40" i="1"/>
  <c r="H40" i="1"/>
  <c r="C40" i="1"/>
  <c r="B40" i="1"/>
  <c r="G40" i="1" s="1"/>
  <c r="A40" i="1" s="1"/>
  <c r="AF39" i="1"/>
  <c r="Y39" i="1"/>
  <c r="Z39" i="1" s="1"/>
  <c r="O39" i="1"/>
  <c r="J39" i="1"/>
  <c r="H39" i="1"/>
  <c r="I39" i="1" s="1"/>
  <c r="C39" i="1"/>
  <c r="B39" i="1"/>
  <c r="G39" i="1" s="1"/>
  <c r="A39" i="1" s="1"/>
  <c r="AF38" i="1"/>
  <c r="Y38" i="1"/>
  <c r="Z38" i="1" s="1"/>
  <c r="O38" i="1"/>
  <c r="J38" i="1"/>
  <c r="I38" i="1"/>
  <c r="H38" i="1"/>
  <c r="C38" i="1"/>
  <c r="B38" i="1"/>
  <c r="G38" i="1" s="1"/>
  <c r="A38" i="1" s="1"/>
  <c r="AF37" i="1"/>
  <c r="Y37" i="1"/>
  <c r="Z37" i="1" s="1"/>
  <c r="O37" i="1"/>
  <c r="J37" i="1"/>
  <c r="H37" i="1"/>
  <c r="I37" i="1" s="1"/>
  <c r="C37" i="1"/>
  <c r="B37" i="1"/>
  <c r="G37" i="1" s="1"/>
  <c r="A37" i="1" s="1"/>
  <c r="AF36" i="1"/>
  <c r="Y36" i="1"/>
  <c r="Z36" i="1" s="1"/>
  <c r="O36" i="1"/>
  <c r="J36" i="1"/>
  <c r="I36" i="1"/>
  <c r="H36" i="1"/>
  <c r="C36" i="1"/>
  <c r="B36" i="1"/>
  <c r="G36" i="1" s="1"/>
  <c r="A36" i="1" s="1"/>
  <c r="AF35" i="1"/>
  <c r="Y35" i="1"/>
  <c r="Z35" i="1" s="1"/>
  <c r="O35" i="1"/>
  <c r="J35" i="1"/>
  <c r="H35" i="1"/>
  <c r="I35" i="1" s="1"/>
  <c r="C35" i="1"/>
  <c r="AF34" i="1"/>
  <c r="AC34" i="1"/>
  <c r="T34" i="1" s="1"/>
  <c r="AB34" i="1"/>
  <c r="Z34" i="1"/>
  <c r="Y34" i="1"/>
  <c r="AA34" i="1" s="1"/>
  <c r="W34" i="1"/>
  <c r="X34" i="1" s="1"/>
  <c r="O34" i="1"/>
  <c r="J34" i="1"/>
  <c r="I34" i="1"/>
  <c r="H34" i="1"/>
  <c r="C34" i="1"/>
  <c r="B34" i="1"/>
  <c r="G34" i="1" s="1"/>
  <c r="A34" i="1" s="1"/>
  <c r="AD34" i="1" s="1"/>
  <c r="AF33" i="1"/>
  <c r="Y33" i="1"/>
  <c r="Z33" i="1" s="1"/>
  <c r="O33" i="1"/>
  <c r="J33" i="1"/>
  <c r="H33" i="1"/>
  <c r="I33" i="1" s="1"/>
  <c r="C33" i="1"/>
  <c r="B33" i="1"/>
  <c r="G33" i="1" s="1"/>
  <c r="A33" i="1" s="1"/>
  <c r="AF32" i="1"/>
  <c r="Y32" i="1"/>
  <c r="Z32" i="1" s="1"/>
  <c r="O32" i="1"/>
  <c r="J32" i="1"/>
  <c r="I32" i="1"/>
  <c r="H32" i="1"/>
  <c r="C32" i="1"/>
  <c r="AF31" i="1"/>
  <c r="AC31" i="1"/>
  <c r="AB31" i="1"/>
  <c r="Y31" i="1"/>
  <c r="AA31" i="1" s="1"/>
  <c r="W31" i="1"/>
  <c r="X31" i="1" s="1"/>
  <c r="T31" i="1"/>
  <c r="O31" i="1"/>
  <c r="J31" i="1"/>
  <c r="H31" i="1"/>
  <c r="I31" i="1" s="1"/>
  <c r="C31" i="1"/>
  <c r="B31" i="1"/>
  <c r="G31" i="1" s="1"/>
  <c r="A31" i="1" s="1"/>
  <c r="AD31" i="1" s="1"/>
  <c r="AF30" i="1"/>
  <c r="Y30" i="1"/>
  <c r="O30" i="1"/>
  <c r="J30" i="1"/>
  <c r="I30" i="1"/>
  <c r="H30" i="1"/>
  <c r="C30" i="1"/>
  <c r="B30" i="1"/>
  <c r="G30" i="1" s="1"/>
  <c r="A30" i="1" s="1"/>
  <c r="AF29" i="1"/>
  <c r="Y29" i="1"/>
  <c r="Z29" i="1" s="1"/>
  <c r="O29" i="1"/>
  <c r="J29" i="1"/>
  <c r="H29" i="1"/>
  <c r="I29" i="1" s="1"/>
  <c r="C29" i="1"/>
  <c r="B29" i="1"/>
  <c r="G29" i="1" s="1"/>
  <c r="A29" i="1" s="1"/>
  <c r="AF28" i="1"/>
  <c r="Y28" i="1"/>
  <c r="O28" i="1"/>
  <c r="J28" i="1"/>
  <c r="I28" i="1"/>
  <c r="H28" i="1"/>
  <c r="C28" i="1"/>
  <c r="B28" i="1"/>
  <c r="G28" i="1" s="1"/>
  <c r="A28" i="1" s="1"/>
  <c r="AF27" i="1"/>
  <c r="Y27" i="1"/>
  <c r="Z27" i="1" s="1"/>
  <c r="O27" i="1"/>
  <c r="J27" i="1"/>
  <c r="H27" i="1"/>
  <c r="I27" i="1" s="1"/>
  <c r="C27" i="1"/>
  <c r="B27" i="1"/>
  <c r="G27" i="1" s="1"/>
  <c r="A27" i="1" s="1"/>
  <c r="AF26" i="1"/>
  <c r="Y26" i="1"/>
  <c r="O26" i="1"/>
  <c r="J26" i="1"/>
  <c r="I26" i="1"/>
  <c r="H26" i="1"/>
  <c r="C26" i="1"/>
  <c r="B26" i="1"/>
  <c r="G26" i="1" s="1"/>
  <c r="A26" i="1" s="1"/>
  <c r="AF25" i="1"/>
  <c r="Y25" i="1"/>
  <c r="Z25" i="1" s="1"/>
  <c r="O25" i="1"/>
  <c r="J25" i="1"/>
  <c r="H25" i="1"/>
  <c r="I25" i="1" s="1"/>
  <c r="C25" i="1"/>
  <c r="AF24" i="1"/>
  <c r="AC24" i="1"/>
  <c r="T24" i="1" s="1"/>
  <c r="AB24" i="1"/>
  <c r="Z24" i="1"/>
  <c r="Y24" i="1"/>
  <c r="AA24" i="1" s="1"/>
  <c r="W24" i="1"/>
  <c r="X24" i="1" s="1"/>
  <c r="O24" i="1"/>
  <c r="J24" i="1"/>
  <c r="I24" i="1"/>
  <c r="H24" i="1"/>
  <c r="C24" i="1"/>
  <c r="B24" i="1"/>
  <c r="G24" i="1" s="1"/>
  <c r="A24" i="1" s="1"/>
  <c r="AD24" i="1" s="1"/>
  <c r="AF23" i="1"/>
  <c r="Y23" i="1"/>
  <c r="Z23" i="1" s="1"/>
  <c r="O23" i="1"/>
  <c r="J23" i="1"/>
  <c r="H23" i="1"/>
  <c r="I23" i="1" s="1"/>
  <c r="C23" i="1"/>
  <c r="B23" i="1"/>
  <c r="G23" i="1" s="1"/>
  <c r="A23" i="1" s="1"/>
  <c r="AF22" i="1"/>
  <c r="Y22" i="1"/>
  <c r="O22" i="1"/>
  <c r="J22" i="1"/>
  <c r="I22" i="1"/>
  <c r="H22" i="1"/>
  <c r="C22" i="1"/>
  <c r="B22" i="1"/>
  <c r="G22" i="1" s="1"/>
  <c r="A22" i="1" s="1"/>
  <c r="AF21" i="1"/>
  <c r="Y21" i="1"/>
  <c r="Z21" i="1" s="1"/>
  <c r="O21" i="1"/>
  <c r="J21" i="1"/>
  <c r="H21" i="1"/>
  <c r="I21" i="1" s="1"/>
  <c r="C21" i="1"/>
  <c r="B21" i="1"/>
  <c r="G21" i="1" s="1"/>
  <c r="A21" i="1" s="1"/>
  <c r="AF20" i="1"/>
  <c r="Y20" i="1"/>
  <c r="O20" i="1"/>
  <c r="J20" i="1"/>
  <c r="I20" i="1"/>
  <c r="H20" i="1"/>
  <c r="C20" i="1"/>
  <c r="AF19" i="1"/>
  <c r="AC19" i="1"/>
  <c r="AB19" i="1"/>
  <c r="Y19" i="1"/>
  <c r="AA19" i="1" s="1"/>
  <c r="W19" i="1"/>
  <c r="X19" i="1" s="1"/>
  <c r="T19" i="1"/>
  <c r="O19" i="1"/>
  <c r="J19" i="1"/>
  <c r="H19" i="1"/>
  <c r="I19" i="1" s="1"/>
  <c r="C19" i="1"/>
  <c r="B19" i="1"/>
  <c r="G19" i="1" s="1"/>
  <c r="A19" i="1" s="1"/>
  <c r="AD19" i="1" s="1"/>
  <c r="AF18" i="1"/>
  <c r="Y18" i="1"/>
  <c r="O18" i="1"/>
  <c r="J18" i="1"/>
  <c r="I18" i="1"/>
  <c r="H18" i="1"/>
  <c r="C18" i="1"/>
  <c r="B18" i="1"/>
  <c r="G18" i="1" s="1"/>
  <c r="A18" i="1" s="1"/>
  <c r="AF17" i="1"/>
  <c r="Y17" i="1"/>
  <c r="Z17" i="1" s="1"/>
  <c r="O17" i="1"/>
  <c r="J17" i="1"/>
  <c r="H17" i="1"/>
  <c r="I17" i="1" s="1"/>
  <c r="C17" i="1"/>
  <c r="AF16" i="1"/>
  <c r="AC16" i="1"/>
  <c r="T16" i="1" s="1"/>
  <c r="AB16" i="1"/>
  <c r="Z16" i="1"/>
  <c r="Y16" i="1"/>
  <c r="AA16" i="1" s="1"/>
  <c r="W16" i="1"/>
  <c r="X16" i="1" s="1"/>
  <c r="O16" i="1"/>
  <c r="J16" i="1"/>
  <c r="I16" i="1"/>
  <c r="H16" i="1"/>
  <c r="C16" i="1"/>
  <c r="B16" i="1"/>
  <c r="G16" i="1" s="1"/>
  <c r="A16" i="1" s="1"/>
  <c r="AD16" i="1" s="1"/>
  <c r="AF15" i="1"/>
  <c r="Y15" i="1"/>
  <c r="Z15" i="1" s="1"/>
  <c r="O15" i="1"/>
  <c r="J15" i="1"/>
  <c r="H15" i="1"/>
  <c r="I15" i="1" s="1"/>
  <c r="C15" i="1"/>
  <c r="B15" i="1"/>
  <c r="G15" i="1" s="1"/>
  <c r="A15" i="1" s="1"/>
  <c r="AF14" i="1"/>
  <c r="Y14" i="1"/>
  <c r="O14" i="1"/>
  <c r="J14" i="1"/>
  <c r="I14" i="1"/>
  <c r="H14" i="1"/>
  <c r="C14" i="1"/>
  <c r="B14" i="1"/>
  <c r="G14" i="1" s="1"/>
  <c r="A14" i="1" s="1"/>
  <c r="AF13" i="1"/>
  <c r="Y13" i="1"/>
  <c r="Z13" i="1" s="1"/>
  <c r="O13" i="1"/>
  <c r="J13" i="1"/>
  <c r="H13" i="1"/>
  <c r="I13" i="1" s="1"/>
  <c r="C13" i="1"/>
  <c r="AF12" i="1"/>
  <c r="AC12" i="1"/>
  <c r="T12" i="1" s="1"/>
  <c r="AB12" i="1"/>
  <c r="Z12" i="1"/>
  <c r="Y12" i="1"/>
  <c r="AA12" i="1" s="1"/>
  <c r="W12" i="1"/>
  <c r="X12" i="1" s="1"/>
  <c r="O12" i="1"/>
  <c r="J12" i="1"/>
  <c r="I12" i="1"/>
  <c r="H12" i="1"/>
  <c r="C12" i="1"/>
  <c r="B12" i="1"/>
  <c r="G12" i="1" s="1"/>
  <c r="A12" i="1" s="1"/>
  <c r="AD12" i="1" s="1"/>
  <c r="AF11" i="1"/>
  <c r="Y11" i="1"/>
  <c r="Z11" i="1" s="1"/>
  <c r="O11" i="1"/>
  <c r="J11" i="1"/>
  <c r="H11" i="1"/>
  <c r="I11" i="1" s="1"/>
  <c r="C11" i="1"/>
  <c r="B11" i="1"/>
  <c r="G11" i="1" s="1"/>
  <c r="A11" i="1" s="1"/>
  <c r="AF10" i="1"/>
  <c r="Y10" i="1"/>
  <c r="O10" i="1"/>
  <c r="J10" i="1"/>
  <c r="I10" i="1"/>
  <c r="H10" i="1"/>
  <c r="C10" i="1"/>
  <c r="AF9" i="1"/>
  <c r="AC9" i="1"/>
  <c r="AB9" i="1"/>
  <c r="Y9" i="1"/>
  <c r="AA9" i="1" s="1"/>
  <c r="W9" i="1"/>
  <c r="X9" i="1" s="1"/>
  <c r="T9" i="1"/>
  <c r="O9" i="1"/>
  <c r="J9" i="1"/>
  <c r="H9" i="1"/>
  <c r="I9" i="1" s="1"/>
  <c r="C9" i="1"/>
  <c r="B9" i="1"/>
  <c r="G9" i="1" s="1"/>
  <c r="A9" i="1" s="1"/>
  <c r="AD9" i="1" s="1"/>
  <c r="AF8" i="1"/>
  <c r="Y8" i="1"/>
  <c r="O8" i="1"/>
  <c r="J8" i="1"/>
  <c r="I8" i="1"/>
  <c r="H8" i="1"/>
  <c r="C8" i="1"/>
  <c r="B8" i="1"/>
  <c r="G8" i="1" s="1"/>
  <c r="A8" i="1" s="1"/>
  <c r="AF7" i="1"/>
  <c r="Y7" i="1"/>
  <c r="Z7" i="1" s="1"/>
  <c r="O7" i="1"/>
  <c r="J7" i="1"/>
  <c r="H7" i="1"/>
  <c r="I7" i="1" s="1"/>
  <c r="C7" i="1"/>
  <c r="B7" i="1"/>
  <c r="G7" i="1" s="1"/>
  <c r="A7" i="1" s="1"/>
  <c r="AF6" i="1"/>
  <c r="Y6" i="1"/>
  <c r="Z6" i="1" s="1"/>
  <c r="O6" i="1"/>
  <c r="J6" i="1"/>
  <c r="I6" i="1"/>
  <c r="H6" i="1"/>
  <c r="C6" i="1"/>
  <c r="AF5" i="1"/>
  <c r="AC5" i="1"/>
  <c r="AB5" i="1"/>
  <c r="Y5" i="1"/>
  <c r="AA5" i="1" s="1"/>
  <c r="W5" i="1"/>
  <c r="X5" i="1" s="1"/>
  <c r="T5" i="1"/>
  <c r="O5" i="1"/>
  <c r="J5" i="1"/>
  <c r="H5" i="1"/>
  <c r="I5" i="1" s="1"/>
  <c r="C5" i="1"/>
  <c r="B5" i="1"/>
  <c r="G5" i="1" s="1"/>
  <c r="A5" i="1" s="1"/>
  <c r="AD5" i="1" s="1"/>
  <c r="AF4" i="1"/>
  <c r="Y4" i="1"/>
  <c r="O4" i="1"/>
  <c r="J4" i="1"/>
  <c r="I4" i="1"/>
  <c r="H4" i="1"/>
  <c r="C4" i="1"/>
  <c r="AF3" i="1"/>
  <c r="AC3" i="1"/>
  <c r="AB3" i="1"/>
  <c r="Y3" i="1"/>
  <c r="Z3" i="1" s="1"/>
  <c r="W3" i="1"/>
  <c r="X3" i="1" s="1"/>
  <c r="T3" i="1"/>
  <c r="O3" i="1"/>
  <c r="J3" i="1"/>
  <c r="H3" i="1"/>
  <c r="B3" i="1" s="1"/>
  <c r="G3" i="1" s="1"/>
  <c r="A3" i="1" s="1"/>
  <c r="C3" i="1"/>
  <c r="A1" i="1"/>
  <c r="B4" i="1"/>
  <c r="B6" i="1"/>
  <c r="B10" i="1"/>
  <c r="B13" i="1"/>
  <c r="B17" i="1"/>
  <c r="B20" i="1"/>
  <c r="B25" i="1"/>
  <c r="B32" i="1"/>
  <c r="B35" i="1"/>
  <c r="B42" i="1"/>
  <c r="B45" i="1"/>
  <c r="B50" i="1"/>
  <c r="B53" i="1"/>
  <c r="B56" i="1"/>
  <c r="B71" i="1"/>
  <c r="B81" i="1"/>
  <c r="B83" i="1"/>
  <c r="B89" i="1"/>
  <c r="B97" i="1"/>
  <c r="B102" i="1"/>
  <c r="B109" i="1"/>
  <c r="B115" i="1" s="1"/>
  <c r="Z140" i="1" l="1"/>
  <c r="AB140" i="1" s="1"/>
  <c r="AC140" i="1" s="1"/>
  <c r="T140" i="1" s="1"/>
  <c r="AC136" i="1"/>
  <c r="T136" i="1" s="1"/>
  <c r="Z136" i="1"/>
  <c r="AB136" i="1" s="1"/>
  <c r="Z134" i="1"/>
  <c r="AB134" i="1" s="1"/>
  <c r="AC134" i="1" s="1"/>
  <c r="T134" i="1" s="1"/>
  <c r="Z132" i="1"/>
  <c r="AB132" i="1" s="1"/>
  <c r="AC132" i="1" s="1"/>
  <c r="T132" i="1" s="1"/>
  <c r="Z55" i="1"/>
  <c r="AA57" i="1"/>
  <c r="AA61" i="1"/>
  <c r="AA65" i="1"/>
  <c r="AA69" i="1"/>
  <c r="AA88" i="1"/>
  <c r="AA89" i="1"/>
  <c r="AA93" i="1"/>
  <c r="Z101" i="1"/>
  <c r="AA108" i="1"/>
  <c r="AA114" i="1"/>
  <c r="AA115" i="1"/>
  <c r="AA119" i="1"/>
  <c r="Z125" i="1"/>
  <c r="Z129" i="1"/>
  <c r="AB129" i="1" s="1"/>
  <c r="AC129" i="1" s="1"/>
  <c r="T129" i="1" s="1"/>
  <c r="Z131" i="1"/>
  <c r="Z133" i="1"/>
  <c r="Z135" i="1"/>
  <c r="AB135" i="1" s="1"/>
  <c r="AC135" i="1" s="1"/>
  <c r="T135" i="1" s="1"/>
  <c r="Z137" i="1"/>
  <c r="Z139" i="1"/>
  <c r="AB139" i="1" s="1"/>
  <c r="AC139" i="1" s="1"/>
  <c r="T139" i="1" s="1"/>
  <c r="Z141" i="1"/>
  <c r="AB141" i="1" s="1"/>
  <c r="AC141" i="1" s="1"/>
  <c r="T141" i="1" s="1"/>
  <c r="Z143" i="1"/>
  <c r="AB143" i="1" s="1"/>
  <c r="AC143" i="1" s="1"/>
  <c r="T143" i="1" s="1"/>
  <c r="Z145" i="1"/>
  <c r="AB145" i="1" s="1"/>
  <c r="AC145" i="1" s="1"/>
  <c r="T145" i="1" s="1"/>
  <c r="Z147" i="1"/>
  <c r="Z149" i="1"/>
  <c r="Z151" i="1"/>
  <c r="Z153" i="1"/>
  <c r="Z155" i="1"/>
  <c r="Z157" i="1"/>
  <c r="Z159" i="1"/>
  <c r="Z161" i="1"/>
  <c r="Z163" i="1"/>
  <c r="Z165" i="1"/>
  <c r="Z167" i="1"/>
  <c r="Z169" i="1"/>
  <c r="Z171" i="1"/>
  <c r="Z173" i="1"/>
  <c r="Z175" i="1"/>
  <c r="Z177" i="1"/>
  <c r="Z179" i="1"/>
  <c r="Z181" i="1"/>
  <c r="AA185" i="1"/>
  <c r="Z185" i="1"/>
  <c r="AA189" i="1"/>
  <c r="Z189" i="1"/>
  <c r="AA193" i="1"/>
  <c r="Z193" i="1"/>
  <c r="AA197" i="1"/>
  <c r="Z197" i="1"/>
  <c r="AA201" i="1"/>
  <c r="Z201" i="1"/>
  <c r="AA183" i="1"/>
  <c r="Z183" i="1"/>
  <c r="AA187" i="1"/>
  <c r="Z187" i="1"/>
  <c r="AA191" i="1"/>
  <c r="Z191" i="1"/>
  <c r="AA195" i="1"/>
  <c r="Z195" i="1"/>
  <c r="AA199" i="1"/>
  <c r="Z199" i="1"/>
  <c r="AA203" i="1"/>
  <c r="Z203" i="1"/>
  <c r="Z205" i="1"/>
  <c r="Z207" i="1"/>
  <c r="Z209" i="1"/>
  <c r="Z211" i="1"/>
  <c r="Z213" i="1"/>
  <c r="Z215" i="1"/>
  <c r="Z217" i="1"/>
  <c r="Z219" i="1"/>
  <c r="Z221" i="1"/>
  <c r="Z223" i="1"/>
  <c r="Z225" i="1"/>
  <c r="Z227" i="1"/>
  <c r="Z229" i="1"/>
  <c r="Z231" i="1"/>
  <c r="Z233" i="1"/>
  <c r="Z235" i="1"/>
  <c r="AA286" i="1"/>
  <c r="Z286" i="1"/>
  <c r="AA290" i="1"/>
  <c r="Z290" i="1"/>
  <c r="AA294" i="1"/>
  <c r="Z294" i="1"/>
  <c r="AA298" i="1"/>
  <c r="Z298" i="1"/>
  <c r="AA302" i="1"/>
  <c r="Z302" i="1"/>
  <c r="AA306" i="1"/>
  <c r="Z306" i="1"/>
  <c r="AA310" i="1"/>
  <c r="Z310" i="1"/>
  <c r="AA314" i="1"/>
  <c r="Z314" i="1"/>
  <c r="AA318" i="1"/>
  <c r="Z318" i="1"/>
  <c r="AA322" i="1"/>
  <c r="Z322" i="1"/>
  <c r="AA326" i="1"/>
  <c r="Z326" i="1"/>
  <c r="Z329" i="1"/>
  <c r="AA329" i="1"/>
  <c r="Z333" i="1"/>
  <c r="AA333" i="1"/>
  <c r="Z337" i="1"/>
  <c r="AA337" i="1"/>
  <c r="Z238" i="1"/>
  <c r="Z240" i="1"/>
  <c r="Z242" i="1"/>
  <c r="Z244" i="1"/>
  <c r="Z246" i="1"/>
  <c r="Z248" i="1"/>
  <c r="Z250" i="1"/>
  <c r="Z252" i="1"/>
  <c r="Z254" i="1"/>
  <c r="Z256" i="1"/>
  <c r="Z258" i="1"/>
  <c r="Z260" i="1"/>
  <c r="Z262" i="1"/>
  <c r="Z264" i="1"/>
  <c r="Z266" i="1"/>
  <c r="Z268" i="1"/>
  <c r="Z270" i="1"/>
  <c r="Z272" i="1"/>
  <c r="Z274" i="1"/>
  <c r="Z276" i="1"/>
  <c r="Z278" i="1"/>
  <c r="Z280" i="1"/>
  <c r="Z282" i="1"/>
  <c r="Z284" i="1"/>
  <c r="AA288" i="1"/>
  <c r="Z288" i="1"/>
  <c r="AA292" i="1"/>
  <c r="Z292" i="1"/>
  <c r="AA296" i="1"/>
  <c r="Z296" i="1"/>
  <c r="AA300" i="1"/>
  <c r="Z300" i="1"/>
  <c r="AA304" i="1"/>
  <c r="Z304" i="1"/>
  <c r="AA308" i="1"/>
  <c r="Z308" i="1"/>
  <c r="AA312" i="1"/>
  <c r="Z312" i="1"/>
  <c r="AA316" i="1"/>
  <c r="Z316" i="1"/>
  <c r="AA320" i="1"/>
  <c r="Z320" i="1"/>
  <c r="AA324" i="1"/>
  <c r="Z324" i="1"/>
  <c r="AA328" i="1"/>
  <c r="Z328" i="1"/>
  <c r="Z331" i="1"/>
  <c r="AA331" i="1"/>
  <c r="Z335" i="1"/>
  <c r="AA335" i="1"/>
  <c r="Z339" i="1"/>
  <c r="AA339" i="1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AA341" i="1"/>
  <c r="AA343" i="1"/>
  <c r="AA345" i="1"/>
  <c r="AA347" i="1"/>
  <c r="AA349" i="1"/>
  <c r="AA351" i="1"/>
  <c r="AA353" i="1"/>
  <c r="AA355" i="1"/>
  <c r="AA357" i="1"/>
  <c r="AA359" i="1"/>
  <c r="AA361" i="1"/>
  <c r="AA363" i="1"/>
  <c r="AA365" i="1"/>
  <c r="AA367" i="1"/>
  <c r="AA369" i="1"/>
  <c r="AA3" i="1"/>
  <c r="AA6" i="1"/>
  <c r="AB6" i="1" s="1"/>
  <c r="AC6" i="1" s="1"/>
  <c r="T6" i="1" s="1"/>
  <c r="AA32" i="1"/>
  <c r="AB32" i="1" s="1"/>
  <c r="AC32" i="1" s="1"/>
  <c r="T32" i="1" s="1"/>
  <c r="AA36" i="1"/>
  <c r="AB36" i="1" s="1"/>
  <c r="AC36" i="1" s="1"/>
  <c r="T36" i="1" s="1"/>
  <c r="AA38" i="1"/>
  <c r="AB38" i="1" s="1"/>
  <c r="AC38" i="1" s="1"/>
  <c r="T38" i="1" s="1"/>
  <c r="AA40" i="1"/>
  <c r="AB40" i="1" s="1"/>
  <c r="AC40" i="1" s="1"/>
  <c r="T40" i="1" s="1"/>
  <c r="AA41" i="1"/>
  <c r="I3" i="1"/>
  <c r="Z4" i="1"/>
  <c r="Z5" i="1"/>
  <c r="AA7" i="1"/>
  <c r="AB7" i="1" s="1"/>
  <c r="AC7" i="1" s="1"/>
  <c r="T7" i="1" s="1"/>
  <c r="Z8" i="1"/>
  <c r="Z9" i="1"/>
  <c r="Z10" i="1"/>
  <c r="AA11" i="1"/>
  <c r="AB11" i="1" s="1"/>
  <c r="AC11" i="1" s="1"/>
  <c r="T11" i="1" s="1"/>
  <c r="AA13" i="1"/>
  <c r="AB13" i="1" s="1"/>
  <c r="AC13" i="1" s="1"/>
  <c r="T13" i="1" s="1"/>
  <c r="Z14" i="1"/>
  <c r="AA15" i="1"/>
  <c r="AB15" i="1" s="1"/>
  <c r="AC15" i="1" s="1"/>
  <c r="T15" i="1" s="1"/>
  <c r="AA17" i="1"/>
  <c r="AB17" i="1" s="1"/>
  <c r="AC17" i="1" s="1"/>
  <c r="T17" i="1" s="1"/>
  <c r="Z18" i="1"/>
  <c r="Z19" i="1"/>
  <c r="Z20" i="1"/>
  <c r="AA21" i="1"/>
  <c r="AB21" i="1" s="1"/>
  <c r="AC21" i="1" s="1"/>
  <c r="T21" i="1" s="1"/>
  <c r="Z22" i="1"/>
  <c r="AA23" i="1"/>
  <c r="AB23" i="1" s="1"/>
  <c r="AC23" i="1" s="1"/>
  <c r="T23" i="1" s="1"/>
  <c r="AA25" i="1"/>
  <c r="AB25" i="1" s="1"/>
  <c r="AC25" i="1" s="1"/>
  <c r="T25" i="1" s="1"/>
  <c r="Z26" i="1"/>
  <c r="AA27" i="1"/>
  <c r="AB27" i="1" s="1"/>
  <c r="AC27" i="1" s="1"/>
  <c r="T27" i="1" s="1"/>
  <c r="Z28" i="1"/>
  <c r="AA29" i="1"/>
  <c r="AB29" i="1" s="1"/>
  <c r="AC29" i="1" s="1"/>
  <c r="T29" i="1" s="1"/>
  <c r="Z30" i="1"/>
  <c r="Z31" i="1"/>
  <c r="AA33" i="1"/>
  <c r="AB33" i="1" s="1"/>
  <c r="AC33" i="1" s="1"/>
  <c r="T33" i="1" s="1"/>
  <c r="AA35" i="1"/>
  <c r="AB35" i="1" s="1"/>
  <c r="AC35" i="1" s="1"/>
  <c r="T35" i="1" s="1"/>
  <c r="AA37" i="1"/>
  <c r="AB37" i="1" s="1"/>
  <c r="AC37" i="1" s="1"/>
  <c r="T37" i="1" s="1"/>
  <c r="AA39" i="1"/>
  <c r="AB39" i="1" s="1"/>
  <c r="AC39" i="1" s="1"/>
  <c r="T39" i="1" s="1"/>
  <c r="Z42" i="1"/>
  <c r="AA43" i="1"/>
  <c r="AB43" i="1" s="1"/>
  <c r="AC43" i="1" s="1"/>
  <c r="T43" i="1" s="1"/>
  <c r="AA45" i="1"/>
  <c r="AB45" i="1" s="1"/>
  <c r="AC45" i="1" s="1"/>
  <c r="T45" i="1" s="1"/>
  <c r="Z46" i="1"/>
  <c r="AA47" i="1"/>
  <c r="AB47" i="1" s="1"/>
  <c r="AC47" i="1" s="1"/>
  <c r="T47" i="1" s="1"/>
  <c r="Z48" i="1"/>
  <c r="Z49" i="1"/>
  <c r="Z50" i="1"/>
  <c r="AA51" i="1"/>
  <c r="AB51" i="1" s="1"/>
  <c r="AC51" i="1" s="1"/>
  <c r="T51" i="1" s="1"/>
  <c r="Z52" i="1"/>
  <c r="Z53" i="1"/>
  <c r="AB53" i="1" s="1"/>
  <c r="AC53" i="1" s="1"/>
  <c r="T53" i="1" s="1"/>
  <c r="AB57" i="1"/>
  <c r="AC57" i="1" s="1"/>
  <c r="T57" i="1" s="1"/>
  <c r="AB59" i="1"/>
  <c r="AC59" i="1"/>
  <c r="T59" i="1" s="1"/>
  <c r="AB61" i="1"/>
  <c r="AC61" i="1" s="1"/>
  <c r="T61" i="1" s="1"/>
  <c r="AB63" i="1"/>
  <c r="AC63" i="1" s="1"/>
  <c r="T63" i="1" s="1"/>
  <c r="AB65" i="1"/>
  <c r="AC65" i="1" s="1"/>
  <c r="T65" i="1" s="1"/>
  <c r="AB67" i="1"/>
  <c r="AC67" i="1"/>
  <c r="T67" i="1" s="1"/>
  <c r="AB69" i="1"/>
  <c r="AC69" i="1" s="1"/>
  <c r="T69" i="1" s="1"/>
  <c r="AA70" i="1"/>
  <c r="AA71" i="1"/>
  <c r="AA73" i="1"/>
  <c r="AB73" i="1" s="1"/>
  <c r="AC73" i="1" s="1"/>
  <c r="T73" i="1" s="1"/>
  <c r="AA75" i="1"/>
  <c r="AA77" i="1"/>
  <c r="AB77" i="1" s="1"/>
  <c r="AC77" i="1" s="1"/>
  <c r="T77" i="1" s="1"/>
  <c r="AA79" i="1"/>
  <c r="AB81" i="1"/>
  <c r="AC81" i="1" s="1"/>
  <c r="T81" i="1" s="1"/>
  <c r="AA82" i="1"/>
  <c r="AA83" i="1"/>
  <c r="AA85" i="1"/>
  <c r="AB85" i="1" s="1"/>
  <c r="AC85" i="1" s="1"/>
  <c r="T85" i="1" s="1"/>
  <c r="AA87" i="1"/>
  <c r="AB87" i="1" s="1"/>
  <c r="AC87" i="1" s="1"/>
  <c r="T87" i="1" s="1"/>
  <c r="AB89" i="1"/>
  <c r="AC89" i="1" s="1"/>
  <c r="T89" i="1" s="1"/>
  <c r="AB91" i="1"/>
  <c r="AC91" i="1" s="1"/>
  <c r="T91" i="1" s="1"/>
  <c r="AB93" i="1"/>
  <c r="AC93" i="1" s="1"/>
  <c r="T93" i="1" s="1"/>
  <c r="AB95" i="1"/>
  <c r="AC95" i="1"/>
  <c r="T95" i="1" s="1"/>
  <c r="AA96" i="1"/>
  <c r="AB116" i="1"/>
  <c r="AC116" i="1" s="1"/>
  <c r="T116" i="1" s="1"/>
  <c r="AA4" i="1"/>
  <c r="AA8" i="1"/>
  <c r="AA10" i="1"/>
  <c r="AA14" i="1"/>
  <c r="AA18" i="1"/>
  <c r="AA20" i="1"/>
  <c r="AA22" i="1"/>
  <c r="AA26" i="1"/>
  <c r="AA28" i="1"/>
  <c r="AA30" i="1"/>
  <c r="AA42" i="1"/>
  <c r="AA46" i="1"/>
  <c r="AA48" i="1"/>
  <c r="AA50" i="1"/>
  <c r="AB71" i="1"/>
  <c r="AC71" i="1" s="1"/>
  <c r="T71" i="1" s="1"/>
  <c r="AB75" i="1"/>
  <c r="AC75" i="1" s="1"/>
  <c r="T75" i="1" s="1"/>
  <c r="AB79" i="1"/>
  <c r="AC79" i="1" s="1"/>
  <c r="T79" i="1" s="1"/>
  <c r="AB83" i="1"/>
  <c r="AC83" i="1" s="1"/>
  <c r="T83" i="1" s="1"/>
  <c r="AB102" i="1"/>
  <c r="AC102" i="1" s="1"/>
  <c r="T102" i="1" s="1"/>
  <c r="AA54" i="1"/>
  <c r="AB54" i="1" s="1"/>
  <c r="AC54" i="1" s="1"/>
  <c r="T54" i="1" s="1"/>
  <c r="AA56" i="1"/>
  <c r="AB56" i="1" s="1"/>
  <c r="AC56" i="1" s="1"/>
  <c r="T56" i="1" s="1"/>
  <c r="AA58" i="1"/>
  <c r="AB58" i="1" s="1"/>
  <c r="AC58" i="1" s="1"/>
  <c r="T58" i="1" s="1"/>
  <c r="AA60" i="1"/>
  <c r="AB60" i="1" s="1"/>
  <c r="AC60" i="1" s="1"/>
  <c r="T60" i="1" s="1"/>
  <c r="AA62" i="1"/>
  <c r="AB62" i="1" s="1"/>
  <c r="AC62" i="1" s="1"/>
  <c r="T62" i="1" s="1"/>
  <c r="AA64" i="1"/>
  <c r="AB64" i="1" s="1"/>
  <c r="AC64" i="1" s="1"/>
  <c r="T64" i="1" s="1"/>
  <c r="AA66" i="1"/>
  <c r="AB66" i="1" s="1"/>
  <c r="AC66" i="1" s="1"/>
  <c r="T66" i="1" s="1"/>
  <c r="AA68" i="1"/>
  <c r="AB68" i="1" s="1"/>
  <c r="AC68" i="1" s="1"/>
  <c r="T68" i="1" s="1"/>
  <c r="AA72" i="1"/>
  <c r="AB72" i="1" s="1"/>
  <c r="AC72" i="1" s="1"/>
  <c r="T72" i="1" s="1"/>
  <c r="AA74" i="1"/>
  <c r="AB74" i="1" s="1"/>
  <c r="AC74" i="1" s="1"/>
  <c r="T74" i="1" s="1"/>
  <c r="AA76" i="1"/>
  <c r="AB76" i="1" s="1"/>
  <c r="AC76" i="1" s="1"/>
  <c r="T76" i="1" s="1"/>
  <c r="AA78" i="1"/>
  <c r="AB78" i="1" s="1"/>
  <c r="AC78" i="1" s="1"/>
  <c r="T78" i="1" s="1"/>
  <c r="AA84" i="1"/>
  <c r="AB84" i="1" s="1"/>
  <c r="AC84" i="1" s="1"/>
  <c r="T84" i="1" s="1"/>
  <c r="AA86" i="1"/>
  <c r="AB86" i="1" s="1"/>
  <c r="AC86" i="1" s="1"/>
  <c r="T86" i="1" s="1"/>
  <c r="AA90" i="1"/>
  <c r="AB90" i="1" s="1"/>
  <c r="AC90" i="1" s="1"/>
  <c r="T90" i="1" s="1"/>
  <c r="AA92" i="1"/>
  <c r="AB92" i="1" s="1"/>
  <c r="AC92" i="1" s="1"/>
  <c r="T92" i="1" s="1"/>
  <c r="AA94" i="1"/>
  <c r="AB94" i="1" s="1"/>
  <c r="AC94" i="1" s="1"/>
  <c r="T94" i="1" s="1"/>
  <c r="Z97" i="1"/>
  <c r="AA98" i="1"/>
  <c r="AB98" i="1" s="1"/>
  <c r="AC98" i="1" s="1"/>
  <c r="T98" i="1" s="1"/>
  <c r="Z99" i="1"/>
  <c r="AA100" i="1"/>
  <c r="AB100" i="1" s="1"/>
  <c r="AC100" i="1" s="1"/>
  <c r="T100" i="1" s="1"/>
  <c r="AA109" i="1"/>
  <c r="AB109" i="1" s="1"/>
  <c r="AC109" i="1" s="1"/>
  <c r="T109" i="1" s="1"/>
  <c r="AA111" i="1"/>
  <c r="AB115" i="1"/>
  <c r="AC115" i="1" s="1"/>
  <c r="T115" i="1" s="1"/>
  <c r="AB117" i="1"/>
  <c r="AC117" i="1" s="1"/>
  <c r="T117" i="1" s="1"/>
  <c r="AB119" i="1"/>
  <c r="AC119" i="1" s="1"/>
  <c r="T119" i="1" s="1"/>
  <c r="Z121" i="1"/>
  <c r="AB121" i="1" s="1"/>
  <c r="AC121" i="1"/>
  <c r="T121" i="1" s="1"/>
  <c r="AA97" i="1"/>
  <c r="AA99" i="1"/>
  <c r="AA103" i="1"/>
  <c r="AB103" i="1" s="1"/>
  <c r="AC103" i="1" s="1"/>
  <c r="T103" i="1" s="1"/>
  <c r="AA105" i="1"/>
  <c r="AB105" i="1" s="1"/>
  <c r="AC105" i="1" s="1"/>
  <c r="T105" i="1" s="1"/>
  <c r="AA107" i="1"/>
  <c r="AB107" i="1" s="1"/>
  <c r="AC107" i="1" s="1"/>
  <c r="T107" i="1" s="1"/>
  <c r="AB111" i="1"/>
  <c r="AC111" i="1" s="1"/>
  <c r="T111" i="1" s="1"/>
  <c r="AB124" i="1"/>
  <c r="AC124" i="1" s="1"/>
  <c r="T124" i="1" s="1"/>
  <c r="AA123" i="1"/>
  <c r="AB123" i="1" s="1"/>
  <c r="AC123" i="1" s="1"/>
  <c r="T123" i="1" s="1"/>
  <c r="AA127" i="1"/>
  <c r="AB127" i="1" s="1"/>
  <c r="AC127" i="1" s="1"/>
  <c r="T127" i="1" s="1"/>
  <c r="AA102" i="1"/>
  <c r="AA104" i="1"/>
  <c r="AB104" i="1" s="1"/>
  <c r="AC104" i="1" s="1"/>
  <c r="T104" i="1" s="1"/>
  <c r="AA106" i="1"/>
  <c r="AB106" i="1" s="1"/>
  <c r="AC106" i="1" s="1"/>
  <c r="T106" i="1" s="1"/>
  <c r="AA110" i="1"/>
  <c r="AB110" i="1" s="1"/>
  <c r="AC110" i="1" s="1"/>
  <c r="T110" i="1" s="1"/>
  <c r="AA116" i="1"/>
  <c r="AA118" i="1"/>
  <c r="AB118" i="1" s="1"/>
  <c r="AC118" i="1" s="1"/>
  <c r="T118" i="1" s="1"/>
  <c r="AA120" i="1"/>
  <c r="AB120" i="1" s="1"/>
  <c r="AC120" i="1" s="1"/>
  <c r="T120" i="1" s="1"/>
  <c r="AA122" i="1"/>
  <c r="AB122" i="1" s="1"/>
  <c r="AC122" i="1" s="1"/>
  <c r="T122" i="1" s="1"/>
  <c r="AA124" i="1"/>
  <c r="AA126" i="1"/>
  <c r="AB126" i="1" s="1"/>
  <c r="AC126" i="1" s="1"/>
  <c r="T126" i="1" s="1"/>
  <c r="W3" i="4"/>
  <c r="U3" i="4"/>
  <c r="R3" i="4"/>
  <c r="T3" i="4"/>
  <c r="X3" i="4"/>
  <c r="V3" i="4"/>
  <c r="G115" i="1"/>
  <c r="A115" i="1" s="1"/>
  <c r="G109" i="1"/>
  <c r="A109" i="1" s="1"/>
  <c r="G102" i="1"/>
  <c r="A102" i="1" s="1"/>
  <c r="G97" i="1"/>
  <c r="A97" i="1" s="1"/>
  <c r="G89" i="1"/>
  <c r="A89" i="1" s="1"/>
  <c r="G83" i="1"/>
  <c r="A83" i="1" s="1"/>
  <c r="G81" i="1"/>
  <c r="A81" i="1" s="1"/>
  <c r="G71" i="1"/>
  <c r="A71" i="1" s="1"/>
  <c r="G56" i="1"/>
  <c r="A56" i="1" s="1"/>
  <c r="G53" i="1"/>
  <c r="A53" i="1" s="1"/>
  <c r="G50" i="1"/>
  <c r="A50" i="1" s="1"/>
  <c r="G45" i="1"/>
  <c r="A45" i="1" s="1"/>
  <c r="G42" i="1"/>
  <c r="A42" i="1" s="1"/>
  <c r="G35" i="1"/>
  <c r="A35" i="1" s="1"/>
  <c r="G32" i="1"/>
  <c r="A32" i="1" s="1"/>
  <c r="G25" i="1"/>
  <c r="A25" i="1" s="1"/>
  <c r="G20" i="1"/>
  <c r="A20" i="1" s="1"/>
  <c r="G17" i="1"/>
  <c r="A17" i="1" s="1"/>
  <c r="G13" i="1"/>
  <c r="A13" i="1" s="1"/>
  <c r="G10" i="1"/>
  <c r="A10" i="1" s="1"/>
  <c r="G6" i="1"/>
  <c r="A6" i="1" s="1"/>
  <c r="G4" i="1"/>
  <c r="A4" i="1" s="1"/>
  <c r="AD3" i="1"/>
  <c r="AD15" i="1"/>
  <c r="AD23" i="1"/>
  <c r="AD28" i="1"/>
  <c r="AD33" i="1"/>
  <c r="AD38" i="1"/>
  <c r="AD43" i="1"/>
  <c r="AD58" i="1"/>
  <c r="AD64" i="1"/>
  <c r="AD68" i="1"/>
  <c r="AD72" i="1"/>
  <c r="AD76" i="1"/>
  <c r="AD86" i="1"/>
  <c r="AD90" i="1"/>
  <c r="AD100" i="1"/>
  <c r="AD118" i="1"/>
  <c r="AD122" i="1"/>
  <c r="AD7" i="1"/>
  <c r="AD18" i="1"/>
  <c r="AD21" i="1"/>
  <c r="AD26" i="1"/>
  <c r="AD30" i="1"/>
  <c r="AD36" i="1"/>
  <c r="AD40" i="1"/>
  <c r="AD46" i="1"/>
  <c r="AD48" i="1"/>
  <c r="AD51" i="1"/>
  <c r="AD54" i="1"/>
  <c r="AD60" i="1"/>
  <c r="AD62" i="1"/>
  <c r="AD66" i="1"/>
  <c r="AD74" i="1"/>
  <c r="AD78" i="1"/>
  <c r="AD84" i="1"/>
  <c r="AD92" i="1"/>
  <c r="AD94" i="1"/>
  <c r="AD98" i="1"/>
  <c r="AD104" i="1"/>
  <c r="AD106" i="1"/>
  <c r="AD110" i="1"/>
  <c r="AD116" i="1"/>
  <c r="AD120" i="1"/>
  <c r="AD124" i="1"/>
  <c r="AD8" i="1"/>
  <c r="AD11" i="1"/>
  <c r="AD14" i="1"/>
  <c r="AD22" i="1"/>
  <c r="AD27" i="1"/>
  <c r="AD29" i="1"/>
  <c r="AD37" i="1"/>
  <c r="AD39" i="1"/>
  <c r="AD47" i="1"/>
  <c r="AD57" i="1"/>
  <c r="AD59" i="1"/>
  <c r="AD61" i="1"/>
  <c r="AD63" i="1"/>
  <c r="AD65" i="1"/>
  <c r="AD67" i="1"/>
  <c r="AD69" i="1"/>
  <c r="AD73" i="1"/>
  <c r="AD75" i="1"/>
  <c r="AD77" i="1"/>
  <c r="AD79" i="1"/>
  <c r="AD85" i="1"/>
  <c r="AD87" i="1"/>
  <c r="AD91" i="1"/>
  <c r="AD93" i="1"/>
  <c r="AD95" i="1"/>
  <c r="AD99" i="1"/>
  <c r="AD103" i="1"/>
  <c r="AD105" i="1"/>
  <c r="AD107" i="1"/>
  <c r="AD111" i="1"/>
  <c r="AD117" i="1"/>
  <c r="AD119" i="1"/>
  <c r="AD121" i="1"/>
  <c r="AD123" i="1"/>
  <c r="AD127" i="1"/>
  <c r="B126" i="1"/>
  <c r="B129" i="1" s="1"/>
  <c r="B132" i="1"/>
  <c r="B134" i="1"/>
  <c r="B138" i="1" s="1"/>
  <c r="B143" i="1"/>
  <c r="G143" i="1" l="1"/>
  <c r="A143" i="1" s="1"/>
  <c r="W143" i="1" s="1"/>
  <c r="G138" i="1"/>
  <c r="A138" i="1" s="1"/>
  <c r="W138" i="1" s="1"/>
  <c r="G134" i="1"/>
  <c r="A134" i="1" s="1"/>
  <c r="W134" i="1" s="1"/>
  <c r="G132" i="1"/>
  <c r="A132" i="1" s="1"/>
  <c r="W132" i="1" s="1"/>
  <c r="G126" i="1"/>
  <c r="A126" i="1" s="1"/>
  <c r="AB30" i="1"/>
  <c r="AC30" i="1" s="1"/>
  <c r="T30" i="1" s="1"/>
  <c r="AB26" i="1"/>
  <c r="AC26" i="1" s="1"/>
  <c r="T26" i="1" s="1"/>
  <c r="AB14" i="1"/>
  <c r="AC14" i="1" s="1"/>
  <c r="T14" i="1" s="1"/>
  <c r="AB42" i="1"/>
  <c r="AC42" i="1" s="1"/>
  <c r="T42" i="1" s="1"/>
  <c r="AB28" i="1"/>
  <c r="AC28" i="1" s="1"/>
  <c r="T28" i="1" s="1"/>
  <c r="AB4" i="1"/>
  <c r="AC4" i="1" s="1"/>
  <c r="T4" i="1" s="1"/>
  <c r="AB99" i="1"/>
  <c r="AC99" i="1" s="1"/>
  <c r="T99" i="1" s="1"/>
  <c r="AB97" i="1"/>
  <c r="AC97" i="1" s="1"/>
  <c r="T97" i="1" s="1"/>
  <c r="AB50" i="1"/>
  <c r="AC50" i="1" s="1"/>
  <c r="T50" i="1" s="1"/>
  <c r="AB48" i="1"/>
  <c r="AC48" i="1" s="1"/>
  <c r="T48" i="1" s="1"/>
  <c r="AB46" i="1"/>
  <c r="AC46" i="1" s="1"/>
  <c r="T46" i="1" s="1"/>
  <c r="AB22" i="1"/>
  <c r="AC22" i="1" s="1"/>
  <c r="T22" i="1" s="1"/>
  <c r="AB20" i="1"/>
  <c r="AC20" i="1" s="1"/>
  <c r="T20" i="1" s="1"/>
  <c r="AB18" i="1"/>
  <c r="AC18" i="1" s="1"/>
  <c r="T18" i="1" s="1"/>
  <c r="AB10" i="1"/>
  <c r="AC10" i="1" s="1"/>
  <c r="T10" i="1" s="1"/>
  <c r="AB8" i="1"/>
  <c r="AC8" i="1" s="1"/>
  <c r="T8" i="1" s="1"/>
  <c r="G129" i="1"/>
  <c r="A129" i="1" s="1"/>
  <c r="W6" i="1"/>
  <c r="W13" i="1"/>
  <c r="W20" i="1"/>
  <c r="W32" i="1"/>
  <c r="W42" i="1"/>
  <c r="W50" i="1"/>
  <c r="W56" i="1"/>
  <c r="W81" i="1"/>
  <c r="W89" i="1"/>
  <c r="W102" i="1"/>
  <c r="W115" i="1"/>
  <c r="W4" i="1"/>
  <c r="W10" i="1"/>
  <c r="W17" i="1"/>
  <c r="W25" i="1"/>
  <c r="W35" i="1"/>
  <c r="W45" i="1"/>
  <c r="W53" i="1"/>
  <c r="W71" i="1"/>
  <c r="W83" i="1"/>
  <c r="W97" i="1"/>
  <c r="W109" i="1"/>
  <c r="W126" i="1"/>
  <c r="B145" i="1"/>
  <c r="W135" i="1"/>
  <c r="W103" i="1"/>
  <c r="W14" i="1"/>
  <c r="W98" i="1"/>
  <c r="W18" i="1"/>
  <c r="W43" i="1"/>
  <c r="W15" i="1"/>
  <c r="W46" i="1"/>
  <c r="W72" i="1"/>
  <c r="W116" i="1"/>
  <c r="W21" i="1"/>
  <c r="W110" i="1"/>
  <c r="W139" i="1"/>
  <c r="W57" i="1"/>
  <c r="W58" i="1" s="1"/>
  <c r="W59" i="1" s="1"/>
  <c r="W26" i="1"/>
  <c r="W51" i="1"/>
  <c r="W90" i="1"/>
  <c r="W7" i="1"/>
  <c r="W84" i="1"/>
  <c r="W27" i="1"/>
  <c r="W99" i="1"/>
  <c r="W100" i="1" s="1"/>
  <c r="W11" i="1"/>
  <c r="W33" i="1"/>
  <c r="W127" i="1"/>
  <c r="W36" i="1"/>
  <c r="W54" i="1"/>
  <c r="W104" i="1"/>
  <c r="W73" i="1"/>
  <c r="W28" i="1"/>
  <c r="W47" i="1"/>
  <c r="W74" i="1"/>
  <c r="G145" i="1" l="1"/>
  <c r="A145" i="1" s="1"/>
  <c r="W145" i="1" s="1"/>
  <c r="W129" i="1"/>
  <c r="W48" i="1"/>
  <c r="W140" i="1"/>
  <c r="W22" i="1"/>
  <c r="W105" i="1"/>
  <c r="W136" i="1"/>
  <c r="W130" i="1"/>
  <c r="W60" i="1"/>
  <c r="W37" i="1"/>
  <c r="W91" i="1"/>
  <c r="W106" i="1"/>
  <c r="W117" i="1"/>
  <c r="W75" i="1"/>
  <c r="W111" i="1"/>
  <c r="W85" i="1"/>
  <c r="W29" i="1"/>
  <c r="W8" i="1"/>
  <c r="E3" i="4" l="1"/>
  <c r="D62" i="4" s="1"/>
  <c r="N62" i="4" s="1"/>
  <c r="A1" i="6"/>
  <c r="D5" i="6" s="1"/>
  <c r="D43" i="6" s="1"/>
  <c r="D81" i="6" s="1"/>
  <c r="A1" i="2"/>
  <c r="D5" i="2" s="1"/>
  <c r="D43" i="2" s="1"/>
  <c r="D81" i="2" s="1"/>
  <c r="E1" i="6"/>
  <c r="H3" i="6" s="1"/>
  <c r="H41" i="6" s="1"/>
  <c r="H79" i="6" s="1"/>
  <c r="F62" i="4"/>
  <c r="I62" i="4"/>
  <c r="L62" i="4"/>
  <c r="J62" i="4"/>
  <c r="K62" i="4"/>
  <c r="M62" i="4" s="1"/>
  <c r="E62" i="4"/>
  <c r="G62" i="4"/>
  <c r="O62" i="4"/>
  <c r="H62" i="4"/>
  <c r="D28" i="4"/>
  <c r="D41" i="4"/>
  <c r="O41" i="4" s="1"/>
  <c r="D61" i="4"/>
  <c r="N61" i="4" s="1"/>
  <c r="D39" i="4"/>
  <c r="J39" i="4" s="1"/>
  <c r="D49" i="4"/>
  <c r="N49" i="4" s="1"/>
  <c r="D44" i="4"/>
  <c r="F44" i="4" s="1"/>
  <c r="D12" i="4"/>
  <c r="H12" i="4" s="1"/>
  <c r="D7" i="4"/>
  <c r="E7" i="4" s="1"/>
  <c r="D22" i="4"/>
  <c r="F22" i="4" s="1"/>
  <c r="D13" i="4"/>
  <c r="O13" i="4" s="1"/>
  <c r="D52" i="4"/>
  <c r="F52" i="4" s="1"/>
  <c r="D36" i="4"/>
  <c r="I36" i="4" s="1"/>
  <c r="D20" i="4"/>
  <c r="D55" i="4"/>
  <c r="J55" i="4" s="1"/>
  <c r="D23" i="4"/>
  <c r="E23" i="4" s="1"/>
  <c r="D53" i="4"/>
  <c r="G53" i="4" s="1"/>
  <c r="D54" i="4"/>
  <c r="O54" i="4" s="1"/>
  <c r="D27" i="4"/>
  <c r="D26" i="4"/>
  <c r="H26" i="4" s="1"/>
  <c r="D33" i="4"/>
  <c r="N33" i="4" s="1"/>
  <c r="K52" i="4"/>
  <c r="M52" i="4" s="1"/>
  <c r="D56" i="4"/>
  <c r="E56" i="4" s="1"/>
  <c r="D48" i="4"/>
  <c r="D40" i="4"/>
  <c r="O40" i="4" s="1"/>
  <c r="D32" i="4"/>
  <c r="F32" i="4" s="1"/>
  <c r="D24" i="4"/>
  <c r="G24" i="4" s="1"/>
  <c r="D16" i="4"/>
  <c r="H16" i="4" s="1"/>
  <c r="D8" i="4"/>
  <c r="D47" i="4"/>
  <c r="D31" i="4"/>
  <c r="F31" i="4" s="1"/>
  <c r="D15" i="4"/>
  <c r="D63" i="4"/>
  <c r="N63" i="4" s="1"/>
  <c r="D21" i="4"/>
  <c r="D9" i="4"/>
  <c r="D38" i="4"/>
  <c r="F38" i="4" s="1"/>
  <c r="D59" i="4"/>
  <c r="J59" i="4" s="1"/>
  <c r="D57" i="4"/>
  <c r="G57" i="4" s="1"/>
  <c r="D58" i="4"/>
  <c r="O58" i="4" s="1"/>
  <c r="D35" i="4"/>
  <c r="D18" i="4"/>
  <c r="O18" i="4" s="1"/>
  <c r="D45" i="4"/>
  <c r="G45" i="4" s="1"/>
  <c r="D37" i="4"/>
  <c r="E37" i="4" s="1"/>
  <c r="D6" i="4"/>
  <c r="D25" i="4"/>
  <c r="N25" i="4" s="1"/>
  <c r="D60" i="4"/>
  <c r="K60" i="4" s="1"/>
  <c r="M60" i="4" s="1"/>
  <c r="D46" i="4"/>
  <c r="K46" i="4" s="1"/>
  <c r="M46" i="4" s="1"/>
  <c r="D30" i="4"/>
  <c r="H30" i="4" s="1"/>
  <c r="D14" i="4"/>
  <c r="H14" i="4" s="1"/>
  <c r="D43" i="4"/>
  <c r="L43" i="4" s="1"/>
  <c r="D11" i="4"/>
  <c r="D29" i="4"/>
  <c r="D17" i="4"/>
  <c r="H17" i="4" s="1"/>
  <c r="D42" i="4"/>
  <c r="D10" i="4"/>
  <c r="F10" i="4" s="1"/>
  <c r="D5" i="4"/>
  <c r="G5" i="4" s="1"/>
  <c r="D50" i="4"/>
  <c r="J50" i="4" s="1"/>
  <c r="D19" i="4"/>
  <c r="H19" i="4" s="1"/>
  <c r="D34" i="4"/>
  <c r="N34" i="4" s="1"/>
  <c r="D51" i="4"/>
  <c r="I51" i="4" s="1"/>
  <c r="G56" i="4"/>
  <c r="I48" i="4"/>
  <c r="H40" i="4"/>
  <c r="W141" i="1"/>
  <c r="W23" i="1"/>
  <c r="W30" i="1"/>
  <c r="W86" i="1"/>
  <c r="W112" i="1"/>
  <c r="W76" i="1"/>
  <c r="T56" i="4"/>
  <c r="W118" i="1"/>
  <c r="W107" i="1"/>
  <c r="W92" i="1"/>
  <c r="W93" i="1" s="1"/>
  <c r="W94" i="1" s="1"/>
  <c r="W38" i="1"/>
  <c r="W39" i="1" s="1"/>
  <c r="W61" i="1"/>
  <c r="W62" i="1" s="1"/>
  <c r="W63" i="1" s="1"/>
  <c r="T62" i="4"/>
  <c r="X62" i="4"/>
  <c r="T37" i="4"/>
  <c r="W119" i="1"/>
  <c r="W87" i="1"/>
  <c r="W113" i="1"/>
  <c r="W120" i="1"/>
  <c r="W40" i="1"/>
  <c r="W121" i="1"/>
  <c r="W62" i="4"/>
  <c r="V62" i="4"/>
  <c r="K36" i="4" l="1"/>
  <c r="M36" i="4" s="1"/>
  <c r="D7" i="6"/>
  <c r="D45" i="6" s="1"/>
  <c r="D83" i="6" s="1"/>
  <c r="E3" i="6"/>
  <c r="E41" i="6" s="1"/>
  <c r="E79" i="6" s="1"/>
  <c r="D7" i="2"/>
  <c r="D45" i="2" s="1"/>
  <c r="D83" i="2" s="1"/>
  <c r="E3" i="2"/>
  <c r="E41" i="2" s="1"/>
  <c r="E79" i="2" s="1"/>
  <c r="E1" i="2"/>
  <c r="H5" i="2" s="1"/>
  <c r="H43" i="2" s="1"/>
  <c r="H81" i="2" s="1"/>
  <c r="H6" i="6"/>
  <c r="H44" i="6" s="1"/>
  <c r="H82" i="6" s="1"/>
  <c r="H3" i="2"/>
  <c r="H41" i="2" s="1"/>
  <c r="H79" i="2" s="1"/>
  <c r="E60" i="4"/>
  <c r="H5" i="6"/>
  <c r="H43" i="6" s="1"/>
  <c r="H81" i="6" s="1"/>
  <c r="E58" i="4"/>
  <c r="N23" i="4"/>
  <c r="G61" i="4"/>
  <c r="O20" i="4"/>
  <c r="F28" i="4"/>
  <c r="E49" i="4"/>
  <c r="E54" i="4"/>
  <c r="H54" i="4"/>
  <c r="E20" i="4"/>
  <c r="H52" i="4"/>
  <c r="O49" i="4"/>
  <c r="L54" i="4"/>
  <c r="O12" i="4"/>
  <c r="I52" i="4"/>
  <c r="F53" i="4"/>
  <c r="F27" i="4"/>
  <c r="E41" i="4"/>
  <c r="O55" i="4"/>
  <c r="N41" i="4"/>
  <c r="I53" i="4"/>
  <c r="G39" i="4"/>
  <c r="L41" i="4"/>
  <c r="N7" i="4"/>
  <c r="H44" i="4"/>
  <c r="E13" i="4"/>
  <c r="I41" i="4"/>
  <c r="N39" i="4"/>
  <c r="H41" i="4"/>
  <c r="N36" i="4"/>
  <c r="G27" i="4"/>
  <c r="G41" i="4"/>
  <c r="F41" i="4"/>
  <c r="G7" i="4"/>
  <c r="F13" i="4"/>
  <c r="E53" i="4"/>
  <c r="I39" i="4"/>
  <c r="O36" i="4"/>
  <c r="G44" i="4"/>
  <c r="H13" i="4"/>
  <c r="J41" i="4"/>
  <c r="K41" i="4"/>
  <c r="M41" i="4" s="1"/>
  <c r="N55" i="4"/>
  <c r="F9" i="4"/>
  <c r="N59" i="4"/>
  <c r="H49" i="4"/>
  <c r="H59" i="4"/>
  <c r="G22" i="4"/>
  <c r="J54" i="4"/>
  <c r="G9" i="4"/>
  <c r="L49" i="4"/>
  <c r="F26" i="4"/>
  <c r="E9" i="4"/>
  <c r="O28" i="4"/>
  <c r="G52" i="4"/>
  <c r="J61" i="4"/>
  <c r="E18" i="4"/>
  <c r="N26" i="4"/>
  <c r="F49" i="4"/>
  <c r="E59" i="4"/>
  <c r="G54" i="4"/>
  <c r="F23" i="4"/>
  <c r="O23" i="4"/>
  <c r="N12" i="4"/>
  <c r="N20" i="4"/>
  <c r="N52" i="4"/>
  <c r="E61" i="4"/>
  <c r="N18" i="4"/>
  <c r="H58" i="4"/>
  <c r="J58" i="4"/>
  <c r="K59" i="4"/>
  <c r="M59" i="4" s="1"/>
  <c r="E40" i="4"/>
  <c r="I49" i="4"/>
  <c r="J49" i="4"/>
  <c r="G59" i="4"/>
  <c r="F59" i="4"/>
  <c r="H22" i="4"/>
  <c r="F54" i="4"/>
  <c r="K54" i="4"/>
  <c r="M54" i="4" s="1"/>
  <c r="N9" i="4"/>
  <c r="K49" i="4"/>
  <c r="M49" i="4" s="1"/>
  <c r="I59" i="4"/>
  <c r="O22" i="4"/>
  <c r="G26" i="4"/>
  <c r="N58" i="4"/>
  <c r="K58" i="4"/>
  <c r="M58" i="4" s="1"/>
  <c r="G23" i="4"/>
  <c r="F20" i="4"/>
  <c r="H28" i="4"/>
  <c r="G28" i="4"/>
  <c r="O52" i="4"/>
  <c r="E52" i="4"/>
  <c r="L61" i="4"/>
  <c r="F61" i="4"/>
  <c r="G18" i="4"/>
  <c r="F18" i="4"/>
  <c r="O26" i="4"/>
  <c r="G58" i="4"/>
  <c r="F58" i="4"/>
  <c r="G49" i="4"/>
  <c r="L59" i="4"/>
  <c r="O59" i="4"/>
  <c r="E22" i="4"/>
  <c r="N22" i="4"/>
  <c r="I54" i="4"/>
  <c r="N54" i="4"/>
  <c r="G12" i="4"/>
  <c r="G20" i="4"/>
  <c r="H20" i="4"/>
  <c r="H8" i="4"/>
  <c r="H23" i="4"/>
  <c r="N28" i="4"/>
  <c r="E28" i="4"/>
  <c r="O61" i="4"/>
  <c r="H37" i="4"/>
  <c r="G46" i="4"/>
  <c r="F40" i="4"/>
  <c r="H25" i="4"/>
  <c r="G50" i="4"/>
  <c r="K63" i="4"/>
  <c r="M63" i="4" s="1"/>
  <c r="F11" i="4"/>
  <c r="L46" i="4"/>
  <c r="O25" i="4"/>
  <c r="H63" i="4"/>
  <c r="F24" i="4"/>
  <c r="F56" i="4"/>
  <c r="O24" i="4"/>
  <c r="E10" i="4"/>
  <c r="J34" i="4"/>
  <c r="I34" i="4"/>
  <c r="N50" i="4"/>
  <c r="F17" i="4"/>
  <c r="O11" i="4"/>
  <c r="F46" i="4"/>
  <c r="G10" i="4"/>
  <c r="G34" i="4"/>
  <c r="L50" i="4"/>
  <c r="G63" i="4"/>
  <c r="G11" i="4"/>
  <c r="N14" i="4"/>
  <c r="G14" i="4"/>
  <c r="E34" i="4"/>
  <c r="I46" i="4"/>
  <c r="H50" i="4"/>
  <c r="K34" i="4"/>
  <c r="M34" i="4" s="1"/>
  <c r="L34" i="4"/>
  <c r="F50" i="4"/>
  <c r="N10" i="4"/>
  <c r="G17" i="4"/>
  <c r="E11" i="4"/>
  <c r="E14" i="4"/>
  <c r="O46" i="4"/>
  <c r="N46" i="4"/>
  <c r="E25" i="4"/>
  <c r="I37" i="4"/>
  <c r="N37" i="4"/>
  <c r="E63" i="4"/>
  <c r="H31" i="4"/>
  <c r="G8" i="4"/>
  <c r="I40" i="4"/>
  <c r="I56" i="4"/>
  <c r="H18" i="4"/>
  <c r="K37" i="4"/>
  <c r="M37" i="4" s="1"/>
  <c r="L63" i="4"/>
  <c r="L40" i="4"/>
  <c r="O56" i="4"/>
  <c r="F34" i="4"/>
  <c r="J42" i="4"/>
  <c r="H42" i="4"/>
  <c r="E35" i="4"/>
  <c r="N35" i="4"/>
  <c r="K57" i="4"/>
  <c r="M57" i="4" s="1"/>
  <c r="L57" i="4"/>
  <c r="F57" i="4"/>
  <c r="I38" i="4"/>
  <c r="O38" i="4"/>
  <c r="F21" i="4"/>
  <c r="N15" i="4"/>
  <c r="G13" i="4"/>
  <c r="O7" i="4"/>
  <c r="F7" i="4"/>
  <c r="H7" i="4"/>
  <c r="E44" i="4"/>
  <c r="N44" i="4"/>
  <c r="I44" i="4"/>
  <c r="O44" i="4"/>
  <c r="O39" i="4"/>
  <c r="E39" i="4"/>
  <c r="K39" i="4"/>
  <c r="M39" i="4" s="1"/>
  <c r="L39" i="4"/>
  <c r="F39" i="4"/>
  <c r="H39" i="4"/>
  <c r="K61" i="4"/>
  <c r="M61" i="4" s="1"/>
  <c r="H61" i="4"/>
  <c r="I61" i="4"/>
  <c r="E12" i="4"/>
  <c r="F12" i="4"/>
  <c r="O50" i="4"/>
  <c r="O34" i="4"/>
  <c r="H34" i="4"/>
  <c r="E50" i="4"/>
  <c r="O10" i="4"/>
  <c r="H10" i="4"/>
  <c r="N17" i="4"/>
  <c r="N11" i="4"/>
  <c r="O14" i="4"/>
  <c r="F14" i="4"/>
  <c r="E46" i="4"/>
  <c r="J46" i="4"/>
  <c r="O37" i="4"/>
  <c r="F25" i="4"/>
  <c r="F37" i="4"/>
  <c r="I63" i="4"/>
  <c r="J63" i="4"/>
  <c r="E31" i="4"/>
  <c r="N31" i="4"/>
  <c r="O8" i="4"/>
  <c r="E8" i="4"/>
  <c r="J40" i="4"/>
  <c r="K40" i="4"/>
  <c r="M40" i="4" s="1"/>
  <c r="J56" i="4"/>
  <c r="K56" i="4"/>
  <c r="M56" i="4" s="1"/>
  <c r="H46" i="4"/>
  <c r="J37" i="4"/>
  <c r="G31" i="4"/>
  <c r="F8" i="4"/>
  <c r="N24" i="4"/>
  <c r="E24" i="4"/>
  <c r="L56" i="4"/>
  <c r="N13" i="4"/>
  <c r="L44" i="4"/>
  <c r="J44" i="4"/>
  <c r="K44" i="4"/>
  <c r="M44" i="4" s="1"/>
  <c r="O51" i="4"/>
  <c r="E51" i="4"/>
  <c r="F51" i="4"/>
  <c r="N51" i="4"/>
  <c r="O19" i="4"/>
  <c r="G19" i="4"/>
  <c r="F19" i="4"/>
  <c r="H5" i="4"/>
  <c r="E5" i="4"/>
  <c r="L42" i="4"/>
  <c r="E42" i="4"/>
  <c r="O42" i="4"/>
  <c r="E29" i="4"/>
  <c r="H29" i="4"/>
  <c r="N43" i="4"/>
  <c r="O43" i="4"/>
  <c r="J43" i="4"/>
  <c r="K43" i="4"/>
  <c r="M43" i="4" s="1"/>
  <c r="O30" i="4"/>
  <c r="N30" i="4"/>
  <c r="N60" i="4"/>
  <c r="J60" i="4"/>
  <c r="L45" i="4"/>
  <c r="K45" i="4"/>
  <c r="M45" i="4" s="1"/>
  <c r="N45" i="4"/>
  <c r="H45" i="4"/>
  <c r="I45" i="4"/>
  <c r="K35" i="4"/>
  <c r="M35" i="4" s="1"/>
  <c r="I35" i="4"/>
  <c r="H35" i="4"/>
  <c r="G35" i="4"/>
  <c r="E57" i="4"/>
  <c r="I57" i="4"/>
  <c r="O57" i="4"/>
  <c r="H57" i="4"/>
  <c r="N57" i="4"/>
  <c r="N38" i="4"/>
  <c r="K38" i="4"/>
  <c r="M38" i="4" s="1"/>
  <c r="E38" i="4"/>
  <c r="J38" i="4"/>
  <c r="G21" i="4"/>
  <c r="N21" i="4"/>
  <c r="H21" i="4"/>
  <c r="E21" i="4"/>
  <c r="H47" i="4"/>
  <c r="N47" i="4"/>
  <c r="J47" i="4"/>
  <c r="N48" i="4"/>
  <c r="H48" i="4"/>
  <c r="E33" i="4"/>
  <c r="O33" i="4"/>
  <c r="H33" i="4"/>
  <c r="G33" i="4"/>
  <c r="F33" i="4"/>
  <c r="E27" i="4"/>
  <c r="H27" i="4"/>
  <c r="O27" i="4"/>
  <c r="N27" i="4"/>
  <c r="O53" i="4"/>
  <c r="K53" i="4"/>
  <c r="M53" i="4" s="1"/>
  <c r="J53" i="4"/>
  <c r="H53" i="4"/>
  <c r="N53" i="4"/>
  <c r="H55" i="4"/>
  <c r="I55" i="4"/>
  <c r="K55" i="4"/>
  <c r="M55" i="4" s="1"/>
  <c r="L55" i="4"/>
  <c r="F55" i="4"/>
  <c r="E55" i="4"/>
  <c r="L36" i="4"/>
  <c r="J36" i="4"/>
  <c r="F36" i="4"/>
  <c r="G36" i="4"/>
  <c r="H36" i="4"/>
  <c r="J45" i="4"/>
  <c r="F45" i="4"/>
  <c r="F35" i="4"/>
  <c r="O35" i="4"/>
  <c r="J57" i="4"/>
  <c r="H38" i="4"/>
  <c r="O21" i="4"/>
  <c r="G55" i="4"/>
  <c r="O5" i="4"/>
  <c r="N19" i="4"/>
  <c r="G51" i="4"/>
  <c r="F30" i="4"/>
  <c r="H51" i="4"/>
  <c r="F5" i="4"/>
  <c r="F43" i="4"/>
  <c r="H32" i="4"/>
  <c r="L53" i="4"/>
  <c r="E36" i="4"/>
  <c r="F6" i="4"/>
  <c r="G15" i="4"/>
  <c r="E26" i="4"/>
  <c r="L52" i="4"/>
  <c r="J52" i="4"/>
  <c r="G42" i="4"/>
  <c r="F42" i="4"/>
  <c r="N42" i="4"/>
  <c r="N29" i="4"/>
  <c r="E43" i="4"/>
  <c r="H60" i="4"/>
  <c r="N6" i="4"/>
  <c r="G47" i="4"/>
  <c r="F16" i="4"/>
  <c r="G32" i="4"/>
  <c r="G48" i="4"/>
  <c r="O47" i="4"/>
  <c r="O16" i="4"/>
  <c r="J48" i="4"/>
  <c r="F29" i="4"/>
  <c r="G29" i="4"/>
  <c r="H43" i="4"/>
  <c r="I43" i="4"/>
  <c r="G30" i="4"/>
  <c r="G60" i="4"/>
  <c r="I60" i="4"/>
  <c r="L60" i="4"/>
  <c r="H6" i="4"/>
  <c r="E6" i="4"/>
  <c r="O6" i="4"/>
  <c r="E15" i="4"/>
  <c r="F15" i="4"/>
  <c r="L47" i="4"/>
  <c r="F47" i="4"/>
  <c r="O32" i="4"/>
  <c r="E32" i="4"/>
  <c r="O48" i="4"/>
  <c r="E48" i="4"/>
  <c r="O29" i="4"/>
  <c r="E30" i="4"/>
  <c r="E47" i="4"/>
  <c r="N16" i="4"/>
  <c r="E16" i="4"/>
  <c r="K48" i="4"/>
  <c r="M48" i="4" s="1"/>
  <c r="I58" i="4"/>
  <c r="L58" i="4"/>
  <c r="H9" i="4"/>
  <c r="O9" i="4"/>
  <c r="O63" i="4"/>
  <c r="F63" i="4"/>
  <c r="O31" i="4"/>
  <c r="N8" i="4"/>
  <c r="H24" i="4"/>
  <c r="N40" i="4"/>
  <c r="G40" i="4"/>
  <c r="N56" i="4"/>
  <c r="H56" i="4"/>
  <c r="E45" i="4"/>
  <c r="O45" i="4"/>
  <c r="L35" i="4"/>
  <c r="J35" i="4"/>
  <c r="L38" i="4"/>
  <c r="G38" i="4"/>
  <c r="O15" i="4"/>
  <c r="H15" i="4"/>
  <c r="K47" i="4"/>
  <c r="M47" i="4" s="1"/>
  <c r="I47" i="4"/>
  <c r="G16" i="4"/>
  <c r="N32" i="4"/>
  <c r="L48" i="4"/>
  <c r="F48" i="4"/>
  <c r="K42" i="4"/>
  <c r="M42" i="4" s="1"/>
  <c r="I42" i="4"/>
  <c r="G6" i="4"/>
  <c r="N5" i="4"/>
  <c r="G43" i="4"/>
  <c r="L51" i="4"/>
  <c r="K51" i="4"/>
  <c r="M51" i="4" s="1"/>
  <c r="F60" i="4"/>
  <c r="O60" i="4"/>
  <c r="E19" i="4"/>
  <c r="J51" i="4"/>
  <c r="I50" i="4"/>
  <c r="K50" i="4"/>
  <c r="M50" i="4" s="1"/>
  <c r="E17" i="4"/>
  <c r="O17" i="4"/>
  <c r="H11" i="4"/>
  <c r="G25" i="4"/>
  <c r="G37" i="4"/>
  <c r="L37" i="4"/>
  <c r="J38" i="2"/>
  <c r="J76" i="2" s="1"/>
  <c r="J114" i="2" s="1"/>
  <c r="H6" i="2" l="1"/>
  <c r="H44" i="2" s="1"/>
  <c r="H82" i="2" s="1"/>
  <c r="J37" i="6"/>
  <c r="J75" i="6" s="1"/>
  <c r="J113" i="6" s="1"/>
  <c r="J37" i="2"/>
  <c r="J75" i="2" s="1"/>
  <c r="J113" i="2" s="1"/>
  <c r="J38" i="6"/>
  <c r="J76" i="6" s="1"/>
  <c r="J114" i="6" s="1"/>
  <c r="U62" i="4"/>
  <c r="W122" i="1"/>
  <c r="W77" i="1"/>
  <c r="W37" i="4"/>
  <c r="T33" i="4"/>
  <c r="T47" i="4"/>
  <c r="T19" i="4"/>
  <c r="T28" i="4"/>
  <c r="T63" i="4"/>
  <c r="T51" i="4"/>
  <c r="T60" i="4"/>
  <c r="T38" i="4"/>
  <c r="V51" i="4"/>
  <c r="X60" i="4"/>
  <c r="W63" i="4"/>
  <c r="T15" i="4"/>
  <c r="T48" i="4"/>
  <c r="T34" i="4"/>
  <c r="T35" i="4"/>
  <c r="T23" i="4"/>
  <c r="T55" i="4"/>
  <c r="T54" i="4"/>
  <c r="T46" i="4"/>
  <c r="T14" i="4"/>
  <c r="X38" i="4"/>
  <c r="X23" i="4"/>
  <c r="U34" i="4"/>
  <c r="X63" i="4"/>
  <c r="X46" i="4"/>
  <c r="V60" i="4"/>
  <c r="U63" i="4"/>
  <c r="V28" i="4"/>
  <c r="X15" i="4"/>
  <c r="V35" i="4"/>
  <c r="V23" i="4"/>
  <c r="W46" i="4"/>
  <c r="T40" i="4"/>
  <c r="T29" i="4"/>
  <c r="T44" i="4"/>
  <c r="W56" i="4"/>
  <c r="T5" i="4"/>
  <c r="T7" i="4"/>
  <c r="T9" i="4"/>
  <c r="U51" i="4"/>
  <c r="U60" i="4"/>
  <c r="T61" i="4"/>
  <c r="T42" i="4"/>
  <c r="T58" i="4"/>
  <c r="V29" i="4"/>
  <c r="X54" i="4"/>
  <c r="W58" i="4"/>
  <c r="V15" i="4"/>
  <c r="W55" i="4"/>
  <c r="X44" i="4"/>
  <c r="W34" i="4"/>
  <c r="X14" i="4"/>
  <c r="T12" i="4"/>
  <c r="T16" i="4"/>
  <c r="T17" i="4"/>
  <c r="T31" i="4"/>
  <c r="U19" i="4"/>
  <c r="X19" i="4"/>
  <c r="T41" i="4"/>
  <c r="U44" i="4"/>
  <c r="U9" i="4"/>
  <c r="X5" i="4"/>
  <c r="V63" i="4"/>
  <c r="T39" i="4"/>
  <c r="T25" i="4"/>
  <c r="T21" i="4"/>
  <c r="W51" i="4"/>
  <c r="T10" i="4"/>
  <c r="T53" i="4"/>
  <c r="X51" i="4"/>
  <c r="X34" i="4"/>
  <c r="U15" i="4"/>
  <c r="U39" i="4"/>
  <c r="V25" i="4"/>
  <c r="U23" i="4"/>
  <c r="U21" i="4"/>
  <c r="V14" i="4"/>
  <c r="W40" i="4"/>
  <c r="U40" i="4"/>
  <c r="U5" i="4"/>
  <c r="V61" i="4"/>
  <c r="W42" i="4"/>
  <c r="X58" i="4"/>
  <c r="X12" i="4"/>
  <c r="U17" i="4"/>
  <c r="V17" i="4"/>
  <c r="V31" i="4"/>
  <c r="V41" i="4"/>
  <c r="X21" i="4"/>
  <c r="U10" i="4"/>
  <c r="X10" i="4"/>
  <c r="U56" i="4"/>
  <c r="W64" i="1"/>
  <c r="W65" i="1" s="1"/>
  <c r="W95" i="1"/>
  <c r="T24" i="4"/>
  <c r="T26" i="4"/>
  <c r="T45" i="4"/>
  <c r="U37" i="4"/>
  <c r="T8" i="4"/>
  <c r="T6" i="4"/>
  <c r="V6" i="4" s="1"/>
  <c r="T43" i="4"/>
  <c r="V43" i="4" s="1"/>
  <c r="T18" i="4"/>
  <c r="V18" i="4" s="1"/>
  <c r="T13" i="4"/>
  <c r="X13" i="4" s="1"/>
  <c r="U28" i="4"/>
  <c r="W38" i="4"/>
  <c r="X6" i="4"/>
  <c r="W43" i="4"/>
  <c r="X8" i="4"/>
  <c r="T30" i="4"/>
  <c r="T36" i="4"/>
  <c r="T11" i="4"/>
  <c r="U11" i="4" s="1"/>
  <c r="V30" i="4"/>
  <c r="T20" i="4"/>
  <c r="V20" i="4" s="1"/>
  <c r="U33" i="4"/>
  <c r="T49" i="4"/>
  <c r="X18" i="4"/>
  <c r="V19" i="4"/>
  <c r="T22" i="4"/>
  <c r="W49" i="4"/>
  <c r="X35" i="4"/>
  <c r="V13" i="4"/>
  <c r="X11" i="4"/>
  <c r="W60" i="4"/>
  <c r="U54" i="4"/>
  <c r="U43" i="4"/>
  <c r="V8" i="4"/>
  <c r="X28" i="4"/>
  <c r="X30" i="4"/>
  <c r="V36" i="4"/>
  <c r="X48" i="4"/>
  <c r="V34" i="4"/>
  <c r="U20" i="4"/>
  <c r="V55" i="4"/>
  <c r="W54" i="4"/>
  <c r="U14" i="4"/>
  <c r="X24" i="4"/>
  <c r="T57" i="4"/>
  <c r="X56" i="4"/>
  <c r="V24" i="4"/>
  <c r="U29" i="4"/>
  <c r="T50" i="4"/>
  <c r="T52" i="4"/>
  <c r="V33" i="4"/>
  <c r="X7" i="4"/>
  <c r="U13" i="4"/>
  <c r="X43" i="4"/>
  <c r="T32" i="4"/>
  <c r="X37" i="4"/>
  <c r="U45" i="4"/>
  <c r="X9" i="4"/>
  <c r="V48" i="4"/>
  <c r="T59" i="4"/>
  <c r="V9" i="4"/>
  <c r="U18" i="4"/>
  <c r="U46" i="4"/>
  <c r="U48" i="4"/>
  <c r="W35" i="4"/>
  <c r="V32" i="4"/>
  <c r="U30" i="4"/>
  <c r="W48" i="4"/>
  <c r="X42" i="4"/>
  <c r="V58" i="4"/>
  <c r="V54" i="4"/>
  <c r="U24" i="4"/>
  <c r="T27" i="4"/>
  <c r="V27" i="4" s="1"/>
  <c r="W47" i="4"/>
  <c r="V56" i="4"/>
  <c r="U47" i="4"/>
  <c r="X29" i="4"/>
  <c r="X33" i="4"/>
  <c r="X26" i="4"/>
  <c r="U41" i="4"/>
  <c r="V38" i="4"/>
  <c r="U50" i="4"/>
  <c r="V37" i="4"/>
  <c r="U61" i="4"/>
  <c r="V16" i="4"/>
  <c r="W45" i="4"/>
  <c r="X55" i="4"/>
  <c r="U8" i="4"/>
  <c r="V42" i="4"/>
  <c r="X61" i="4"/>
  <c r="U35" i="4"/>
  <c r="V46" i="4"/>
  <c r="W123" i="1"/>
  <c r="V40" i="4"/>
  <c r="X57" i="4"/>
  <c r="X50" i="4"/>
  <c r="U7" i="4"/>
  <c r="U42" i="4"/>
  <c r="U12" i="4"/>
  <c r="U16" i="4"/>
  <c r="X31" i="4"/>
  <c r="X41" i="4"/>
  <c r="V10" i="4"/>
  <c r="U53" i="4"/>
  <c r="W66" i="1"/>
  <c r="X16" i="4"/>
  <c r="W41" i="4"/>
  <c r="V12" i="4"/>
  <c r="W59" i="4"/>
  <c r="X47" i="4"/>
  <c r="U6" i="4"/>
  <c r="V47" i="4"/>
  <c r="W39" i="4"/>
  <c r="U38" i="4"/>
  <c r="X39" i="4"/>
  <c r="U27" i="4"/>
  <c r="X25" i="4"/>
  <c r="X20" i="4"/>
  <c r="V44" i="4"/>
  <c r="V11" i="4"/>
  <c r="U55" i="4"/>
  <c r="U22" i="4"/>
  <c r="W78" i="1"/>
  <c r="W79" i="1" s="1"/>
  <c r="X40" i="4"/>
  <c r="V5" i="4"/>
  <c r="W52" i="4"/>
  <c r="W61" i="4"/>
  <c r="U58" i="4"/>
  <c r="X27" i="4"/>
  <c r="X17" i="4"/>
  <c r="U31" i="4"/>
  <c r="V21" i="4"/>
  <c r="X53" i="4"/>
  <c r="V53" i="4"/>
  <c r="W67" i="1"/>
  <c r="W68" i="1" s="1"/>
  <c r="W124" i="1"/>
  <c r="W53" i="4"/>
  <c r="V7" i="4"/>
  <c r="W69" i="1"/>
  <c r="V26" i="4"/>
  <c r="U26" i="4"/>
  <c r="X45" i="4"/>
  <c r="V45" i="4"/>
  <c r="X36" i="4"/>
  <c r="W36" i="4"/>
  <c r="U36" i="4"/>
  <c r="V49" i="4"/>
  <c r="U49" i="4"/>
  <c r="X49" i="4"/>
  <c r="X22" i="4"/>
  <c r="V22" i="4"/>
  <c r="V57" i="4"/>
  <c r="U57" i="4"/>
  <c r="W57" i="4"/>
  <c r="V50" i="4"/>
  <c r="W50" i="4"/>
  <c r="U52" i="4"/>
  <c r="X52" i="4"/>
  <c r="V52" i="4"/>
  <c r="U32" i="4"/>
  <c r="X32" i="4"/>
  <c r="U59" i="4"/>
  <c r="X59" i="4"/>
  <c r="X145" i="1" l="1"/>
  <c r="AD145" i="1"/>
  <c r="I33" i="4"/>
  <c r="J33" i="4"/>
  <c r="K33" i="4"/>
  <c r="X143" i="1"/>
  <c r="AD143" i="1"/>
  <c r="K32" i="4"/>
  <c r="I32" i="4"/>
  <c r="J32" i="4"/>
  <c r="X141" i="1"/>
  <c r="X140" i="1"/>
  <c r="X139" i="1"/>
  <c r="X138" i="1"/>
  <c r="AD138" i="1"/>
  <c r="I31" i="4"/>
  <c r="K31" i="4"/>
  <c r="J31" i="4"/>
  <c r="X136" i="1"/>
  <c r="X135" i="1"/>
  <c r="X134" i="1"/>
  <c r="AD134" i="1"/>
  <c r="J30" i="4"/>
  <c r="I30" i="4"/>
  <c r="K30" i="4"/>
  <c r="X132" i="1"/>
  <c r="AD132" i="1"/>
  <c r="J29" i="4"/>
  <c r="K29" i="4"/>
  <c r="I29" i="4"/>
  <c r="X130" i="1"/>
  <c r="X129" i="1"/>
  <c r="AD129" i="1"/>
  <c r="I28" i="4"/>
  <c r="J28" i="4"/>
  <c r="K28" i="4"/>
  <c r="X69" i="1"/>
  <c r="X79" i="1"/>
  <c r="X66" i="1"/>
  <c r="X77" i="1"/>
  <c r="X62" i="1"/>
  <c r="X38" i="1"/>
  <c r="X51" i="1"/>
  <c r="X50" i="1"/>
  <c r="X48" i="1"/>
  <c r="X6" i="1"/>
  <c r="AD4" i="1"/>
  <c r="X22" i="1"/>
  <c r="X75" i="1"/>
  <c r="X36" i="1"/>
  <c r="X115" i="1"/>
  <c r="AD102" i="1"/>
  <c r="X73" i="1"/>
  <c r="X17" i="1"/>
  <c r="I9" i="4"/>
  <c r="K12" i="4"/>
  <c r="K22" i="4"/>
  <c r="J11" i="4"/>
  <c r="K10" i="4"/>
  <c r="J7" i="4"/>
  <c r="K5" i="4"/>
  <c r="I15" i="4"/>
  <c r="J19" i="4"/>
  <c r="X119" i="1"/>
  <c r="AD10" i="1"/>
  <c r="X84" i="1"/>
  <c r="X20" i="1"/>
  <c r="X72" i="1"/>
  <c r="X100" i="1"/>
  <c r="AD81" i="1"/>
  <c r="J20" i="4"/>
  <c r="I10" i="4"/>
  <c r="K24" i="4"/>
  <c r="I16" i="4"/>
  <c r="I7" i="4"/>
  <c r="X120" i="1"/>
  <c r="X23" i="1"/>
  <c r="X89" i="1"/>
  <c r="X47" i="1"/>
  <c r="X37" i="1"/>
  <c r="AD126" i="1"/>
  <c r="X4" i="1"/>
  <c r="J15" i="4"/>
  <c r="J18" i="4"/>
  <c r="K7" i="4"/>
  <c r="X67" i="1"/>
  <c r="X123" i="1"/>
  <c r="X64" i="1"/>
  <c r="X39" i="1"/>
  <c r="X92" i="1"/>
  <c r="AD89" i="1"/>
  <c r="AD97" i="1"/>
  <c r="X27" i="1"/>
  <c r="X81" i="1"/>
  <c r="X109" i="1"/>
  <c r="X29" i="1"/>
  <c r="X127" i="1"/>
  <c r="X126" i="1"/>
  <c r="G1" i="2" s="1"/>
  <c r="AD20" i="1"/>
  <c r="X57" i="1"/>
  <c r="X54" i="1"/>
  <c r="X118" i="1"/>
  <c r="K23" i="4"/>
  <c r="K9" i="4"/>
  <c r="I18" i="4"/>
  <c r="I14" i="4"/>
  <c r="I21" i="4"/>
  <c r="K17" i="4"/>
  <c r="K6" i="4"/>
  <c r="K16" i="4"/>
  <c r="K25" i="4"/>
  <c r="X112" i="1"/>
  <c r="X97" i="1"/>
  <c r="X83" i="1"/>
  <c r="X117" i="1"/>
  <c r="AD25" i="1"/>
  <c r="X43" i="1"/>
  <c r="AD109" i="1"/>
  <c r="J22" i="4"/>
  <c r="I24" i="4"/>
  <c r="K14" i="4"/>
  <c r="J26" i="4"/>
  <c r="I5" i="4"/>
  <c r="X87" i="1"/>
  <c r="X14" i="1"/>
  <c r="X99" i="1"/>
  <c r="X26" i="1"/>
  <c r="K20" i="4"/>
  <c r="X56" i="1"/>
  <c r="X104" i="1"/>
  <c r="K8" i="4"/>
  <c r="I23" i="4"/>
  <c r="K21" i="4"/>
  <c r="I22" i="4"/>
  <c r="I20" i="4"/>
  <c r="J12" i="4"/>
  <c r="I17" i="4"/>
  <c r="K15" i="4"/>
  <c r="J25" i="4"/>
  <c r="I27" i="4"/>
  <c r="J24" i="4"/>
  <c r="X121" i="1"/>
  <c r="X30" i="1"/>
  <c r="X45" i="1"/>
  <c r="X74" i="1"/>
  <c r="X91" i="1"/>
  <c r="X71" i="1"/>
  <c r="X42" i="1"/>
  <c r="I6" i="4"/>
  <c r="I26" i="4"/>
  <c r="I8" i="4"/>
  <c r="K13" i="4"/>
  <c r="K11" i="4"/>
  <c r="K27" i="4"/>
  <c r="X76" i="1"/>
  <c r="X18" i="1"/>
  <c r="AD17" i="1"/>
  <c r="X102" i="1"/>
  <c r="AD56" i="1"/>
  <c r="X15" i="1"/>
  <c r="X103" i="1"/>
  <c r="J10" i="4"/>
  <c r="J8" i="4"/>
  <c r="X65" i="1"/>
  <c r="X95" i="1"/>
  <c r="X61" i="1"/>
  <c r="X90" i="1"/>
  <c r="X11" i="1"/>
  <c r="X110" i="1"/>
  <c r="X111" i="1"/>
  <c r="AD71" i="1"/>
  <c r="AD32" i="1"/>
  <c r="J27" i="4"/>
  <c r="J9" i="4"/>
  <c r="J14" i="4"/>
  <c r="I19" i="4"/>
  <c r="J16" i="4"/>
  <c r="X98" i="1"/>
  <c r="X60" i="1"/>
  <c r="X25" i="1"/>
  <c r="I11" i="4"/>
  <c r="I25" i="4"/>
  <c r="J17" i="4"/>
  <c r="X86" i="1"/>
  <c r="X106" i="1"/>
  <c r="X116" i="1"/>
  <c r="AD50" i="1"/>
  <c r="I13" i="4"/>
  <c r="X124" i="1"/>
  <c r="X68" i="1"/>
  <c r="X78" i="1"/>
  <c r="X40" i="1"/>
  <c r="X93" i="1"/>
  <c r="X107" i="1"/>
  <c r="AD45" i="1"/>
  <c r="X10" i="1"/>
  <c r="X7" i="1"/>
  <c r="X59" i="1"/>
  <c r="AD53" i="1"/>
  <c r="X85" i="1"/>
  <c r="X33" i="1"/>
  <c r="X32" i="1"/>
  <c r="X105" i="1"/>
  <c r="AD83" i="1"/>
  <c r="AD35" i="1"/>
  <c r="J21" i="4"/>
  <c r="J5" i="4"/>
  <c r="X94" i="1"/>
  <c r="X8" i="1"/>
  <c r="AD42" i="1"/>
  <c r="AD13" i="1"/>
  <c r="AD115" i="1"/>
  <c r="X58" i="1"/>
  <c r="X53" i="1"/>
  <c r="K18" i="4"/>
  <c r="J23" i="4"/>
  <c r="J13" i="4"/>
  <c r="J6" i="4"/>
  <c r="X113" i="1"/>
  <c r="AD6" i="1"/>
  <c r="X21" i="1"/>
  <c r="X28" i="1"/>
  <c r="I12" i="4"/>
  <c r="K19" i="4"/>
  <c r="X63" i="1"/>
  <c r="X13" i="1"/>
  <c r="X35" i="1"/>
  <c r="X46" i="1"/>
  <c r="K26" i="4"/>
  <c r="X122" i="1"/>
  <c r="V59" i="4"/>
  <c r="V39" i="4"/>
  <c r="U25" i="4"/>
  <c r="W44" i="4"/>
  <c r="J29" i="2" l="1"/>
  <c r="J67" i="2" s="1"/>
  <c r="J105" i="2" s="1"/>
  <c r="M33" i="4"/>
  <c r="L33" i="4"/>
  <c r="M32" i="4"/>
  <c r="L32" i="4"/>
  <c r="G1" i="6"/>
  <c r="C26" i="6" s="1"/>
  <c r="C64" i="6" s="1"/>
  <c r="C102" i="6" s="1"/>
  <c r="M31" i="4"/>
  <c r="L31" i="4"/>
  <c r="M30" i="4"/>
  <c r="L30" i="4"/>
  <c r="M29" i="4"/>
  <c r="L29" i="4"/>
  <c r="K31" i="2"/>
  <c r="K69" i="2" s="1"/>
  <c r="K107" i="2" s="1"/>
  <c r="M28" i="4"/>
  <c r="K35" i="2" s="1"/>
  <c r="K73" i="2" s="1"/>
  <c r="K111" i="2" s="1"/>
  <c r="L28" i="4"/>
  <c r="M19" i="4"/>
  <c r="L19" i="4"/>
  <c r="M27" i="4"/>
  <c r="L27" i="4"/>
  <c r="L13" i="4"/>
  <c r="M13" i="4"/>
  <c r="M15" i="4"/>
  <c r="L15" i="4"/>
  <c r="M20" i="4"/>
  <c r="L20" i="4"/>
  <c r="M16" i="4"/>
  <c r="L16" i="4"/>
  <c r="M17" i="4"/>
  <c r="L17" i="4"/>
  <c r="M9" i="4"/>
  <c r="L9" i="4"/>
  <c r="K26" i="2"/>
  <c r="K64" i="2" s="1"/>
  <c r="K102" i="2" s="1"/>
  <c r="I25" i="2"/>
  <c r="I63" i="2" s="1"/>
  <c r="I101" i="2" s="1"/>
  <c r="B20" i="2"/>
  <c r="B58" i="2" s="1"/>
  <c r="B96" i="2" s="1"/>
  <c r="I15" i="2"/>
  <c r="I53" i="2" s="1"/>
  <c r="I91" i="2" s="1"/>
  <c r="B12" i="2"/>
  <c r="B50" i="2" s="1"/>
  <c r="B88" i="2" s="1"/>
  <c r="I19" i="2"/>
  <c r="I57" i="2" s="1"/>
  <c r="I95" i="2" s="1"/>
  <c r="D21" i="2"/>
  <c r="D59" i="2" s="1"/>
  <c r="D97" i="2" s="1"/>
  <c r="B24" i="2"/>
  <c r="B62" i="2" s="1"/>
  <c r="B100" i="2" s="1"/>
  <c r="I17" i="2"/>
  <c r="I55" i="2" s="1"/>
  <c r="I93" i="2" s="1"/>
  <c r="I23" i="2"/>
  <c r="I61" i="2" s="1"/>
  <c r="I99" i="2" s="1"/>
  <c r="J17" i="2"/>
  <c r="J55" i="2" s="1"/>
  <c r="J93" i="2" s="1"/>
  <c r="D17" i="2"/>
  <c r="D55" i="2" s="1"/>
  <c r="D93" i="2" s="1"/>
  <c r="J13" i="2"/>
  <c r="J51" i="2" s="1"/>
  <c r="J89" i="2" s="1"/>
  <c r="J21" i="2"/>
  <c r="J59" i="2" s="1"/>
  <c r="J97" i="2" s="1"/>
  <c r="I13" i="2"/>
  <c r="I51" i="2" s="1"/>
  <c r="I89" i="2" s="1"/>
  <c r="D25" i="2"/>
  <c r="D63" i="2" s="1"/>
  <c r="D101" i="2" s="1"/>
  <c r="B18" i="2"/>
  <c r="B56" i="2" s="1"/>
  <c r="B94" i="2" s="1"/>
  <c r="B26" i="2"/>
  <c r="B64" i="2" s="1"/>
  <c r="B102" i="2" s="1"/>
  <c r="I14" i="2"/>
  <c r="I52" i="2" s="1"/>
  <c r="I90" i="2" s="1"/>
  <c r="I18" i="2"/>
  <c r="I56" i="2" s="1"/>
  <c r="I94" i="2" s="1"/>
  <c r="I22" i="2"/>
  <c r="I60" i="2" s="1"/>
  <c r="I98" i="2" s="1"/>
  <c r="I26" i="2"/>
  <c r="I64" i="2" s="1"/>
  <c r="I102" i="2" s="1"/>
  <c r="J15" i="2"/>
  <c r="J53" i="2" s="1"/>
  <c r="J91" i="2" s="1"/>
  <c r="J23" i="2"/>
  <c r="J61" i="2" s="1"/>
  <c r="J99" i="2" s="1"/>
  <c r="D15" i="2"/>
  <c r="D53" i="2" s="1"/>
  <c r="D91" i="2" s="1"/>
  <c r="D23" i="2"/>
  <c r="D61" i="2" s="1"/>
  <c r="D99" i="2" s="1"/>
  <c r="B13" i="2"/>
  <c r="B51" i="2" s="1"/>
  <c r="B89" i="2" s="1"/>
  <c r="B17" i="2"/>
  <c r="B55" i="2" s="1"/>
  <c r="B93" i="2" s="1"/>
  <c r="B21" i="2"/>
  <c r="B59" i="2" s="1"/>
  <c r="B97" i="2" s="1"/>
  <c r="B25" i="2"/>
  <c r="B63" i="2" s="1"/>
  <c r="B101" i="2" s="1"/>
  <c r="C12" i="2"/>
  <c r="C50" i="2" s="1"/>
  <c r="C88" i="2" s="1"/>
  <c r="C14" i="2"/>
  <c r="C52" i="2" s="1"/>
  <c r="C90" i="2" s="1"/>
  <c r="C16" i="2"/>
  <c r="C54" i="2" s="1"/>
  <c r="C92" i="2" s="1"/>
  <c r="C18" i="2"/>
  <c r="C56" i="2" s="1"/>
  <c r="C94" i="2" s="1"/>
  <c r="C20" i="2"/>
  <c r="C58" i="2" s="1"/>
  <c r="C96" i="2" s="1"/>
  <c r="C22" i="2"/>
  <c r="C60" i="2" s="1"/>
  <c r="C98" i="2" s="1"/>
  <c r="C24" i="2"/>
  <c r="C62" i="2" s="1"/>
  <c r="C100" i="2" s="1"/>
  <c r="C26" i="2"/>
  <c r="C64" i="2" s="1"/>
  <c r="C102" i="2" s="1"/>
  <c r="J14" i="2"/>
  <c r="J52" i="2" s="1"/>
  <c r="J90" i="2" s="1"/>
  <c r="J18" i="2"/>
  <c r="J56" i="2" s="1"/>
  <c r="J94" i="2" s="1"/>
  <c r="J22" i="2"/>
  <c r="J60" i="2" s="1"/>
  <c r="J98" i="2" s="1"/>
  <c r="J26" i="2"/>
  <c r="J64" i="2" s="1"/>
  <c r="J102" i="2" s="1"/>
  <c r="D14" i="2"/>
  <c r="D52" i="2" s="1"/>
  <c r="D90" i="2" s="1"/>
  <c r="D18" i="2"/>
  <c r="D56" i="2" s="1"/>
  <c r="D94" i="2" s="1"/>
  <c r="D22" i="2"/>
  <c r="D60" i="2" s="1"/>
  <c r="D98" i="2" s="1"/>
  <c r="D26" i="2"/>
  <c r="D64" i="2" s="1"/>
  <c r="D102" i="2" s="1"/>
  <c r="H12" i="2"/>
  <c r="H50" i="2" s="1"/>
  <c r="H88" i="2" s="1"/>
  <c r="H14" i="2"/>
  <c r="H52" i="2" s="1"/>
  <c r="H90" i="2" s="1"/>
  <c r="H16" i="2"/>
  <c r="H54" i="2" s="1"/>
  <c r="H92" i="2" s="1"/>
  <c r="H18" i="2"/>
  <c r="H56" i="2" s="1"/>
  <c r="H94" i="2" s="1"/>
  <c r="H20" i="2"/>
  <c r="H58" i="2" s="1"/>
  <c r="H96" i="2" s="1"/>
  <c r="H22" i="2"/>
  <c r="H60" i="2" s="1"/>
  <c r="H98" i="2" s="1"/>
  <c r="H24" i="2"/>
  <c r="H62" i="2" s="1"/>
  <c r="H100" i="2" s="1"/>
  <c r="H26" i="2"/>
  <c r="H64" i="2" s="1"/>
  <c r="H102" i="2" s="1"/>
  <c r="K11" i="2"/>
  <c r="K49" i="2" s="1"/>
  <c r="K87" i="2" s="1"/>
  <c r="K12" i="2"/>
  <c r="K50" i="2" s="1"/>
  <c r="K88" i="2" s="1"/>
  <c r="K13" i="2"/>
  <c r="K51" i="2" s="1"/>
  <c r="K89" i="2" s="1"/>
  <c r="K14" i="2"/>
  <c r="K52" i="2" s="1"/>
  <c r="K90" i="2" s="1"/>
  <c r="K15" i="2"/>
  <c r="K53" i="2" s="1"/>
  <c r="K91" i="2" s="1"/>
  <c r="K16" i="2"/>
  <c r="K54" i="2" s="1"/>
  <c r="K92" i="2" s="1"/>
  <c r="K17" i="2"/>
  <c r="K55" i="2" s="1"/>
  <c r="K93" i="2" s="1"/>
  <c r="K18" i="2"/>
  <c r="K56" i="2" s="1"/>
  <c r="K94" i="2" s="1"/>
  <c r="K19" i="2"/>
  <c r="K57" i="2" s="1"/>
  <c r="K95" i="2" s="1"/>
  <c r="K20" i="2"/>
  <c r="K58" i="2" s="1"/>
  <c r="K96" i="2" s="1"/>
  <c r="K21" i="2"/>
  <c r="K59" i="2" s="1"/>
  <c r="K97" i="2" s="1"/>
  <c r="K22" i="2"/>
  <c r="K60" i="2" s="1"/>
  <c r="K98" i="2" s="1"/>
  <c r="K23" i="2"/>
  <c r="K61" i="2" s="1"/>
  <c r="K99" i="2" s="1"/>
  <c r="K24" i="2"/>
  <c r="K62" i="2" s="1"/>
  <c r="K100" i="2" s="1"/>
  <c r="K25" i="2"/>
  <c r="K63" i="2" s="1"/>
  <c r="K101" i="2" s="1"/>
  <c r="D13" i="2"/>
  <c r="D51" i="2" s="1"/>
  <c r="D89" i="2" s="1"/>
  <c r="B16" i="2"/>
  <c r="B54" i="2" s="1"/>
  <c r="B92" i="2" s="1"/>
  <c r="I21" i="2"/>
  <c r="I59" i="2" s="1"/>
  <c r="I97" i="2" s="1"/>
  <c r="J25" i="2"/>
  <c r="J63" i="2" s="1"/>
  <c r="J101" i="2" s="1"/>
  <c r="B22" i="2"/>
  <c r="B60" i="2" s="1"/>
  <c r="B98" i="2" s="1"/>
  <c r="I12" i="2"/>
  <c r="I50" i="2" s="1"/>
  <c r="I88" i="2" s="1"/>
  <c r="I16" i="2"/>
  <c r="I54" i="2" s="1"/>
  <c r="I92" i="2" s="1"/>
  <c r="I20" i="2"/>
  <c r="I58" i="2" s="1"/>
  <c r="I96" i="2" s="1"/>
  <c r="J11" i="2"/>
  <c r="J49" i="2" s="1"/>
  <c r="J87" i="2" s="1"/>
  <c r="J19" i="2"/>
  <c r="J57" i="2" s="1"/>
  <c r="J95" i="2" s="1"/>
  <c r="D11" i="2"/>
  <c r="D49" i="2" s="1"/>
  <c r="D87" i="2" s="1"/>
  <c r="B11" i="2"/>
  <c r="B49" i="2" s="1"/>
  <c r="B87" i="2" s="1"/>
  <c r="B15" i="2"/>
  <c r="B53" i="2" s="1"/>
  <c r="B91" i="2" s="1"/>
  <c r="B19" i="2"/>
  <c r="B57" i="2" s="1"/>
  <c r="B95" i="2" s="1"/>
  <c r="C11" i="2"/>
  <c r="C49" i="2" s="1"/>
  <c r="C87" i="2" s="1"/>
  <c r="C13" i="2"/>
  <c r="C51" i="2" s="1"/>
  <c r="C89" i="2" s="1"/>
  <c r="C15" i="2"/>
  <c r="C53" i="2" s="1"/>
  <c r="C91" i="2" s="1"/>
  <c r="C17" i="2"/>
  <c r="C55" i="2" s="1"/>
  <c r="C93" i="2" s="1"/>
  <c r="C21" i="2"/>
  <c r="C59" i="2" s="1"/>
  <c r="C97" i="2" s="1"/>
  <c r="C25" i="2"/>
  <c r="C63" i="2" s="1"/>
  <c r="C101" i="2" s="1"/>
  <c r="I11" i="2"/>
  <c r="I49" i="2" s="1"/>
  <c r="I87" i="2" s="1"/>
  <c r="B14" i="2"/>
  <c r="B52" i="2" s="1"/>
  <c r="B90" i="2" s="1"/>
  <c r="I24" i="2"/>
  <c r="I62" i="2" s="1"/>
  <c r="I100" i="2" s="1"/>
  <c r="D19" i="2"/>
  <c r="D57" i="2" s="1"/>
  <c r="D95" i="2" s="1"/>
  <c r="B23" i="2"/>
  <c r="B61" i="2" s="1"/>
  <c r="B99" i="2" s="1"/>
  <c r="C19" i="2"/>
  <c r="C57" i="2" s="1"/>
  <c r="C95" i="2" s="1"/>
  <c r="C23" i="2"/>
  <c r="C61" i="2" s="1"/>
  <c r="C99" i="2" s="1"/>
  <c r="J12" i="2"/>
  <c r="J50" i="2" s="1"/>
  <c r="J88" i="2" s="1"/>
  <c r="J16" i="2"/>
  <c r="J54" i="2" s="1"/>
  <c r="J92" i="2" s="1"/>
  <c r="J20" i="2"/>
  <c r="J58" i="2" s="1"/>
  <c r="J96" i="2" s="1"/>
  <c r="J24" i="2"/>
  <c r="J62" i="2" s="1"/>
  <c r="J100" i="2" s="1"/>
  <c r="D12" i="2"/>
  <c r="D50" i="2" s="1"/>
  <c r="D88" i="2" s="1"/>
  <c r="D16" i="2"/>
  <c r="D54" i="2" s="1"/>
  <c r="D92" i="2" s="1"/>
  <c r="D20" i="2"/>
  <c r="D58" i="2" s="1"/>
  <c r="D96" i="2" s="1"/>
  <c r="D24" i="2"/>
  <c r="D62" i="2" s="1"/>
  <c r="D100" i="2" s="1"/>
  <c r="H11" i="2"/>
  <c r="H49" i="2" s="1"/>
  <c r="H87" i="2" s="1"/>
  <c r="H13" i="2"/>
  <c r="H51" i="2" s="1"/>
  <c r="H89" i="2" s="1"/>
  <c r="H17" i="2"/>
  <c r="H55" i="2" s="1"/>
  <c r="H93" i="2" s="1"/>
  <c r="H21" i="2"/>
  <c r="H59" i="2" s="1"/>
  <c r="H97" i="2" s="1"/>
  <c r="H25" i="2"/>
  <c r="H63" i="2" s="1"/>
  <c r="H101" i="2" s="1"/>
  <c r="E12" i="2"/>
  <c r="E50" i="2" s="1"/>
  <c r="E88" i="2" s="1"/>
  <c r="E14" i="2"/>
  <c r="E52" i="2" s="1"/>
  <c r="E90" i="2" s="1"/>
  <c r="E16" i="2"/>
  <c r="E54" i="2" s="1"/>
  <c r="E92" i="2" s="1"/>
  <c r="E18" i="2"/>
  <c r="E56" i="2" s="1"/>
  <c r="E94" i="2" s="1"/>
  <c r="E20" i="2"/>
  <c r="E58" i="2" s="1"/>
  <c r="E96" i="2" s="1"/>
  <c r="E22" i="2"/>
  <c r="E60" i="2" s="1"/>
  <c r="E98" i="2" s="1"/>
  <c r="E24" i="2"/>
  <c r="E62" i="2" s="1"/>
  <c r="E100" i="2" s="1"/>
  <c r="E26" i="2"/>
  <c r="E64" i="2" s="1"/>
  <c r="E102" i="2" s="1"/>
  <c r="H15" i="2"/>
  <c r="H53" i="2" s="1"/>
  <c r="H91" i="2" s="1"/>
  <c r="H19" i="2"/>
  <c r="H57" i="2" s="1"/>
  <c r="H95" i="2" s="1"/>
  <c r="H23" i="2"/>
  <c r="H61" i="2" s="1"/>
  <c r="H99" i="2" s="1"/>
  <c r="E11" i="2"/>
  <c r="E49" i="2" s="1"/>
  <c r="E87" i="2" s="1"/>
  <c r="E13" i="2"/>
  <c r="E51" i="2" s="1"/>
  <c r="E89" i="2" s="1"/>
  <c r="E15" i="2"/>
  <c r="E53" i="2" s="1"/>
  <c r="E91" i="2" s="1"/>
  <c r="E17" i="2"/>
  <c r="E55" i="2" s="1"/>
  <c r="E93" i="2" s="1"/>
  <c r="E19" i="2"/>
  <c r="E57" i="2" s="1"/>
  <c r="E95" i="2" s="1"/>
  <c r="E21" i="2"/>
  <c r="E59" i="2" s="1"/>
  <c r="E97" i="2" s="1"/>
  <c r="E23" i="2"/>
  <c r="E61" i="2" s="1"/>
  <c r="E99" i="2" s="1"/>
  <c r="E25" i="2"/>
  <c r="E63" i="2" s="1"/>
  <c r="E101" i="2" s="1"/>
  <c r="M12" i="4"/>
  <c r="L12" i="4"/>
  <c r="M26" i="4"/>
  <c r="L26" i="4"/>
  <c r="M18" i="4"/>
  <c r="L18" i="4"/>
  <c r="J64" i="4"/>
  <c r="M11" i="4"/>
  <c r="L11" i="4"/>
  <c r="L21" i="4"/>
  <c r="M21" i="4"/>
  <c r="L8" i="4"/>
  <c r="M8" i="4"/>
  <c r="I64" i="4"/>
  <c r="M14" i="4"/>
  <c r="L14" i="4"/>
  <c r="J29" i="6"/>
  <c r="L25" i="4"/>
  <c r="M25" i="4"/>
  <c r="M6" i="4"/>
  <c r="L6" i="4"/>
  <c r="M23" i="4"/>
  <c r="L23" i="4"/>
  <c r="C18" i="6"/>
  <c r="C56" i="6" s="1"/>
  <c r="C94" i="6" s="1"/>
  <c r="E17" i="6"/>
  <c r="E55" i="6" s="1"/>
  <c r="E93" i="6" s="1"/>
  <c r="K17" i="6"/>
  <c r="K55" i="6" s="1"/>
  <c r="K93" i="6" s="1"/>
  <c r="K18" i="6"/>
  <c r="K56" i="6" s="1"/>
  <c r="K94" i="6" s="1"/>
  <c r="M7" i="4"/>
  <c r="L7" i="4"/>
  <c r="M24" i="4"/>
  <c r="L24" i="4"/>
  <c r="L5" i="4"/>
  <c r="M5" i="4"/>
  <c r="K64" i="4"/>
  <c r="M10" i="4"/>
  <c r="L10" i="4"/>
  <c r="M22" i="4"/>
  <c r="L22" i="4"/>
  <c r="W32" i="4"/>
  <c r="W30" i="4"/>
  <c r="W28" i="4"/>
  <c r="W27" i="4"/>
  <c r="W20" i="4"/>
  <c r="W17" i="4"/>
  <c r="W12" i="4"/>
  <c r="W18" i="4"/>
  <c r="W8" i="4"/>
  <c r="W25" i="4"/>
  <c r="W22" i="4"/>
  <c r="W11" i="4"/>
  <c r="W23" i="4"/>
  <c r="W24" i="4"/>
  <c r="W33" i="4"/>
  <c r="W29" i="4"/>
  <c r="W19" i="4"/>
  <c r="W15" i="4"/>
  <c r="W16" i="4"/>
  <c r="W9" i="4"/>
  <c r="W26" i="4"/>
  <c r="W21" i="4"/>
  <c r="W5" i="4"/>
  <c r="W13" i="4"/>
  <c r="W6" i="4"/>
  <c r="W7" i="4"/>
  <c r="W10" i="4"/>
  <c r="W31" i="4"/>
  <c r="W14" i="4"/>
  <c r="D17" i="6" l="1"/>
  <c r="D55" i="6" s="1"/>
  <c r="D93" i="6" s="1"/>
  <c r="C20" i="6"/>
  <c r="C58" i="6" s="1"/>
  <c r="C96" i="6" s="1"/>
  <c r="B19" i="6"/>
  <c r="B57" i="6" s="1"/>
  <c r="B95" i="6" s="1"/>
  <c r="K15" i="6"/>
  <c r="K53" i="6" s="1"/>
  <c r="K91" i="6" s="1"/>
  <c r="I16" i="6"/>
  <c r="I54" i="6" s="1"/>
  <c r="I92" i="6" s="1"/>
  <c r="D26" i="6"/>
  <c r="D64" i="6" s="1"/>
  <c r="D102" i="6" s="1"/>
  <c r="B20" i="6"/>
  <c r="B58" i="6" s="1"/>
  <c r="B96" i="6" s="1"/>
  <c r="C19" i="6"/>
  <c r="C57" i="6" s="1"/>
  <c r="C95" i="6" s="1"/>
  <c r="E25" i="6"/>
  <c r="E63" i="6" s="1"/>
  <c r="E101" i="6" s="1"/>
  <c r="C15" i="6"/>
  <c r="C53" i="6" s="1"/>
  <c r="C91" i="6" s="1"/>
  <c r="D20" i="6"/>
  <c r="D58" i="6" s="1"/>
  <c r="D96" i="6" s="1"/>
  <c r="H18" i="6"/>
  <c r="H56" i="6" s="1"/>
  <c r="H94" i="6" s="1"/>
  <c r="B18" i="6"/>
  <c r="B56" i="6" s="1"/>
  <c r="B94" i="6" s="1"/>
  <c r="E16" i="6"/>
  <c r="E54" i="6" s="1"/>
  <c r="E92" i="6" s="1"/>
  <c r="H16" i="6"/>
  <c r="H54" i="6" s="1"/>
  <c r="H92" i="6" s="1"/>
  <c r="K20" i="6"/>
  <c r="K58" i="6" s="1"/>
  <c r="K96" i="6" s="1"/>
  <c r="K25" i="6"/>
  <c r="K63" i="6" s="1"/>
  <c r="K101" i="6" s="1"/>
  <c r="I15" i="6"/>
  <c r="I53" i="6" s="1"/>
  <c r="I91" i="6" s="1"/>
  <c r="D24" i="6"/>
  <c r="D62" i="6" s="1"/>
  <c r="D100" i="6" s="1"/>
  <c r="H26" i="6"/>
  <c r="H64" i="6" s="1"/>
  <c r="H102" i="6" s="1"/>
  <c r="E21" i="6"/>
  <c r="E59" i="6" s="1"/>
  <c r="E97" i="6" s="1"/>
  <c r="B11" i="6"/>
  <c r="B49" i="6" s="1"/>
  <c r="B87" i="6" s="1"/>
  <c r="C11" i="6"/>
  <c r="C49" i="6" s="1"/>
  <c r="C87" i="6" s="1"/>
  <c r="I21" i="6"/>
  <c r="I59" i="6" s="1"/>
  <c r="I97" i="6" s="1"/>
  <c r="H23" i="6"/>
  <c r="H61" i="6" s="1"/>
  <c r="H99" i="6" s="1"/>
  <c r="J11" i="6"/>
  <c r="J49" i="6" s="1"/>
  <c r="J87" i="6" s="1"/>
  <c r="D16" i="6"/>
  <c r="D54" i="6" s="1"/>
  <c r="D92" i="6" s="1"/>
  <c r="J26" i="6"/>
  <c r="J64" i="6" s="1"/>
  <c r="J102" i="6" s="1"/>
  <c r="K24" i="6"/>
  <c r="K62" i="6" s="1"/>
  <c r="K100" i="6" s="1"/>
  <c r="I12" i="6"/>
  <c r="I50" i="6" s="1"/>
  <c r="I88" i="6" s="1"/>
  <c r="I24" i="6"/>
  <c r="I62" i="6" s="1"/>
  <c r="I100" i="6" s="1"/>
  <c r="H21" i="6"/>
  <c r="H59" i="6" s="1"/>
  <c r="H97" i="6" s="1"/>
  <c r="J24" i="6"/>
  <c r="J62" i="6" s="1"/>
  <c r="J100" i="6" s="1"/>
  <c r="J14" i="6"/>
  <c r="J52" i="6" s="1"/>
  <c r="J90" i="6" s="1"/>
  <c r="K12" i="6"/>
  <c r="K50" i="6" s="1"/>
  <c r="K88" i="6" s="1"/>
  <c r="B14" i="6"/>
  <c r="B52" i="6" s="1"/>
  <c r="B90" i="6" s="1"/>
  <c r="K21" i="6"/>
  <c r="K59" i="6" s="1"/>
  <c r="K97" i="6" s="1"/>
  <c r="B12" i="6"/>
  <c r="B50" i="6" s="1"/>
  <c r="B88" i="6" s="1"/>
  <c r="I11" i="6"/>
  <c r="I49" i="6" s="1"/>
  <c r="I87" i="6" s="1"/>
  <c r="I22" i="6"/>
  <c r="I60" i="6" s="1"/>
  <c r="I98" i="6" s="1"/>
  <c r="H25" i="6"/>
  <c r="H63" i="6" s="1"/>
  <c r="H101" i="6" s="1"/>
  <c r="J15" i="6"/>
  <c r="J53" i="6" s="1"/>
  <c r="J91" i="6" s="1"/>
  <c r="D22" i="6"/>
  <c r="D60" i="6" s="1"/>
  <c r="D98" i="6" s="1"/>
  <c r="D18" i="6"/>
  <c r="D56" i="6" s="1"/>
  <c r="D94" i="6" s="1"/>
  <c r="E19" i="6"/>
  <c r="E57" i="6" s="1"/>
  <c r="E95" i="6" s="1"/>
  <c r="E23" i="6"/>
  <c r="E61" i="6" s="1"/>
  <c r="E99" i="6" s="1"/>
  <c r="D19" i="6"/>
  <c r="D57" i="6" s="1"/>
  <c r="D95" i="6" s="1"/>
  <c r="B15" i="6"/>
  <c r="B53" i="6" s="1"/>
  <c r="B91" i="6" s="1"/>
  <c r="B23" i="6"/>
  <c r="B61" i="6" s="1"/>
  <c r="B99" i="6" s="1"/>
  <c r="C13" i="6"/>
  <c r="C51" i="6" s="1"/>
  <c r="C89" i="6" s="1"/>
  <c r="I17" i="6"/>
  <c r="I55" i="6" s="1"/>
  <c r="I93" i="6" s="1"/>
  <c r="I25" i="6"/>
  <c r="I63" i="6" s="1"/>
  <c r="I101" i="6" s="1"/>
  <c r="E13" i="6"/>
  <c r="E51" i="6" s="1"/>
  <c r="E89" i="6" s="1"/>
  <c r="H15" i="6"/>
  <c r="H53" i="6" s="1"/>
  <c r="H91" i="6" s="1"/>
  <c r="D11" i="6"/>
  <c r="D49" i="6" s="1"/>
  <c r="D87" i="6" s="1"/>
  <c r="J12" i="6"/>
  <c r="J50" i="6" s="1"/>
  <c r="J88" i="6" s="1"/>
  <c r="H20" i="6"/>
  <c r="H58" i="6" s="1"/>
  <c r="H96" i="6" s="1"/>
  <c r="J22" i="6"/>
  <c r="J60" i="6" s="1"/>
  <c r="J98" i="6" s="1"/>
  <c r="J18" i="6"/>
  <c r="J56" i="6" s="1"/>
  <c r="J94" i="6" s="1"/>
  <c r="C25" i="6"/>
  <c r="C63" i="6" s="1"/>
  <c r="C101" i="6" s="1"/>
  <c r="K22" i="6"/>
  <c r="K60" i="6" s="1"/>
  <c r="K98" i="6" s="1"/>
  <c r="K26" i="6"/>
  <c r="K64" i="6" s="1"/>
  <c r="K102" i="6" s="1"/>
  <c r="B26" i="6"/>
  <c r="B64" i="6" s="1"/>
  <c r="B102" i="6" s="1"/>
  <c r="I14" i="6"/>
  <c r="I52" i="6" s="1"/>
  <c r="I90" i="6" s="1"/>
  <c r="I20" i="6"/>
  <c r="I58" i="6" s="1"/>
  <c r="I96" i="6" s="1"/>
  <c r="C24" i="6"/>
  <c r="C62" i="6" s="1"/>
  <c r="C100" i="6" s="1"/>
  <c r="E12" i="6"/>
  <c r="E50" i="6" s="1"/>
  <c r="E88" i="6" s="1"/>
  <c r="H13" i="6"/>
  <c r="H51" i="6" s="1"/>
  <c r="H89" i="6" s="1"/>
  <c r="J23" i="6"/>
  <c r="J61" i="6" s="1"/>
  <c r="J99" i="6" s="1"/>
  <c r="K13" i="6"/>
  <c r="K51" i="6" s="1"/>
  <c r="K89" i="6" s="1"/>
  <c r="D12" i="6"/>
  <c r="D50" i="6" s="1"/>
  <c r="D88" i="6" s="1"/>
  <c r="C21" i="6"/>
  <c r="C59" i="6" s="1"/>
  <c r="C97" i="6" s="1"/>
  <c r="C17" i="6"/>
  <c r="C55" i="6" s="1"/>
  <c r="C93" i="6" s="1"/>
  <c r="K16" i="6"/>
  <c r="K54" i="6" s="1"/>
  <c r="K92" i="6" s="1"/>
  <c r="D25" i="6"/>
  <c r="D63" i="6" s="1"/>
  <c r="D101" i="6" s="1"/>
  <c r="B22" i="6"/>
  <c r="B60" i="6" s="1"/>
  <c r="B98" i="6" s="1"/>
  <c r="K19" i="6"/>
  <c r="K57" i="6" s="1"/>
  <c r="K95" i="6" s="1"/>
  <c r="K23" i="6"/>
  <c r="K61" i="6" s="1"/>
  <c r="K99" i="6" s="1"/>
  <c r="D21" i="6"/>
  <c r="D59" i="6" s="1"/>
  <c r="D97" i="6" s="1"/>
  <c r="B16" i="6"/>
  <c r="B54" i="6" s="1"/>
  <c r="B92" i="6" s="1"/>
  <c r="B24" i="6"/>
  <c r="B62" i="6" s="1"/>
  <c r="B100" i="6" s="1"/>
  <c r="I13" i="6"/>
  <c r="I51" i="6" s="1"/>
  <c r="I89" i="6" s="1"/>
  <c r="I18" i="6"/>
  <c r="I56" i="6" s="1"/>
  <c r="I94" i="6" s="1"/>
  <c r="I26" i="6"/>
  <c r="I64" i="6" s="1"/>
  <c r="I102" i="6" s="1"/>
  <c r="E14" i="6"/>
  <c r="E52" i="6" s="1"/>
  <c r="E90" i="6" s="1"/>
  <c r="H17" i="6"/>
  <c r="H55" i="6" s="1"/>
  <c r="H93" i="6" s="1"/>
  <c r="D13" i="6"/>
  <c r="D51" i="6" s="1"/>
  <c r="D89" i="6" s="1"/>
  <c r="J16" i="6"/>
  <c r="J54" i="6" s="1"/>
  <c r="J92" i="6" s="1"/>
  <c r="H24" i="6"/>
  <c r="H62" i="6" s="1"/>
  <c r="H100" i="6" s="1"/>
  <c r="J13" i="6"/>
  <c r="J51" i="6" s="1"/>
  <c r="J89" i="6" s="1"/>
  <c r="J17" i="6"/>
  <c r="J55" i="6" s="1"/>
  <c r="J93" i="6" s="1"/>
  <c r="H14" i="6"/>
  <c r="H52" i="6" s="1"/>
  <c r="H90" i="6" s="1"/>
  <c r="E18" i="6"/>
  <c r="E56" i="6" s="1"/>
  <c r="E94" i="6" s="1"/>
  <c r="E20" i="6"/>
  <c r="E58" i="6" s="1"/>
  <c r="E96" i="6" s="1"/>
  <c r="E22" i="6"/>
  <c r="E60" i="6" s="1"/>
  <c r="E98" i="6" s="1"/>
  <c r="E24" i="6"/>
  <c r="E62" i="6" s="1"/>
  <c r="E100" i="6" s="1"/>
  <c r="E26" i="6"/>
  <c r="E64" i="6" s="1"/>
  <c r="E102" i="6" s="1"/>
  <c r="D23" i="6"/>
  <c r="D61" i="6" s="1"/>
  <c r="D99" i="6" s="1"/>
  <c r="B13" i="6"/>
  <c r="B51" i="6" s="1"/>
  <c r="B89" i="6" s="1"/>
  <c r="B17" i="6"/>
  <c r="B55" i="6" s="1"/>
  <c r="B93" i="6" s="1"/>
  <c r="B21" i="6"/>
  <c r="B59" i="6" s="1"/>
  <c r="B97" i="6" s="1"/>
  <c r="B25" i="6"/>
  <c r="B63" i="6" s="1"/>
  <c r="B101" i="6" s="1"/>
  <c r="C12" i="6"/>
  <c r="C50" i="6" s="1"/>
  <c r="C88" i="6" s="1"/>
  <c r="C14" i="6"/>
  <c r="C52" i="6" s="1"/>
  <c r="C90" i="6" s="1"/>
  <c r="C16" i="6"/>
  <c r="C54" i="6" s="1"/>
  <c r="C92" i="6" s="1"/>
  <c r="I19" i="6"/>
  <c r="I57" i="6" s="1"/>
  <c r="I95" i="6" s="1"/>
  <c r="I23" i="6"/>
  <c r="I61" i="6" s="1"/>
  <c r="I99" i="6" s="1"/>
  <c r="C22" i="6"/>
  <c r="C60" i="6" s="1"/>
  <c r="C98" i="6" s="1"/>
  <c r="E15" i="6"/>
  <c r="E53" i="6" s="1"/>
  <c r="E91" i="6" s="1"/>
  <c r="E11" i="6"/>
  <c r="E49" i="6" s="1"/>
  <c r="E87" i="6" s="1"/>
  <c r="H19" i="6"/>
  <c r="H57" i="6" s="1"/>
  <c r="H95" i="6" s="1"/>
  <c r="H11" i="6"/>
  <c r="H49" i="6" s="1"/>
  <c r="H87" i="6" s="1"/>
  <c r="D15" i="6"/>
  <c r="D53" i="6" s="1"/>
  <c r="D91" i="6" s="1"/>
  <c r="J19" i="6"/>
  <c r="J57" i="6" s="1"/>
  <c r="J95" i="6" s="1"/>
  <c r="J20" i="6"/>
  <c r="J58" i="6" s="1"/>
  <c r="J96" i="6" s="1"/>
  <c r="C23" i="6"/>
  <c r="C61" i="6" s="1"/>
  <c r="C99" i="6" s="1"/>
  <c r="K11" i="6"/>
  <c r="K49" i="6" s="1"/>
  <c r="K87" i="6" s="1"/>
  <c r="H12" i="6"/>
  <c r="H50" i="6" s="1"/>
  <c r="H88" i="6" s="1"/>
  <c r="J21" i="6"/>
  <c r="J59" i="6" s="1"/>
  <c r="J97" i="6" s="1"/>
  <c r="K14" i="6"/>
  <c r="K52" i="6" s="1"/>
  <c r="K90" i="6" s="1"/>
  <c r="D14" i="6"/>
  <c r="D52" i="6" s="1"/>
  <c r="D90" i="6" s="1"/>
  <c r="H22" i="6"/>
  <c r="H60" i="6" s="1"/>
  <c r="H98" i="6" s="1"/>
  <c r="J25" i="6"/>
  <c r="J63" i="6" s="1"/>
  <c r="J101" i="6" s="1"/>
  <c r="J33" i="6"/>
  <c r="J71" i="6" s="1"/>
  <c r="J109" i="6" s="1"/>
  <c r="J33" i="2"/>
  <c r="J71" i="2" s="1"/>
  <c r="J109" i="2" s="1"/>
  <c r="L64" i="4"/>
  <c r="AA5" i="4"/>
  <c r="M64" i="4"/>
  <c r="AA4" i="4"/>
  <c r="AA6" i="4" s="1"/>
  <c r="K35" i="6"/>
  <c r="K73" i="6" s="1"/>
  <c r="K111" i="6" s="1"/>
  <c r="K31" i="6"/>
  <c r="K69" i="6" s="1"/>
  <c r="K107" i="6" s="1"/>
  <c r="J67" i="6"/>
  <c r="J105" i="6" s="1"/>
</calcChain>
</file>

<file path=xl/sharedStrings.xml><?xml version="1.0" encoding="utf-8"?>
<sst xmlns="http://schemas.openxmlformats.org/spreadsheetml/2006/main" count="808" uniqueCount="372">
  <si>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</si>
  <si>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</si>
  <si>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</si>
  <si>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</si>
  <si>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</si>
  <si>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</si>
  <si>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</si>
  <si>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</si>
  <si>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</si>
  <si>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</si>
  <si>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</si>
  <si>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</si>
  <si>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</si>
  <si>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</si>
  <si>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</si>
  <si>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</si>
  <si>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</si>
  <si>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</si>
  <si>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</si>
  <si>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</si>
  <si>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</si>
  <si>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</si>
  <si>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</si>
  <si>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</si>
  <si>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</si>
  <si>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</si>
  <si>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</si>
  <si>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</si>
  <si>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</si>
  <si>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</si>
  <si>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</si>
  <si>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a</t>
  </si>
  <si>
    <t>listToko</t>
  </si>
  <si>
    <t>b</t>
  </si>
  <si>
    <t>c</t>
  </si>
  <si>
    <t>d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</si>
  <si>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</si>
  <si>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</si>
  <si>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</si>
  <si>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</si>
  <si>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</si>
  <si>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</si>
  <si>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</si>
  <si>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</si>
  <si>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</si>
  <si>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</si>
  <si>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</si>
  <si>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</si>
  <si>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</si>
  <si>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</si>
  <si>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</si>
  <si>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</si>
  <si>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</si>
  <si>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</si>
  <si>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</si>
  <si>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</si>
  <si>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</si>
  <si>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</si>
  <si>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</si>
  <si>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</si>
  <si>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</si>
  <si>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</si>
  <si>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</si>
  <si>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</si>
  <si>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</si>
  <si>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</si>
  <si>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</si>
  <si>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</si>
  <si>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</si>
  <si>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</si>
  <si>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</si>
  <si>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</si>
  <si>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</si>
  <si>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</si>
  <si>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</si>
  <si>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</si>
  <si>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</si>
  <si>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</si>
  <si>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</si>
  <si>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</si>
  <si>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</si>
  <si>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</si>
  <si>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</si>
  <si>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</si>
  <si>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</si>
  <si>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</si>
  <si>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</si>
  <si>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</si>
  <si>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</si>
  <si>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</si>
  <si>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</si>
  <si>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</si>
  <si>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</si>
  <si>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</si>
  <si>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</si>
  <si>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</si>
  <si>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</si>
  <si>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</si>
  <si>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</si>
  <si>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</si>
  <si>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</si>
  <si>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</si>
  <si>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</si>
  <si>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</si>
  <si>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</si>
  <si>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</si>
  <si>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</si>
  <si>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</si>
  <si>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</si>
  <si>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</si>
  <si>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</si>
  <si>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</si>
  <si>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</si>
  <si>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</si>
  <si>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D</t>
  </si>
  <si>
    <t>E</t>
  </si>
  <si>
    <t>K</t>
  </si>
  <si>
    <t>J</t>
  </si>
  <si>
    <t>---</t>
  </si>
  <si>
    <t>4</t>
  </si>
  <si>
    <t>CV FM 90</t>
  </si>
  <si>
    <t>SIDU</t>
  </si>
  <si>
    <t>MONG SANTOSA ANDRESTA</t>
  </si>
  <si>
    <t>SALATIGA</t>
  </si>
  <si>
    <t>( SIDU )</t>
  </si>
  <si>
    <t>Column2</t>
  </si>
  <si>
    <t>Column3</t>
  </si>
  <si>
    <t>Column4</t>
  </si>
  <si>
    <t>Column5</t>
  </si>
  <si>
    <t>NOVI / CONDRO</t>
  </si>
  <si>
    <t>KO</t>
  </si>
  <si>
    <t>s</t>
  </si>
  <si>
    <t>HIDUPBARU</t>
  </si>
  <si>
    <t>ROBIN SUSANTO</t>
  </si>
  <si>
    <t>(HIDUP BARU)</t>
  </si>
  <si>
    <t>PAK</t>
  </si>
  <si>
    <t>LSN</t>
  </si>
  <si>
    <t/>
  </si>
  <si>
    <t>KO 4680</t>
  </si>
  <si>
    <t>KARTU STOCK FOLIO (4 WARNA)</t>
  </si>
  <si>
    <t>revisi :</t>
  </si>
  <si>
    <t>G</t>
  </si>
  <si>
    <t>A</t>
  </si>
  <si>
    <t>MORNINGSTAR</t>
  </si>
  <si>
    <t>CV MORNING STAR NUSANTARA</t>
  </si>
  <si>
    <t>rejoagung</t>
  </si>
  <si>
    <t>RAHAYU</t>
  </si>
  <si>
    <t>CV MULIA JAYA</t>
  </si>
  <si>
    <t>( RAHAYU )</t>
  </si>
  <si>
    <t>PCS</t>
  </si>
  <si>
    <t>TIPKENKE01</t>
  </si>
  <si>
    <t>CORRECTION FLUID KENKO KE-01</t>
  </si>
  <si>
    <t>trioplaza</t>
  </si>
  <si>
    <t>PT.HASTA KENCANA SAKTI</t>
  </si>
  <si>
    <t>( TRIO PLAZA )</t>
  </si>
  <si>
    <t>MRANGGEN</t>
  </si>
  <si>
    <t>MAGELANG</t>
  </si>
  <si>
    <t>BOX</t>
  </si>
  <si>
    <t>ISOJKTD103</t>
  </si>
  <si>
    <t>SET</t>
  </si>
  <si>
    <t>TAPE CUTTER JOYKO TD-103</t>
  </si>
  <si>
    <t>STIJK20PUTIH</t>
  </si>
  <si>
    <t>STIP / PENGHAPUS JOYKO 526-B20 PUTIH</t>
  </si>
  <si>
    <t>STIP / PENGHAPUS JOYKO EB-30 HITAM</t>
  </si>
  <si>
    <t>RISMA / YO</t>
  </si>
  <si>
    <t>LS</t>
  </si>
  <si>
    <t>NOVI / YO</t>
  </si>
  <si>
    <t>ribbon 50 cm renda</t>
  </si>
  <si>
    <t>ribbon 50 cm biasa</t>
  </si>
  <si>
    <t>isi gel dos 20 es</t>
  </si>
  <si>
    <t>wonder set kayu</t>
  </si>
  <si>
    <t>99 blt</t>
  </si>
  <si>
    <t>GG 3</t>
  </si>
  <si>
    <t>WC 110</t>
  </si>
  <si>
    <t>X</t>
  </si>
  <si>
    <t>SUKSES S3</t>
  </si>
  <si>
    <t>KUAS A8</t>
  </si>
  <si>
    <t>SISWA KUTOARJO</t>
  </si>
  <si>
    <t>CRAYON PUTAR 12W PDK 1011</t>
  </si>
  <si>
    <t>M2</t>
  </si>
  <si>
    <t>meja belajar fancy</t>
  </si>
  <si>
    <t>meja belajar pelna</t>
  </si>
  <si>
    <t>lancar</t>
  </si>
  <si>
    <t>PENKENHITECH028HITAM</t>
  </si>
  <si>
    <t>GEL PEN KENKO HI-TECH-H 0.28 MM HITAM</t>
  </si>
  <si>
    <t>luwespati</t>
  </si>
  <si>
    <t>(LUWES)</t>
  </si>
  <si>
    <t>PATI</t>
  </si>
  <si>
    <t>PT RAMAI SANTOSO SEJAHTERA</t>
  </si>
  <si>
    <t>( RAMAI SWALAYAN )</t>
  </si>
  <si>
    <t>UNGARAN</t>
  </si>
  <si>
    <t>ramai</t>
  </si>
  <si>
    <t>CV.BENGAWAN MULTI TRENDING</t>
  </si>
  <si>
    <t>2551</t>
  </si>
  <si>
    <t>PENKENHITECH028BIRU</t>
  </si>
  <si>
    <t>GEL PEN KENKO HI-TECH-H 0.28 MM BIRU</t>
  </si>
  <si>
    <t>CUTKENA300A</t>
  </si>
  <si>
    <t>CUTTER 9 MM KENKO A-300 (KECIL)</t>
  </si>
  <si>
    <t>2597</t>
  </si>
  <si>
    <t>BALLPEN VANCO 4W VC-6201</t>
  </si>
  <si>
    <t>02-Hitung FP Keluar Februari 2024</t>
  </si>
  <si>
    <t>0930</t>
  </si>
  <si>
    <t>sinarbhakti</t>
  </si>
  <si>
    <t>PENCIL CASE 22 x 7.5 MAGNET C-2755</t>
  </si>
  <si>
    <t>PENCIL CASE 22 x 10 MAGNET FX-2210 METALIK LEBAR</t>
  </si>
  <si>
    <t>0222</t>
  </si>
  <si>
    <t>DOS</t>
  </si>
  <si>
    <t>GEL PEN AODEMI GP-96129</t>
  </si>
  <si>
    <t>BENSIA SF-9939 A ISI 32 PC (LOVE DADU)</t>
  </si>
  <si>
    <t>2605</t>
  </si>
  <si>
    <t>ISI STAPLER (STAPLES) GREATWALL GW-369 (BESAR)</t>
  </si>
  <si>
    <t>2662</t>
  </si>
  <si>
    <t>STAJKNO0</t>
  </si>
  <si>
    <t>STAMP PAD JOYKO NO. 0</t>
  </si>
  <si>
    <t>PENJKGPC309</t>
  </si>
  <si>
    <t>GEL PEN SET JOYKO GPC-309S DIAMOND ART</t>
  </si>
  <si>
    <t>2666</t>
  </si>
  <si>
    <t>STAKENHD12N13</t>
  </si>
  <si>
    <t>STAPLER HEAVY DUTY KENKO HD-12N/13</t>
  </si>
  <si>
    <t>STIKEN40PUTIH</t>
  </si>
  <si>
    <t>STIP / PENGHAPUS KENKO ERW-40SQ PUTIH</t>
  </si>
  <si>
    <t>STIKEN40HITAM</t>
  </si>
  <si>
    <t>STIP / PENGHAPUS KENKO ERB-40SQ HITAM</t>
  </si>
  <si>
    <t>STAKENHL100</t>
  </si>
  <si>
    <t>HIGHLIGHTER / STABILO KENKO HL-100 ORANGE/ UNGU</t>
  </si>
  <si>
    <t>STAJKHD10</t>
  </si>
  <si>
    <t>STAPLER JOYKO HD-10</t>
  </si>
  <si>
    <t>2672</t>
  </si>
  <si>
    <t>bendan</t>
  </si>
  <si>
    <t>STAKENHD50</t>
  </si>
  <si>
    <t>STAPLER KENKO HD-50</t>
  </si>
  <si>
    <t>STAKENHD10</t>
  </si>
  <si>
    <t>STAPLER KENKO HD-10</t>
  </si>
  <si>
    <t>0936</t>
  </si>
  <si>
    <t>TIPKENCT809</t>
  </si>
  <si>
    <t>TIPKENCT802N</t>
  </si>
  <si>
    <t>TIPKENCT902</t>
  </si>
  <si>
    <t>TIPKENCT902CL</t>
  </si>
  <si>
    <t>TIPKENCT1505FC</t>
  </si>
  <si>
    <t>CORRECTION TAPE KENKO CT-809 (8M x 5MM)</t>
  </si>
  <si>
    <t>CORRECTION TAPE KENKO CT-802N (8M x 5MM)</t>
  </si>
  <si>
    <t>CORRECTION TAPE KENKO CT-1505FC (15M X 5MM)</t>
  </si>
  <si>
    <t>CORRECTION TAPE KENKO CT-902 (12M x 5MM)</t>
  </si>
  <si>
    <t>CORRECTION TAPE KENKO CT-902CL (12M x 5MM)</t>
  </si>
  <si>
    <t>2682</t>
  </si>
  <si>
    <t>isikenbesar</t>
  </si>
  <si>
    <t>ISI CUTTER 18 MM KENKO L-150 (BESAR)</t>
  </si>
  <si>
    <t>ISIKENKECIL</t>
  </si>
  <si>
    <t>ISI CUTTER 9 MM KENKO A-100 (KECIL)</t>
  </si>
  <si>
    <t>2620</t>
  </si>
  <si>
    <t>PWJK12WPANJANG</t>
  </si>
  <si>
    <t>PWJK12WPENDEK</t>
  </si>
  <si>
    <t>ISIJKPL11</t>
  </si>
  <si>
    <t>STIJK30HITAM</t>
  </si>
  <si>
    <t>PENSIL WARNA JOYKO CP-12PB (PANJANG)</t>
  </si>
  <si>
    <t>PENSIL WARNA JOYKO CP-S12 MINI (PENDEK)</t>
  </si>
  <si>
    <t>ISI PENSIL 2B 2.0 MM JOYKO PL-11</t>
  </si>
  <si>
    <t>2696</t>
  </si>
  <si>
    <t>GRS</t>
  </si>
  <si>
    <t>CLIKEN111</t>
  </si>
  <si>
    <t>BINDER CLIP KENKO NO. 111</t>
  </si>
  <si>
    <t>CLIKEN107</t>
  </si>
  <si>
    <t>BINDER CLIP KENKO NO. 107</t>
  </si>
  <si>
    <t>2701</t>
  </si>
  <si>
    <t>CUTKENL500</t>
  </si>
  <si>
    <t>LEMKEN15GR</t>
  </si>
  <si>
    <t>CUTTER 18 MM KENKO L-500 (BESAR)</t>
  </si>
  <si>
    <t>LEM STICK KENKO 15 GR (TANGGUNG) isi 20 pc</t>
  </si>
  <si>
    <t>2743</t>
  </si>
  <si>
    <t>dwijaya</t>
  </si>
  <si>
    <t>PENKENK1HITAM</t>
  </si>
  <si>
    <t>ISIKENBESAR</t>
  </si>
  <si>
    <t>GEL PEN KENKO K-1 HITAM</t>
  </si>
  <si>
    <t>2720</t>
  </si>
  <si>
    <t>PENTF1190HITAM</t>
  </si>
  <si>
    <t>GEL PEN TRIFELLO HI-TECH TF-1190 HITAM</t>
  </si>
  <si>
    <t>PENTG322BIRU</t>
  </si>
  <si>
    <t>ISI</t>
  </si>
  <si>
    <t>GEL PEN WEIYADA E-681 HITAM</t>
  </si>
  <si>
    <t>GEL PEN WEIYADA E-681 BIRU</t>
  </si>
  <si>
    <t>GEL TECHJOB WRITE TG322-B</t>
  </si>
  <si>
    <t>ISI GEL 1.0 HITAM</t>
  </si>
  <si>
    <t xml:space="preserve">ISI GEL WEIYADA E-681R HITAM </t>
  </si>
  <si>
    <t>2710</t>
  </si>
  <si>
    <t>PC</t>
  </si>
  <si>
    <t>ISI PENSIL 2B 0.5 MM JOYKO PL-05</t>
  </si>
  <si>
    <t>ISI PENSIL 2B 2.0 MM JOYKO PL-10</t>
  </si>
  <si>
    <t>JANGKA (MATH SET) JOYKO MS-402</t>
  </si>
  <si>
    <t>JANGKA (MATH SET) JOYKO MS-25</t>
  </si>
  <si>
    <t>PUNCH KENKO NO. 40XL</t>
  </si>
  <si>
    <t>PUNCH KENKO NO. 30XL</t>
  </si>
  <si>
    <t>PUNCH KENKO NO. 85</t>
  </si>
  <si>
    <t>LABEL HARGA JOYKO LB-2RL (1 LINE PUTIH)</t>
  </si>
  <si>
    <t>LEM STICK JOYKO 15 GR GS-104 TG (ANIMAL KINGDOM) isi 24 pc</t>
  </si>
  <si>
    <t>LEM STICK JOYKO 8 GR GS-09 isi 12 pc</t>
  </si>
  <si>
    <t>PENSIL WARNA JOYKO CP-24PB (PANJANG)</t>
  </si>
  <si>
    <t>2711</t>
  </si>
  <si>
    <t>CORRECTION TAPE JOYKO CT-522</t>
  </si>
  <si>
    <t>STAMP PAD JOYKO NO. 1</t>
  </si>
  <si>
    <t>BINDER NOTE JOYKO A5 TSUN-M473</t>
  </si>
  <si>
    <t>BINDER NOTE JOYKO A5 TSFS-514</t>
  </si>
  <si>
    <t>BINDER NOTE JOYKO A5 TSTP-513</t>
  </si>
  <si>
    <t>BINDER NOTE JOYKO A5 TSED-M503</t>
  </si>
  <si>
    <t>BINDER NOTE JOYKO A5 TSCL-M491</t>
  </si>
  <si>
    <t>BINDER NOTE JOYKO A5 TSIM-M416</t>
  </si>
  <si>
    <t>2712</t>
  </si>
  <si>
    <t>PAPER FASTENER (ACCO) KENKO PF-508 ISI 50 PC PUTIH</t>
  </si>
  <si>
    <t>2623</t>
  </si>
  <si>
    <t>pelangi</t>
  </si>
  <si>
    <t>( PELANGI )</t>
  </si>
  <si>
    <t>PELANGI</t>
  </si>
  <si>
    <t>JANGKA (COMPASS SET) KENKO C-168 / MS-75</t>
  </si>
  <si>
    <t>JANGKA (COMPASS SET) KENKO C-528 / MS-55</t>
  </si>
  <si>
    <t>GARISAN BESI (STAINLESS STEEL) KENKO 100 CM / 1 M</t>
  </si>
  <si>
    <t>STAMP PLATE NUMBER KENKO N-38 (Cap Nomer)</t>
  </si>
  <si>
    <t>DATE STAMP KENKO D-3 (Cap Tanggal 5 Mm)</t>
  </si>
  <si>
    <t>4995</t>
  </si>
  <si>
    <t>MECHANICAL PENCIL 0.5 MM KENKO MP-01</t>
  </si>
  <si>
    <t>PENSIL WARNA KENKO CP-12HALF (PENDEK)</t>
  </si>
  <si>
    <t>STAMP PAD KENKO NO. 1</t>
  </si>
  <si>
    <t>DATE STAMP KENKO D-4 (Cap Tanggal 4 Mm)</t>
  </si>
  <si>
    <t>STAMP PAD KENKO NO. 0</t>
  </si>
  <si>
    <t>0943</t>
  </si>
  <si>
    <t>ganesha</t>
  </si>
  <si>
    <t>CLIKEN3</t>
  </si>
  <si>
    <t>PAPER TRIGONAL CLIP KENKO NO. 3</t>
  </si>
  <si>
    <t>CLIJK107</t>
  </si>
  <si>
    <t>BINDER CLIP JOYKO 107</t>
  </si>
  <si>
    <t>0944</t>
  </si>
  <si>
    <t>LOOSE LEAF A5/ 40 POLOS</t>
  </si>
  <si>
    <t>TAS KERTAS ALFA IF KECIL</t>
  </si>
  <si>
    <t>TAS KERTAS ALFA IF TANGGUNG</t>
  </si>
  <si>
    <t>STAPLER SDI 1104</t>
  </si>
  <si>
    <t>PENJKBP349</t>
  </si>
  <si>
    <t>BALLPEN JOYKO BP-349-12 VOKUS TRANS HITAM</t>
  </si>
  <si>
    <t>PENJKBP250</t>
  </si>
  <si>
    <t>BALLPEN JOYKO BP-250 BRIZ HITAM</t>
  </si>
  <si>
    <t>STAKENHD10D</t>
  </si>
  <si>
    <t>STAPLER KENKO HD-10D</t>
  </si>
  <si>
    <t>STAKENHD10S</t>
  </si>
  <si>
    <t>STAPLER KENKO HD-10S</t>
  </si>
  <si>
    <t>OPJK12W</t>
  </si>
  <si>
    <t>CRAYON / OIL PASTEL JOYKO OP-12S PP CASE SEA WORLD</t>
  </si>
  <si>
    <t>RISMA / CONDRO</t>
  </si>
  <si>
    <t>2756</t>
  </si>
  <si>
    <t>GUNKENSC838</t>
  </si>
  <si>
    <t>GUNTING KENKO SC-838N</t>
  </si>
  <si>
    <t>CLIKEN105</t>
  </si>
  <si>
    <t>LEMKENLG50</t>
  </si>
  <si>
    <t>BINDER CLIP KENKO NO. 105</t>
  </si>
  <si>
    <t>LEM CAIR 50 ML KENKO LG-50</t>
  </si>
  <si>
    <t>2772</t>
  </si>
  <si>
    <t>reni</t>
  </si>
  <si>
    <t>PENTF1191WARNA</t>
  </si>
  <si>
    <t>GEL PEN TRIFELLO HI-TECH TF-1191 WARNA</t>
  </si>
  <si>
    <t xml:space="preserve"> </t>
  </si>
  <si>
    <t>2777</t>
  </si>
  <si>
    <t>2778</t>
  </si>
  <si>
    <t>CUTKENK200</t>
  </si>
  <si>
    <t>CUTTER 9 MM KENKO K-200 (KECIL)</t>
  </si>
  <si>
    <t>LEMKEN25GR</t>
  </si>
  <si>
    <t>LEM STICK KENKO 25 GR (BESAR) isi 12 pc</t>
  </si>
  <si>
    <t>2626</t>
  </si>
  <si>
    <t>STIJK30PUTIH</t>
  </si>
  <si>
    <t>STIP / PENGHAPUS JOYKO ER-30W PUTIH</t>
  </si>
  <si>
    <t>ISIGW369</t>
  </si>
  <si>
    <t>COUKENHT302</t>
  </si>
  <si>
    <t>HAND TALLY COUNTER KENKO HT-302</t>
  </si>
  <si>
    <t>2784</t>
  </si>
  <si>
    <t>2785</t>
  </si>
  <si>
    <t>CLIKEN5</t>
  </si>
  <si>
    <t>PAPER JUMBO CLIP KENKO NO.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</si>
</sst>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5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22"/>
      <color theme="2" tint="-0.499984740745262"/>
      <name val="Arial Rounded MT Bold"/>
      <family val="2"/>
    </font>
    <font>
      <sz val="13"/>
      <color theme="1"/>
      <name val="Cambria"/>
      <family val="1"/>
    </font>
    <font>
      <sz val="13"/>
      <name val="Cambria"/>
      <family val="1"/>
    </font>
    <font>
      <sz val="11"/>
      <name val="Calibri"/>
      <family val="2"/>
      <scheme val="minor"/>
    </font>
    <font>
      <sz val="1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61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1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39" fillId="0" borderId="0" xfId="0" applyNumberFormat="1" applyFont="1" applyFill="1" applyBorder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14" fontId="0" fillId="0" borderId="0" xfId="0" applyNumberFormat="1" applyFill="1"/>
    <xf numFmtId="43" fontId="0" fillId="0" borderId="0" xfId="0" applyNumberFormat="1" applyFill="1"/>
    <xf numFmtId="0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quotePrefix="1" applyFill="1"/>
    <xf numFmtId="43" fontId="0" fillId="0" borderId="0" xfId="0" quotePrefix="1" applyNumberFormat="1" applyFill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3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applyNumberFormat="1" applyFill="1" applyAlignment="1">
      <alignment horizontal="center"/>
    </xf>
    <xf numFmtId="0" fontId="6" fillId="0" borderId="2" xfId="0" quotePrefix="1" applyFont="1" applyFill="1" applyBorder="1" applyAlignment="1">
      <alignment horizontal="right"/>
    </xf>
    <xf numFmtId="0" fontId="12" fillId="0" borderId="7" xfId="1" applyFont="1" applyFill="1" applyBorder="1"/>
    <xf numFmtId="10" fontId="18" fillId="0" borderId="0" xfId="0" applyNumberFormat="1" applyFont="1" applyFill="1" applyAlignment="1">
      <alignment horizontal="right"/>
    </xf>
    <xf numFmtId="0" fontId="3" fillId="4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10" fontId="3" fillId="4" borderId="0" xfId="0" applyNumberFormat="1" applyFont="1" applyFill="1"/>
    <xf numFmtId="0" fontId="4" fillId="4" borderId="0" xfId="0" applyFont="1" applyFill="1"/>
    <xf numFmtId="0" fontId="1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/>
    </xf>
    <xf numFmtId="0" fontId="6" fillId="4" borderId="2" xfId="0" quotePrefix="1" applyFont="1" applyFill="1" applyBorder="1" applyAlignment="1">
      <alignment horizontal="right"/>
    </xf>
    <xf numFmtId="0" fontId="6" fillId="4" borderId="3" xfId="0" applyFont="1" applyFill="1" applyBorder="1" applyAlignment="1">
      <alignment horizontal="left"/>
    </xf>
    <xf numFmtId="0" fontId="2" fillId="4" borderId="0" xfId="0" applyFont="1" applyFill="1"/>
    <xf numFmtId="0" fontId="5" fillId="4" borderId="4" xfId="0" applyFont="1" applyFill="1" applyBorder="1" applyAlignment="1">
      <alignment vertical="center"/>
    </xf>
    <xf numFmtId="0" fontId="8" fillId="4" borderId="7" xfId="0" applyFont="1" applyFill="1" applyBorder="1" applyAlignment="1"/>
    <xf numFmtId="0" fontId="5" fillId="4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right"/>
    </xf>
    <xf numFmtId="0" fontId="6" fillId="4" borderId="0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left"/>
    </xf>
    <xf numFmtId="0" fontId="6" fillId="4" borderId="7" xfId="0" applyFont="1" applyFill="1" applyBorder="1" applyAlignment="1"/>
    <xf numFmtId="0" fontId="6" fillId="4" borderId="7" xfId="0" applyFont="1" applyFill="1" applyBorder="1" applyAlignment="1">
      <alignment vertical="top"/>
    </xf>
    <xf numFmtId="166" fontId="6" fillId="4" borderId="2" xfId="0" applyNumberFormat="1" applyFont="1" applyFill="1" applyBorder="1" applyAlignment="1"/>
    <xf numFmtId="0" fontId="9" fillId="4" borderId="8" xfId="0" applyFont="1" applyFill="1" applyBorder="1" applyAlignment="1"/>
    <xf numFmtId="0" fontId="6" fillId="4" borderId="9" xfId="0" applyFont="1" applyFill="1" applyBorder="1" applyAlignment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10" fillId="4" borderId="10" xfId="0" applyFont="1" applyFill="1" applyBorder="1" applyAlignment="1"/>
    <xf numFmtId="10" fontId="4" fillId="4" borderId="0" xfId="0" applyNumberFormat="1" applyFont="1" applyFill="1" applyAlignment="1">
      <alignment horizontal="center"/>
    </xf>
    <xf numFmtId="0" fontId="2" fillId="4" borderId="0" xfId="0" applyNumberFormat="1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10" fontId="1" fillId="4" borderId="12" xfId="0" applyNumberFormat="1" applyFont="1" applyFill="1" applyBorder="1" applyAlignment="1">
      <alignment horizontal="center" vertical="center"/>
    </xf>
    <xf numFmtId="0" fontId="1" fillId="4" borderId="14" xfId="0" applyNumberFormat="1" applyFont="1" applyFill="1" applyBorder="1" applyAlignment="1">
      <alignment horizontal="center" vertical="center"/>
    </xf>
    <xf numFmtId="0" fontId="2" fillId="4" borderId="7" xfId="0" applyFont="1" applyFill="1" applyBorder="1"/>
    <xf numFmtId="0" fontId="1" fillId="4" borderId="1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vertical="center"/>
    </xf>
    <xf numFmtId="0" fontId="1" fillId="4" borderId="19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10" fontId="1" fillId="4" borderId="16" xfId="0" applyNumberFormat="1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0" fontId="11" fillId="4" borderId="0" xfId="0" applyFont="1" applyFill="1"/>
    <xf numFmtId="167" fontId="2" fillId="4" borderId="20" xfId="0" applyNumberFormat="1" applyFont="1" applyFill="1" applyBorder="1" applyAlignment="1"/>
    <xf numFmtId="166" fontId="2" fillId="4" borderId="20" xfId="0" applyNumberFormat="1" applyFont="1" applyFill="1" applyBorder="1" applyAlignment="1"/>
    <xf numFmtId="166" fontId="2" fillId="4" borderId="8" xfId="0" applyNumberFormat="1" applyFont="1" applyFill="1" applyBorder="1" applyAlignment="1">
      <alignment horizontal="center"/>
    </xf>
    <xf numFmtId="166" fontId="12" fillId="4" borderId="0" xfId="0" applyNumberFormat="1" applyFont="1" applyFill="1" applyBorder="1"/>
    <xf numFmtId="0" fontId="2" fillId="4" borderId="0" xfId="0" applyFont="1" applyFill="1" applyBorder="1" applyAlignment="1"/>
    <xf numFmtId="0" fontId="2" fillId="4" borderId="8" xfId="0" applyFont="1" applyFill="1" applyBorder="1" applyAlignment="1"/>
    <xf numFmtId="165" fontId="2" fillId="4" borderId="20" xfId="0" applyNumberFormat="1" applyFont="1" applyFill="1" applyBorder="1"/>
    <xf numFmtId="10" fontId="4" fillId="4" borderId="20" xfId="0" applyNumberFormat="1" applyFont="1" applyFill="1" applyBorder="1" applyAlignment="1">
      <alignment horizontal="center"/>
    </xf>
    <xf numFmtId="165" fontId="2" fillId="4" borderId="7" xfId="0" applyNumberFormat="1" applyFont="1" applyFill="1" applyBorder="1"/>
    <xf numFmtId="166" fontId="12" fillId="4" borderId="7" xfId="1" applyNumberFormat="1" applyFont="1" applyFill="1" applyBorder="1"/>
    <xf numFmtId="0" fontId="2" fillId="4" borderId="21" xfId="0" applyFont="1" applyFill="1" applyBorder="1" applyAlignment="1"/>
    <xf numFmtId="0" fontId="2" fillId="4" borderId="11" xfId="0" applyFont="1" applyFill="1" applyBorder="1" applyAlignment="1">
      <alignment horizontal="center"/>
    </xf>
    <xf numFmtId="0" fontId="2" fillId="4" borderId="9" xfId="0" applyFont="1" applyFill="1" applyBorder="1" applyAlignment="1"/>
    <xf numFmtId="0" fontId="2" fillId="4" borderId="10" xfId="0" applyFont="1" applyFill="1" applyBorder="1" applyAlignment="1"/>
    <xf numFmtId="0" fontId="2" fillId="4" borderId="11" xfId="0" applyFont="1" applyFill="1" applyBorder="1" applyAlignment="1"/>
    <xf numFmtId="165" fontId="2" fillId="4" borderId="21" xfId="0" applyNumberFormat="1" applyFont="1" applyFill="1" applyBorder="1"/>
    <xf numFmtId="10" fontId="4" fillId="4" borderId="21" xfId="0" applyNumberFormat="1" applyFont="1" applyFill="1" applyBorder="1" applyAlignment="1">
      <alignment horizontal="center"/>
    </xf>
    <xf numFmtId="165" fontId="2" fillId="4" borderId="9" xfId="0" applyNumberFormat="1" applyFont="1" applyFill="1" applyBorder="1"/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right"/>
    </xf>
    <xf numFmtId="0" fontId="2" fillId="4" borderId="0" xfId="0" applyFont="1" applyFill="1" applyBorder="1"/>
    <xf numFmtId="10" fontId="4" fillId="4" borderId="0" xfId="0" applyNumberFormat="1" applyFont="1" applyFill="1" applyBorder="1"/>
    <xf numFmtId="0" fontId="2" fillId="4" borderId="0" xfId="0" applyFont="1" applyFill="1" applyAlignment="1">
      <alignment horizontal="center"/>
    </xf>
    <xf numFmtId="10" fontId="6" fillId="4" borderId="0" xfId="0" applyNumberFormat="1" applyFont="1" applyFill="1" applyAlignment="1">
      <alignment horizontal="right"/>
    </xf>
    <xf numFmtId="10" fontId="5" fillId="4" borderId="0" xfId="0" applyNumberFormat="1" applyFont="1" applyFill="1" applyAlignment="1">
      <alignment horizontal="right"/>
    </xf>
    <xf numFmtId="10" fontId="14" fillId="4" borderId="1" xfId="0" applyNumberFormat="1" applyFont="1" applyFill="1" applyBorder="1" applyAlignment="1"/>
    <xf numFmtId="165" fontId="6" fillId="4" borderId="2" xfId="0" applyNumberFormat="1" applyFont="1" applyFill="1" applyBorder="1" applyAlignment="1"/>
    <xf numFmtId="0" fontId="6" fillId="4" borderId="7" xfId="0" applyFont="1" applyFill="1" applyBorder="1"/>
    <xf numFmtId="0" fontId="2" fillId="4" borderId="0" xfId="0" applyFont="1" applyFill="1" applyAlignment="1"/>
    <xf numFmtId="0" fontId="15" fillId="4" borderId="7" xfId="0" applyFont="1" applyFill="1" applyBorder="1"/>
    <xf numFmtId="0" fontId="2" fillId="4" borderId="10" xfId="0" applyFont="1" applyFill="1" applyBorder="1" applyAlignment="1">
      <alignment horizontal="center"/>
    </xf>
    <xf numFmtId="0" fontId="2" fillId="4" borderId="10" xfId="0" applyFont="1" applyFill="1" applyBorder="1"/>
    <xf numFmtId="165" fontId="16" fillId="4" borderId="1" xfId="0" applyNumberFormat="1" applyFont="1" applyFill="1" applyBorder="1" applyAlignment="1"/>
    <xf numFmtId="165" fontId="16" fillId="4" borderId="2" xfId="0" applyNumberFormat="1" applyFont="1" applyFill="1" applyBorder="1" applyAlignment="1"/>
    <xf numFmtId="0" fontId="4" fillId="4" borderId="0" xfId="0" applyFont="1" applyFill="1" applyBorder="1"/>
    <xf numFmtId="0" fontId="4" fillId="4" borderId="0" xfId="0" applyFont="1" applyFill="1" applyBorder="1" applyAlignment="1">
      <alignment horizontal="right"/>
    </xf>
    <xf numFmtId="0" fontId="4" fillId="4" borderId="0" xfId="0" applyFont="1" applyFill="1" applyAlignment="1">
      <alignment horizontal="right"/>
    </xf>
    <xf numFmtId="0" fontId="2" fillId="4" borderId="0" xfId="0" applyFont="1" applyFill="1" applyBorder="1" applyAlignment="1">
      <alignment horizontal="left"/>
    </xf>
    <xf numFmtId="0" fontId="17" fillId="4" borderId="0" xfId="0" applyFont="1" applyFill="1"/>
    <xf numFmtId="10" fontId="18" fillId="4" borderId="0" xfId="0" applyNumberFormat="1" applyFont="1" applyFill="1" applyAlignment="1">
      <alignment horizontal="right"/>
    </xf>
    <xf numFmtId="0" fontId="4" fillId="4" borderId="0" xfId="0" applyFont="1" applyFill="1" applyBorder="1" applyAlignment="1"/>
    <xf numFmtId="0" fontId="18" fillId="4" borderId="0" xfId="0" applyFont="1" applyFill="1" applyAlignment="1">
      <alignment horizontal="right"/>
    </xf>
    <xf numFmtId="0" fontId="19" fillId="4" borderId="0" xfId="0" applyFont="1" applyFill="1" applyBorder="1" applyAlignment="1">
      <alignment horizontal="center"/>
    </xf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horizontal="right"/>
    </xf>
    <xf numFmtId="10" fontId="3" fillId="5" borderId="0" xfId="0" applyNumberFormat="1" applyFont="1" applyFill="1"/>
    <xf numFmtId="0" fontId="4" fillId="5" borderId="0" xfId="0" applyFont="1" applyFill="1"/>
    <xf numFmtId="0" fontId="1" fillId="5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/>
    </xf>
    <xf numFmtId="0" fontId="6" fillId="5" borderId="2" xfId="0" quotePrefix="1" applyFont="1" applyFill="1" applyBorder="1" applyAlignment="1">
      <alignment horizontal="right"/>
    </xf>
    <xf numFmtId="0" fontId="6" fillId="5" borderId="3" xfId="0" applyFont="1" applyFill="1" applyBorder="1" applyAlignment="1">
      <alignment horizontal="left"/>
    </xf>
    <xf numFmtId="0" fontId="2" fillId="5" borderId="0" xfId="0" applyFont="1" applyFill="1"/>
    <xf numFmtId="0" fontId="5" fillId="5" borderId="4" xfId="0" applyFont="1" applyFill="1" applyBorder="1" applyAlignment="1">
      <alignment vertical="center"/>
    </xf>
    <xf numFmtId="0" fontId="8" fillId="5" borderId="7" xfId="0" applyFont="1" applyFill="1" applyBorder="1" applyAlignment="1"/>
    <xf numFmtId="0" fontId="5" fillId="5" borderId="0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right"/>
    </xf>
    <xf numFmtId="0" fontId="6" fillId="5" borderId="0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6" fillId="5" borderId="7" xfId="0" applyFont="1" applyFill="1" applyBorder="1" applyAlignment="1"/>
    <xf numFmtId="0" fontId="6" fillId="5" borderId="7" xfId="0" applyFont="1" applyFill="1" applyBorder="1" applyAlignment="1">
      <alignment vertical="top"/>
    </xf>
    <xf numFmtId="166" fontId="6" fillId="5" borderId="2" xfId="0" applyNumberFormat="1" applyFont="1" applyFill="1" applyBorder="1" applyAlignment="1"/>
    <xf numFmtId="0" fontId="9" fillId="5" borderId="8" xfId="0" applyFont="1" applyFill="1" applyBorder="1" applyAlignment="1"/>
    <xf numFmtId="0" fontId="6" fillId="5" borderId="9" xfId="0" applyFont="1" applyFill="1" applyBorder="1" applyAlignment="1"/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right"/>
    </xf>
    <xf numFmtId="0" fontId="10" fillId="5" borderId="10" xfId="0" applyFont="1" applyFill="1" applyBorder="1" applyAlignment="1"/>
    <xf numFmtId="10" fontId="4" fillId="5" borderId="0" xfId="0" applyNumberFormat="1" applyFont="1" applyFill="1" applyAlignment="1">
      <alignment horizontal="center"/>
    </xf>
    <xf numFmtId="0" fontId="2" fillId="5" borderId="0" xfId="0" applyNumberFormat="1" applyFont="1" applyFill="1"/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vertical="center"/>
    </xf>
    <xf numFmtId="0" fontId="1" fillId="5" borderId="15" xfId="0" applyFont="1" applyFill="1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10" fontId="1" fillId="5" borderId="12" xfId="0" applyNumberFormat="1" applyFont="1" applyFill="1" applyBorder="1" applyAlignment="1">
      <alignment horizontal="center" vertical="center"/>
    </xf>
    <xf numFmtId="0" fontId="1" fillId="5" borderId="14" xfId="0" applyNumberFormat="1" applyFont="1" applyFill="1" applyBorder="1" applyAlignment="1">
      <alignment horizontal="center" vertical="center"/>
    </xf>
    <xf numFmtId="0" fontId="2" fillId="5" borderId="7" xfId="0" applyFont="1" applyFill="1" applyBorder="1"/>
    <xf numFmtId="0" fontId="1" fillId="5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vertical="center"/>
    </xf>
    <xf numFmtId="0" fontId="1" fillId="5" borderId="19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10" fontId="1" fillId="5" borderId="16" xfId="0" applyNumberFormat="1" applyFont="1" applyFill="1" applyBorder="1" applyAlignment="1">
      <alignment horizontal="center" vertical="center"/>
    </xf>
    <xf numFmtId="0" fontId="1" fillId="5" borderId="7" xfId="0" applyNumberFormat="1" applyFont="1" applyFill="1" applyBorder="1" applyAlignment="1">
      <alignment horizontal="center" vertical="center"/>
    </xf>
    <xf numFmtId="0" fontId="11" fillId="5" borderId="0" xfId="0" applyFont="1" applyFill="1"/>
    <xf numFmtId="167" fontId="2" fillId="5" borderId="20" xfId="0" applyNumberFormat="1" applyFont="1" applyFill="1" applyBorder="1" applyAlignment="1"/>
    <xf numFmtId="166" fontId="2" fillId="5" borderId="20" xfId="0" applyNumberFormat="1" applyFont="1" applyFill="1" applyBorder="1" applyAlignment="1"/>
    <xf numFmtId="166" fontId="2" fillId="5" borderId="8" xfId="0" applyNumberFormat="1" applyFont="1" applyFill="1" applyBorder="1" applyAlignment="1">
      <alignment horizontal="center"/>
    </xf>
    <xf numFmtId="166" fontId="12" fillId="5" borderId="0" xfId="0" applyNumberFormat="1" applyFont="1" applyFill="1" applyBorder="1"/>
    <xf numFmtId="0" fontId="2" fillId="5" borderId="0" xfId="0" applyFont="1" applyFill="1" applyBorder="1" applyAlignment="1"/>
    <xf numFmtId="0" fontId="2" fillId="5" borderId="8" xfId="0" applyFont="1" applyFill="1" applyBorder="1" applyAlignment="1"/>
    <xf numFmtId="165" fontId="2" fillId="5" borderId="20" xfId="0" applyNumberFormat="1" applyFont="1" applyFill="1" applyBorder="1"/>
    <xf numFmtId="10" fontId="4" fillId="5" borderId="20" xfId="0" applyNumberFormat="1" applyFont="1" applyFill="1" applyBorder="1" applyAlignment="1">
      <alignment horizontal="center"/>
    </xf>
    <xf numFmtId="165" fontId="2" fillId="5" borderId="7" xfId="0" applyNumberFormat="1" applyFont="1" applyFill="1" applyBorder="1"/>
    <xf numFmtId="166" fontId="12" fillId="5" borderId="7" xfId="1" applyNumberFormat="1" applyFont="1" applyFill="1" applyBorder="1"/>
    <xf numFmtId="0" fontId="2" fillId="5" borderId="21" xfId="0" applyFont="1" applyFill="1" applyBorder="1" applyAlignment="1"/>
    <xf numFmtId="0" fontId="2" fillId="5" borderId="11" xfId="0" applyFont="1" applyFill="1" applyBorder="1" applyAlignment="1">
      <alignment horizontal="center"/>
    </xf>
    <xf numFmtId="0" fontId="2" fillId="5" borderId="9" xfId="0" applyFont="1" applyFill="1" applyBorder="1" applyAlignment="1"/>
    <xf numFmtId="0" fontId="2" fillId="5" borderId="10" xfId="0" applyFont="1" applyFill="1" applyBorder="1" applyAlignment="1"/>
    <xf numFmtId="0" fontId="2" fillId="5" borderId="11" xfId="0" applyFont="1" applyFill="1" applyBorder="1" applyAlignment="1"/>
    <xf numFmtId="165" fontId="2" fillId="5" borderId="21" xfId="0" applyNumberFormat="1" applyFont="1" applyFill="1" applyBorder="1"/>
    <xf numFmtId="10" fontId="4" fillId="5" borderId="21" xfId="0" applyNumberFormat="1" applyFont="1" applyFill="1" applyBorder="1" applyAlignment="1">
      <alignment horizontal="center"/>
    </xf>
    <xf numFmtId="165" fontId="2" fillId="5" borderId="9" xfId="0" applyNumberFormat="1" applyFont="1" applyFill="1" applyBorder="1"/>
    <xf numFmtId="0" fontId="2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right"/>
    </xf>
    <xf numFmtId="0" fontId="2" fillId="5" borderId="0" xfId="0" applyFont="1" applyFill="1" applyBorder="1"/>
    <xf numFmtId="10" fontId="4" fillId="5" borderId="0" xfId="0" applyNumberFormat="1" applyFont="1" applyFill="1" applyBorder="1"/>
    <xf numFmtId="0" fontId="2" fillId="5" borderId="0" xfId="0" applyFont="1" applyFill="1" applyAlignment="1">
      <alignment horizontal="center"/>
    </xf>
    <xf numFmtId="10" fontId="6" fillId="5" borderId="0" xfId="0" applyNumberFormat="1" applyFont="1" applyFill="1" applyAlignment="1">
      <alignment horizontal="right"/>
    </xf>
    <xf numFmtId="10" fontId="5" fillId="5" borderId="0" xfId="0" applyNumberFormat="1" applyFont="1" applyFill="1" applyAlignment="1">
      <alignment horizontal="right"/>
    </xf>
    <xf numFmtId="10" fontId="14" fillId="5" borderId="1" xfId="0" applyNumberFormat="1" applyFont="1" applyFill="1" applyBorder="1" applyAlignment="1"/>
    <xf numFmtId="165" fontId="6" fillId="5" borderId="2" xfId="0" applyNumberFormat="1" applyFont="1" applyFill="1" applyBorder="1" applyAlignment="1"/>
    <xf numFmtId="0" fontId="6" fillId="5" borderId="7" xfId="0" applyFont="1" applyFill="1" applyBorder="1"/>
    <xf numFmtId="0" fontId="2" fillId="5" borderId="0" xfId="0" applyFont="1" applyFill="1" applyAlignment="1"/>
    <xf numFmtId="0" fontId="15" fillId="5" borderId="7" xfId="0" applyFont="1" applyFill="1" applyBorder="1"/>
    <xf numFmtId="0" fontId="2" fillId="5" borderId="10" xfId="0" applyFont="1" applyFill="1" applyBorder="1" applyAlignment="1">
      <alignment horizontal="center"/>
    </xf>
    <xf numFmtId="0" fontId="2" fillId="5" borderId="10" xfId="0" applyFont="1" applyFill="1" applyBorder="1"/>
    <xf numFmtId="165" fontId="16" fillId="5" borderId="1" xfId="0" applyNumberFormat="1" applyFont="1" applyFill="1" applyBorder="1" applyAlignment="1"/>
    <xf numFmtId="165" fontId="16" fillId="5" borderId="2" xfId="0" applyNumberFormat="1" applyFont="1" applyFill="1" applyBorder="1" applyAlignment="1"/>
    <xf numFmtId="0" fontId="4" fillId="5" borderId="0" xfId="0" applyFont="1" applyFill="1" applyBorder="1"/>
    <xf numFmtId="0" fontId="4" fillId="5" borderId="0" xfId="0" applyFont="1" applyFill="1" applyBorder="1" applyAlignment="1">
      <alignment horizontal="right"/>
    </xf>
    <xf numFmtId="0" fontId="4" fillId="5" borderId="0" xfId="0" applyFont="1" applyFill="1" applyAlignment="1">
      <alignment horizontal="right"/>
    </xf>
    <xf numFmtId="0" fontId="2" fillId="5" borderId="0" xfId="0" applyFont="1" applyFill="1" applyBorder="1" applyAlignment="1">
      <alignment horizontal="left"/>
    </xf>
    <xf numFmtId="0" fontId="17" fillId="5" borderId="0" xfId="0" applyFont="1" applyFill="1"/>
    <xf numFmtId="10" fontId="18" fillId="5" borderId="0" xfId="0" applyNumberFormat="1" applyFont="1" applyFill="1" applyAlignment="1">
      <alignment horizontal="right"/>
    </xf>
    <xf numFmtId="0" fontId="4" fillId="5" borderId="0" xfId="0" applyFont="1" applyFill="1" applyBorder="1" applyAlignment="1"/>
    <xf numFmtId="0" fontId="18" fillId="5" borderId="0" xfId="0" applyFont="1" applyFill="1" applyAlignment="1">
      <alignment horizontal="right"/>
    </xf>
    <xf numFmtId="0" fontId="19" fillId="5" borderId="0" xfId="0" applyFont="1" applyFill="1" applyBorder="1" applyAlignment="1">
      <alignment horizontal="center"/>
    </xf>
    <xf numFmtId="0" fontId="37" fillId="0" borderId="0" xfId="0" applyFont="1" applyFill="1" applyAlignment="1">
      <alignment horizontal="left" vertical="center"/>
    </xf>
    <xf numFmtId="0" fontId="43" fillId="0" borderId="0" xfId="0" applyNumberFormat="1" applyFont="1" applyFill="1" applyBorder="1" applyAlignment="1">
      <alignment horizontal="left" vertical="center"/>
    </xf>
    <xf numFmtId="1" fontId="43" fillId="0" borderId="0" xfId="0" applyNumberFormat="1" applyFont="1" applyFill="1" applyBorder="1" applyAlignment="1">
      <alignment horizontal="left" vertical="center"/>
    </xf>
    <xf numFmtId="49" fontId="43" fillId="0" borderId="0" xfId="0" applyNumberFormat="1" applyFont="1" applyFill="1" applyBorder="1" applyAlignment="1">
      <alignment horizontal="left" vertical="center"/>
    </xf>
    <xf numFmtId="0" fontId="43" fillId="0" borderId="0" xfId="0" applyFont="1" applyFill="1" applyBorder="1" applyAlignment="1">
      <alignment horizontal="left" vertical="center"/>
    </xf>
    <xf numFmtId="43" fontId="43" fillId="0" borderId="0" xfId="0" applyNumberFormat="1" applyFont="1" applyFill="1" applyBorder="1" applyAlignment="1">
      <alignment horizontal="left" vertical="center"/>
    </xf>
    <xf numFmtId="0" fontId="44" fillId="0" borderId="0" xfId="0" applyNumberFormat="1" applyFont="1" applyFill="1" applyBorder="1" applyAlignment="1">
      <alignment horizontal="left" vertical="center"/>
    </xf>
    <xf numFmtId="1" fontId="44" fillId="0" borderId="0" xfId="0" applyNumberFormat="1" applyFont="1" applyFill="1" applyBorder="1" applyAlignment="1">
      <alignment horizontal="left" vertical="center"/>
    </xf>
    <xf numFmtId="49" fontId="44" fillId="0" borderId="0" xfId="0" applyNumberFormat="1" applyFont="1" applyFill="1" applyBorder="1" applyAlignment="1">
      <alignment horizontal="left" vertical="center"/>
    </xf>
    <xf numFmtId="0" fontId="44" fillId="0" borderId="0" xfId="0" applyFont="1" applyFill="1" applyBorder="1" applyAlignment="1">
      <alignment horizontal="left" vertical="center"/>
    </xf>
    <xf numFmtId="43" fontId="44" fillId="0" borderId="0" xfId="0" applyNumberFormat="1" applyFont="1" applyFill="1" applyBorder="1" applyAlignment="1">
      <alignment horizontal="left" vertical="center"/>
    </xf>
    <xf numFmtId="0" fontId="37" fillId="0" borderId="0" xfId="0" applyFont="1" applyFill="1" applyAlignment="1">
      <alignment vertical="center"/>
    </xf>
    <xf numFmtId="41" fontId="0" fillId="0" borderId="0" xfId="0" applyNumberFormat="1" applyFill="1"/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41" fillId="0" borderId="5" xfId="0" applyFont="1" applyFill="1" applyBorder="1" applyAlignment="1">
      <alignment horizontal="center" vertical="center"/>
    </xf>
    <xf numFmtId="0" fontId="41" fillId="0" borderId="6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1" fillId="0" borderId="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right"/>
    </xf>
    <xf numFmtId="4" fontId="2" fillId="0" borderId="0" xfId="0" applyNumberFormat="1" applyFont="1" applyFill="1" applyBorder="1" applyAlignment="1">
      <alignment horizontal="center"/>
    </xf>
    <xf numFmtId="165" fontId="15" fillId="0" borderId="1" xfId="0" applyNumberFormat="1" applyFont="1" applyFill="1" applyBorder="1" applyAlignment="1">
      <alignment horizontal="right"/>
    </xf>
    <xf numFmtId="165" fontId="15" fillId="0" borderId="2" xfId="0" applyNumberFormat="1" applyFont="1" applyFill="1" applyBorder="1" applyAlignment="1">
      <alignment horizontal="right"/>
    </xf>
    <xf numFmtId="0" fontId="19" fillId="0" borderId="22" xfId="0" applyFont="1" applyFill="1" applyBorder="1" applyAlignment="1">
      <alignment horizontal="center"/>
    </xf>
    <xf numFmtId="0" fontId="19" fillId="0" borderId="23" xfId="0" applyFont="1" applyFill="1" applyBorder="1" applyAlignment="1">
      <alignment horizontal="center"/>
    </xf>
    <xf numFmtId="166" fontId="42" fillId="3" borderId="5" xfId="0" applyNumberFormat="1" applyFont="1" applyFill="1" applyBorder="1" applyAlignment="1">
      <alignment horizontal="center" vertical="center"/>
    </xf>
    <xf numFmtId="166" fontId="42" fillId="3" borderId="6" xfId="0" applyNumberFormat="1" applyFont="1" applyFill="1" applyBorder="1" applyAlignment="1">
      <alignment horizontal="center" vertical="center"/>
    </xf>
    <xf numFmtId="166" fontId="42" fillId="3" borderId="0" xfId="0" applyNumberFormat="1" applyFont="1" applyFill="1" applyBorder="1" applyAlignment="1">
      <alignment horizontal="center" vertical="center"/>
    </xf>
    <xf numFmtId="166" fontId="42" fillId="3" borderId="8" xfId="0" applyNumberFormat="1" applyFont="1" applyFill="1" applyBorder="1" applyAlignment="1">
      <alignment horizontal="center" vertical="center"/>
    </xf>
    <xf numFmtId="166" fontId="42" fillId="2" borderId="5" xfId="0" applyNumberFormat="1" applyFont="1" applyFill="1" applyBorder="1" applyAlignment="1">
      <alignment horizontal="center" vertical="center"/>
    </xf>
    <xf numFmtId="166" fontId="42" fillId="2" borderId="6" xfId="0" applyNumberFormat="1" applyFont="1" applyFill="1" applyBorder="1" applyAlignment="1">
      <alignment horizontal="center" vertical="center"/>
    </xf>
    <xf numFmtId="166" fontId="42" fillId="2" borderId="0" xfId="0" applyNumberFormat="1" applyFont="1" applyFill="1" applyBorder="1" applyAlignment="1">
      <alignment horizontal="center" vertical="center"/>
    </xf>
    <xf numFmtId="166" fontId="42" fillId="2" borderId="8" xfId="0" applyNumberFormat="1" applyFont="1" applyFill="1" applyBorder="1" applyAlignment="1">
      <alignment horizontal="center" vertical="center"/>
    </xf>
    <xf numFmtId="0" fontId="40" fillId="0" borderId="8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166" fontId="7" fillId="4" borderId="5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8" xfId="0" applyNumberFormat="1" applyFont="1" applyFill="1" applyBorder="1" applyAlignment="1">
      <alignment horizontal="center" vertical="center"/>
    </xf>
    <xf numFmtId="0" fontId="40" fillId="4" borderId="8" xfId="0" applyFon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left"/>
    </xf>
    <xf numFmtId="164" fontId="6" fillId="4" borderId="3" xfId="0" applyNumberFormat="1" applyFont="1" applyFill="1" applyBorder="1" applyAlignment="1">
      <alignment horizontal="left"/>
    </xf>
    <xf numFmtId="166" fontId="2" fillId="4" borderId="0" xfId="0" applyNumberFormat="1" applyFont="1" applyFill="1" applyBorder="1" applyAlignment="1">
      <alignment horizontal="center" vertical="center"/>
    </xf>
    <xf numFmtId="166" fontId="2" fillId="4" borderId="8" xfId="0" applyNumberFormat="1" applyFont="1" applyFill="1" applyBorder="1" applyAlignment="1">
      <alignment horizontal="center" vertical="center"/>
    </xf>
    <xf numFmtId="166" fontId="6" fillId="4" borderId="0" xfId="0" applyNumberFormat="1" applyFont="1" applyFill="1" applyBorder="1" applyAlignment="1">
      <alignment horizontal="center" vertical="center"/>
    </xf>
    <xf numFmtId="166" fontId="6" fillId="4" borderId="8" xfId="0" applyNumberFormat="1" applyFont="1" applyFill="1" applyBorder="1" applyAlignment="1">
      <alignment horizontal="center" vertical="center"/>
    </xf>
    <xf numFmtId="166" fontId="6" fillId="4" borderId="10" xfId="0" applyNumberFormat="1" applyFont="1" applyFill="1" applyBorder="1" applyAlignment="1">
      <alignment horizontal="center" vertical="center"/>
    </xf>
    <xf numFmtId="166" fontId="6" fillId="4" borderId="11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165" fontId="6" fillId="4" borderId="1" xfId="0" applyNumberFormat="1" applyFont="1" applyFill="1" applyBorder="1" applyAlignment="1">
      <alignment horizontal="right"/>
    </xf>
    <xf numFmtId="165" fontId="6" fillId="4" borderId="2" xfId="0" applyNumberFormat="1" applyFont="1" applyFill="1" applyBorder="1" applyAlignment="1">
      <alignment horizontal="right"/>
    </xf>
    <xf numFmtId="4" fontId="2" fillId="4" borderId="0" xfId="0" applyNumberFormat="1" applyFont="1" applyFill="1" applyBorder="1" applyAlignment="1">
      <alignment horizontal="center"/>
    </xf>
    <xf numFmtId="165" fontId="15" fillId="4" borderId="1" xfId="0" applyNumberFormat="1" applyFont="1" applyFill="1" applyBorder="1" applyAlignment="1">
      <alignment horizontal="right"/>
    </xf>
    <xf numFmtId="165" fontId="15" fillId="4" borderId="2" xfId="0" applyNumberFormat="1" applyFont="1" applyFill="1" applyBorder="1" applyAlignment="1">
      <alignment horizontal="right"/>
    </xf>
    <xf numFmtId="166" fontId="19" fillId="4" borderId="22" xfId="0" applyNumberFormat="1" applyFont="1" applyFill="1" applyBorder="1" applyAlignment="1">
      <alignment horizontal="center"/>
    </xf>
    <xf numFmtId="166" fontId="19" fillId="4" borderId="23" xfId="0" applyNumberFormat="1" applyFont="1" applyFill="1" applyBorder="1" applyAlignment="1">
      <alignment horizontal="center"/>
    </xf>
    <xf numFmtId="166" fontId="7" fillId="5" borderId="5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8" xfId="0" applyNumberFormat="1" applyFont="1" applyFill="1" applyBorder="1" applyAlignment="1">
      <alignment horizontal="center" vertical="center"/>
    </xf>
    <xf numFmtId="0" fontId="40" fillId="5" borderId="8" xfId="0" applyFont="1" applyFill="1" applyBorder="1" applyAlignment="1">
      <alignment horizontal="center" vertical="center"/>
    </xf>
    <xf numFmtId="164" fontId="6" fillId="5" borderId="2" xfId="0" applyNumberFormat="1" applyFont="1" applyFill="1" applyBorder="1" applyAlignment="1">
      <alignment horizontal="left"/>
    </xf>
    <xf numFmtId="164" fontId="6" fillId="5" borderId="3" xfId="0" applyNumberFormat="1" applyFont="1" applyFill="1" applyBorder="1" applyAlignment="1">
      <alignment horizontal="left"/>
    </xf>
    <xf numFmtId="166" fontId="2" fillId="5" borderId="0" xfId="0" applyNumberFormat="1" applyFont="1" applyFill="1" applyBorder="1" applyAlignment="1">
      <alignment horizontal="center" vertical="center"/>
    </xf>
    <xf numFmtId="166" fontId="2" fillId="5" borderId="8" xfId="0" applyNumberFormat="1" applyFont="1" applyFill="1" applyBorder="1" applyAlignment="1">
      <alignment horizontal="center" vertical="center"/>
    </xf>
    <xf numFmtId="166" fontId="6" fillId="5" borderId="0" xfId="0" applyNumberFormat="1" applyFont="1" applyFill="1" applyBorder="1" applyAlignment="1">
      <alignment horizontal="center" vertical="center"/>
    </xf>
    <xf numFmtId="166" fontId="6" fillId="5" borderId="8" xfId="0" applyNumberFormat="1" applyFont="1" applyFill="1" applyBorder="1" applyAlignment="1">
      <alignment horizontal="center" vertical="center"/>
    </xf>
    <xf numFmtId="166" fontId="6" fillId="5" borderId="10" xfId="0" applyNumberFormat="1" applyFont="1" applyFill="1" applyBorder="1" applyAlignment="1">
      <alignment horizontal="center" vertical="center"/>
    </xf>
    <xf numFmtId="166" fontId="6" fillId="5" borderId="11" xfId="0" applyNumberFormat="1" applyFont="1" applyFill="1" applyBorder="1" applyAlignment="1">
      <alignment horizontal="center" vertical="center"/>
    </xf>
    <xf numFmtId="166" fontId="19" fillId="5" borderId="22" xfId="0" applyNumberFormat="1" applyFont="1" applyFill="1" applyBorder="1" applyAlignment="1">
      <alignment horizontal="center"/>
    </xf>
    <xf numFmtId="166" fontId="19" fillId="5" borderId="23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165" fontId="6" fillId="5" borderId="1" xfId="0" applyNumberFormat="1" applyFont="1" applyFill="1" applyBorder="1" applyAlignment="1">
      <alignment horizontal="right"/>
    </xf>
    <xf numFmtId="165" fontId="6" fillId="5" borderId="2" xfId="0" applyNumberFormat="1" applyFont="1" applyFill="1" applyBorder="1" applyAlignment="1">
      <alignment horizontal="right"/>
    </xf>
    <xf numFmtId="4" fontId="2" fillId="5" borderId="0" xfId="0" applyNumberFormat="1" applyFont="1" applyFill="1" applyBorder="1" applyAlignment="1">
      <alignment horizontal="center"/>
    </xf>
    <xf numFmtId="165" fontId="15" fillId="5" borderId="1" xfId="0" applyNumberFormat="1" applyFont="1" applyFill="1" applyBorder="1" applyAlignment="1">
      <alignment horizontal="right"/>
    </xf>
    <xf numFmtId="165" fontId="15" fillId="5" borderId="2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119"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68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 readingOrder="0"/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18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2" name="TextBox 1"/>
        <xdr:cNvSpPr txBox="1"/>
      </xdr:nvSpPr>
      <xdr:spPr>
        <a:xfrm>
          <a:off x="1986803" y="5876925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3" name="Rounded Rectangle 2"/>
        <xdr:cNvSpPr/>
      </xdr:nvSpPr>
      <xdr:spPr>
        <a:xfrm>
          <a:off x="2709020" y="10039352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4" name="Rectangle 3"/>
        <xdr:cNvSpPr/>
      </xdr:nvSpPr>
      <xdr:spPr>
        <a:xfrm>
          <a:off x="171450" y="10020300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5" name="TextBox 4"/>
        <xdr:cNvSpPr txBox="1"/>
      </xdr:nvSpPr>
      <xdr:spPr>
        <a:xfrm>
          <a:off x="1986803" y="11658600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6" name="Rounded Rectangle 5"/>
        <xdr:cNvSpPr/>
      </xdr:nvSpPr>
      <xdr:spPr>
        <a:xfrm>
          <a:off x="2709020" y="15821027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7" name="Rectangle 6"/>
        <xdr:cNvSpPr/>
      </xdr:nvSpPr>
      <xdr:spPr>
        <a:xfrm>
          <a:off x="171450" y="15801975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8" name="Rounded Rectangle 7"/>
        <xdr:cNvSpPr/>
      </xdr:nvSpPr>
      <xdr:spPr>
        <a:xfrm>
          <a:off x="2372137" y="4334291"/>
          <a:ext cx="2218911" cy="727626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9" name="Rectangle 8"/>
        <xdr:cNvSpPr/>
      </xdr:nvSpPr>
      <xdr:spPr>
        <a:xfrm>
          <a:off x="171450" y="4238625"/>
          <a:ext cx="2295524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4" name="Rounded Rectangle 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5" name="Rectangle 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6" name="TextBox 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7" name="Rounded Rectangle 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8" name="Rectangle 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9" name="TextBox 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4\02%20FEBRUARI\KELUAR%2002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346.64034247685" createdVersion="5" refreshedVersion="5" minRefreshableVersion="3" recordCount="368">
  <cacheSource type="worksheet">
    <worksheetSource name="Table1" r:id="rId2"/>
  </cacheSource>
  <cacheFields count="32">
    <cacheField name="//" numFmtId="0">
      <sharedItems containsMixedTypes="1" containsNumber="1" containsInteger="1" minValue="4" maxValue="145" count="46">
        <s v=""/>
        <n v="4"/>
        <n v="6"/>
        <n v="10"/>
        <n v="13"/>
        <n v="17"/>
        <n v="20"/>
        <n v="25"/>
        <n v="32"/>
        <n v="35"/>
        <n v="42"/>
        <n v="45"/>
        <n v="50"/>
        <n v="53"/>
        <n v="56"/>
        <n v="71"/>
        <n v="81"/>
        <n v="83"/>
        <n v="89"/>
        <n v="97"/>
        <n v="102"/>
        <n v="109"/>
        <n v="115"/>
        <n v="126"/>
        <n v="129"/>
        <n v="132"/>
        <n v="134"/>
        <n v="138"/>
        <n v="143"/>
        <n v="145"/>
        <n v="57" u="1"/>
        <n v="59" u="1"/>
        <n v="79" u="1"/>
        <n v="61" u="1"/>
        <n v="63" u="1"/>
        <n v="70" u="1"/>
        <n v="120" u="1"/>
        <n v="124" u="1"/>
        <n v="65" u="1"/>
        <n v="90" u="1"/>
        <n v="131" u="1"/>
        <n v="77" u="1"/>
        <n v="85" u="1"/>
        <n v="76" u="1"/>
        <n v="113" u="1"/>
        <n v="55" u="1"/>
      </sharedItems>
    </cacheField>
    <cacheField name="h_No. Invoice :" numFmtId="0">
      <sharedItems containsMixedTypes="1" containsNumber="1" containsInteger="1" minValue="24020001" maxValue="24020029"/>
    </cacheField>
    <cacheField name="Tgl Invoice :" numFmtId="164">
      <sharedItems containsDate="1" containsMixedTypes="1" minDate="2024-02-05T00:00:00" maxDate="2024-02-25T00:00:00"/>
    </cacheField>
    <cacheField name="Column2" numFmtId="0">
      <sharedItems containsString="0" containsBlank="1" containsNumber="1" containsInteger="1" minValue="5" maxValue="24"/>
    </cacheField>
    <cacheField name="Column4" numFmtId="49">
      <sharedItems containsBlank="1"/>
    </cacheField>
    <cacheField name="Column5" numFmtId="0">
      <sharedItems containsBlank="1"/>
    </cacheField>
    <cacheField name="No. Invoice :" numFmtId="0">
      <sharedItems/>
    </cacheField>
    <cacheField name="Column3" numFmtId="0">
      <sharedItems/>
    </cacheField>
    <cacheField name="Kode Sales :" numFmtId="0">
      <sharedItems/>
    </cacheField>
    <cacheField name="Toko" numFmtId="0">
      <sharedItems/>
    </cacheField>
    <cacheField name="Qty" numFmtId="0">
      <sharedItems containsString="0" containsBlank="1" containsNumber="1" containsInteger="1" minValue="1" maxValue="100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1600" maxValue="234000"/>
    </cacheField>
    <cacheField name="Disc 1" numFmtId="10">
      <sharedItems containsString="0" containsBlank="1" containsNumber="1" minValue="0.1" maxValue="0.14499999999999999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50000" maxValue="340200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145"/>
    </cacheField>
    <cacheField name="h_jumlahbarang" numFmtId="0">
      <sharedItems containsMixedTypes="1" containsNumber="1" containsInteger="1" minValue="1" maxValue="14"/>
    </cacheField>
    <cacheField name="h_hargasebelumdiskon" numFmtId="43">
      <sharedItems containsMixedTypes="1" containsNumber="1" containsInteger="1" minValue="50000" maxValue="38880000"/>
    </cacheField>
    <cacheField name="h_disc 1" numFmtId="43">
      <sharedItems containsMixedTypes="1" containsNumber="1" minValue="0" maxValue="48600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minValue="0" maxValue="4860000"/>
    </cacheField>
    <cacheField name="h_hargasetelahdiskon" numFmtId="43">
      <sharedItems containsMixedTypes="1" containsNumber="1" containsInteger="1" minValue="50000" maxValue="34020000"/>
    </cacheField>
    <cacheField name="Total Invoice" numFmtId="43">
      <sharedItems containsMixedTypes="1" containsNumber="1" containsInteger="1" minValue="77400" maxValue="61643750"/>
    </cacheField>
    <cacheField name="KETERANGAN" numFmtId="43">
      <sharedItems containsNonDate="0" containsString="0" containsBlank="1"/>
    </cacheField>
    <cacheField name="H_A1" numFmtId="43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8"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n v="24020001"/>
    <d v="2024-02-05T00:00:00"/>
    <n v="5"/>
    <s v="2551"/>
    <s v="UTAMA"/>
    <s v="AM 24020001"/>
    <s v="G"/>
    <s v="G 2551"/>
    <s v="CV UTAMA PUTRA TULUNG AGUNG"/>
    <n v="72"/>
    <s v="LSN"/>
    <n v="1"/>
    <s v="TIPKENKE01"/>
    <s v="CORRECTION FLUID KENKO KE-01"/>
    <s v="CORRECTION FLUID KENKO KE-01"/>
    <n v="54300"/>
    <n v="0.125"/>
    <m/>
    <n v="3420900"/>
    <s v="NOVI / CONDRO"/>
    <m/>
    <n v="4"/>
    <n v="1"/>
    <n v="3909600"/>
    <n v="488700"/>
    <n v="0"/>
    <n v="488700"/>
    <n v="3420900"/>
    <n v="3420900"/>
    <m/>
    <s v="CORRECTION FLUID KENKO KE-01LSN54300"/>
  </r>
  <r>
    <x v="0"/>
    <s v=""/>
    <s v=""/>
    <m/>
    <m/>
    <m/>
    <s v=""/>
    <s v=""/>
    <s v=" "/>
    <s v=""/>
    <m/>
    <m/>
    <m/>
    <m/>
    <s v=""/>
    <s v=""/>
    <m/>
    <m/>
    <m/>
    <s v=""/>
    <m/>
    <m/>
    <s v=""/>
    <s v=""/>
    <s v=""/>
    <s v=""/>
    <s v=""/>
    <s v=""/>
    <s v=""/>
    <s v=""/>
    <m/>
    <s v=""/>
  </r>
  <r>
    <x v="2"/>
    <n v="24020002"/>
    <d v="2024-02-05T00:00:00"/>
    <n v="5"/>
    <s v="2597"/>
    <s v="rejoagung"/>
    <s v="AM 24020002"/>
    <s v="G"/>
    <s v="G 2597"/>
    <s v="LILY JULIAWATI (REJO AGUNG) JOMBANG"/>
    <n v="144"/>
    <s v="LSN"/>
    <n v="1"/>
    <s v="PENKENHITECH028BIRU"/>
    <s v="GEL PEN KENKO HI-TECH-H 0.28 MM BIRU"/>
    <s v="GEL PEN KENKO HI-TECH-H 0.28 MM BIRU"/>
    <n v="39000"/>
    <n v="0.125"/>
    <m/>
    <n v="4914000"/>
    <s v="NOVI / CONDRO"/>
    <m/>
    <n v="6"/>
    <n v="3"/>
    <n v="5616000"/>
    <n v="702000"/>
    <n v="0"/>
    <n v="702000"/>
    <n v="4914000"/>
    <n v="17734500"/>
    <m/>
    <s v="GEL PEN KENKO HI-TECH-H 0.28 MM BIRULSN39000"/>
  </r>
  <r>
    <x v="0"/>
    <s v=""/>
    <s v=""/>
    <m/>
    <m/>
    <m/>
    <s v=""/>
    <s v=""/>
    <s v=" "/>
    <s v=""/>
    <n v="288"/>
    <s v="LSN"/>
    <n v="2"/>
    <s v="PENKENHITECH028HITAM"/>
    <s v="GEL PEN KENKO HI-TECH-H 0.28 MM HITAM"/>
    <s v="GEL PEN KENKO HI-TECH-H 0.28 MM HITAM"/>
    <n v="39000"/>
    <n v="0.125"/>
    <m/>
    <n v="9828000"/>
    <m/>
    <m/>
    <n v="6"/>
    <n v="3"/>
    <n v="11232000"/>
    <n v="1404000"/>
    <n v="0"/>
    <n v="1404000"/>
    <n v="9828000"/>
    <s v=""/>
    <m/>
    <s v="GEL PEN KENKO HI-TECH-H 0.28 MM HITAMLSN39000"/>
  </r>
  <r>
    <x v="0"/>
    <s v=""/>
    <s v=""/>
    <m/>
    <m/>
    <m/>
    <s v=""/>
    <s v=""/>
    <s v=" "/>
    <s v=""/>
    <n v="60"/>
    <s v="LSN"/>
    <n v="2"/>
    <s v="CUTKENA300A"/>
    <s v="CUTTER 9 MM KENKO A-300 (KECIL)"/>
    <s v="CUTTER 9 MM KENKO A-300 (KECIL)"/>
    <n v="57000"/>
    <n v="0.125"/>
    <m/>
    <n v="2992500"/>
    <m/>
    <m/>
    <n v="6"/>
    <n v="3"/>
    <n v="3420000"/>
    <n v="427500"/>
    <n v="0"/>
    <n v="427500"/>
    <n v="2992500"/>
    <s v=""/>
    <m/>
    <s v="CUTTER 9 MM KENKO A-300 (KECIL)LSN57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4020003"/>
    <d v="2024-02-05T00:00:00"/>
    <n v="5"/>
    <s v="0930"/>
    <s v="sinarbhakti"/>
    <s v="AM 24020003"/>
    <s v="G"/>
    <s v="G 0930"/>
    <s v="MUHAMMAD AGUS MUNADI ( SINAR BHAKTI ) YOGYAKARTA"/>
    <n v="1"/>
    <s v="LS"/>
    <m/>
    <m/>
    <s v=""/>
    <s v="PENCIL CASE 22 x 7.5 MAGNET C-2755"/>
    <n v="128000"/>
    <m/>
    <m/>
    <n v="128000"/>
    <s v="RISMA / YO"/>
    <m/>
    <n v="10"/>
    <n v="2"/>
    <n v="128000"/>
    <n v="0"/>
    <n v="0"/>
    <n v="0"/>
    <n v="128000"/>
    <n v="287000"/>
    <m/>
    <s v="PENCIL CASE 22 x 7.5 MAGNET C-2755LS128000"/>
  </r>
  <r>
    <x v="0"/>
    <s v=""/>
    <s v=""/>
    <m/>
    <m/>
    <m/>
    <s v=""/>
    <s v=""/>
    <s v=" "/>
    <s v=""/>
    <n v="1"/>
    <s v="LS"/>
    <m/>
    <m/>
    <s v=""/>
    <s v="PENCIL CASE 22 x 10 MAGNET FX-2210 METALIK LEBAR"/>
    <n v="159000"/>
    <m/>
    <m/>
    <n v="159000"/>
    <m/>
    <m/>
    <n v="10"/>
    <n v="2"/>
    <n v="159000"/>
    <n v="0"/>
    <n v="0"/>
    <n v="0"/>
    <n v="159000"/>
    <s v=""/>
    <m/>
    <s v="PENCIL CASE 22 x 10 MAGNET FX-2210 METALIK LEBARLS15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4020004"/>
    <d v="2024-02-06T00:00:00"/>
    <n v="6"/>
    <s v="0222"/>
    <s v="ramai"/>
    <s v="AM 24020004"/>
    <s v="A"/>
    <s v="A 0222"/>
    <s v="PT RAMAI SANTOSO SEJAHTERA ( RAMAI SWALAYAN ) UNGARAN"/>
    <n v="6"/>
    <s v="SET"/>
    <m/>
    <m/>
    <s v=""/>
    <s v="GEL PEN AODEMI GP-96129"/>
    <n v="16500"/>
    <m/>
    <m/>
    <n v="99000"/>
    <s v="NOVI / YO"/>
    <m/>
    <n v="13"/>
    <n v="3"/>
    <n v="99000"/>
    <n v="0"/>
    <n v="0"/>
    <n v="0"/>
    <n v="99000"/>
    <n v="259000"/>
    <m/>
    <s v="GEL PEN AODEMI GP-96129SET16500"/>
  </r>
  <r>
    <x v="0"/>
    <s v=""/>
    <s v=""/>
    <m/>
    <m/>
    <m/>
    <s v=""/>
    <s v=""/>
    <s v=" "/>
    <s v=""/>
    <n v="4"/>
    <s v="LS"/>
    <m/>
    <m/>
    <s v=""/>
    <s v="BALLPEN VANCO 4W VC-6201"/>
    <n v="25000"/>
    <m/>
    <m/>
    <n v="100000"/>
    <m/>
    <m/>
    <n v="13"/>
    <n v="3"/>
    <n v="100000"/>
    <n v="0"/>
    <n v="0"/>
    <n v="0"/>
    <n v="100000"/>
    <s v=""/>
    <m/>
    <s v="BALLPEN VANCO 4W VC-6201LS25000"/>
  </r>
  <r>
    <x v="0"/>
    <s v=""/>
    <s v=""/>
    <m/>
    <m/>
    <m/>
    <s v=""/>
    <s v=""/>
    <s v=" "/>
    <s v=""/>
    <n v="1"/>
    <s v="DOS"/>
    <m/>
    <m/>
    <s v=""/>
    <s v="BENSIA SF-9939 A ISI 32 PC (LOVE DADU)"/>
    <n v="60000"/>
    <m/>
    <m/>
    <n v="60000"/>
    <m/>
    <m/>
    <n v="13"/>
    <n v="3"/>
    <n v="60000"/>
    <n v="0"/>
    <n v="0"/>
    <n v="0"/>
    <n v="60000"/>
    <s v=""/>
    <m/>
    <s v="BENSIA SF-9939 A ISI 32 PC (LOVE DADU)DOS6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4020005"/>
    <d v="2024-02-06T00:00:00"/>
    <n v="6"/>
    <s v="2605"/>
    <s v="lancar"/>
    <s v="AM 24020005"/>
    <s v="KO"/>
    <s v="KO 2605"/>
    <s v="CV LANCAR JAYA SENTOSA MALANG"/>
    <n v="100"/>
    <s v="PAK"/>
    <n v="2"/>
    <m/>
    <s v=""/>
    <s v="ISI STAPLER (STAPLES) GREATWALL GW-369 (BESAR)"/>
    <n v="25000"/>
    <m/>
    <m/>
    <n v="2500000"/>
    <s v="NOVI / YO"/>
    <m/>
    <n v="17"/>
    <n v="2"/>
    <n v="2500000"/>
    <n v="0"/>
    <n v="0"/>
    <n v="0"/>
    <n v="2500000"/>
    <n v="3452000"/>
    <m/>
    <s v="ISI STAPLER (STAPLES) GREATWALL GW-369 (BESAR)PAK25000"/>
  </r>
  <r>
    <x v="0"/>
    <s v=""/>
    <s v=""/>
    <m/>
    <m/>
    <m/>
    <s v=""/>
    <s v=""/>
    <s v=" "/>
    <s v=""/>
    <n v="34"/>
    <s v="DOS"/>
    <m/>
    <m/>
    <s v=""/>
    <s v="STIP / PENGHAPUS JOYKO EB-30 HITAM"/>
    <n v="32000"/>
    <n v="0.125"/>
    <m/>
    <n v="952000"/>
    <m/>
    <m/>
    <n v="17"/>
    <n v="2"/>
    <n v="1088000"/>
    <n v="136000"/>
    <n v="0"/>
    <n v="136000"/>
    <n v="952000"/>
    <s v=""/>
    <m/>
    <s v="STIP / PENGHAPUS JOYKO EB-30 HITAMDOS32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6"/>
    <n v="24020006"/>
    <d v="2024-02-07T00:00:00"/>
    <n v="7"/>
    <s v="2662"/>
    <s v="rejoagung"/>
    <s v="AM 24020006"/>
    <s v="G"/>
    <s v="G 2662"/>
    <s v="LILY JULIAWATI (REJO AGUNG) JOMBANG"/>
    <n v="240"/>
    <s v="PCS"/>
    <n v="10"/>
    <s v="ISOJKTD103"/>
    <s v="TAPE CUTTER JOYKO TD-103"/>
    <s v="TAPE CUTTER JOYKO TD-103"/>
    <n v="19000"/>
    <n v="0.125"/>
    <m/>
    <n v="3990000"/>
    <s v="NOVI / CONDRO"/>
    <m/>
    <n v="20"/>
    <n v="4"/>
    <n v="4560000"/>
    <n v="570000"/>
    <n v="0"/>
    <n v="570000"/>
    <n v="3990000"/>
    <n v="17566500"/>
    <m/>
    <s v="TAPE CUTTER JOYKO TD-103PCS19000"/>
  </r>
  <r>
    <x v="0"/>
    <s v=""/>
    <s v=""/>
    <m/>
    <m/>
    <m/>
    <s v=""/>
    <s v=""/>
    <s v=" "/>
    <s v=""/>
    <n v="216"/>
    <s v="PCS"/>
    <n v="1"/>
    <s v="STAJKNO0"/>
    <s v="STAMP PAD JOYKO NO. 0"/>
    <s v="STAMP PAD JOYKO NO. 0"/>
    <n v="4900"/>
    <n v="0.125"/>
    <m/>
    <n v="926100"/>
    <m/>
    <m/>
    <n v="20"/>
    <n v="4"/>
    <n v="1058400"/>
    <n v="132300"/>
    <n v="0"/>
    <n v="132300"/>
    <n v="926100"/>
    <s v=""/>
    <m/>
    <s v="STAMP PAD JOYKO NO. 0PCS4900"/>
  </r>
  <r>
    <x v="0"/>
    <s v=""/>
    <s v=""/>
    <m/>
    <m/>
    <m/>
    <s v=""/>
    <s v=""/>
    <s v=" "/>
    <s v=""/>
    <n v="192"/>
    <s v="SET"/>
    <n v="1"/>
    <s v="PENJKGPC309"/>
    <s v="GEL PEN SET JOYKO GPC-309S DIAMOND ART"/>
    <s v="GEL PEN SET JOYKO GPC-309S DIAMOND ART"/>
    <n v="16800"/>
    <n v="0.125"/>
    <m/>
    <n v="2822400"/>
    <m/>
    <m/>
    <n v="20"/>
    <n v="4"/>
    <n v="3225600"/>
    <n v="403200"/>
    <n v="0"/>
    <n v="403200"/>
    <n v="2822400"/>
    <s v=""/>
    <m/>
    <s v="GEL PEN SET JOYKO GPC-309S DIAMOND ARTSET16800"/>
  </r>
  <r>
    <x v="0"/>
    <s v=""/>
    <s v=""/>
    <m/>
    <m/>
    <m/>
    <s v=""/>
    <s v=""/>
    <s v=" "/>
    <s v=""/>
    <n v="288"/>
    <s v="LSN"/>
    <n v="2"/>
    <s v="PENKENHITECH028HITAM"/>
    <s v="GEL PEN KENKO HI-TECH-H 0.28 MM HITAM"/>
    <s v="GEL PEN KENKO HI-TECH-H 0.28 MM HITAM"/>
    <n v="39000"/>
    <n v="0.125"/>
    <m/>
    <n v="9828000"/>
    <m/>
    <m/>
    <n v="20"/>
    <n v="4"/>
    <n v="11232000"/>
    <n v="1404000"/>
    <n v="0"/>
    <n v="1404000"/>
    <n v="9828000"/>
    <s v=""/>
    <m/>
    <s v="GEL PEN KENKO HI-TECH-H 0.28 MM HITAM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4020007"/>
    <d v="2024-02-07T00:00:00"/>
    <n v="7"/>
    <s v="2666"/>
    <s v="ANUGERAH"/>
    <s v="AM 24020007"/>
    <s v="KO"/>
    <s v="KO 2666"/>
    <s v="CV PELITA JAYA (ANUGERAH SEJAHTERA) PURWOKERTO"/>
    <n v="12"/>
    <s v="PCS"/>
    <n v="2"/>
    <s v="STAKENHD12N13"/>
    <s v="STAPLER HEAVY DUTY KENKO HD-12N/13"/>
    <s v="STAPLER HEAVY DUTY KENKO HD-12N/13"/>
    <n v="84000"/>
    <n v="0.13500000000000001"/>
    <m/>
    <n v="871920"/>
    <s v="NOVI / CONDRO"/>
    <m/>
    <n v="25"/>
    <n v="6"/>
    <n v="1008000"/>
    <n v="136080"/>
    <n v="0"/>
    <n v="136080"/>
    <n v="871920"/>
    <n v="9921550"/>
    <m/>
    <s v="STAPLER HEAVY DUTY KENKO HD-12N/13PCS84000"/>
  </r>
  <r>
    <x v="0"/>
    <s v=""/>
    <s v=""/>
    <m/>
    <m/>
    <m/>
    <s v=""/>
    <s v=""/>
    <s v=" "/>
    <s v=""/>
    <n v="50"/>
    <s v="BOX"/>
    <n v="1"/>
    <s v="STIJK20PUTIH"/>
    <s v="STIP / PENGHAPUS JOYKO 526-B20 PUTIH"/>
    <s v="STIP / PENGHAPUS JOYKO 526-B20 PUTIH"/>
    <n v="34100"/>
    <n v="0.13500000000000001"/>
    <m/>
    <n v="1474825"/>
    <m/>
    <m/>
    <n v="25"/>
    <n v="6"/>
    <n v="1705000"/>
    <n v="230175.00000000003"/>
    <n v="0"/>
    <n v="230175.00000000003"/>
    <n v="1474825"/>
    <s v=""/>
    <m/>
    <s v="STIP / PENGHAPUS JOYKO 526-B20 PUTIHBOX34100"/>
  </r>
  <r>
    <x v="0"/>
    <s v=""/>
    <s v=""/>
    <m/>
    <m/>
    <m/>
    <s v=""/>
    <s v=""/>
    <s v=" "/>
    <s v=""/>
    <n v="100"/>
    <s v="BOX"/>
    <n v="2"/>
    <s v="STIKEN40PUTIH"/>
    <s v="STIP / PENGHAPUS KENKO ERW-40SQ PUTIH"/>
    <s v="STIP / PENGHAPUS KENKO ERW-40SQ PUTIH"/>
    <n v="27500"/>
    <n v="0.13500000000000001"/>
    <m/>
    <n v="2378750"/>
    <m/>
    <m/>
    <n v="25"/>
    <n v="6"/>
    <n v="2750000"/>
    <n v="371250"/>
    <n v="0"/>
    <n v="371250"/>
    <n v="2378750"/>
    <s v=""/>
    <m/>
    <s v="STIP / PENGHAPUS KENKO ERW-40SQ PUTIHBOX27500"/>
  </r>
  <r>
    <x v="0"/>
    <s v=""/>
    <s v=""/>
    <m/>
    <m/>
    <m/>
    <s v=""/>
    <s v=""/>
    <s v=" "/>
    <s v=""/>
    <n v="50"/>
    <s v="BOX"/>
    <n v="1"/>
    <s v="STIKEN40HITAM"/>
    <s v="STIP / PENGHAPUS KENKO ERB-40SQ HITAM"/>
    <s v="STIP / PENGHAPUS KENKO ERB-40SQ HITAM"/>
    <n v="27500"/>
    <n v="0.13500000000000001"/>
    <m/>
    <n v="1189375"/>
    <m/>
    <m/>
    <n v="25"/>
    <n v="6"/>
    <n v="1375000"/>
    <n v="185625"/>
    <n v="0"/>
    <n v="185625"/>
    <n v="1189375"/>
    <s v=""/>
    <m/>
    <s v="STIP / PENGHAPUS KENKO ERB-40SQ HITAMBOX27500"/>
  </r>
  <r>
    <x v="0"/>
    <s v=""/>
    <s v=""/>
    <m/>
    <m/>
    <m/>
    <s v=""/>
    <s v=""/>
    <s v=" "/>
    <s v=""/>
    <n v="960"/>
    <s v="PCS"/>
    <n v="2"/>
    <s v="STAKENHL100"/>
    <e v="#N/A"/>
    <s v="HIGHLIGHTER / STABILO KENKO HL-100 ORANGE/ UNGU"/>
    <n v="3050"/>
    <n v="0.13500000000000001"/>
    <m/>
    <n v="2532720"/>
    <m/>
    <m/>
    <n v="25"/>
    <n v="6"/>
    <n v="2928000"/>
    <n v="395280"/>
    <n v="0"/>
    <n v="395280"/>
    <n v="2532720"/>
    <s v=""/>
    <m/>
    <s v="HIGHLIGHTER / STABILO KENKO HL-100 ORANGE/ UNGUPCS3050"/>
  </r>
  <r>
    <x v="0"/>
    <s v=""/>
    <s v=""/>
    <m/>
    <m/>
    <m/>
    <s v=""/>
    <s v=""/>
    <s v=" "/>
    <s v=""/>
    <n v="20"/>
    <s v="LSN"/>
    <n v="1"/>
    <s v="STAJKHD10"/>
    <s v="STAPLER JOYKO HD-10"/>
    <s v="STAPLER JOYKO HD-10"/>
    <n v="85200"/>
    <n v="0.13500000000000001"/>
    <m/>
    <n v="1473960"/>
    <m/>
    <m/>
    <n v="25"/>
    <n v="6"/>
    <n v="1704000"/>
    <n v="230040.00000000003"/>
    <n v="0"/>
    <n v="230040.00000000003"/>
    <n v="1473960"/>
    <s v=""/>
    <m/>
    <s v="STAPLER JOYKO HD-10LSN852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4020008"/>
    <d v="2024-02-12T00:00:00"/>
    <n v="12"/>
    <s v="2672"/>
    <s v="bendan"/>
    <s v="AM 24020008"/>
    <s v="KO"/>
    <s v="KO 2672"/>
    <s v="HARNOYO (BENDAN) PEKALONGAN"/>
    <n v="10"/>
    <s v="LSN"/>
    <n v="1"/>
    <s v="STAKENHD50"/>
    <s v="STAPLER KENKO HD-50"/>
    <s v="STAPLER KENKO HD-50"/>
    <n v="228000"/>
    <n v="0.14000000000000001"/>
    <m/>
    <n v="1960800"/>
    <s v="NOVI / CONDRO"/>
    <m/>
    <n v="32"/>
    <n v="2"/>
    <n v="2280000"/>
    <n v="319200.00000000006"/>
    <n v="0"/>
    <n v="319200.00000000006"/>
    <n v="1960800"/>
    <n v="3560400"/>
    <m/>
    <s v="STAPLER KENKO HD-50LSN228000"/>
  </r>
  <r>
    <x v="0"/>
    <s v=""/>
    <s v=""/>
    <m/>
    <m/>
    <m/>
    <s v=""/>
    <s v=""/>
    <s v=" "/>
    <s v=""/>
    <n v="20"/>
    <s v="LSN"/>
    <n v="1"/>
    <s v="STAKENHD10"/>
    <s v="STAPLER KENKO HD-10"/>
    <s v="STAPLER KENKO HD-10"/>
    <n v="93000"/>
    <n v="0.14000000000000001"/>
    <m/>
    <n v="1599600"/>
    <m/>
    <m/>
    <n v="32"/>
    <n v="2"/>
    <n v="1860000"/>
    <n v="260400.00000000003"/>
    <n v="0"/>
    <n v="260400.00000000003"/>
    <n v="1599600"/>
    <s v=""/>
    <m/>
    <s v="STAPLER KENKO HD-10LSN93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4020009"/>
    <d v="2024-02-13T00:00:00"/>
    <n v="13"/>
    <s v="0936"/>
    <s v="UTAMA"/>
    <s v="AM 24020009"/>
    <s v="G"/>
    <s v="G 0936"/>
    <s v="CV UTAMA PUTRA TULUNG AGUNG"/>
    <n v="24"/>
    <s v="LSN"/>
    <m/>
    <s v="TIPKENCT809"/>
    <s v="CORRECTION TAPE KENKO CT-809 (8M x 5MM)"/>
    <s v="CORRECTION TAPE KENKO CT-809 (8M x 5MM)"/>
    <n v="54000"/>
    <n v="0.125"/>
    <m/>
    <n v="1134000"/>
    <s v="NOVI / CONDRO"/>
    <m/>
    <n v="35"/>
    <n v="6"/>
    <n v="1296000"/>
    <n v="162000"/>
    <n v="0"/>
    <n v="162000"/>
    <n v="1134000"/>
    <n v="10470600"/>
    <m/>
    <s v="CORRECTION TAPE KENKO CT-809 (8M x 5MM)LSN54000"/>
  </r>
  <r>
    <x v="0"/>
    <s v=""/>
    <s v=""/>
    <m/>
    <m/>
    <m/>
    <s v=""/>
    <s v=""/>
    <s v=" "/>
    <s v=""/>
    <n v="24"/>
    <s v="LSN"/>
    <m/>
    <s v="TIPKENCT802N"/>
    <s v="CORRECTION TAPE KENKO CT-802N (8M x 5MM)"/>
    <s v="CORRECTION TAPE KENKO CT-802N (8M x 5MM)"/>
    <n v="51000"/>
    <n v="0.125"/>
    <m/>
    <n v="1071000"/>
    <m/>
    <m/>
    <n v="35"/>
    <n v="6"/>
    <n v="1224000"/>
    <n v="153000"/>
    <n v="0"/>
    <n v="153000"/>
    <n v="1071000"/>
    <s v=""/>
    <m/>
    <s v="CORRECTION TAPE KENKO CT-802N (8M x 5MM)LSN51000"/>
  </r>
  <r>
    <x v="0"/>
    <s v=""/>
    <s v=""/>
    <m/>
    <m/>
    <m/>
    <s v=""/>
    <s v=""/>
    <s v=" "/>
    <s v=""/>
    <n v="24"/>
    <s v="LSN"/>
    <m/>
    <s v="TIPKENCT1505FC"/>
    <s v="CORRECTION TAPE KENKO CT-1505FC (15M X 5MM)"/>
    <s v="CORRECTION TAPE KENKO CT-1505FC (15M X 5MM)"/>
    <n v="69600"/>
    <n v="0.125"/>
    <m/>
    <n v="1461600"/>
    <m/>
    <m/>
    <n v="35"/>
    <n v="6"/>
    <n v="1670400"/>
    <n v="208800"/>
    <n v="0"/>
    <n v="208800"/>
    <n v="1461600"/>
    <s v=""/>
    <m/>
    <s v="CORRECTION TAPE KENKO CT-1505FC (15M X 5MM)LSN69600"/>
  </r>
  <r>
    <x v="0"/>
    <s v=""/>
    <s v=""/>
    <m/>
    <m/>
    <m/>
    <s v=""/>
    <s v=""/>
    <s v=" "/>
    <s v=""/>
    <n v="24"/>
    <s v="LSN"/>
    <m/>
    <s v="TIPKENCT902"/>
    <s v="CORRECTION TAPE KENKO CT-902 (12M x 5MM)"/>
    <s v="CORRECTION TAPE KENKO CT-902 (12M x 5MM)"/>
    <n v="60000"/>
    <n v="0.125"/>
    <m/>
    <n v="1260000"/>
    <m/>
    <m/>
    <n v="35"/>
    <n v="6"/>
    <n v="1440000"/>
    <n v="180000"/>
    <n v="0"/>
    <n v="180000"/>
    <n v="1260000"/>
    <s v=""/>
    <m/>
    <s v="CORRECTION TAPE KENKO CT-902 (12M x 5MM)LSN60000"/>
  </r>
  <r>
    <x v="0"/>
    <s v=""/>
    <s v=""/>
    <m/>
    <m/>
    <m/>
    <s v=""/>
    <s v=""/>
    <s v=" "/>
    <s v=""/>
    <n v="12"/>
    <s v="LSN"/>
    <m/>
    <s v="TIPKENCT902CL"/>
    <s v="CORRECTION TAPE KENKO CT-902CL (12M x 5MM)"/>
    <s v="CORRECTION TAPE KENKO CT-902CL (12M x 5MM)"/>
    <n v="60000"/>
    <n v="0.125"/>
    <m/>
    <n v="630000"/>
    <m/>
    <m/>
    <n v="35"/>
    <n v="6"/>
    <n v="720000"/>
    <n v="90000"/>
    <n v="0"/>
    <n v="90000"/>
    <n v="630000"/>
    <s v=""/>
    <m/>
    <s v="CORRECTION TAPE KENKO CT-902CL (12M x 5MM)LSN60000"/>
  </r>
  <r>
    <x v="0"/>
    <s v=""/>
    <s v=""/>
    <m/>
    <m/>
    <m/>
    <s v=""/>
    <s v=""/>
    <s v=" "/>
    <s v=""/>
    <n v="144"/>
    <s v="LSN"/>
    <n v="1"/>
    <s v="PENKENHITECH028HITAM"/>
    <s v="GEL PEN KENKO HI-TECH-H 0.28 MM HITAM"/>
    <s v="GEL PEN KENKO HI-TECH-H 0.28 MM HITAM"/>
    <n v="39000"/>
    <n v="0.125"/>
    <m/>
    <n v="4914000"/>
    <m/>
    <m/>
    <n v="35"/>
    <n v="6"/>
    <n v="5616000"/>
    <n v="702000"/>
    <n v="0"/>
    <n v="702000"/>
    <n v="4914000"/>
    <s v=""/>
    <m/>
    <s v="GEL PEN KENKO HI-TECH-H 0.28 MM HITAM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0"/>
    <n v="24020010"/>
    <d v="2024-02-13T00:00:00"/>
    <n v="13"/>
    <s v="2682"/>
    <s v="rejoagung"/>
    <s v="AM 24020010"/>
    <s v="G"/>
    <s v="G 2682"/>
    <s v="LILY JULIAWATI (REJO AGUNG) JOMBANG"/>
    <n v="600"/>
    <s v="LSN"/>
    <n v="10"/>
    <s v="isikenbesar"/>
    <s v="ISI CUTTER 18 MM KENKO L-150 (BESAR)"/>
    <s v="ISI CUTTER 18 MM KENKO L-150 (BESAR)"/>
    <n v="64800"/>
    <n v="0.125"/>
    <m/>
    <n v="34020000"/>
    <s v="NOVI / CONDRO"/>
    <m/>
    <n v="42"/>
    <n v="2"/>
    <n v="38880000"/>
    <n v="4860000"/>
    <n v="0"/>
    <n v="4860000"/>
    <n v="34020000"/>
    <n v="37422000"/>
    <m/>
    <s v="ISI CUTTER 18 MM KENKO L-150 (BESAR)LSN64800"/>
  </r>
  <r>
    <x v="0"/>
    <s v=""/>
    <s v=""/>
    <m/>
    <m/>
    <m/>
    <s v=""/>
    <s v=""/>
    <s v=" "/>
    <s v=""/>
    <n v="120"/>
    <s v="LSN"/>
    <n v="1"/>
    <s v="ISIKENKECIL"/>
    <s v="ISI CUTTER 9 MM KENKO A-100 (KECIL)"/>
    <s v="ISI CUTTER 9 MM KENKO A-100 (KECIL)"/>
    <n v="32400"/>
    <n v="0.125"/>
    <m/>
    <n v="3402000"/>
    <m/>
    <m/>
    <n v="42"/>
    <n v="2"/>
    <n v="3888000"/>
    <n v="486000"/>
    <n v="0"/>
    <n v="486000"/>
    <n v="3402000"/>
    <s v=""/>
    <m/>
    <s v="ISI CUTTER 9 MM KENKO A-100 (KECIL)LSN324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1"/>
    <n v="24020011"/>
    <d v="2024-02-16T00:00:00"/>
    <n v="16"/>
    <s v="2620"/>
    <s v="lancar"/>
    <s v="AM 24020011"/>
    <s v="KO"/>
    <s v="KO 2620"/>
    <s v="CV LANCAR JAYA SENTOSA MALANG"/>
    <n v="288"/>
    <s v="SET"/>
    <n v="2"/>
    <s v="PWJK12WPANJANG"/>
    <s v="PENSIL WARNA JOYKO CP-12PB (PANJANG)"/>
    <s v="PENSIL WARNA JOYKO CP-12PB (PANJANG)"/>
    <n v="10600"/>
    <n v="0.125"/>
    <m/>
    <n v="2671200"/>
    <s v="NOVI / CONDRO"/>
    <m/>
    <n v="45"/>
    <n v="4"/>
    <n v="3052800"/>
    <n v="381600"/>
    <n v="0"/>
    <n v="381600"/>
    <n v="2671200"/>
    <n v="8103200"/>
    <m/>
    <s v="PENSIL WARNA JOYKO CP-12PB (PANJANG)SET10600"/>
  </r>
  <r>
    <x v="0"/>
    <s v=""/>
    <s v=""/>
    <m/>
    <m/>
    <m/>
    <s v=""/>
    <s v=""/>
    <s v=" "/>
    <s v=""/>
    <n v="288"/>
    <s v="SET"/>
    <n v="1"/>
    <s v="PWJK12WPENDEK"/>
    <s v="PENSIL WARNA JOYKO CP-S12 MINI (PENDEK)"/>
    <s v="PENSIL WARNA JOYKO CP-S12 MINI (PENDEK)"/>
    <n v="6700"/>
    <n v="0.125"/>
    <m/>
    <n v="1688400"/>
    <m/>
    <m/>
    <n v="45"/>
    <n v="4"/>
    <n v="1929600"/>
    <n v="241200"/>
    <n v="0"/>
    <n v="241200"/>
    <n v="1688400"/>
    <s v=""/>
    <m/>
    <s v="PENSIL WARNA JOYKO CP-S12 MINI (PENDEK)SET6700"/>
  </r>
  <r>
    <x v="0"/>
    <s v=""/>
    <s v=""/>
    <m/>
    <m/>
    <m/>
    <s v=""/>
    <s v=""/>
    <s v=" "/>
    <s v=""/>
    <n v="72"/>
    <s v="LSN"/>
    <n v="1"/>
    <s v="ISIJKPL11"/>
    <s v="ISI PENSIL 2B 2.0 MM JOYKO PL-11"/>
    <s v="ISI PENSIL 2B 2.0 MM JOYKO PL-11"/>
    <n v="37200"/>
    <n v="0.125"/>
    <m/>
    <n v="2343600"/>
    <m/>
    <m/>
    <n v="45"/>
    <n v="4"/>
    <n v="2678400"/>
    <n v="334800"/>
    <n v="0"/>
    <n v="334800"/>
    <n v="2343600"/>
    <s v=""/>
    <m/>
    <s v="ISI PENSIL 2B 2.0 MM JOYKO PL-11LSN37200"/>
  </r>
  <r>
    <x v="0"/>
    <s v=""/>
    <s v=""/>
    <m/>
    <m/>
    <m/>
    <s v=""/>
    <s v=""/>
    <s v=" "/>
    <s v=""/>
    <n v="50"/>
    <s v="BOX"/>
    <n v="1"/>
    <s v="STIJK30HITAM"/>
    <s v="STIP / PENGHAPUS JOYKO EB-30 HITAM"/>
    <s v="STIP / PENGHAPUS JOYKO EB-30 HITAM"/>
    <n v="32000"/>
    <n v="0.125"/>
    <m/>
    <n v="1400000"/>
    <m/>
    <m/>
    <n v="45"/>
    <n v="4"/>
    <n v="1600000"/>
    <n v="200000"/>
    <n v="0"/>
    <n v="200000"/>
    <n v="1400000"/>
    <s v=""/>
    <m/>
    <s v="STIP / PENGHAPUS JOYKO EB-30 HITAMBOX32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2"/>
    <n v="24020012"/>
    <d v="2024-02-16T00:00:00"/>
    <n v="16"/>
    <s v="2696"/>
    <s v="bendan"/>
    <s v="AM 24020012"/>
    <s v="KO"/>
    <s v="KO 2696"/>
    <s v="HARNOYO (BENDAN) PEKALONGAN"/>
    <n v="30"/>
    <s v="GRS"/>
    <n v="1"/>
    <s v="CLIKEN111"/>
    <s v="BINDER CLIP KENKO NO. 111"/>
    <s v="BINDER CLIP KENKO NO. 111"/>
    <n v="49200"/>
    <n v="0.14000000000000001"/>
    <m/>
    <n v="1269360"/>
    <s v="NOVI / CONDRO"/>
    <m/>
    <n v="50"/>
    <n v="2"/>
    <n v="1476000"/>
    <n v="206640.00000000003"/>
    <n v="0"/>
    <n v="206640.00000000003"/>
    <n v="1269360"/>
    <n v="2636760"/>
    <m/>
    <s v="BINDER CLIP KENKO NO. 111GRS49200"/>
  </r>
  <r>
    <x v="0"/>
    <s v=""/>
    <s v=""/>
    <m/>
    <m/>
    <m/>
    <s v=""/>
    <s v=""/>
    <s v=" "/>
    <s v=""/>
    <n v="50"/>
    <s v="GRS"/>
    <n v="1"/>
    <s v="CLIKEN107"/>
    <s v="BINDER CLIP KENKO NO. 107"/>
    <s v="BINDER CLIP KENKO NO. 107"/>
    <n v="31800"/>
    <n v="0.14000000000000001"/>
    <m/>
    <n v="1367400"/>
    <m/>
    <m/>
    <n v="50"/>
    <n v="2"/>
    <n v="1590000"/>
    <n v="222600.00000000003"/>
    <n v="0"/>
    <n v="222600.00000000003"/>
    <n v="1367400"/>
    <s v=""/>
    <m/>
    <s v="BINDER CLIP KENKO NO. 107GRS31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3"/>
    <n v="24020013"/>
    <d v="2024-02-17T00:00:00"/>
    <n v="17"/>
    <s v="2701"/>
    <s v="DWIJAYA"/>
    <s v="AM 24020013"/>
    <s v="KO"/>
    <s v="KO 2701"/>
    <s v="CV DWI JAYA YOGYAKARTA"/>
    <n v="4"/>
    <s v="LSN"/>
    <m/>
    <s v="CUTKENL500"/>
    <s v="CUTTER 18 MM KENKO L-500 (BESAR)"/>
    <s v="CUTTER 18 MM KENKO L-500 (BESAR)"/>
    <n v="147600"/>
    <n v="0.1"/>
    <m/>
    <n v="531360"/>
    <s v="NOVI / CONDRO"/>
    <m/>
    <n v="53"/>
    <n v="2"/>
    <n v="590400"/>
    <n v="59040"/>
    <n v="0"/>
    <n v="59040"/>
    <n v="531360"/>
    <n v="725760"/>
    <m/>
    <s v="CUTTER 18 MM KENKO L-500 (BESAR)LSN147600"/>
  </r>
  <r>
    <x v="0"/>
    <s v=""/>
    <s v=""/>
    <m/>
    <m/>
    <m/>
    <s v=""/>
    <s v=""/>
    <s v=" "/>
    <s v=""/>
    <n v="3"/>
    <s v="BOX"/>
    <m/>
    <s v="LEMKEN15GR"/>
    <s v="LEM STICK KENKO 15 GR (TANGGUNG) isi 20 pc"/>
    <s v="LEM STICK KENKO 15 GR (TANGGUNG) isi 20 pc"/>
    <n v="72000"/>
    <n v="0.1"/>
    <m/>
    <n v="194400"/>
    <m/>
    <m/>
    <n v="53"/>
    <n v="2"/>
    <n v="216000"/>
    <n v="21600"/>
    <n v="0"/>
    <n v="21600"/>
    <n v="194400"/>
    <s v=""/>
    <m/>
    <s v="LEM STICK KENKO 15 GR (TANGGUNG) isi 20 pcBOX72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4"/>
    <n v="24020014"/>
    <d v="2024-02-20T00:00:00"/>
    <n v="20"/>
    <s v="2710"/>
    <s v="rejoagung"/>
    <s v="AM 24020014"/>
    <s v="G"/>
    <s v="G 2710"/>
    <s v="LILY JULIAWATI (REJO AGUNG) JOMBANG"/>
    <n v="24"/>
    <s v="GRS"/>
    <n v="2"/>
    <m/>
    <s v=""/>
    <s v="ISI PENSIL 2B 0.5 MM JOYKO PL-05"/>
    <n v="176400"/>
    <n v="0.125"/>
    <m/>
    <n v="3704400"/>
    <s v="NOVI / YO"/>
    <m/>
    <n v="56"/>
    <n v="14"/>
    <n v="4233600"/>
    <n v="529200"/>
    <n v="0"/>
    <n v="529200"/>
    <n v="3704400"/>
    <n v="61643750"/>
    <m/>
    <s v="ISI PENSIL 2B 0.5 MM JOYKO PL-05GRS176400"/>
  </r>
  <r>
    <x v="0"/>
    <s v=""/>
    <s v=""/>
    <m/>
    <m/>
    <m/>
    <s v=""/>
    <s v=""/>
    <s v=" "/>
    <s v=""/>
    <n v="288"/>
    <s v="LS"/>
    <n v="2"/>
    <m/>
    <s v=""/>
    <s v="ISI PENSIL 2B 2.0 MM JOYKO PL-10"/>
    <n v="19800"/>
    <n v="0.125"/>
    <m/>
    <n v="4989600"/>
    <m/>
    <m/>
    <n v="56"/>
    <n v="14"/>
    <n v="5702400"/>
    <n v="712800"/>
    <n v="0"/>
    <n v="712800"/>
    <n v="4989600"/>
    <s v=""/>
    <m/>
    <s v="ISI PENSIL 2B 2.0 MM JOYKO PL-10LS19800"/>
  </r>
  <r>
    <x v="0"/>
    <s v=""/>
    <s v=""/>
    <m/>
    <m/>
    <m/>
    <s v=""/>
    <s v=""/>
    <s v=" "/>
    <s v=""/>
    <n v="144"/>
    <s v="LS"/>
    <n v="2"/>
    <m/>
    <s v=""/>
    <s v="ISI PENSIL 2B 2.0 MM JOYKO PL-11"/>
    <n v="37200"/>
    <n v="0.125"/>
    <m/>
    <n v="4687200"/>
    <m/>
    <m/>
    <n v="56"/>
    <n v="14"/>
    <n v="5356800"/>
    <n v="669600"/>
    <n v="0"/>
    <n v="669600"/>
    <n v="4687200"/>
    <s v=""/>
    <m/>
    <s v="ISI PENSIL 2B 2.0 MM JOYKO PL-11LS37200"/>
  </r>
  <r>
    <x v="0"/>
    <s v=""/>
    <s v=""/>
    <m/>
    <m/>
    <m/>
    <s v=""/>
    <s v=""/>
    <s v=" "/>
    <s v=""/>
    <n v="288"/>
    <s v="PC"/>
    <n v="1"/>
    <m/>
    <s v=""/>
    <s v="JANGKA (MATH SET) JOYKO MS-402"/>
    <n v="12000"/>
    <n v="0.125"/>
    <m/>
    <n v="3024000"/>
    <m/>
    <m/>
    <n v="56"/>
    <n v="14"/>
    <n v="3456000"/>
    <n v="432000"/>
    <n v="0"/>
    <n v="432000"/>
    <n v="3024000"/>
    <s v=""/>
    <m/>
    <s v="JANGKA (MATH SET) JOYKO MS-402PC12000"/>
  </r>
  <r>
    <x v="0"/>
    <s v=""/>
    <s v=""/>
    <m/>
    <m/>
    <m/>
    <s v=""/>
    <s v=""/>
    <s v=" "/>
    <s v=""/>
    <n v="24"/>
    <s v="LS"/>
    <n v="1"/>
    <m/>
    <s v=""/>
    <s v="JANGKA (MATH SET) JOYKO MS-25"/>
    <n v="89400"/>
    <n v="0.125"/>
    <m/>
    <n v="1877400"/>
    <m/>
    <m/>
    <n v="56"/>
    <n v="14"/>
    <n v="2145600"/>
    <n v="268200"/>
    <n v="0"/>
    <n v="268200"/>
    <n v="1877400"/>
    <s v=""/>
    <m/>
    <s v="JANGKA (MATH SET) JOYKO MS-25LS89400"/>
  </r>
  <r>
    <x v="0"/>
    <s v=""/>
    <s v=""/>
    <m/>
    <m/>
    <m/>
    <s v=""/>
    <s v=""/>
    <s v=" "/>
    <s v=""/>
    <n v="120"/>
    <s v="PC"/>
    <n v="2"/>
    <m/>
    <s v=""/>
    <s v="PUNCH KENKO NO. 40XL"/>
    <n v="29500"/>
    <n v="0.125"/>
    <m/>
    <n v="3097500"/>
    <m/>
    <m/>
    <n v="56"/>
    <n v="14"/>
    <n v="3540000"/>
    <n v="442500"/>
    <n v="0"/>
    <n v="442500"/>
    <n v="3097500"/>
    <s v=""/>
    <m/>
    <s v="PUNCH KENKO NO. 40XLPC29500"/>
  </r>
  <r>
    <x v="0"/>
    <s v=""/>
    <s v=""/>
    <m/>
    <m/>
    <m/>
    <s v=""/>
    <s v=""/>
    <s v=" "/>
    <s v=""/>
    <n v="240"/>
    <s v="PC"/>
    <n v="2"/>
    <m/>
    <s v=""/>
    <s v="PUNCH KENKO NO. 30XL"/>
    <n v="12950"/>
    <n v="0.125"/>
    <m/>
    <n v="2719500"/>
    <m/>
    <m/>
    <n v="56"/>
    <n v="14"/>
    <n v="3108000"/>
    <n v="388500"/>
    <n v="0"/>
    <n v="388500"/>
    <n v="2719500"/>
    <s v=""/>
    <m/>
    <s v="PUNCH KENKO NO. 30XLPC12950"/>
  </r>
  <r>
    <x v="0"/>
    <s v=""/>
    <s v=""/>
    <m/>
    <m/>
    <m/>
    <s v=""/>
    <s v=""/>
    <s v=" "/>
    <s v=""/>
    <n v="48"/>
    <s v="PC"/>
    <n v="2"/>
    <m/>
    <s v=""/>
    <s v="PUNCH KENKO NO. 85"/>
    <n v="40000"/>
    <n v="0.125"/>
    <m/>
    <n v="1680000"/>
    <m/>
    <m/>
    <n v="56"/>
    <n v="14"/>
    <n v="1920000"/>
    <n v="240000"/>
    <n v="0"/>
    <n v="240000"/>
    <n v="1680000"/>
    <s v=""/>
    <m/>
    <s v="PUNCH KENKO NO. 85PC40000"/>
  </r>
  <r>
    <x v="0"/>
    <s v=""/>
    <s v=""/>
    <m/>
    <m/>
    <m/>
    <s v=""/>
    <s v=""/>
    <s v=" "/>
    <s v=""/>
    <n v="1000"/>
    <s v="PC"/>
    <n v="1"/>
    <m/>
    <s v=""/>
    <s v="LABEL HARGA JOYKO LB-2RL (1 LINE PUTIH)"/>
    <n v="2050"/>
    <n v="0.125"/>
    <m/>
    <n v="1793750"/>
    <m/>
    <m/>
    <n v="56"/>
    <n v="14"/>
    <n v="2050000"/>
    <n v="256250"/>
    <n v="0"/>
    <n v="256250"/>
    <n v="1793750"/>
    <s v=""/>
    <m/>
    <s v="LABEL HARGA JOYKO LB-2RL (1 LINE PUTIH)PC2050"/>
  </r>
  <r>
    <x v="0"/>
    <s v=""/>
    <s v=""/>
    <m/>
    <m/>
    <m/>
    <s v=""/>
    <s v=""/>
    <s v=" "/>
    <s v=""/>
    <n v="360"/>
    <s v="BOX"/>
    <n v="10"/>
    <m/>
    <s v=""/>
    <s v="LEM STICK JOYKO 15 GR GS-104 TG (ANIMAL KINGDOM) isi 24 pc"/>
    <n v="58800"/>
    <n v="0.125"/>
    <m/>
    <n v="18522000"/>
    <m/>
    <m/>
    <n v="56"/>
    <n v="14"/>
    <n v="21168000"/>
    <n v="2646000"/>
    <n v="0"/>
    <n v="2646000"/>
    <n v="18522000"/>
    <s v=""/>
    <m/>
    <s v="LEM STICK JOYKO 15 GR GS-104 TG (ANIMAL KINGDOM) isi 24 pcBOX58800"/>
  </r>
  <r>
    <x v="0"/>
    <s v=""/>
    <s v=""/>
    <m/>
    <m/>
    <m/>
    <s v=""/>
    <s v=""/>
    <s v=" "/>
    <s v=""/>
    <n v="128"/>
    <s v="LS"/>
    <n v="2"/>
    <m/>
    <s v=""/>
    <s v="LEM STICK JOYKO 8 GR GS-09 isi 12 pc"/>
    <n v="25200"/>
    <n v="0.125"/>
    <m/>
    <n v="2822400"/>
    <m/>
    <m/>
    <n v="56"/>
    <n v="14"/>
    <n v="3225600"/>
    <n v="403200"/>
    <n v="0"/>
    <n v="403200"/>
    <n v="2822400"/>
    <s v=""/>
    <m/>
    <s v="LEM STICK JOYKO 8 GR GS-09 isi 12 pcLS25200"/>
  </r>
  <r>
    <x v="0"/>
    <s v=""/>
    <s v=""/>
    <m/>
    <m/>
    <m/>
    <s v=""/>
    <s v=""/>
    <s v=" "/>
    <s v=""/>
    <n v="48"/>
    <s v="LS"/>
    <n v="2"/>
    <m/>
    <s v=""/>
    <s v="PENSIL WARNA JOYKO CP-S12 MINI (PENDEK)"/>
    <n v="80400"/>
    <n v="0.125"/>
    <m/>
    <n v="3376800"/>
    <m/>
    <m/>
    <n v="56"/>
    <n v="14"/>
    <n v="3859200"/>
    <n v="482400"/>
    <n v="0"/>
    <n v="482400"/>
    <n v="3376800"/>
    <s v=""/>
    <m/>
    <s v="PENSIL WARNA JOYKO CP-S12 MINI (PENDEK)LS80400"/>
  </r>
  <r>
    <x v="0"/>
    <s v=""/>
    <s v=""/>
    <m/>
    <m/>
    <m/>
    <s v=""/>
    <s v=""/>
    <s v=" "/>
    <s v=""/>
    <n v="144"/>
    <s v="PC"/>
    <n v="2"/>
    <m/>
    <s v=""/>
    <s v="PENSIL WARNA JOYKO CP-24PB (PANJANG)"/>
    <n v="21200"/>
    <n v="0.125"/>
    <m/>
    <n v="2671200"/>
    <m/>
    <m/>
    <n v="56"/>
    <n v="14"/>
    <n v="3052800"/>
    <n v="381600"/>
    <n v="0"/>
    <n v="381600"/>
    <n v="2671200"/>
    <s v=""/>
    <m/>
    <s v="PENSIL WARNA JOYKO CP-24PB (PANJANG)PC21200"/>
  </r>
  <r>
    <x v="0"/>
    <s v=""/>
    <s v=""/>
    <m/>
    <m/>
    <m/>
    <s v=""/>
    <s v=""/>
    <s v=" "/>
    <s v=""/>
    <n v="720"/>
    <s v="PC"/>
    <n v="5"/>
    <m/>
    <s v=""/>
    <s v="PENSIL WARNA JOYKO CP-12PB (PANJANG)"/>
    <n v="10600"/>
    <n v="0.125"/>
    <m/>
    <n v="6678000"/>
    <m/>
    <m/>
    <n v="56"/>
    <n v="14"/>
    <n v="7632000"/>
    <n v="954000"/>
    <n v="0"/>
    <n v="954000"/>
    <n v="6678000"/>
    <s v=""/>
    <m/>
    <s v="PENSIL WARNA JOYKO CP-12PB (PANJANG)PC10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5"/>
    <n v="24020015"/>
    <d v="2024-02-20T00:00:00"/>
    <n v="20"/>
    <s v="2711"/>
    <s v="rejoagung"/>
    <s v="AM 24020015"/>
    <s v="G"/>
    <s v="G 2711"/>
    <s v="LILY JULIAWATI (REJO AGUNG) JOMBANG"/>
    <n v="300"/>
    <s v="LS"/>
    <n v="5"/>
    <m/>
    <s v=""/>
    <s v="CORRECTION TAPE JOYKO CT-522"/>
    <n v="51600"/>
    <n v="0.125"/>
    <m/>
    <n v="13545000"/>
    <s v="NOVI / YO"/>
    <m/>
    <n v="71"/>
    <n v="9"/>
    <n v="15480000"/>
    <n v="1935000"/>
    <n v="0"/>
    <n v="1935000"/>
    <n v="13545000"/>
    <n v="22109850"/>
    <m/>
    <s v="CORRECTION TAPE JOYKO CT-522LS51600"/>
  </r>
  <r>
    <x v="0"/>
    <s v=""/>
    <s v=""/>
    <m/>
    <m/>
    <m/>
    <s v=""/>
    <s v=""/>
    <s v=" "/>
    <s v=""/>
    <n v="216"/>
    <s v="PC"/>
    <n v="1"/>
    <m/>
    <s v=""/>
    <s v="STAMP PAD JOYKO NO. 1"/>
    <n v="5800"/>
    <n v="0.125"/>
    <m/>
    <n v="1096200"/>
    <m/>
    <m/>
    <n v="71"/>
    <n v="9"/>
    <n v="1252800"/>
    <n v="156600"/>
    <n v="0"/>
    <n v="156600"/>
    <n v="1096200"/>
    <s v=""/>
    <m/>
    <s v="STAMP PAD JOYKO NO. 1PC5800"/>
  </r>
  <r>
    <x v="0"/>
    <s v=""/>
    <s v=""/>
    <m/>
    <m/>
    <m/>
    <s v=""/>
    <s v=""/>
    <s v=" "/>
    <s v=""/>
    <n v="72"/>
    <s v="PC"/>
    <n v="1"/>
    <m/>
    <s v=""/>
    <s v="BINDER NOTE JOYKO A5 TSUN-M473"/>
    <n v="15800"/>
    <n v="0.125"/>
    <m/>
    <n v="995400"/>
    <m/>
    <m/>
    <n v="71"/>
    <n v="9"/>
    <n v="1137600"/>
    <n v="142200"/>
    <n v="0"/>
    <n v="142200"/>
    <n v="995400"/>
    <s v=""/>
    <m/>
    <s v="BINDER NOTE JOYKO A5 TSUN-M473PC15800"/>
  </r>
  <r>
    <x v="0"/>
    <s v=""/>
    <s v=""/>
    <m/>
    <m/>
    <m/>
    <s v=""/>
    <s v=""/>
    <s v=" "/>
    <s v=""/>
    <n v="72"/>
    <s v="PC"/>
    <n v="1"/>
    <m/>
    <s v=""/>
    <s v="BINDER NOTE JOYKO A5 TSFS-514"/>
    <n v="15800"/>
    <n v="0.125"/>
    <m/>
    <n v="995400"/>
    <m/>
    <m/>
    <n v="71"/>
    <n v="9"/>
    <n v="1137600"/>
    <n v="142200"/>
    <n v="0"/>
    <n v="142200"/>
    <n v="995400"/>
    <s v=""/>
    <m/>
    <s v="BINDER NOTE JOYKO A5 TSFS-514PC15800"/>
  </r>
  <r>
    <x v="0"/>
    <s v=""/>
    <s v=""/>
    <m/>
    <m/>
    <m/>
    <s v=""/>
    <s v=""/>
    <s v=" "/>
    <s v=""/>
    <n v="72"/>
    <s v="PC"/>
    <n v="1"/>
    <m/>
    <s v=""/>
    <s v="BINDER NOTE JOYKO A5 TSTP-513"/>
    <n v="15800"/>
    <n v="0.125"/>
    <m/>
    <n v="995400"/>
    <m/>
    <m/>
    <n v="71"/>
    <n v="9"/>
    <n v="1137600"/>
    <n v="142200"/>
    <n v="0"/>
    <n v="142200"/>
    <n v="995400"/>
    <s v=""/>
    <m/>
    <s v="BINDER NOTE JOYKO A5 TSTP-513PC15800"/>
  </r>
  <r>
    <x v="0"/>
    <s v=""/>
    <s v=""/>
    <m/>
    <m/>
    <m/>
    <s v=""/>
    <s v=""/>
    <s v=" "/>
    <s v=""/>
    <n v="72"/>
    <s v="PC"/>
    <n v="1"/>
    <m/>
    <s v=""/>
    <s v="BINDER NOTE JOYKO A5 TSED-M503"/>
    <n v="15800"/>
    <n v="0.125"/>
    <m/>
    <n v="995400"/>
    <m/>
    <m/>
    <n v="71"/>
    <n v="9"/>
    <n v="1137600"/>
    <n v="142200"/>
    <n v="0"/>
    <n v="142200"/>
    <n v="995400"/>
    <s v=""/>
    <m/>
    <s v="BINDER NOTE JOYKO A5 TSED-M503PC15800"/>
  </r>
  <r>
    <x v="0"/>
    <s v=""/>
    <s v=""/>
    <m/>
    <m/>
    <m/>
    <s v=""/>
    <s v=""/>
    <s v=" "/>
    <s v=""/>
    <n v="72"/>
    <s v="PC"/>
    <n v="1"/>
    <m/>
    <s v=""/>
    <s v="BINDER NOTE JOYKO A5 TSCL-M491"/>
    <n v="15800"/>
    <n v="0.125"/>
    <m/>
    <n v="995400"/>
    <m/>
    <m/>
    <n v="71"/>
    <n v="9"/>
    <n v="1137600"/>
    <n v="142200"/>
    <n v="0"/>
    <n v="142200"/>
    <n v="995400"/>
    <s v=""/>
    <m/>
    <s v="BINDER NOTE JOYKO A5 TSCL-M491PC15800"/>
  </r>
  <r>
    <x v="0"/>
    <s v=""/>
    <s v=""/>
    <m/>
    <m/>
    <m/>
    <s v=""/>
    <s v=""/>
    <s v=" "/>
    <s v=""/>
    <n v="72"/>
    <s v="PC"/>
    <n v="1"/>
    <m/>
    <s v=""/>
    <s v="BINDER NOTE JOYKO A5 TSIM-M416"/>
    <n v="15800"/>
    <n v="0.125"/>
    <m/>
    <n v="995400"/>
    <m/>
    <m/>
    <n v="71"/>
    <n v="9"/>
    <n v="1137600"/>
    <n v="142200"/>
    <n v="0"/>
    <n v="142200"/>
    <n v="995400"/>
    <s v=""/>
    <m/>
    <s v="BINDER NOTE JOYKO A5 TSIM-M416PC15800"/>
  </r>
  <r>
    <x v="0"/>
    <s v=""/>
    <s v=""/>
    <m/>
    <m/>
    <m/>
    <s v=""/>
    <s v=""/>
    <s v=" "/>
    <s v=""/>
    <n v="30"/>
    <s v="LS"/>
    <n v="1"/>
    <m/>
    <s v=""/>
    <s v="CUTTER 9 MM KENKO A-300 (KECIL)"/>
    <n v="57000"/>
    <n v="0.125"/>
    <m/>
    <n v="1496250"/>
    <m/>
    <m/>
    <n v="71"/>
    <n v="9"/>
    <n v="1710000"/>
    <n v="213750"/>
    <n v="0"/>
    <n v="213750"/>
    <n v="1496250"/>
    <s v=""/>
    <m/>
    <s v="CUTTER 9 MM KENKO A-300 (KECIL)LS57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6"/>
    <n v="24020016"/>
    <d v="2024-02-20T00:00:00"/>
    <n v="20"/>
    <s v="2712"/>
    <s v="bendan"/>
    <s v="AM 24020016"/>
    <s v="KO"/>
    <s v="KO 2712"/>
    <s v="HARNOYO (BENDAN) PEKALONGAN"/>
    <n v="100"/>
    <s v="PAK"/>
    <n v="1"/>
    <m/>
    <s v=""/>
    <s v="PAPER FASTENER (ACCO) KENKO PF-508 ISI 50 PC PUTIH"/>
    <n v="9800"/>
    <n v="0.14000000000000001"/>
    <m/>
    <n v="842800"/>
    <s v="NOVI / YO"/>
    <m/>
    <n v="81"/>
    <n v="1"/>
    <n v="980000"/>
    <n v="137200"/>
    <n v="0"/>
    <n v="137200"/>
    <n v="842800"/>
    <n v="842800"/>
    <m/>
    <s v="PAPER FASTENER (ACCO) KENKO PF-508 ISI 50 PC PUTIHPAK9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7"/>
    <n v="24020017"/>
    <d v="2024-02-20T00:00:00"/>
    <n v="20"/>
    <s v="2623"/>
    <s v="pelangi"/>
    <s v="AM 24020017"/>
    <s v="KO"/>
    <s v="KO 2623"/>
    <s v="CV RAINBOW NUSANTARA ( PELANGI ) SIDOARJO"/>
    <n v="84"/>
    <s v="PC"/>
    <m/>
    <m/>
    <s v=""/>
    <s v="JANGKA (COMPASS SET) KENKO C-168 / MS-75"/>
    <n v="7500"/>
    <n v="0.14499999999999999"/>
    <m/>
    <n v="538650"/>
    <s v="NOVI / YO"/>
    <m/>
    <n v="83"/>
    <n v="5"/>
    <n v="630000"/>
    <n v="91350"/>
    <n v="0"/>
    <n v="91350"/>
    <n v="538650"/>
    <n v="6535620"/>
    <m/>
    <s v="JANGKA (COMPASS SET) KENKO C-168 / MS-75PC7500"/>
  </r>
  <r>
    <x v="0"/>
    <s v=""/>
    <s v=""/>
    <m/>
    <m/>
    <m/>
    <s v=""/>
    <s v=""/>
    <s v=" "/>
    <s v=""/>
    <n v="24"/>
    <s v="PC"/>
    <m/>
    <m/>
    <s v=""/>
    <s v="JANGKA (COMPASS SET) KENKO C-528 / MS-55"/>
    <n v="7500"/>
    <n v="0.14499999999999999"/>
    <m/>
    <n v="153900"/>
    <m/>
    <m/>
    <n v="83"/>
    <n v="5"/>
    <n v="180000"/>
    <n v="26100"/>
    <n v="0"/>
    <n v="26100"/>
    <n v="153900"/>
    <s v=""/>
    <m/>
    <s v="JANGKA (COMPASS SET) KENKO C-528 / MS-55PC7500"/>
  </r>
  <r>
    <x v="0"/>
    <s v=""/>
    <s v=""/>
    <m/>
    <m/>
    <m/>
    <s v=""/>
    <s v=""/>
    <s v=" "/>
    <s v=""/>
    <n v="120"/>
    <s v="PC"/>
    <m/>
    <m/>
    <s v=""/>
    <s v="GARISAN BESI (STAINLESS STEEL) KENKO 100 CM / 1 M"/>
    <n v="43500"/>
    <n v="0.14499999999999999"/>
    <m/>
    <n v="4463100"/>
    <m/>
    <m/>
    <n v="83"/>
    <n v="5"/>
    <n v="5220000"/>
    <n v="756900"/>
    <n v="0"/>
    <n v="756900"/>
    <n v="4463100"/>
    <s v=""/>
    <m/>
    <s v="GARISAN BESI (STAINLESS STEEL) KENKO 100 CM / 1 MPC43500"/>
  </r>
  <r>
    <x v="0"/>
    <s v=""/>
    <s v=""/>
    <m/>
    <m/>
    <m/>
    <s v=""/>
    <s v=""/>
    <s v=" "/>
    <s v=""/>
    <n v="120"/>
    <s v="PC"/>
    <m/>
    <m/>
    <s v=""/>
    <s v="STAMP PLATE NUMBER KENKO N-38 (Cap Nomer)"/>
    <n v="7000"/>
    <n v="0.14499999999999999"/>
    <m/>
    <n v="718200"/>
    <m/>
    <m/>
    <n v="83"/>
    <n v="5"/>
    <n v="840000"/>
    <n v="121799.99999999999"/>
    <n v="0"/>
    <n v="121799.99999999999"/>
    <n v="718200"/>
    <s v=""/>
    <m/>
    <s v="STAMP PLATE NUMBER KENKO N-38 (Cap Nomer)PC7000"/>
  </r>
  <r>
    <x v="0"/>
    <s v=""/>
    <s v=""/>
    <m/>
    <m/>
    <m/>
    <s v=""/>
    <s v=""/>
    <s v=" "/>
    <s v=""/>
    <n v="120"/>
    <s v="PC"/>
    <m/>
    <m/>
    <s v=""/>
    <s v="DATE STAMP KENKO D-3 (Cap Tanggal 5 Mm)"/>
    <n v="6450"/>
    <n v="0.14499999999999999"/>
    <m/>
    <n v="661770"/>
    <m/>
    <m/>
    <n v="83"/>
    <n v="5"/>
    <n v="774000"/>
    <n v="112229.99999999999"/>
    <n v="0"/>
    <n v="112229.99999999999"/>
    <n v="661770"/>
    <s v=""/>
    <m/>
    <s v="DATE STAMP KENKO D-3 (Cap Tanggal 5 Mm)PC64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8"/>
    <n v="24020018"/>
    <d v="2024-02-20T00:00:00"/>
    <n v="20"/>
    <s v="4995"/>
    <s v="pelangi"/>
    <s v="AM 24020018"/>
    <s v="KO"/>
    <s v="KO 4995"/>
    <s v="CV RAINBOW NUSANTARA ( PELANGI ) SIDOARJO"/>
    <n v="24"/>
    <s v="PC"/>
    <m/>
    <m/>
    <s v=""/>
    <s v="JANGKA (COMPASS SET) KENKO C-168 / MS-75"/>
    <n v="7500"/>
    <n v="0.14499999999999999"/>
    <m/>
    <n v="153900"/>
    <s v="NOVI / YO"/>
    <m/>
    <n v="89"/>
    <n v="7"/>
    <n v="180000"/>
    <n v="26100"/>
    <n v="0"/>
    <n v="26100"/>
    <n v="153900"/>
    <n v="4716522"/>
    <m/>
    <s v="JANGKA (COMPASS SET) KENKO C-168 / MS-75PC7500"/>
  </r>
  <r>
    <x v="0"/>
    <s v=""/>
    <s v=""/>
    <m/>
    <m/>
    <m/>
    <s v=""/>
    <s v=""/>
    <s v=" "/>
    <s v=""/>
    <n v="72"/>
    <s v="PC"/>
    <m/>
    <m/>
    <s v=""/>
    <s v="JANGKA (COMPASS SET) KENKO C-528 / MS-55"/>
    <n v="7500"/>
    <n v="0.14499999999999999"/>
    <m/>
    <n v="461700"/>
    <m/>
    <m/>
    <n v="89"/>
    <n v="7"/>
    <n v="540000"/>
    <n v="78300"/>
    <n v="0"/>
    <n v="78300"/>
    <n v="461700"/>
    <s v=""/>
    <m/>
    <s v="JANGKA (COMPASS SET) KENKO C-528 / MS-55PC7500"/>
  </r>
  <r>
    <x v="0"/>
    <s v=""/>
    <s v=""/>
    <m/>
    <m/>
    <m/>
    <s v=""/>
    <s v=""/>
    <s v=" "/>
    <s v=""/>
    <n v="576"/>
    <s v="PC"/>
    <m/>
    <m/>
    <s v=""/>
    <s v="MECHANICAL PENCIL 0.5 MM KENKO MP-01"/>
    <n v="4300"/>
    <n v="0.14499999999999999"/>
    <m/>
    <n v="2117664"/>
    <m/>
    <m/>
    <n v="89"/>
    <n v="7"/>
    <n v="2476800"/>
    <n v="359136"/>
    <n v="0"/>
    <n v="359136"/>
    <n v="2117664"/>
    <s v=""/>
    <m/>
    <s v="MECHANICAL PENCIL 0.5 MM KENKO MP-01PC4300"/>
  </r>
  <r>
    <x v="0"/>
    <s v=""/>
    <s v=""/>
    <m/>
    <m/>
    <m/>
    <s v=""/>
    <s v=""/>
    <s v=" "/>
    <s v=""/>
    <n v="180"/>
    <s v="PC"/>
    <m/>
    <m/>
    <s v=""/>
    <s v="PENSIL WARNA KENKO CP-12HALF (PENDEK)"/>
    <n v="6600"/>
    <n v="0.14499999999999999"/>
    <m/>
    <n v="1015740"/>
    <m/>
    <m/>
    <n v="89"/>
    <n v="7"/>
    <n v="1188000"/>
    <n v="172260"/>
    <n v="0"/>
    <n v="172260"/>
    <n v="1015740"/>
    <s v=""/>
    <m/>
    <s v="PENSIL WARNA KENKO CP-12HALF (PENDEK)PC6600"/>
  </r>
  <r>
    <x v="0"/>
    <s v=""/>
    <s v=""/>
    <m/>
    <m/>
    <m/>
    <s v=""/>
    <s v=""/>
    <s v=" "/>
    <s v=""/>
    <n v="96"/>
    <s v="PC"/>
    <m/>
    <m/>
    <s v=""/>
    <s v="STAMP PAD KENKO NO. 1"/>
    <n v="5900"/>
    <n v="0.14499999999999999"/>
    <m/>
    <n v="484272"/>
    <m/>
    <m/>
    <n v="89"/>
    <n v="7"/>
    <n v="566400"/>
    <n v="82128"/>
    <n v="0"/>
    <n v="82128"/>
    <n v="484272"/>
    <s v=""/>
    <m/>
    <s v="STAMP PAD KENKO NO. 1PC5900"/>
  </r>
  <r>
    <x v="0"/>
    <s v=""/>
    <s v=""/>
    <m/>
    <m/>
    <m/>
    <s v=""/>
    <s v=""/>
    <s v=" "/>
    <s v=""/>
    <n v="72"/>
    <s v="PC"/>
    <m/>
    <m/>
    <s v=""/>
    <s v="DATE STAMP KENKO D-4 (Cap Tanggal 4 Mm)"/>
    <n v="6200"/>
    <n v="0.14499999999999999"/>
    <m/>
    <n v="381672"/>
    <m/>
    <m/>
    <n v="89"/>
    <n v="7"/>
    <n v="446400"/>
    <n v="64727.999999999993"/>
    <n v="0"/>
    <n v="64727.999999999993"/>
    <n v="381672"/>
    <s v=""/>
    <m/>
    <s v="DATE STAMP KENKO D-4 (Cap Tanggal 4 Mm)PC6200"/>
  </r>
  <r>
    <x v="0"/>
    <s v=""/>
    <s v=""/>
    <m/>
    <m/>
    <m/>
    <s v=""/>
    <s v=""/>
    <s v=" "/>
    <s v=""/>
    <n v="24"/>
    <s v="PC"/>
    <m/>
    <m/>
    <s v=""/>
    <s v="STAMP PAD KENKO NO. 0"/>
    <n v="4950"/>
    <n v="0.14499999999999999"/>
    <m/>
    <n v="101574"/>
    <m/>
    <m/>
    <n v="89"/>
    <n v="7"/>
    <n v="118800"/>
    <n v="17226"/>
    <n v="0"/>
    <n v="17226"/>
    <n v="101574"/>
    <s v=""/>
    <m/>
    <s v="STAMP PAD KENKO NO. 0PC49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9"/>
    <n v="24020019"/>
    <d v="2024-02-21T00:00:00"/>
    <n v="21"/>
    <s v="2743"/>
    <s v="DWIJAYA"/>
    <s v="AM 24020019"/>
    <s v="KO"/>
    <s v="KO 2743"/>
    <s v="CV DWI JAYA YOGYAKARTA"/>
    <n v="12"/>
    <s v="LSN"/>
    <m/>
    <s v="PENKENK1HITAM"/>
    <s v="GEL PEN KENKO K-1 HITAM"/>
    <s v="GEL PEN KENKO K-1 HITAM"/>
    <n v="39600"/>
    <n v="0.1"/>
    <m/>
    <n v="427680"/>
    <s v="NOVI / CONDRO"/>
    <m/>
    <n v="97"/>
    <n v="4"/>
    <n v="475200"/>
    <n v="47520"/>
    <n v="0"/>
    <n v="47520"/>
    <n v="427680"/>
    <n v="1516860"/>
    <m/>
    <s v="GEL PEN KENKO K-1 HITAMLSN39600"/>
  </r>
  <r>
    <x v="0"/>
    <s v=""/>
    <s v=""/>
    <m/>
    <m/>
    <m/>
    <s v=""/>
    <s v=""/>
    <s v=" "/>
    <s v=""/>
    <n v="1"/>
    <s v="LSN"/>
    <m/>
    <s v="CUTKENL500"/>
    <s v="CUTTER 18 MM KENKO L-500 (BESAR)"/>
    <s v="CUTTER 18 MM KENKO L-500 (BESAR)"/>
    <n v="147600"/>
    <n v="0.1"/>
    <m/>
    <n v="132840"/>
    <m/>
    <m/>
    <n v="97"/>
    <n v="4"/>
    <n v="147600"/>
    <n v="14760"/>
    <n v="0"/>
    <n v="14760"/>
    <n v="132840"/>
    <s v=""/>
    <m/>
    <s v="CUTTER 18 MM KENKO L-500 (BESAR)LSN147600"/>
  </r>
  <r>
    <x v="0"/>
    <s v=""/>
    <s v=""/>
    <m/>
    <m/>
    <m/>
    <s v=""/>
    <s v=""/>
    <s v=" "/>
    <s v=""/>
    <n v="5"/>
    <s v="LSN"/>
    <m/>
    <s v="CUTKENA300A"/>
    <s v="CUTTER 9 MM KENKO A-300 (KECIL)"/>
    <s v="CUTTER 9 MM KENKO A-300 (KECIL)"/>
    <n v="57000"/>
    <n v="0.1"/>
    <m/>
    <n v="256500"/>
    <m/>
    <m/>
    <n v="97"/>
    <n v="4"/>
    <n v="285000"/>
    <n v="28500"/>
    <n v="0"/>
    <n v="28500"/>
    <n v="256500"/>
    <s v=""/>
    <m/>
    <s v="CUTTER 9 MM KENKO A-300 (KECIL)LSN57000"/>
  </r>
  <r>
    <x v="0"/>
    <s v=""/>
    <s v=""/>
    <m/>
    <m/>
    <m/>
    <s v=""/>
    <s v=""/>
    <s v=" "/>
    <s v=""/>
    <n v="12"/>
    <s v="LSN"/>
    <m/>
    <s v="ISIKENBESAR"/>
    <s v="ISI CUTTER 18 MM KENKO L-150 (BESAR)"/>
    <s v="ISI CUTTER 18 MM KENKO L-150 (BESAR)"/>
    <n v="64800"/>
    <n v="0.1"/>
    <m/>
    <n v="699840"/>
    <m/>
    <m/>
    <n v="97"/>
    <n v="4"/>
    <n v="777600"/>
    <n v="77760"/>
    <n v="0"/>
    <n v="77760"/>
    <n v="699840"/>
    <s v=""/>
    <m/>
    <s v="ISI CUTTER 18 MM KENKO L-150 (BESAR)LSN64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0"/>
    <n v="24020020"/>
    <d v="2024-02-21T00:00:00"/>
    <n v="21"/>
    <s v="2720"/>
    <s v="UTAMA"/>
    <s v="AM 24020020"/>
    <s v="G"/>
    <s v="G 2720"/>
    <s v="CV UTAMA PUTRA TULUNG AGUNG"/>
    <n v="144"/>
    <s v="LSN"/>
    <n v="1"/>
    <s v="PENTF1190HITAM"/>
    <s v="GEL PEN TRIFELLO HI-TECH TF-1190 HITAM"/>
    <s v="GEL PEN TRIFELLO HI-TECH TF-1190 HITAM"/>
    <n v="28500"/>
    <m/>
    <m/>
    <n v="4104000"/>
    <s v="NOVI / CONDRO"/>
    <m/>
    <n v="102"/>
    <n v="6"/>
    <n v="4104000"/>
    <n v="0"/>
    <n v="0"/>
    <n v="0"/>
    <n v="4104000"/>
    <n v="13724000"/>
    <m/>
    <s v="GEL PEN TRIFELLO HI-TECH TF-1190 HITAMLSN28500"/>
  </r>
  <r>
    <x v="0"/>
    <s v=""/>
    <s v=""/>
    <m/>
    <m/>
    <m/>
    <s v=""/>
    <s v=""/>
    <s v=" "/>
    <s v=""/>
    <n v="144"/>
    <s v="LSN"/>
    <n v="1"/>
    <s v="PENTG322BIRU"/>
    <e v="#N/A"/>
    <s v="GEL TECHJOB WRITE TG322-B"/>
    <n v="29500"/>
    <m/>
    <m/>
    <n v="4248000"/>
    <m/>
    <m/>
    <n v="102"/>
    <n v="6"/>
    <n v="4248000"/>
    <n v="0"/>
    <n v="0"/>
    <n v="0"/>
    <n v="4248000"/>
    <s v=""/>
    <m/>
    <s v="GEL TECHJOB WRITE TG322-BLSN29500"/>
  </r>
  <r>
    <x v="0"/>
    <s v=""/>
    <s v=""/>
    <m/>
    <m/>
    <m/>
    <s v=""/>
    <s v=""/>
    <s v=" "/>
    <s v=""/>
    <n v="60"/>
    <s v="LSN"/>
    <m/>
    <s v="ISI"/>
    <e v="#N/A"/>
    <s v="ISI GEL 1.0 HITAM"/>
    <n v="12500"/>
    <m/>
    <m/>
    <n v="750000"/>
    <m/>
    <m/>
    <n v="102"/>
    <n v="6"/>
    <n v="750000"/>
    <n v="0"/>
    <n v="0"/>
    <n v="0"/>
    <n v="750000"/>
    <s v=""/>
    <m/>
    <s v="ISI GEL 1.0 HITAMLSN12500"/>
  </r>
  <r>
    <x v="0"/>
    <s v=""/>
    <s v=""/>
    <m/>
    <m/>
    <m/>
    <s v=""/>
    <s v=""/>
    <s v=" "/>
    <s v=""/>
    <n v="48"/>
    <s v="LSN"/>
    <m/>
    <m/>
    <s v=""/>
    <s v="GEL PEN WEIYADA E-681 HITAM"/>
    <n v="39500"/>
    <m/>
    <m/>
    <n v="1896000"/>
    <m/>
    <m/>
    <n v="102"/>
    <n v="6"/>
    <n v="1896000"/>
    <n v="0"/>
    <n v="0"/>
    <n v="0"/>
    <n v="1896000"/>
    <s v=""/>
    <m/>
    <s v="GEL PEN WEIYADA E-681 HITAMLSN39500"/>
  </r>
  <r>
    <x v="0"/>
    <s v=""/>
    <s v=""/>
    <m/>
    <m/>
    <m/>
    <s v=""/>
    <s v=""/>
    <s v=" "/>
    <s v=""/>
    <n v="48"/>
    <s v="LSN"/>
    <m/>
    <m/>
    <s v=""/>
    <s v="GEL PEN WEIYADA E-681 BIRU"/>
    <n v="39500"/>
    <m/>
    <m/>
    <n v="1896000"/>
    <m/>
    <m/>
    <n v="102"/>
    <n v="6"/>
    <n v="1896000"/>
    <n v="0"/>
    <n v="0"/>
    <n v="0"/>
    <n v="1896000"/>
    <s v=""/>
    <m/>
    <s v="GEL PEN WEIYADA E-681 BIRULSN39500"/>
  </r>
  <r>
    <x v="0"/>
    <s v=""/>
    <s v=""/>
    <m/>
    <m/>
    <m/>
    <s v=""/>
    <s v=""/>
    <s v=" "/>
    <s v=""/>
    <n v="20"/>
    <s v="BOX"/>
    <m/>
    <m/>
    <s v=""/>
    <s v="ISI GEL WEIYADA E-681R HITAM "/>
    <n v="41500"/>
    <m/>
    <m/>
    <n v="830000"/>
    <m/>
    <m/>
    <n v="102"/>
    <n v="6"/>
    <n v="830000"/>
    <n v="0"/>
    <n v="0"/>
    <n v="0"/>
    <n v="830000"/>
    <s v=""/>
    <m/>
    <s v="ISI GEL WEIYADA E-681R HITAM BOX41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1"/>
    <n v="24020021"/>
    <d v="2024-02-22T00:00:00"/>
    <n v="22"/>
    <s v="0943"/>
    <s v="ganesha"/>
    <s v="AM 24020021"/>
    <s v="KO"/>
    <s v="KO 0943"/>
    <s v="CV GANESHA WONOSOBO"/>
    <n v="500"/>
    <s v="PCS"/>
    <n v="1"/>
    <s v="CLIKEN3"/>
    <s v="PAPER TRIGONAL CLIP KENKO NO. 3"/>
    <s v="PAPER TRIGONAL CLIP KENKO NO. 3"/>
    <n v="1600"/>
    <n v="0.1"/>
    <m/>
    <n v="720000"/>
    <s v="NOVI / CONDRO"/>
    <m/>
    <n v="109"/>
    <n v="5"/>
    <n v="800000"/>
    <n v="80000"/>
    <n v="0"/>
    <n v="80000"/>
    <n v="720000"/>
    <n v="1587780"/>
    <m/>
    <s v="PAPER TRIGONAL CLIP KENKO NO. 3PCS1600"/>
  </r>
  <r>
    <x v="0"/>
    <s v=""/>
    <s v=""/>
    <m/>
    <m/>
    <m/>
    <s v=""/>
    <s v=""/>
    <s v=" "/>
    <s v=""/>
    <n v="10"/>
    <s v="GRS"/>
    <m/>
    <s v="CLIJK107"/>
    <s v="BINDER CLIP JOYKO 107"/>
    <s v="BINDER CLIP JOYKO 107"/>
    <n v="31200"/>
    <n v="0.1"/>
    <m/>
    <n v="280800"/>
    <m/>
    <m/>
    <n v="109"/>
    <n v="5"/>
    <n v="312000"/>
    <n v="31200"/>
    <n v="0"/>
    <n v="31200"/>
    <n v="280800"/>
    <s v=""/>
    <m/>
    <s v="BINDER CLIP JOYKO 107GRS31200"/>
  </r>
  <r>
    <x v="0"/>
    <s v=""/>
    <s v=""/>
    <m/>
    <m/>
    <m/>
    <s v=""/>
    <s v=""/>
    <s v=" "/>
    <s v=""/>
    <n v="5"/>
    <s v="LSN"/>
    <m/>
    <s v="CUTKENA300A"/>
    <s v="CUTTER 9 MM KENKO A-300 (KECIL)"/>
    <s v="CUTTER 9 MM KENKO A-300 (KECIL)"/>
    <n v="57000"/>
    <n v="0.1"/>
    <m/>
    <n v="256500"/>
    <m/>
    <m/>
    <n v="109"/>
    <n v="5"/>
    <n v="285000"/>
    <n v="28500"/>
    <n v="0"/>
    <n v="28500"/>
    <n v="256500"/>
    <s v=""/>
    <m/>
    <s v="CUTTER 9 MM KENKO A-300 (KECIL)LSN57000"/>
  </r>
  <r>
    <x v="0"/>
    <s v=""/>
    <s v=""/>
    <m/>
    <m/>
    <m/>
    <s v=""/>
    <s v=""/>
    <s v=" "/>
    <s v=""/>
    <n v="4"/>
    <s v="GRS"/>
    <m/>
    <s v="CLIKEN105"/>
    <s v="BINDER CLIP KENKO NO. 105"/>
    <s v="BINDER CLIP KENKO NO. 105"/>
    <n v="28800"/>
    <n v="0.1"/>
    <m/>
    <n v="103680"/>
    <m/>
    <m/>
    <n v="109"/>
    <n v="5"/>
    <n v="115200"/>
    <n v="11520"/>
    <n v="0"/>
    <n v="11520"/>
    <n v="103680"/>
    <s v=""/>
    <m/>
    <s v="BINDER CLIP KENKO NO. 105GRS28800"/>
  </r>
  <r>
    <x v="0"/>
    <s v=""/>
    <s v=""/>
    <m/>
    <m/>
    <m/>
    <s v=""/>
    <s v=""/>
    <s v=" "/>
    <s v=""/>
    <n v="10"/>
    <s v="LSN"/>
    <m/>
    <s v="LEMKENLG50"/>
    <s v="LEM CAIR 50 ML KENKO LG-50"/>
    <s v="LEM CAIR 50 ML KENKO LG-50"/>
    <n v="25200"/>
    <n v="0.1"/>
    <m/>
    <n v="226800"/>
    <m/>
    <m/>
    <n v="109"/>
    <n v="5"/>
    <n v="252000"/>
    <n v="25200"/>
    <n v="0"/>
    <n v="25200"/>
    <n v="226800"/>
    <s v=""/>
    <m/>
    <s v="LEM CAIR 50 ML KENKO LG-50LSN252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2"/>
    <n v="24020022"/>
    <d v="2024-02-22T00:00:00"/>
    <n v="22"/>
    <s v="0944"/>
    <s v="NIRMALA"/>
    <s v="AM 24020022"/>
    <s v="KO"/>
    <s v="KO 0944"/>
    <s v="CV SINAR CAHAYA NIRMALA BREBES"/>
    <n v="25"/>
    <s v="PAK"/>
    <m/>
    <m/>
    <s v=""/>
    <s v="LOOSE LEAF A5/ 40 POLOS"/>
    <n v="3500"/>
    <m/>
    <m/>
    <n v="87500"/>
    <s v="RISMA / CONDRO"/>
    <m/>
    <n v="115"/>
    <n v="10"/>
    <n v="87500"/>
    <n v="0"/>
    <n v="0"/>
    <n v="0"/>
    <n v="87500"/>
    <n v="1368616"/>
    <m/>
    <s v="LOOSE LEAF A5/ 40 POLOSPAK3500"/>
  </r>
  <r>
    <x v="0"/>
    <s v=""/>
    <s v=""/>
    <m/>
    <m/>
    <m/>
    <s v=""/>
    <s v=""/>
    <s v=" "/>
    <s v=""/>
    <n v="2"/>
    <s v="LSN"/>
    <m/>
    <m/>
    <s v=""/>
    <s v="TAS KERTAS ALFA IF KECIL"/>
    <n v="25000"/>
    <m/>
    <m/>
    <n v="50000"/>
    <m/>
    <m/>
    <n v="115"/>
    <n v="10"/>
    <n v="50000"/>
    <n v="0"/>
    <n v="0"/>
    <n v="0"/>
    <n v="50000"/>
    <s v=""/>
    <m/>
    <s v="TAS KERTAS ALFA IF KECILLSN25000"/>
  </r>
  <r>
    <x v="0"/>
    <s v=""/>
    <s v=""/>
    <m/>
    <m/>
    <m/>
    <s v=""/>
    <s v=""/>
    <s v=" "/>
    <s v=""/>
    <n v="2"/>
    <s v="LSN"/>
    <m/>
    <m/>
    <s v=""/>
    <s v="TAS KERTAS ALFA IF TANGGUNG"/>
    <n v="30000"/>
    <m/>
    <m/>
    <n v="60000"/>
    <m/>
    <m/>
    <n v="115"/>
    <n v="10"/>
    <n v="60000"/>
    <n v="0"/>
    <n v="0"/>
    <n v="0"/>
    <n v="60000"/>
    <s v=""/>
    <m/>
    <s v="TAS KERTAS ALFA IF TANGGUNGLSN30000"/>
  </r>
  <r>
    <x v="0"/>
    <s v=""/>
    <s v=""/>
    <m/>
    <m/>
    <m/>
    <s v=""/>
    <s v=""/>
    <s v=" "/>
    <s v=""/>
    <n v="1"/>
    <s v="LSN"/>
    <m/>
    <m/>
    <s v=""/>
    <s v="STAPLER SDI 1104"/>
    <n v="234000"/>
    <m/>
    <m/>
    <n v="234000"/>
    <m/>
    <m/>
    <n v="115"/>
    <n v="10"/>
    <n v="234000"/>
    <n v="0"/>
    <n v="0"/>
    <n v="0"/>
    <n v="234000"/>
    <s v=""/>
    <m/>
    <s v="STAPLER SDI 1104LSN234000"/>
  </r>
  <r>
    <x v="0"/>
    <s v=""/>
    <s v=""/>
    <m/>
    <m/>
    <m/>
    <s v=""/>
    <s v=""/>
    <s v=" "/>
    <s v=""/>
    <n v="12"/>
    <s v="LSN"/>
    <m/>
    <s v="PENJKBP349"/>
    <s v="BALLPEN JOYKO BP-349-12 VOKUS TRANS HITAM (BONUS)"/>
    <s v="BALLPEN JOYKO BP-349-12 VOKUS TRANS HITAM"/>
    <n v="13200"/>
    <n v="0.1"/>
    <m/>
    <n v="142560"/>
    <m/>
    <m/>
    <n v="115"/>
    <n v="10"/>
    <n v="158400"/>
    <n v="15840"/>
    <n v="0"/>
    <n v="15840"/>
    <n v="142560"/>
    <s v=""/>
    <m/>
    <s v="BALLPEN JOYKO BP-349-12 VOKUS TRANS HITAMLSN13200"/>
  </r>
  <r>
    <x v="0"/>
    <s v=""/>
    <s v=""/>
    <m/>
    <m/>
    <m/>
    <s v=""/>
    <s v=""/>
    <s v=" "/>
    <s v=""/>
    <n v="12"/>
    <s v="LSN"/>
    <m/>
    <s v="PENJKBP250"/>
    <s v="BALLPEN JOYKO BP-250 BRIZ HITAM"/>
    <s v="BALLPEN JOYKO BP-250 BRIZ HITAM"/>
    <n v="7020"/>
    <n v="0.1"/>
    <m/>
    <n v="75816"/>
    <m/>
    <m/>
    <n v="115"/>
    <n v="10"/>
    <n v="84240"/>
    <n v="8424"/>
    <n v="0"/>
    <n v="8424"/>
    <n v="75816"/>
    <s v=""/>
    <m/>
    <s v="BALLPEN JOYKO BP-250 BRIZ HITAMLSN7020"/>
  </r>
  <r>
    <x v="0"/>
    <s v=""/>
    <s v=""/>
    <m/>
    <m/>
    <m/>
    <s v=""/>
    <s v=""/>
    <s v=" "/>
    <s v=""/>
    <n v="6"/>
    <s v="LSN"/>
    <m/>
    <s v="TIPKENKE01"/>
    <s v="CORRECTION FLUID KENKO KE-01"/>
    <s v="CORRECTION FLUID KENKO KE-01"/>
    <n v="54300"/>
    <n v="0.1"/>
    <m/>
    <n v="293220"/>
    <m/>
    <m/>
    <n v="115"/>
    <n v="10"/>
    <n v="325800"/>
    <n v="32580"/>
    <n v="0"/>
    <n v="32580"/>
    <n v="293220"/>
    <s v=""/>
    <m/>
    <s v="CORRECTION FLUID KENKO KE-01LSN54300"/>
  </r>
  <r>
    <x v="0"/>
    <s v=""/>
    <s v=""/>
    <m/>
    <m/>
    <m/>
    <s v=""/>
    <s v=""/>
    <s v=" "/>
    <s v=""/>
    <n v="1"/>
    <s v="LSN"/>
    <m/>
    <s v="STAKENHD10D"/>
    <s v="STAPLER KENKO HD-10D"/>
    <s v="STAPLER KENKO HD-10D"/>
    <n v="117600"/>
    <n v="0.1"/>
    <m/>
    <n v="105840"/>
    <m/>
    <m/>
    <n v="115"/>
    <n v="10"/>
    <n v="117600"/>
    <n v="11760"/>
    <n v="0"/>
    <n v="11760"/>
    <n v="105840"/>
    <s v=""/>
    <m/>
    <s v="STAPLER KENKO HD-10DLSN117600"/>
  </r>
  <r>
    <x v="0"/>
    <s v=""/>
    <s v=""/>
    <m/>
    <m/>
    <m/>
    <s v=""/>
    <s v=""/>
    <s v=" "/>
    <s v=""/>
    <n v="1"/>
    <s v="LSN"/>
    <m/>
    <s v="STAKENHD10S"/>
    <e v="#N/A"/>
    <s v="STAPLER KENKO HD-10S"/>
    <n v="69600"/>
    <n v="0.1"/>
    <m/>
    <n v="62640"/>
    <m/>
    <m/>
    <n v="115"/>
    <n v="10"/>
    <n v="69600"/>
    <n v="6960"/>
    <n v="0"/>
    <n v="6960"/>
    <n v="62640"/>
    <s v=""/>
    <m/>
    <s v="STAPLER KENKO HD-10SLSN69600"/>
  </r>
  <r>
    <x v="0"/>
    <s v=""/>
    <s v=""/>
    <m/>
    <m/>
    <m/>
    <s v=""/>
    <s v=""/>
    <s v=" "/>
    <s v=""/>
    <n v="2"/>
    <s v="LSN"/>
    <m/>
    <s v="OPJK12W"/>
    <s v="CRAYON / OIL PASTEL JOYKO OP-12S PP CASE SEA WORLD"/>
    <s v="CRAYON / OIL PASTEL JOYKO OP-12S PP CASE SEA WORLD"/>
    <n v="142800"/>
    <n v="0.1"/>
    <m/>
    <n v="257040"/>
    <m/>
    <m/>
    <n v="115"/>
    <n v="10"/>
    <n v="285600"/>
    <n v="28560"/>
    <n v="0"/>
    <n v="28560"/>
    <n v="257040"/>
    <s v=""/>
    <m/>
    <s v="CRAYON / OIL PASTEL JOYKO OP-12S PP CASE SEA WORLDLSN142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3"/>
    <n v="24020023"/>
    <d v="2024-02-22T00:00:00"/>
    <n v="22"/>
    <s v="2756"/>
    <s v="bendan"/>
    <s v="AM 24020023"/>
    <s v="KO"/>
    <s v="KO 2756"/>
    <s v="HARNOYO (BENDAN) PEKALONGAN"/>
    <n v="36"/>
    <s v="LSN"/>
    <m/>
    <s v="TIPKENKE01"/>
    <s v="CORRECTION FLUID KENKO KE-01"/>
    <s v="CORRECTION FLUID KENKO KE-01"/>
    <n v="54300"/>
    <n v="0.14000000000000001"/>
    <m/>
    <n v="1681128"/>
    <s v="NOVI / CONDRO"/>
    <m/>
    <n v="126"/>
    <n v="2"/>
    <n v="1954800"/>
    <n v="273672"/>
    <n v="0"/>
    <n v="273672"/>
    <n v="1681128"/>
    <n v="3396828"/>
    <m/>
    <s v="CORRECTION FLUID KENKO KE-01LSN54300"/>
  </r>
  <r>
    <x v="0"/>
    <s v=""/>
    <s v=""/>
    <m/>
    <m/>
    <m/>
    <s v=""/>
    <s v=""/>
    <s v=" "/>
    <s v=""/>
    <n v="25"/>
    <s v="LSN"/>
    <n v="1"/>
    <s v="GUNKENSC838"/>
    <s v="GUNTING KENKO SC-838N"/>
    <s v="GUNTING KENKO SC-838N"/>
    <n v="79800"/>
    <n v="0.14000000000000001"/>
    <m/>
    <n v="1715700"/>
    <m/>
    <m/>
    <n v="126"/>
    <n v="2"/>
    <n v="1995000"/>
    <n v="279300"/>
    <n v="0"/>
    <n v="279300"/>
    <n v="1715700"/>
    <s v=""/>
    <m/>
    <s v="GUNTING KENKO SC-838NLSN79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4"/>
    <n v="24020024"/>
    <d v="2024-02-24T00:00:00"/>
    <n v="24"/>
    <s v="2772"/>
    <s v="reni"/>
    <s v="AM 24020024"/>
    <s v="A"/>
    <s v="A 2772"/>
    <s v="CV FM 90 KEBUMEN"/>
    <n v="144"/>
    <s v="LSN"/>
    <n v="1"/>
    <s v="PENTF1191WARNA"/>
    <s v="GEL PEN TRIFELLO HI-TECH TF-1191 WARNA"/>
    <s v="GEL PEN TRIFELLO HI-TECH TF-1191 WARNA"/>
    <n v="28500"/>
    <m/>
    <m/>
    <n v="4104000"/>
    <s v="NOVI / CONDRO"/>
    <m/>
    <n v="129"/>
    <n v="2"/>
    <n v="4104000"/>
    <n v="0"/>
    <n v="0"/>
    <n v="0"/>
    <n v="4104000"/>
    <n v="12312000"/>
    <m/>
    <s v="GEL PEN TRIFELLO HI-TECH TF-1191 WARNALSN28500"/>
  </r>
  <r>
    <x v="0"/>
    <s v=""/>
    <s v=""/>
    <m/>
    <m/>
    <m/>
    <s v=""/>
    <s v=""/>
    <s v=" "/>
    <s v=""/>
    <n v="288"/>
    <s v="LSN"/>
    <n v="2"/>
    <s v="PENTF1190HITAM"/>
    <s v="GEL PEN TRIFELLO HI-TECH TF-1190 HITAM"/>
    <s v="GEL PEN TRIFELLO HI-TECH TF-1190 HITAM"/>
    <n v="28500"/>
    <m/>
    <m/>
    <n v="8208000"/>
    <m/>
    <m/>
    <n v="129"/>
    <n v="2"/>
    <n v="8208000"/>
    <n v="0"/>
    <n v="0"/>
    <n v="0"/>
    <n v="8208000"/>
    <s v=""/>
    <m/>
    <s v="GEL PEN TRIFELLO HI-TECH TF-1190 HITAMLSN28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5"/>
    <n v="24020025"/>
    <d v="2024-02-24T00:00:00"/>
    <n v="24"/>
    <s v="2777"/>
    <s v="bendan"/>
    <s v="AM 24020025"/>
    <s v="KO"/>
    <s v="KO 2777"/>
    <s v="HARNOYO (BENDAN) PEKALONGAN"/>
    <n v="3"/>
    <s v="PCS"/>
    <m/>
    <s v="STAKENHD12N13"/>
    <s v="STAPLER HEAVY DUTY KENKO HD-12N/13"/>
    <s v="STAPLER HEAVY DUTY KENKO HD-12N/13"/>
    <n v="84000"/>
    <n v="0.125"/>
    <m/>
    <n v="220500"/>
    <s v="NOVI / CONDRO"/>
    <m/>
    <n v="132"/>
    <n v="1"/>
    <n v="252000"/>
    <n v="31500"/>
    <n v="0"/>
    <n v="31500"/>
    <n v="220500"/>
    <n v="220500"/>
    <m/>
    <s v="STAPLER HEAVY DUTY KENKO HD-12N/13PCS84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6"/>
    <n v="24020026"/>
    <d v="2024-02-24T00:00:00"/>
    <n v="24"/>
    <s v="2778"/>
    <s v="bendan"/>
    <s v="AM 24020026"/>
    <s v="KO"/>
    <s v="KO 2778"/>
    <s v="HARNOYO (BENDAN) PEKALONGAN"/>
    <n v="144"/>
    <s v="LSN"/>
    <n v="1"/>
    <s v="PENKENK1HITAM"/>
    <s v="GEL PEN KENKO K-1 HITAM"/>
    <s v="GEL PEN KENKO K-1 HITAM"/>
    <n v="39600"/>
    <n v="0.14000000000000001"/>
    <m/>
    <n v="4904064"/>
    <s v="NOVI / CONDRO"/>
    <m/>
    <n v="134"/>
    <n v="3"/>
    <n v="5702400"/>
    <n v="798336.00000000012"/>
    <n v="0"/>
    <n v="798336.00000000012"/>
    <n v="4904064"/>
    <n v="8108424"/>
    <m/>
    <s v="GEL PEN KENKO K-1 HITAMLSN39600"/>
  </r>
  <r>
    <x v="0"/>
    <s v=""/>
    <s v=""/>
    <m/>
    <m/>
    <m/>
    <s v=""/>
    <s v=""/>
    <s v=" "/>
    <s v=""/>
    <n v="30"/>
    <s v="LSN"/>
    <n v="1"/>
    <s v="CUTKENK200"/>
    <s v="CUTTER 9 MM KENKO K-200 (KECIL)"/>
    <s v="CUTTER 9 MM KENKO K-200 (KECIL)"/>
    <n v="52200"/>
    <n v="0.14000000000000001"/>
    <m/>
    <n v="1346760"/>
    <m/>
    <m/>
    <n v="134"/>
    <n v="3"/>
    <n v="1566000"/>
    <n v="219240.00000000003"/>
    <n v="0"/>
    <n v="219240.00000000003"/>
    <n v="1346760"/>
    <s v=""/>
    <m/>
    <s v="CUTTER 9 MM KENKO K-200 (KECIL)LSN52200"/>
  </r>
  <r>
    <x v="0"/>
    <s v=""/>
    <s v=""/>
    <m/>
    <m/>
    <m/>
    <s v=""/>
    <s v=""/>
    <s v=" "/>
    <s v=""/>
    <n v="36"/>
    <s v="BOX"/>
    <n v="1"/>
    <s v="LEMKEN25GR"/>
    <s v="LEM STICK KENKO 25 GR (BESAR) isi 12 pc"/>
    <s v="LEM STICK KENKO 25 GR (BESAR) isi 12 pc"/>
    <n v="60000"/>
    <n v="0.14000000000000001"/>
    <m/>
    <n v="1857600"/>
    <m/>
    <m/>
    <n v="134"/>
    <n v="3"/>
    <n v="2160000"/>
    <n v="302400"/>
    <n v="0"/>
    <n v="302400"/>
    <n v="1857600"/>
    <s v=""/>
    <m/>
    <s v="LEM STICK KENKO 25 GR (BESAR) isi 12 pcBOX6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7"/>
    <n v="24020027"/>
    <d v="2024-02-24T00:00:00"/>
    <n v="24"/>
    <s v="2626"/>
    <s v="lancar"/>
    <s v="AM 24020027"/>
    <s v="KO"/>
    <s v="KO 2626"/>
    <s v="CV LANCAR JAYA SENTOSA MALANG"/>
    <n v="50"/>
    <s v="BOX"/>
    <n v="1"/>
    <s v="STIJK30PUTIH"/>
    <s v="STIP / PENGHAPUS JOYKO ER-30W PUTIH"/>
    <s v="STIP / PENGHAPUS JOYKO ER-30W PUTIH"/>
    <n v="32000"/>
    <n v="0.125"/>
    <m/>
    <n v="1400000"/>
    <s v="NOVI / CONDRO"/>
    <m/>
    <n v="138"/>
    <n v="4"/>
    <n v="1600000"/>
    <n v="200000"/>
    <n v="0"/>
    <n v="200000"/>
    <n v="1400000"/>
    <n v="7979625"/>
    <m/>
    <s v="STIP / PENGHAPUS JOYKO ER-30W PUTIHBOX32000"/>
  </r>
  <r>
    <x v="0"/>
    <s v=""/>
    <s v=""/>
    <m/>
    <m/>
    <m/>
    <s v=""/>
    <s v=""/>
    <s v=" "/>
    <s v=""/>
    <n v="50"/>
    <s v="PAK"/>
    <n v="1"/>
    <s v="ISIGW369"/>
    <s v="ISI STAPLER (STAPLES) GREATWALL GW-369 (BESAR)"/>
    <s v="ISI STAPLER (STAPLES) GREATWALL GW-369 (BESAR)"/>
    <n v="25000"/>
    <m/>
    <m/>
    <n v="1250000"/>
    <m/>
    <m/>
    <n v="138"/>
    <n v="4"/>
    <n v="1250000"/>
    <n v="0"/>
    <n v="0"/>
    <n v="0"/>
    <n v="1250000"/>
    <s v=""/>
    <m/>
    <s v="ISI STAPLER (STAPLES) GREATWALL GW-369 (BESAR)PAK25000"/>
  </r>
  <r>
    <x v="0"/>
    <s v=""/>
    <s v=""/>
    <m/>
    <m/>
    <m/>
    <s v=""/>
    <s v=""/>
    <s v=" "/>
    <s v=""/>
    <n v="25"/>
    <s v="PCS"/>
    <m/>
    <s v="COUKENHT302"/>
    <s v="HAND TALLY COUNTER KENKO HT-302"/>
    <s v="HAND TALLY COUNTER KENKO HT-302"/>
    <n v="19000"/>
    <n v="0.125"/>
    <m/>
    <n v="415625"/>
    <m/>
    <m/>
    <n v="138"/>
    <n v="4"/>
    <n v="475000"/>
    <n v="59375"/>
    <n v="0"/>
    <n v="59375"/>
    <n v="415625"/>
    <s v=""/>
    <m/>
    <s v="HAND TALLY COUNTER KENKO HT-302PCS19000"/>
  </r>
  <r>
    <x v="0"/>
    <s v=""/>
    <s v=""/>
    <m/>
    <m/>
    <m/>
    <s v=""/>
    <s v=""/>
    <s v=" "/>
    <s v=""/>
    <n v="144"/>
    <s v="LSN"/>
    <n v="1"/>
    <s v="PENKENHITECH028HITAM"/>
    <s v="GEL PEN KENKO HI-TECH-H 0.28 MM HITAM"/>
    <s v="GEL PEN KENKO HI-TECH-H 0.28 MM HITAM"/>
    <n v="39000"/>
    <n v="0.125"/>
    <m/>
    <n v="4914000"/>
    <m/>
    <m/>
    <n v="138"/>
    <n v="4"/>
    <n v="5616000"/>
    <n v="702000"/>
    <n v="0"/>
    <n v="702000"/>
    <n v="4914000"/>
    <s v=""/>
    <m/>
    <s v="GEL PEN KENKO HI-TECH-H 0.28 MM HITAM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8"/>
    <n v="24020028"/>
    <d v="2024-02-24T00:00:00"/>
    <n v="24"/>
    <s v="2784"/>
    <s v="ANUGERAH"/>
    <s v="AM 24020028"/>
    <s v="KO"/>
    <s v="KO 2784"/>
    <s v="CV PELITA JAYA (ANUGERAH SEJAHTERA) PURWOKERTO"/>
    <n v="360"/>
    <s v="LSN"/>
    <n v="5"/>
    <s v="TIPKENKE01"/>
    <s v="CORRECTION FLUID KENKO KE-01"/>
    <s v="CORRECTION FLUID KENKO KE-01"/>
    <n v="54300"/>
    <n v="0.13500000000000001"/>
    <m/>
    <n v="16909020"/>
    <s v="NOVI / CONDRO"/>
    <m/>
    <n v="143"/>
    <n v="1"/>
    <n v="19548000"/>
    <n v="2638980"/>
    <n v="0"/>
    <n v="2638980"/>
    <n v="16909020"/>
    <n v="16909020"/>
    <m/>
    <s v="CORRECTION FLUID KENKO KE-01LSN543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9"/>
    <n v="24020029"/>
    <d v="2024-02-24T00:00:00"/>
    <n v="24"/>
    <s v="2785"/>
    <s v="ganesha"/>
    <s v="AM 24020029"/>
    <s v="KO"/>
    <s v="KO 2785"/>
    <s v="CV GANESHA WONOSOBO"/>
    <n v="2"/>
    <s v="BOX"/>
    <m/>
    <s v="CLIKEN5"/>
    <s v="PAPER JUMBO CLIP KENKO NO. 5"/>
    <s v="PAPER JUMBO CLIP KENKO NO. 5"/>
    <n v="43000"/>
    <n v="0.1"/>
    <m/>
    <n v="77400"/>
    <s v="NOVI / CONDRO"/>
    <m/>
    <n v="145"/>
    <n v="1"/>
    <n v="86000"/>
    <n v="8600"/>
    <n v="0"/>
    <n v="8600"/>
    <n v="77400"/>
    <n v="77400"/>
    <m/>
    <s v="PAPER JUMBO CLIP KENKO NO. 5BOX43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35" firstHeaderRow="1" firstDataRow="1" firstDataCol="1"/>
  <pivotFields count="32">
    <pivotField axis="axisRow" showAll="0" sortType="ascending">
      <items count="47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m="1" x="45"/>
        <item x="14"/>
        <item m="1" x="30"/>
        <item m="1" x="31"/>
        <item m="1" x="33"/>
        <item m="1" x="34"/>
        <item m="1" x="38"/>
        <item m="1" x="35"/>
        <item x="15"/>
        <item m="1" x="43"/>
        <item m="1" x="41"/>
        <item m="1" x="32"/>
        <item x="16"/>
        <item x="17"/>
        <item m="1" x="42"/>
        <item x="18"/>
        <item m="1" x="39"/>
        <item x="19"/>
        <item x="20"/>
        <item x="21"/>
        <item m="1" x="44"/>
        <item x="22"/>
        <item m="1" x="36"/>
        <item m="1" x="37"/>
        <item x="23"/>
        <item x="24"/>
        <item m="1" x="40"/>
        <item x="25"/>
        <item x="26"/>
        <item x="27"/>
        <item x="28"/>
        <item x="29"/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4"/>
    </i>
    <i>
      <x v="21"/>
    </i>
    <i>
      <x v="25"/>
    </i>
    <i>
      <x v="26"/>
    </i>
    <i>
      <x v="28"/>
    </i>
    <i>
      <x v="30"/>
    </i>
    <i>
      <x v="31"/>
    </i>
    <i>
      <x v="32"/>
    </i>
    <i>
      <x v="34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Items count="1">
    <i/>
  </colItems>
  <formats count="5">
    <format dxfId="43">
      <pivotArea field="0" type="button" dataOnly="0" labelOnly="1" outline="0" axis="axisRow" fieldPosition="0"/>
    </format>
    <format dxfId="42">
      <pivotArea type="all" dataOnly="0" outline="0" fieldPosition="0"/>
    </format>
    <format dxfId="41">
      <pivotArea field="0" type="button" dataOnly="0" labelOnly="1" outline="0" axis="axisRow" fieldPosition="0"/>
    </format>
    <format dxfId="40">
      <pivotArea dataOnly="0" labelOnly="1" fieldPosition="0">
        <references count="1">
          <reference field="0" count="0"/>
        </references>
      </pivotArea>
    </format>
    <format dxfId="39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371" totalsRowCount="1" headerRowDxfId="112" dataDxfId="111" totalsRowDxfId="110">
  <autoFilter ref="A2:AF370"/>
  <tableColumns count="32">
    <tableColumn id="16" name="//" dataDxfId="109" totalsRowDxfId="108">
      <calculatedColumnFormula>IF(Table1[[#This Row],[No. Invoice :]]="","",ROW())</calculatedColumnFormula>
    </tableColumn>
    <tableColumn id="18" name="h_No. Invoice :" dataDxfId="107" totalsRowDxfId="106">
      <calculatedColumnFormula>IF(Table1[Column3]="","",B$1+COUNT(INDIRECT("B$2:B"&amp;ROW()-1)))</calculatedColumnFormula>
    </tableColumn>
    <tableColumn id="2" name="Tgl Invoice :" dataDxfId="105" totalsRowDxfId="104">
      <calculatedColumnFormula>IF(Table1[[#This Row],[Column2]]="","",Table1[[#This Row],[Column2]]+C$1-1)</calculatedColumnFormula>
    </tableColumn>
    <tableColumn id="32" name="Column2" dataDxfId="103" totalsRowDxfId="102"/>
    <tableColumn id="19" name="Column4" dataDxfId="101" totalsRowDxfId="100"/>
    <tableColumn id="20" name="Column5" dataDxfId="99" totalsRowDxfId="98"/>
    <tableColumn id="1" name="No. Invoice :" dataDxfId="97" totalsRowDxfId="96">
      <calculatedColumnFormula>IF(Table1[[#This Row],[h_No. Invoice :]]="","",CONCATENATE("AM"," ",Table1[[#This Row],[h_No. Invoice :]]))</calculatedColumnFormula>
    </tableColumn>
    <tableColumn id="17" name="Column3" dataDxfId="95" totalsRowDxfId="94">
      <calculatedColumnFormula>IF(Table1[[#This Row],[Column5]]="","",INDEX(Table2[Column1],MATCH(Table1[[#This Row],[Column5]],Table2[a],0)))</calculatedColumnFormula>
    </tableColumn>
    <tableColumn id="3" name="Kode Sales :" dataDxfId="93" totalsRowDxfId="92">
      <calculatedColumnFormula>IF(Table1[[#This Row],[Column3]]=0,"",CONCATENATE(UPPER(Table1[[#This Row],[Column3]])," ",Table1[[#This Row],[Column4]]))</calculatedColumnFormula>
    </tableColumn>
    <tableColumn id="4" name="Toko" dataDxfId="91" totalsRowDxfId="90">
      <calculatedColumnFormula>IF(Table1[[#This Row],[Column5]]="","",INDEX(Table2[e],IF(Table1[[#This Row],[Column5]]="","",MATCH(Table1[[#This Row],[Column5]],Table2[a],0)),))</calculatedColumnFormula>
    </tableColumn>
    <tableColumn id="5" name="Qty" dataDxfId="89" totalsRowDxfId="88"/>
    <tableColumn id="6" name="Unit" dataDxfId="87" totalsRowDxfId="86"/>
    <tableColumn id="7" name="C" dataDxfId="85" totalsRowDxfId="84"/>
    <tableColumn id="8" name="h_Item Description" dataDxfId="83" totalsRowDxfId="82"/>
    <tableColumn id="10" name="Column1" dataDxfId="81" totalsRowDxfId="80">
      <calculatedColumnFormula>IF(Table1[[#This Row],[h_Item Description]]="","",INDEX([1]!db[NB PAJAK],MATCH(Table1[[#This Row],[h_Item Description]],[1]!db[kode],0)))</calculatedColumnFormula>
    </tableColumn>
    <tableColumn id="9" name="Item Description" dataDxfId="79" totalsRowDxfId="78"/>
    <tableColumn id="11" name="Unit Price" dataDxfId="77" totalsRowDxfId="76"/>
    <tableColumn id="12" name="Disc 1" dataDxfId="75" totalsRowDxfId="74"/>
    <tableColumn id="13" name="Disc 2" dataDxfId="73" totalsRowDxfId="72"/>
    <tableColumn id="23" name="Amount" dataDxfId="71" totalsRowDxfId="70">
      <calculatedColumnFormula>Table1[[#This Row],[h_hargasetelahdiskon]]</calculatedColumnFormula>
    </tableColumn>
    <tableColumn id="14" name="pembuat nota :" dataDxfId="69" totalsRowDxfId="68"/>
    <tableColumn id="15" name="edited :" dataDxfId="67" totalsRowDxfId="66"/>
    <tableColumn id="21" name="h_id" dataDxfId="65" totalsRowDxfId="64">
      <calculatedColumnFormula>IF(Table1[[#This Row],[Item Description]]="","",IF(Table1[[#This Row],[//]]="",INDIRECT(ADDRESS(ROW()-1,COLUMN())),Table1[[#This Row],[//]]))</calculatedColumnFormula>
    </tableColumn>
    <tableColumn id="22" name="h_jumlahbarang" dataDxfId="63" totalsRowDxfId="62">
      <calculatedColumnFormula>IF(Table1[[#This Row],[h_id]]="","",COUNTIF(Table1[h_id],Table1[[#This Row],[h_id]]))</calculatedColumnFormula>
    </tableColumn>
    <tableColumn id="24" name="h_hargasebelumdiskon" dataDxfId="61" totalsRowDxfId="60">
      <calculatedColumnFormula>IF(Table1[Item Description]="","",Table1[[#This Row],[Qty]]*Table1[[#This Row],[Unit Price]])</calculatedColumnFormula>
    </tableColumn>
    <tableColumn id="31" name="h_disc 1" dataDxfId="59" totalsRowDxfId="58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57" totalsRowDxfId="56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55" totalsRowDxfId="54">
      <calculatedColumnFormula>IF(Table1[Item Description]="","",Table1[[#This Row],[h_disc 1]]+Table1[[#This Row],[h_disc 2]])</calculatedColumnFormula>
    </tableColumn>
    <tableColumn id="26" name="h_hargasetelahdiskon" dataDxfId="53" totalsRowDxfId="52">
      <calculatedColumnFormula>IF(Table1[Item Description]="","",Table1[[#This Row],[h_hargasebelumdiskon]]-Table1[[#This Row],[h_diskon]])</calculatedColumnFormula>
    </tableColumn>
    <tableColumn id="27" name="Total Invoice" dataDxfId="51" totalsRowDxfId="50">
      <calculatedColumnFormula>IF(Table1[//]="","",SUMIF(Table1[h_id],Table1[h_id],Table1[h_hargasetelahdiskon]))</calculatedColumnFormula>
    </tableColumn>
    <tableColumn id="28" name="KETERANGAN" dataDxfId="49" totalsRowDxfId="48"/>
    <tableColumn id="29" name="H_A1" dataDxfId="47" totalsRowDxfId="46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4:P64" totalsRowCount="1" headerRowDxfId="38" dataDxfId="37" totalsRowDxfId="36">
  <autoFilter ref="D4:P63"/>
  <tableColumns count="13">
    <tableColumn id="1" name="//" totalsRowLabel="Total" dataDxfId="35" totalsRowDxfId="34">
      <calculatedColumnFormula>IF(ROW()-(COUNTBLANK($D$1:$D$3)+1)&lt;=jNota,A5,"")</calculatedColumnFormula>
    </tableColumn>
    <tableColumn id="2" name="No. Invoice :" dataDxfId="33" totalsRowDxfId="32">
      <calculatedColumnFormula>IF(pajak[[#This Row],[//]]="","",INDEX(Table1[No. Invoice :],pajak[//]-offset))</calculatedColumnFormula>
    </tableColumn>
    <tableColumn id="3" name="Tgl Invoice :" dataDxfId="31" totalsRowDxfId="30">
      <calculatedColumnFormula>IF(pajak[[#This Row],[//]]="","",INDEX(Table1[Tgl Invoice :],pajak[//]-offset))</calculatedColumnFormula>
    </tableColumn>
    <tableColumn id="4" name="Kode Sales :" dataDxfId="29" totalsRowDxfId="28">
      <calculatedColumnFormula>IF(pajak[[#This Row],[//]]="","",INDEX(Table1[Kode Sales :],pajak[//]-offset))</calculatedColumnFormula>
    </tableColumn>
    <tableColumn id="5" name="Toko" dataDxfId="27" totalsRowDxfId="26">
      <calculatedColumnFormula>IF(pajak[[#This Row],[//]]="","",INDEX(Table1[Toko],pajak[//]-offset))</calculatedColumnFormula>
    </tableColumn>
    <tableColumn id="6" name="Total" totalsRowFunction="sum" dataDxfId="25" totalsRowDxfId="24">
      <calculatedColumnFormula>IF(pajak[[#This Row],[//]]="","",SUMIF(Table1[h_id],pajak[[#This Row],[//]],Table1[h_hargasebelumdiskon]))</calculatedColumnFormula>
    </tableColumn>
    <tableColumn id="7" name="Diskon" totalsRowFunction="sum" dataDxfId="23" totalsRowDxfId="22">
      <calculatedColumnFormula>IF(pajak[[#This Row],[//]]="","",SUMIF(Table1[h_id],pajak[[#This Row],[//]],Table1[h_diskon]))</calculatedColumnFormula>
    </tableColumn>
    <tableColumn id="8" name="Sub Total" totalsRowFunction="sum" dataDxfId="21" totalsRowDxfId="20">
      <calculatedColumnFormula>IF(pajak[[#This Row],[//]]="","",SUMIF(Table1[h_id],pajak[[#This Row],[//]],Table1[h_hargasetelahdiskon]))</calculatedColumnFormula>
    </tableColumn>
    <tableColumn id="9" name="PPN 11%" totalsRowFunction="sum" dataDxfId="19" totalsRowDxfId="18">
      <calculatedColumnFormula>IF(pajak[//]="","",pajak[[#This Row],[Sub Total]]/1.11*11%)</calculatedColumnFormula>
    </tableColumn>
    <tableColumn id="10" name="Total Invoice" totalsRowFunction="sum" dataDxfId="17" totalsRowDxfId="16">
      <calculatedColumnFormula>pajak[[#This Row],[Sub Total]]</calculatedColumnFormula>
    </tableColumn>
    <tableColumn id="14" name="pembuat nota" dataDxfId="15" totalsRowDxfId="14">
      <calculatedColumnFormula>IF(pajak[[#This Row],[//]]="","",INDEX(Table1[pembuat nota :],pajak[//]-offset))</calculatedColumnFormula>
    </tableColumn>
    <tableColumn id="15" name="edited" dataDxfId="13" totalsRowDxfId="12">
      <calculatedColumnFormula>IF(pajak[[#This Row],[//]]="","",IF(INDEX(Table1[edited :],pajak[//]-offset)="","",INDEX(Table1[edited :],pajak[//]-offset)))</calculatedColumnFormula>
    </tableColumn>
    <tableColumn id="12" name="4" dataDxfId="11" totalsRowDxfId="10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4:X63" totalsRowShown="0" headerRowDxfId="9" dataDxfId="8">
  <autoFilter ref="R4:X63"/>
  <tableColumns count="7">
    <tableColumn id="8" name="AM" dataDxfId="7">
      <calculatedColumnFormula>Table4[[#Headers],[AM]]</calculatedColumnFormula>
    </tableColumn>
    <tableColumn id="2" name="---" dataDxfId="6">
      <calculatedColumnFormula>S$3+ROW()-5</calculatedColumnFormula>
    </tableColumn>
    <tableColumn id="7" name="No. Invoice :" dataDxfId="5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4">
      <calculatedColumnFormula>IF((INDEX(INDIRECT($3:$3),Table4[[#This Row],[No. Invoice :]]+$2:$2))=INDIRECT("pajak[@["&amp;Table4[#Headers]&amp;"]]"),1)</calculatedColumnFormula>
    </tableColumn>
    <tableColumn id="6" name="Tgl Invoice :" dataDxfId="3">
      <calculatedColumnFormula>IF((INDEX(INDIRECT($3:$3),Table4[[#This Row],[No. Invoice :]]+$2:$2))=INDIRECT("pajak[@["&amp;Table4[#Headers]&amp;"]]"),1)</calculatedColumnFormula>
    </tableColumn>
    <tableColumn id="4" name="Total Invoice" dataDxfId="2">
      <calculatedColumnFormula>IF((INDEX(INDIRECT($3:$3),Table4[[#This Row],[No. Invoice :]]+$2:$2))=INDIRECT("pajak[@["&amp;Table4[#Headers]&amp;"]]"),1)</calculatedColumnFormula>
    </tableColumn>
    <tableColumn id="3" name="pembuat nota" dataDxfId="1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F29" totalsRowShown="0">
  <autoFilter ref="A2:F29"/>
  <sortState ref="A3:F23">
    <sortCondition ref="A2:A23"/>
  </sortState>
  <tableColumns count="6">
    <tableColumn id="1" name="a"/>
    <tableColumn id="2" name="b"/>
    <tableColumn id="3" name="c"/>
    <tableColumn id="4" name="d"/>
    <tableColumn id="5" name="e" dataDxfId="0">
      <calculatedColumnFormula>CONCATENATE(Table2[[#This Row],[b]],IF(Table2[[#This Row],[c]]=""," ",CONCATENATE(" ",Table2[[#This Row],[c]]," ")),Table2[[#This Row],[d]])</calculatedColumnFormula>
    </tableColumn>
    <tableColumn id="6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371"/>
  <sheetViews>
    <sheetView topLeftCell="A118" zoomScale="85" zoomScaleNormal="85" workbookViewId="0">
      <selection activeCell="H145" sqref="H145"/>
    </sheetView>
  </sheetViews>
  <sheetFormatPr defaultRowHeight="15" x14ac:dyDescent="0.25"/>
  <cols>
    <col min="1" max="1" width="4.140625" style="271" customWidth="1"/>
    <col min="2" max="2" width="9.28515625" style="271" customWidth="1"/>
    <col min="3" max="3" width="10.5703125" style="272" customWidth="1"/>
    <col min="4" max="4" width="5.42578125" style="281" customWidth="1"/>
    <col min="5" max="5" width="5.140625" style="271" customWidth="1"/>
    <col min="6" max="6" width="14.5703125" style="3" bestFit="1" customWidth="1"/>
    <col min="7" max="7" width="12.5703125" style="3" customWidth="1"/>
    <col min="8" max="8" width="12.85546875" style="271" customWidth="1"/>
    <col min="9" max="9" width="15.5703125" style="3" customWidth="1"/>
    <col min="10" max="10" width="50.85546875" style="271" bestFit="1" customWidth="1"/>
    <col min="11" max="11" width="5.140625" style="273" customWidth="1"/>
    <col min="12" max="12" width="4.7109375" style="280" customWidth="1"/>
    <col min="13" max="13" width="3.140625" style="271" customWidth="1"/>
    <col min="14" max="14" width="23.7109375" style="271" bestFit="1" customWidth="1"/>
    <col min="15" max="15" width="55.140625" style="271" bestFit="1" customWidth="1"/>
    <col min="16" max="16" width="62" style="271" bestFit="1" customWidth="1"/>
    <col min="17" max="17" width="11.5703125" style="271" customWidth="1"/>
    <col min="18" max="18" width="7.140625" style="271" customWidth="1"/>
    <col min="19" max="19" width="9.28515625" style="271" bestFit="1" customWidth="1"/>
    <col min="20" max="20" width="14.28515625" style="271" bestFit="1" customWidth="1"/>
    <col min="21" max="21" width="16.85546875" style="274" bestFit="1" customWidth="1"/>
    <col min="22" max="22" width="18" style="275" bestFit="1" customWidth="1"/>
    <col min="23" max="23" width="4.140625" style="275" customWidth="1"/>
    <col min="24" max="24" width="3.140625" style="274" customWidth="1"/>
    <col min="25" max="25" width="14.28515625" style="271" customWidth="1"/>
    <col min="26" max="26" width="13.28515625" style="271" customWidth="1"/>
    <col min="27" max="27" width="14.5703125" style="271" customWidth="1"/>
    <col min="28" max="28" width="13.28515625" style="271" bestFit="1" customWidth="1"/>
    <col min="29" max="29" width="14.28515625" style="271" bestFit="1" customWidth="1"/>
    <col min="30" max="30" width="14.28515625" style="271" customWidth="1"/>
    <col min="31" max="31" width="15.5703125" style="274" bestFit="1" customWidth="1"/>
    <col min="32" max="33" width="61" style="274" bestFit="1" customWidth="1"/>
    <col min="34" max="34" width="59.28515625" style="271" bestFit="1" customWidth="1"/>
    <col min="35" max="35" width="9.140625" style="271"/>
    <col min="36" max="16384" width="9.140625" style="3"/>
  </cols>
  <sheetData>
    <row r="1" spans="1:35" x14ac:dyDescent="0.25">
      <c r="A1" s="271" t="e">
        <f>cou</f>
        <v>#NAME?</v>
      </c>
      <c r="B1" s="271">
        <v>24020001</v>
      </c>
      <c r="C1" s="272">
        <v>45323</v>
      </c>
      <c r="E1" s="273"/>
      <c r="F1" s="271"/>
      <c r="G1" s="271"/>
      <c r="I1" s="271"/>
      <c r="K1" s="271"/>
      <c r="L1" s="271"/>
      <c r="Q1" s="274"/>
      <c r="R1" s="275"/>
      <c r="S1" s="275"/>
      <c r="T1" s="274"/>
      <c r="U1" s="271"/>
      <c r="V1" s="271"/>
      <c r="W1" s="271"/>
      <c r="X1" s="271"/>
      <c r="Y1" s="274"/>
      <c r="Z1" s="274"/>
      <c r="AA1" s="274"/>
      <c r="AB1" s="274"/>
      <c r="AC1" s="274"/>
      <c r="AE1" s="271"/>
      <c r="AF1" s="271"/>
      <c r="AG1" s="3"/>
      <c r="AH1" s="3"/>
      <c r="AI1" s="3"/>
    </row>
    <row r="2" spans="1:35" x14ac:dyDescent="0.25">
      <c r="A2" s="271" t="s">
        <v>14</v>
      </c>
      <c r="B2" s="271" t="s">
        <v>30</v>
      </c>
      <c r="C2" s="276" t="s">
        <v>2</v>
      </c>
      <c r="D2" s="282" t="s">
        <v>125</v>
      </c>
      <c r="E2" s="273" t="s">
        <v>127</v>
      </c>
      <c r="F2" s="271" t="s">
        <v>128</v>
      </c>
      <c r="G2" s="277" t="s">
        <v>1</v>
      </c>
      <c r="H2" s="271" t="s">
        <v>126</v>
      </c>
      <c r="I2" s="277" t="s">
        <v>3</v>
      </c>
      <c r="J2" s="271" t="s">
        <v>4</v>
      </c>
      <c r="K2" s="271" t="s">
        <v>5</v>
      </c>
      <c r="L2" s="271" t="s">
        <v>6</v>
      </c>
      <c r="M2" s="271" t="s">
        <v>7</v>
      </c>
      <c r="N2" s="271" t="s">
        <v>79</v>
      </c>
      <c r="O2" s="271" t="s">
        <v>0</v>
      </c>
      <c r="P2" s="271" t="s">
        <v>8</v>
      </c>
      <c r="Q2" s="274" t="s">
        <v>9</v>
      </c>
      <c r="R2" s="275" t="s">
        <v>10</v>
      </c>
      <c r="S2" s="275" t="s">
        <v>11</v>
      </c>
      <c r="T2" s="274" t="s">
        <v>20</v>
      </c>
      <c r="U2" s="271" t="s">
        <v>12</v>
      </c>
      <c r="V2" s="271" t="s">
        <v>13</v>
      </c>
      <c r="W2" s="271" t="s">
        <v>37</v>
      </c>
      <c r="X2" s="271" t="s">
        <v>42</v>
      </c>
      <c r="Y2" s="274" t="s">
        <v>44</v>
      </c>
      <c r="Z2" s="274" t="s">
        <v>100</v>
      </c>
      <c r="AA2" s="274" t="s">
        <v>101</v>
      </c>
      <c r="AB2" s="274" t="s">
        <v>45</v>
      </c>
      <c r="AC2" s="274" t="s">
        <v>46</v>
      </c>
      <c r="AD2" s="271" t="s">
        <v>50</v>
      </c>
      <c r="AE2" s="271" t="s">
        <v>81</v>
      </c>
      <c r="AF2" s="271" t="s">
        <v>95</v>
      </c>
      <c r="AG2" s="3"/>
      <c r="AH2" s="3"/>
      <c r="AI2" s="3"/>
    </row>
    <row r="3" spans="1:35" x14ac:dyDescent="0.25">
      <c r="A3" s="278" t="str">
        <f ca="1">IF(Table1[[#This Row],[No. Invoice :]]="","",ROW())</f>
        <v/>
      </c>
      <c r="B3" s="278" t="str">
        <f ca="1">IF(Table1[Column3]="","",B$1+COUNT(INDIRECT("B$2:B"&amp;ROW()-1)))</f>
        <v/>
      </c>
      <c r="C3" s="272" t="str">
        <f>IF(Table1[[#This Row],[Column2]]="","",Table1[[#This Row],[Column2]]+C$1-1)</f>
        <v/>
      </c>
      <c r="E3" s="273"/>
      <c r="F3" s="271"/>
      <c r="G3" s="278" t="str">
        <f ca="1">IF(Table1[[#This Row],[h_No. Invoice :]]="","",CONCATENATE("AM"," ",Table1[[#This Row],[h_No. Invoice :]]))</f>
        <v/>
      </c>
      <c r="H3" s="271" t="str">
        <f>IF(Table1[[#This Row],[Column5]]="","",INDEX(Table2[Column1],MATCH(Table1[[#This Row],[Column5]],Table2[a],0)))</f>
        <v/>
      </c>
      <c r="I3" s="279" t="str">
        <f>IF(Table1[[#This Row],[Column3]]=0,"",CONCATENATE(UPPER(Table1[[#This Row],[Column3]])," ",Table1[[#This Row],[Column4]]))</f>
        <v xml:space="preserve"> </v>
      </c>
      <c r="J3" s="278" t="str">
        <f>IF(Table1[[#This Row],[Column5]]="","",INDEX(Table2[e],IF(Table1[[#This Row],[Column5]]="","",MATCH(Table1[[#This Row],[Column5]],Table2[a],0)),))</f>
        <v/>
      </c>
      <c r="K3" s="271"/>
      <c r="L3" s="271"/>
      <c r="O3" s="278" t="str">
        <f>IF(Table1[[#This Row],[h_Item Description]]="","",INDEX([1]!db[NB PAJAK],MATCH(Table1[[#This Row],[h_Item Description]],[1]!db[kode],0)))</f>
        <v/>
      </c>
      <c r="Q3" s="274"/>
      <c r="R3" s="275"/>
      <c r="S3" s="275"/>
      <c r="T3" s="274" t="str">
        <f>Table1[[#This Row],[h_hargasetelahdiskon]]</f>
        <v/>
      </c>
      <c r="V3" s="271"/>
      <c r="W3" s="278" t="str">
        <f ca="1">IF(Table1[[#This Row],[Item Description]]="","",IF(Table1[[#This Row],[//]]="",INDIRECT(ADDRESS(ROW()-1,COLUMN())),Table1[[#This Row],[//]]))</f>
        <v/>
      </c>
      <c r="X3" s="278" t="str">
        <f ca="1">IF(Table1[[#This Row],[h_id]]="","",COUNTIF(Table1[h_id],Table1[[#This Row],[h_id]]))</f>
        <v/>
      </c>
      <c r="Y3" s="274" t="str">
        <f>IF(Table1[Item Description]="","",Table1[[#This Row],[Qty]]*Table1[[#This Row],[Unit Price]])</f>
        <v/>
      </c>
      <c r="Z3" s="274" t="str">
        <f>IF(Table1[[#This Row],[h_hargasebelumdiskon]]="","",IF(Table1[[#This Row],[Disc 1]]="",0,Table1[[#This Row],[h_hargasebelumdiskon]]*Table1[[#This Row],[Disc 1]]))</f>
        <v/>
      </c>
      <c r="AA3" s="274" t="str">
        <f>IF(Table1[[#This Row],[h_hargasebelumdiskon]]="","",IF(Table1[[#This Row],[Disc 2]]="",0,(Table1[[#This Row],[h_hargasebelumdiskon]]-Table1[[#This Row],[h_disc 1]])*Table1[[#This Row],[Disc 2]]))</f>
        <v/>
      </c>
      <c r="AB3" s="274" t="str">
        <f>IF(Table1[Item Description]="","",Table1[[#This Row],[h_disc 1]]+Table1[[#This Row],[h_disc 2]])</f>
        <v/>
      </c>
      <c r="AC3" s="274" t="str">
        <f>IF(Table1[Item Description]="","",Table1[[#This Row],[h_hargasebelumdiskon]]-Table1[[#This Row],[h_diskon]])</f>
        <v/>
      </c>
      <c r="AD3" s="274" t="str">
        <f ca="1">IF(Table1[//]="","",SUMIF(Table1[h_id],Table1[h_id],Table1[h_hargasetelahdiskon]))</f>
        <v/>
      </c>
      <c r="AF3" s="274" t="str">
        <f>Table1[[#This Row],[Item Description]]&amp;Table1[[#This Row],[Unit]]&amp;Table1[[#This Row],[Unit Price]]</f>
        <v/>
      </c>
      <c r="AG3" s="3"/>
      <c r="AH3" s="3"/>
      <c r="AI3" s="3"/>
    </row>
    <row r="4" spans="1:35" x14ac:dyDescent="0.25">
      <c r="A4" s="278">
        <f ca="1">IF(Table1[[#This Row],[No. Invoice :]]="","",ROW())</f>
        <v>4</v>
      </c>
      <c r="B4" s="278">
        <f ca="1">IF(Table1[Column3]="","",B$1+COUNT(INDIRECT("B$2:B"&amp;ROW()-1)))</f>
        <v>24020001</v>
      </c>
      <c r="C4" s="272">
        <f>IF(Table1[[#This Row],[Column2]]="","",Table1[[#This Row],[Column2]]+C$1-1)</f>
        <v>45327</v>
      </c>
      <c r="D4" s="271">
        <v>5</v>
      </c>
      <c r="E4" s="273" t="s">
        <v>193</v>
      </c>
      <c r="F4" s="271" t="s">
        <v>88</v>
      </c>
      <c r="G4" s="278" t="str">
        <f ca="1">IF(Table1[[#This Row],[h_No. Invoice :]]="","",CONCATENATE("AM"," ",Table1[[#This Row],[h_No. Invoice :]]))</f>
        <v>AM 24020001</v>
      </c>
      <c r="H4" s="271" t="str">
        <f>IF(Table1[[#This Row],[Column5]]="","",INDEX(Table2[Column1],MATCH(Table1[[#This Row],[Column5]],Table2[a],0)))</f>
        <v>G</v>
      </c>
      <c r="I4" s="279" t="str">
        <f>IF(Table1[[#This Row],[Column3]]=0,"",CONCATENATE(UPPER(Table1[[#This Row],[Column3]])," ",Table1[[#This Row],[Column4]]))</f>
        <v>G 2551</v>
      </c>
      <c r="J4" s="278" t="str">
        <f>IF(Table1[[#This Row],[Column5]]="","",INDEX(Table2[e],IF(Table1[[#This Row],[Column5]]="","",MATCH(Table1[[#This Row],[Column5]],Table2[a],0)),))</f>
        <v>CV UTAMA PUTRA TULUNG AGUNG</v>
      </c>
      <c r="K4" s="271">
        <v>72</v>
      </c>
      <c r="L4" s="271" t="s">
        <v>136</v>
      </c>
      <c r="M4" s="271">
        <v>1</v>
      </c>
      <c r="N4" s="271" t="s">
        <v>150</v>
      </c>
      <c r="O4" s="278" t="str">
        <f>IF(Table1[[#This Row],[h_Item Description]]="","",INDEX([1]!db[NB PAJAK],MATCH(Table1[[#This Row],[h_Item Description]],[1]!db[kode],0)))</f>
        <v>CORRECTION FLUID KENKO KE-01</v>
      </c>
      <c r="P4" s="278" t="s">
        <v>151</v>
      </c>
      <c r="Q4" s="274">
        <v>54300</v>
      </c>
      <c r="R4" s="275">
        <v>0.125</v>
      </c>
      <c r="S4" s="275"/>
      <c r="T4" s="274">
        <f>Table1[[#This Row],[h_hargasetelahdiskon]]</f>
        <v>3420900</v>
      </c>
      <c r="U4" s="274" t="s">
        <v>129</v>
      </c>
      <c r="V4" s="271"/>
      <c r="W4" s="278">
        <f ca="1">IF(Table1[[#This Row],[Item Description]]="","",IF(Table1[[#This Row],[//]]="",INDIRECT(ADDRESS(ROW()-1,COLUMN())),Table1[[#This Row],[//]]))</f>
        <v>4</v>
      </c>
      <c r="X4" s="278">
        <f ca="1">IF(Table1[[#This Row],[h_id]]="","",COUNTIF(Table1[h_id],Table1[[#This Row],[h_id]]))</f>
        <v>1</v>
      </c>
      <c r="Y4" s="274">
        <f>IF(Table1[Item Description]="","",Table1[[#This Row],[Qty]]*Table1[[#This Row],[Unit Price]])</f>
        <v>3909600</v>
      </c>
      <c r="Z4" s="274">
        <f>IF(Table1[[#This Row],[h_hargasebelumdiskon]]="","",IF(Table1[[#This Row],[Disc 1]]="",0,Table1[[#This Row],[h_hargasebelumdiskon]]*Table1[[#This Row],[Disc 1]]))</f>
        <v>488700</v>
      </c>
      <c r="AA4" s="274">
        <f>IF(Table1[[#This Row],[h_hargasebelumdiskon]]="","",IF(Table1[[#This Row],[Disc 2]]="",0,(Table1[[#This Row],[h_hargasebelumdiskon]]-Table1[[#This Row],[h_disc 1]])*Table1[[#This Row],[Disc 2]]))</f>
        <v>0</v>
      </c>
      <c r="AB4" s="274">
        <f>IF(Table1[Item Description]="","",Table1[[#This Row],[h_disc 1]]+Table1[[#This Row],[h_disc 2]])</f>
        <v>488700</v>
      </c>
      <c r="AC4" s="274">
        <f>IF(Table1[Item Description]="","",Table1[[#This Row],[h_hargasebelumdiskon]]-Table1[[#This Row],[h_diskon]])</f>
        <v>3420900</v>
      </c>
      <c r="AD4" s="274">
        <f ca="1">IF(Table1[//]="","",SUMIF(Table1[h_id],Table1[h_id],Table1[h_hargasetelahdiskon]))</f>
        <v>3420900</v>
      </c>
      <c r="AF4" s="274" t="str">
        <f>Table1[[#This Row],[Item Description]]&amp;Table1[[#This Row],[Unit]]&amp;Table1[[#This Row],[Unit Price]]</f>
        <v>CORRECTION FLUID KENKO KE-01LSN54300</v>
      </c>
      <c r="AG4" s="3"/>
      <c r="AH4" s="3"/>
      <c r="AI4" s="3"/>
    </row>
    <row r="5" spans="1:35" x14ac:dyDescent="0.25">
      <c r="A5" s="278" t="str">
        <f ca="1">IF(Table1[[#This Row],[No. Invoice :]]="","",ROW())</f>
        <v/>
      </c>
      <c r="B5" s="278" t="str">
        <f ca="1">IF(Table1[Column3]="","",B$1+COUNT(INDIRECT("B$2:B"&amp;ROW()-1)))</f>
        <v/>
      </c>
      <c r="C5" s="272" t="str">
        <f>IF(Table1[[#This Row],[Column2]]="","",Table1[[#This Row],[Column2]]+C$1-1)</f>
        <v/>
      </c>
      <c r="D5" s="271"/>
      <c r="E5" s="273"/>
      <c r="F5" s="271"/>
      <c r="G5" s="278" t="str">
        <f ca="1">IF(Table1[[#This Row],[h_No. Invoice :]]="","",CONCATENATE("AM"," ",Table1[[#This Row],[h_No. Invoice :]]))</f>
        <v/>
      </c>
      <c r="H5" s="283" t="str">
        <f>IF(Table1[[#This Row],[Column5]]="","",INDEX(Table2[Column1],MATCH(Table1[[#This Row],[Column5]],Table2[a],0)))</f>
        <v/>
      </c>
      <c r="I5" s="279" t="str">
        <f>IF(Table1[[#This Row],[Column3]]=0,"",CONCATENATE(UPPER(Table1[[#This Row],[Column3]])," ",Table1[[#This Row],[Column4]]))</f>
        <v xml:space="preserve"> </v>
      </c>
      <c r="J5" s="278" t="str">
        <f>IF(Table1[[#This Row],[Column5]]="","",INDEX(Table2[e],IF(Table1[[#This Row],[Column5]]="","",MATCH(Table1[[#This Row],[Column5]],Table2[a],0)),))</f>
        <v/>
      </c>
      <c r="K5" s="271"/>
      <c r="L5" s="271"/>
      <c r="O5" s="278" t="str">
        <f>IF(Table1[[#This Row],[h_Item Description]]="","",INDEX([1]!db[NB PAJAK],MATCH(Table1[[#This Row],[h_Item Description]],[1]!db[kode],0)))</f>
        <v/>
      </c>
      <c r="P5" s="278" t="s">
        <v>137</v>
      </c>
      <c r="Q5" s="274"/>
      <c r="R5" s="275"/>
      <c r="S5" s="275"/>
      <c r="T5" s="274" t="str">
        <f>Table1[[#This Row],[h_hargasetelahdiskon]]</f>
        <v/>
      </c>
      <c r="V5" s="271"/>
      <c r="W5" s="278" t="str">
        <f ca="1">IF(Table1[[#This Row],[Item Description]]="","",IF(Table1[[#This Row],[//]]="",INDIRECT(ADDRESS(ROW()-1,COLUMN())),Table1[[#This Row],[//]]))</f>
        <v/>
      </c>
      <c r="X5" s="278" t="str">
        <f ca="1">IF(Table1[[#This Row],[h_id]]="","",COUNTIF(Table1[h_id],Table1[[#This Row],[h_id]]))</f>
        <v/>
      </c>
      <c r="Y5" s="274" t="str">
        <f>IF(Table1[Item Description]="","",Table1[[#This Row],[Qty]]*Table1[[#This Row],[Unit Price]])</f>
        <v/>
      </c>
      <c r="Z5" s="274" t="str">
        <f>IF(Table1[[#This Row],[h_hargasebelumdiskon]]="","",IF(Table1[[#This Row],[Disc 1]]="",0,Table1[[#This Row],[h_hargasebelumdiskon]]*Table1[[#This Row],[Disc 1]]))</f>
        <v/>
      </c>
      <c r="AA5" s="274" t="str">
        <f>IF(Table1[[#This Row],[h_hargasebelumdiskon]]="","",IF(Table1[[#This Row],[Disc 2]]="",0,(Table1[[#This Row],[h_hargasebelumdiskon]]-Table1[[#This Row],[h_disc 1]])*Table1[[#This Row],[Disc 2]]))</f>
        <v/>
      </c>
      <c r="AB5" s="274" t="str">
        <f>IF(Table1[Item Description]="","",Table1[[#This Row],[h_disc 1]]+Table1[[#This Row],[h_disc 2]])</f>
        <v/>
      </c>
      <c r="AC5" s="274" t="str">
        <f>IF(Table1[Item Description]="","",Table1[[#This Row],[h_hargasebelumdiskon]]-Table1[[#This Row],[h_diskon]])</f>
        <v/>
      </c>
      <c r="AD5" s="274" t="str">
        <f ca="1">IF(Table1[//]="","",SUMIF(Table1[h_id],Table1[h_id],Table1[h_hargasetelahdiskon]))</f>
        <v/>
      </c>
      <c r="AF5" s="274" t="str">
        <f>Table1[[#This Row],[Item Description]]&amp;Table1[[#This Row],[Unit]]&amp;Table1[[#This Row],[Unit Price]]</f>
        <v/>
      </c>
      <c r="AG5" s="3"/>
      <c r="AH5" s="3"/>
      <c r="AI5" s="3"/>
    </row>
    <row r="6" spans="1:35" x14ac:dyDescent="0.25">
      <c r="A6" s="278">
        <f ca="1">IF(Table1[[#This Row],[No. Invoice :]]="","",ROW())</f>
        <v>6</v>
      </c>
      <c r="B6" s="278">
        <f ca="1">IF(Table1[Column3]="","",B$1+COUNT(INDIRECT("B$2:B"&amp;ROW()-1)))</f>
        <v>24020002</v>
      </c>
      <c r="C6" s="272">
        <f>IF(Table1[[#This Row],[Column2]]="","",Table1[[#This Row],[Column2]]+C$1-1)</f>
        <v>45327</v>
      </c>
      <c r="D6" s="271">
        <v>5</v>
      </c>
      <c r="E6" s="273" t="s">
        <v>198</v>
      </c>
      <c r="F6" s="271" t="s">
        <v>145</v>
      </c>
      <c r="G6" s="278" t="str">
        <f ca="1">IF(Table1[[#This Row],[h_No. Invoice :]]="","",CONCATENATE("AM"," ",Table1[[#This Row],[h_No. Invoice :]]))</f>
        <v>AM 24020002</v>
      </c>
      <c r="H6" s="271" t="str">
        <f>IF(Table1[[#This Row],[Column5]]="","",INDEX(Table2[Column1],MATCH(Table1[[#This Row],[Column5]],Table2[a],0)))</f>
        <v>G</v>
      </c>
      <c r="I6" s="279" t="str">
        <f>IF(Table1[[#This Row],[Column3]]=0,"",CONCATENATE(UPPER(Table1[[#This Row],[Column3]])," ",Table1[[#This Row],[Column4]]))</f>
        <v>G 2597</v>
      </c>
      <c r="J6" s="278" t="str">
        <f>IF(Table1[[#This Row],[Column5]]="","",INDEX(Table2[e],IF(Table1[[#This Row],[Column5]]="","",MATCH(Table1[[#This Row],[Column5]],Table2[a],0)),))</f>
        <v>LILY JULIAWATI (REJO AGUNG) JOMBANG</v>
      </c>
      <c r="K6" s="271">
        <v>144</v>
      </c>
      <c r="L6" s="271" t="s">
        <v>136</v>
      </c>
      <c r="M6" s="271">
        <v>1</v>
      </c>
      <c r="N6" s="271" t="s">
        <v>194</v>
      </c>
      <c r="O6" s="278" t="str">
        <f>IF(Table1[[#This Row],[h_Item Description]]="","",INDEX([1]!db[NB PAJAK],MATCH(Table1[[#This Row],[h_Item Description]],[1]!db[kode],0)))</f>
        <v>GEL PEN KENKO HI-TECH-H 0.28 MM BIRU</v>
      </c>
      <c r="P6" s="278" t="s">
        <v>195</v>
      </c>
      <c r="Q6" s="274">
        <v>39000</v>
      </c>
      <c r="R6" s="275">
        <v>0.125</v>
      </c>
      <c r="S6" s="275"/>
      <c r="T6" s="274">
        <f>Table1[[#This Row],[h_hargasetelahdiskon]]</f>
        <v>4914000</v>
      </c>
      <c r="U6" s="274" t="s">
        <v>129</v>
      </c>
      <c r="V6" s="271"/>
      <c r="W6" s="278">
        <f ca="1">IF(Table1[[#This Row],[Item Description]]="","",IF(Table1[[#This Row],[//]]="",INDIRECT(ADDRESS(ROW()-1,COLUMN())),Table1[[#This Row],[//]]))</f>
        <v>6</v>
      </c>
      <c r="X6" s="278">
        <f ca="1">IF(Table1[[#This Row],[h_id]]="","",COUNTIF(Table1[h_id],Table1[[#This Row],[h_id]]))</f>
        <v>3</v>
      </c>
      <c r="Y6" s="274">
        <f>IF(Table1[Item Description]="","",Table1[[#This Row],[Qty]]*Table1[[#This Row],[Unit Price]])</f>
        <v>5616000</v>
      </c>
      <c r="Z6" s="274">
        <f>IF(Table1[[#This Row],[h_hargasebelumdiskon]]="","",IF(Table1[[#This Row],[Disc 1]]="",0,Table1[[#This Row],[h_hargasebelumdiskon]]*Table1[[#This Row],[Disc 1]]))</f>
        <v>702000</v>
      </c>
      <c r="AA6" s="274">
        <f>IF(Table1[[#This Row],[h_hargasebelumdiskon]]="","",IF(Table1[[#This Row],[Disc 2]]="",0,(Table1[[#This Row],[h_hargasebelumdiskon]]-Table1[[#This Row],[h_disc 1]])*Table1[[#This Row],[Disc 2]]))</f>
        <v>0</v>
      </c>
      <c r="AB6" s="274">
        <f>IF(Table1[Item Description]="","",Table1[[#This Row],[h_disc 1]]+Table1[[#This Row],[h_disc 2]])</f>
        <v>702000</v>
      </c>
      <c r="AC6" s="274">
        <f>IF(Table1[Item Description]="","",Table1[[#This Row],[h_hargasebelumdiskon]]-Table1[[#This Row],[h_diskon]])</f>
        <v>4914000</v>
      </c>
      <c r="AD6" s="274">
        <f ca="1">IF(Table1[//]="","",SUMIF(Table1[h_id],Table1[h_id],Table1[h_hargasetelahdiskon]))</f>
        <v>17734500</v>
      </c>
      <c r="AF6" s="274" t="str">
        <f>Table1[[#This Row],[Item Description]]&amp;Table1[[#This Row],[Unit]]&amp;Table1[[#This Row],[Unit Price]]</f>
        <v>GEL PEN KENKO HI-TECH-H 0.28 MM BIRULSN39000</v>
      </c>
      <c r="AG6" s="3"/>
      <c r="AH6" s="3"/>
      <c r="AI6" s="3"/>
    </row>
    <row r="7" spans="1:35" x14ac:dyDescent="0.25">
      <c r="A7" s="278" t="str">
        <f ca="1">IF(Table1[[#This Row],[No. Invoice :]]="","",ROW())</f>
        <v/>
      </c>
      <c r="B7" s="278" t="str">
        <f ca="1">IF(Table1[Column3]="","",B$1+COUNT(INDIRECT("B$2:B"&amp;ROW()-1)))</f>
        <v/>
      </c>
      <c r="C7" s="272" t="str">
        <f>IF(Table1[[#This Row],[Column2]]="","",Table1[[#This Row],[Column2]]+C$1-1)</f>
        <v/>
      </c>
      <c r="E7" s="273"/>
      <c r="F7" s="271"/>
      <c r="G7" s="278" t="str">
        <f ca="1">IF(Table1[[#This Row],[h_No. Invoice :]]="","",CONCATENATE("AM"," ",Table1[[#This Row],[h_No. Invoice :]]))</f>
        <v/>
      </c>
      <c r="H7" s="271" t="str">
        <f>IF(Table1[[#This Row],[Column5]]="","",INDEX(Table2[Column1],MATCH(Table1[[#This Row],[Column5]],Table2[a],0)))</f>
        <v/>
      </c>
      <c r="I7" s="279" t="str">
        <f>IF(Table1[[#This Row],[Column3]]=0,"",CONCATENATE(UPPER(Table1[[#This Row],[Column3]])," ",Table1[[#This Row],[Column4]]))</f>
        <v xml:space="preserve"> </v>
      </c>
      <c r="J7" s="278" t="str">
        <f>IF(Table1[[#This Row],[Column5]]="","",INDEX(Table2[e],IF(Table1[[#This Row],[Column5]]="","",MATCH(Table1[[#This Row],[Column5]],Table2[a],0)),))</f>
        <v/>
      </c>
      <c r="K7" s="271">
        <v>288</v>
      </c>
      <c r="L7" s="271" t="s">
        <v>136</v>
      </c>
      <c r="M7" s="271">
        <v>2</v>
      </c>
      <c r="N7" s="271" t="s">
        <v>183</v>
      </c>
      <c r="O7" s="278" t="str">
        <f>IF(Table1[[#This Row],[h_Item Description]]="","",INDEX([1]!db[NB PAJAK],MATCH(Table1[[#This Row],[h_Item Description]],[1]!db[kode],0)))</f>
        <v>GEL PEN KENKO HI-TECH-H 0.28 MM HITAM</v>
      </c>
      <c r="P7" s="271" t="s">
        <v>184</v>
      </c>
      <c r="Q7" s="274">
        <v>39000</v>
      </c>
      <c r="R7" s="275">
        <v>0.125</v>
      </c>
      <c r="S7" s="275"/>
      <c r="T7" s="274">
        <f>Table1[[#This Row],[h_hargasetelahdiskon]]</f>
        <v>9828000</v>
      </c>
      <c r="V7" s="271"/>
      <c r="W7" s="278">
        <f ca="1">IF(Table1[[#This Row],[Item Description]]="","",IF(Table1[[#This Row],[//]]="",INDIRECT(ADDRESS(ROW()-1,COLUMN())),Table1[[#This Row],[//]]))</f>
        <v>6</v>
      </c>
      <c r="X7" s="278">
        <f ca="1">IF(Table1[[#This Row],[h_id]]="","",COUNTIF(Table1[h_id],Table1[[#This Row],[h_id]]))</f>
        <v>3</v>
      </c>
      <c r="Y7" s="274">
        <f>IF(Table1[Item Description]="","",Table1[[#This Row],[Qty]]*Table1[[#This Row],[Unit Price]])</f>
        <v>11232000</v>
      </c>
      <c r="Z7" s="274">
        <f>IF(Table1[[#This Row],[h_hargasebelumdiskon]]="","",IF(Table1[[#This Row],[Disc 1]]="",0,Table1[[#This Row],[h_hargasebelumdiskon]]*Table1[[#This Row],[Disc 1]]))</f>
        <v>1404000</v>
      </c>
      <c r="AA7" s="274">
        <f>IF(Table1[[#This Row],[h_hargasebelumdiskon]]="","",IF(Table1[[#This Row],[Disc 2]]="",0,(Table1[[#This Row],[h_hargasebelumdiskon]]-Table1[[#This Row],[h_disc 1]])*Table1[[#This Row],[Disc 2]]))</f>
        <v>0</v>
      </c>
      <c r="AB7" s="274">
        <f>IF(Table1[Item Description]="","",Table1[[#This Row],[h_disc 1]]+Table1[[#This Row],[h_disc 2]])</f>
        <v>1404000</v>
      </c>
      <c r="AC7" s="274">
        <f>IF(Table1[Item Description]="","",Table1[[#This Row],[h_hargasebelumdiskon]]-Table1[[#This Row],[h_diskon]])</f>
        <v>9828000</v>
      </c>
      <c r="AD7" s="274" t="str">
        <f ca="1">IF(Table1[//]="","",SUMIF(Table1[h_id],Table1[h_id],Table1[h_hargasetelahdiskon]))</f>
        <v/>
      </c>
      <c r="AF7" s="274" t="str">
        <f>Table1[[#This Row],[Item Description]]&amp;Table1[[#This Row],[Unit]]&amp;Table1[[#This Row],[Unit Price]]</f>
        <v>GEL PEN KENKO HI-TECH-H 0.28 MM HITAMLSN39000</v>
      </c>
      <c r="AG7" s="3"/>
      <c r="AH7" s="3"/>
      <c r="AI7" s="3"/>
    </row>
    <row r="8" spans="1:35" x14ac:dyDescent="0.25">
      <c r="A8" s="278" t="str">
        <f ca="1">IF(Table1[[#This Row],[No. Invoice :]]="","",ROW())</f>
        <v/>
      </c>
      <c r="B8" s="278" t="str">
        <f ca="1">IF(Table1[Column3]="","",B$1+COUNT(INDIRECT("B$2:B"&amp;ROW()-1)))</f>
        <v/>
      </c>
      <c r="C8" s="272" t="str">
        <f>IF(Table1[[#This Row],[Column2]]="","",Table1[[#This Row],[Column2]]+C$1-1)</f>
        <v/>
      </c>
      <c r="E8" s="273"/>
      <c r="F8" s="271"/>
      <c r="G8" s="278" t="str">
        <f ca="1">IF(Table1[[#This Row],[h_No. Invoice :]]="","",CONCATENATE("AM"," ",Table1[[#This Row],[h_No. Invoice :]]))</f>
        <v/>
      </c>
      <c r="H8" s="271" t="str">
        <f>IF(Table1[[#This Row],[Column5]]="","",INDEX(Table2[Column1],MATCH(Table1[[#This Row],[Column5]],Table2[a],0)))</f>
        <v/>
      </c>
      <c r="I8" s="279" t="str">
        <f>IF(Table1[[#This Row],[Column3]]=0,"",CONCATENATE(UPPER(Table1[[#This Row],[Column3]])," ",Table1[[#This Row],[Column4]]))</f>
        <v xml:space="preserve"> </v>
      </c>
      <c r="J8" s="278" t="str">
        <f>IF(Table1[[#This Row],[Column5]]="","",INDEX(Table2[e],IF(Table1[[#This Row],[Column5]]="","",MATCH(Table1[[#This Row],[Column5]],Table2[a],0)),))</f>
        <v/>
      </c>
      <c r="K8" s="271">
        <v>60</v>
      </c>
      <c r="L8" s="271" t="s">
        <v>136</v>
      </c>
      <c r="M8" s="271">
        <v>2</v>
      </c>
      <c r="N8" s="271" t="s">
        <v>196</v>
      </c>
      <c r="O8" s="278" t="str">
        <f>IF(Table1[[#This Row],[h_Item Description]]="","",INDEX([1]!db[NB PAJAK],MATCH(Table1[[#This Row],[h_Item Description]],[1]!db[kode],0)))</f>
        <v>CUTTER 9 MM KENKO A-300 (KECIL)</v>
      </c>
      <c r="P8" s="271" t="s">
        <v>197</v>
      </c>
      <c r="Q8" s="274">
        <v>57000</v>
      </c>
      <c r="R8" s="275">
        <v>0.125</v>
      </c>
      <c r="S8" s="275"/>
      <c r="T8" s="274">
        <f>Table1[[#This Row],[h_hargasetelahdiskon]]</f>
        <v>2992500</v>
      </c>
      <c r="V8" s="271"/>
      <c r="W8" s="278">
        <f ca="1">IF(Table1[[#This Row],[Item Description]]="","",IF(Table1[[#This Row],[//]]="",INDIRECT(ADDRESS(ROW()-1,COLUMN())),Table1[[#This Row],[//]]))</f>
        <v>6</v>
      </c>
      <c r="X8" s="278">
        <f ca="1">IF(Table1[[#This Row],[h_id]]="","",COUNTIF(Table1[h_id],Table1[[#This Row],[h_id]]))</f>
        <v>3</v>
      </c>
      <c r="Y8" s="274">
        <f>IF(Table1[Item Description]="","",Table1[[#This Row],[Qty]]*Table1[[#This Row],[Unit Price]])</f>
        <v>3420000</v>
      </c>
      <c r="Z8" s="274">
        <f>IF(Table1[[#This Row],[h_hargasebelumdiskon]]="","",IF(Table1[[#This Row],[Disc 1]]="",0,Table1[[#This Row],[h_hargasebelumdiskon]]*Table1[[#This Row],[Disc 1]]))</f>
        <v>427500</v>
      </c>
      <c r="AA8" s="274">
        <f>IF(Table1[[#This Row],[h_hargasebelumdiskon]]="","",IF(Table1[[#This Row],[Disc 2]]="",0,(Table1[[#This Row],[h_hargasebelumdiskon]]-Table1[[#This Row],[h_disc 1]])*Table1[[#This Row],[Disc 2]]))</f>
        <v>0</v>
      </c>
      <c r="AB8" s="274">
        <f>IF(Table1[Item Description]="","",Table1[[#This Row],[h_disc 1]]+Table1[[#This Row],[h_disc 2]])</f>
        <v>427500</v>
      </c>
      <c r="AC8" s="274">
        <f>IF(Table1[Item Description]="","",Table1[[#This Row],[h_hargasebelumdiskon]]-Table1[[#This Row],[h_diskon]])</f>
        <v>2992500</v>
      </c>
      <c r="AD8" s="274" t="str">
        <f ca="1">IF(Table1[//]="","",SUMIF(Table1[h_id],Table1[h_id],Table1[h_hargasetelahdiskon]))</f>
        <v/>
      </c>
      <c r="AF8" s="274" t="str">
        <f>Table1[[#This Row],[Item Description]]&amp;Table1[[#This Row],[Unit]]&amp;Table1[[#This Row],[Unit Price]]</f>
        <v>CUTTER 9 MM KENKO A-300 (KECIL)LSN57000</v>
      </c>
      <c r="AG8" s="3"/>
      <c r="AH8" s="3"/>
      <c r="AI8" s="3"/>
    </row>
    <row r="9" spans="1:35" x14ac:dyDescent="0.25">
      <c r="A9" s="278" t="str">
        <f ca="1">IF(Table1[[#This Row],[No. Invoice :]]="","",ROW())</f>
        <v/>
      </c>
      <c r="B9" s="278" t="str">
        <f ca="1">IF(Table1[Column3]="","",B$1+COUNT(INDIRECT("B$2:B"&amp;ROW()-1)))</f>
        <v/>
      </c>
      <c r="C9" s="272" t="str">
        <f>IF(Table1[[#This Row],[Column2]]="","",Table1[[#This Row],[Column2]]+C$1-1)</f>
        <v/>
      </c>
      <c r="E9" s="273"/>
      <c r="F9" s="271"/>
      <c r="G9" s="278" t="str">
        <f ca="1">IF(Table1[[#This Row],[h_No. Invoice :]]="","",CONCATENATE("AM"," ",Table1[[#This Row],[h_No. Invoice :]]))</f>
        <v/>
      </c>
      <c r="H9" s="271" t="str">
        <f>IF(Table1[[#This Row],[Column5]]="","",INDEX(Table2[Column1],MATCH(Table1[[#This Row],[Column5]],Table2[a],0)))</f>
        <v/>
      </c>
      <c r="I9" s="279" t="str">
        <f>IF(Table1[[#This Row],[Column3]]=0,"",CONCATENATE(UPPER(Table1[[#This Row],[Column3]])," ",Table1[[#This Row],[Column4]]))</f>
        <v xml:space="preserve"> </v>
      </c>
      <c r="J9" s="278" t="str">
        <f>IF(Table1[[#This Row],[Column5]]="","",INDEX(Table2[e],IF(Table1[[#This Row],[Column5]]="","",MATCH(Table1[[#This Row],[Column5]],Table2[a],0)),))</f>
        <v/>
      </c>
      <c r="K9" s="271"/>
      <c r="L9" s="271"/>
      <c r="O9" s="278" t="str">
        <f>IF(Table1[[#This Row],[h_Item Description]]="","",INDEX([1]!db[NB PAJAK],MATCH(Table1[[#This Row],[h_Item Description]],[1]!db[kode],0)))</f>
        <v/>
      </c>
      <c r="Q9" s="274"/>
      <c r="R9" s="275"/>
      <c r="S9" s="275"/>
      <c r="T9" s="274" t="str">
        <f>Table1[[#This Row],[h_hargasetelahdiskon]]</f>
        <v/>
      </c>
      <c r="V9" s="271"/>
      <c r="W9" s="278" t="str">
        <f ca="1">IF(Table1[[#This Row],[Item Description]]="","",IF(Table1[[#This Row],[//]]="",INDIRECT(ADDRESS(ROW()-1,COLUMN())),Table1[[#This Row],[//]]))</f>
        <v/>
      </c>
      <c r="X9" s="278" t="str">
        <f ca="1">IF(Table1[[#This Row],[h_id]]="","",COUNTIF(Table1[h_id],Table1[[#This Row],[h_id]]))</f>
        <v/>
      </c>
      <c r="Y9" s="274" t="str">
        <f>IF(Table1[Item Description]="","",Table1[[#This Row],[Qty]]*Table1[[#This Row],[Unit Price]])</f>
        <v/>
      </c>
      <c r="Z9" s="274" t="str">
        <f>IF(Table1[[#This Row],[h_hargasebelumdiskon]]="","",IF(Table1[[#This Row],[Disc 1]]="",0,Table1[[#This Row],[h_hargasebelumdiskon]]*Table1[[#This Row],[Disc 1]]))</f>
        <v/>
      </c>
      <c r="AA9" s="274" t="str">
        <f>IF(Table1[[#This Row],[h_hargasebelumdiskon]]="","",IF(Table1[[#This Row],[Disc 2]]="",0,(Table1[[#This Row],[h_hargasebelumdiskon]]-Table1[[#This Row],[h_disc 1]])*Table1[[#This Row],[Disc 2]]))</f>
        <v/>
      </c>
      <c r="AB9" s="274" t="str">
        <f>IF(Table1[Item Description]="","",Table1[[#This Row],[h_disc 1]]+Table1[[#This Row],[h_disc 2]])</f>
        <v/>
      </c>
      <c r="AC9" s="274" t="str">
        <f>IF(Table1[Item Description]="","",Table1[[#This Row],[h_hargasebelumdiskon]]-Table1[[#This Row],[h_diskon]])</f>
        <v/>
      </c>
      <c r="AD9" s="274" t="str">
        <f ca="1">IF(Table1[//]="","",SUMIF(Table1[h_id],Table1[h_id],Table1[h_hargasetelahdiskon]))</f>
        <v/>
      </c>
      <c r="AF9" s="274" t="str">
        <f>Table1[[#This Row],[Item Description]]&amp;Table1[[#This Row],[Unit]]&amp;Table1[[#This Row],[Unit Price]]</f>
        <v/>
      </c>
      <c r="AG9" s="3"/>
      <c r="AH9" s="3"/>
      <c r="AI9" s="3"/>
    </row>
    <row r="10" spans="1:35" x14ac:dyDescent="0.25">
      <c r="A10" s="278">
        <f ca="1">IF(Table1[[#This Row],[No. Invoice :]]="","",ROW())</f>
        <v>10</v>
      </c>
      <c r="B10" s="278">
        <f ca="1">IF(Table1[Column3]="","",B$1+COUNT(INDIRECT("B$2:B"&amp;ROW()-1)))</f>
        <v>24020003</v>
      </c>
      <c r="C10" s="272">
        <f>IF(Table1[[#This Row],[Column2]]="","",Table1[[#This Row],[Column2]]+C$1-1)</f>
        <v>45327</v>
      </c>
      <c r="D10" s="281">
        <v>5</v>
      </c>
      <c r="E10" s="273" t="s">
        <v>201</v>
      </c>
      <c r="F10" s="271" t="s">
        <v>202</v>
      </c>
      <c r="G10" s="278" t="str">
        <f ca="1">IF(Table1[[#This Row],[h_No. Invoice :]]="","",CONCATENATE("AM"," ",Table1[[#This Row],[h_No. Invoice :]]))</f>
        <v>AM 24020003</v>
      </c>
      <c r="H10" s="271" t="str">
        <f>IF(Table1[[#This Row],[Column5]]="","",INDEX(Table2[Column1],MATCH(Table1[[#This Row],[Column5]],Table2[a],0)))</f>
        <v>G</v>
      </c>
      <c r="I10" s="279" t="str">
        <f>IF(Table1[[#This Row],[Column3]]=0,"",CONCATENATE(UPPER(Table1[[#This Row],[Column3]])," ",Table1[[#This Row],[Column4]]))</f>
        <v>G 0930</v>
      </c>
      <c r="J10" s="278" t="str">
        <f>IF(Table1[[#This Row],[Column5]]="","",INDEX(Table2[e],IF(Table1[[#This Row],[Column5]]="","",MATCH(Table1[[#This Row],[Column5]],Table2[a],0)),))</f>
        <v>MUHAMMAD AGUS MUNADI ( SINAR BHAKTI ) YOGYAKARTA</v>
      </c>
      <c r="K10" s="271">
        <v>1</v>
      </c>
      <c r="L10" s="271" t="s">
        <v>165</v>
      </c>
      <c r="O10" s="278" t="str">
        <f>IF(Table1[[#This Row],[h_Item Description]]="","",INDEX([1]!db[NB PAJAK],MATCH(Table1[[#This Row],[h_Item Description]],[1]!db[kode],0)))</f>
        <v/>
      </c>
      <c r="P10" s="271" t="s">
        <v>203</v>
      </c>
      <c r="Q10" s="274">
        <v>128000</v>
      </c>
      <c r="R10" s="275"/>
      <c r="S10" s="275"/>
      <c r="T10" s="274">
        <f>Table1[[#This Row],[h_hargasetelahdiskon]]</f>
        <v>128000</v>
      </c>
      <c r="U10" s="274" t="s">
        <v>164</v>
      </c>
      <c r="V10" s="271"/>
      <c r="W10" s="278">
        <f ca="1">IF(Table1[[#This Row],[Item Description]]="","",IF(Table1[[#This Row],[//]]="",INDIRECT(ADDRESS(ROW()-1,COLUMN())),Table1[[#This Row],[//]]))</f>
        <v>10</v>
      </c>
      <c r="X10" s="278">
        <f ca="1">IF(Table1[[#This Row],[h_id]]="","",COUNTIF(Table1[h_id],Table1[[#This Row],[h_id]]))</f>
        <v>2</v>
      </c>
      <c r="Y10" s="274">
        <f>IF(Table1[Item Description]="","",Table1[[#This Row],[Qty]]*Table1[[#This Row],[Unit Price]])</f>
        <v>128000</v>
      </c>
      <c r="Z10" s="274">
        <f>IF(Table1[[#This Row],[h_hargasebelumdiskon]]="","",IF(Table1[[#This Row],[Disc 1]]="",0,Table1[[#This Row],[h_hargasebelumdiskon]]*Table1[[#This Row],[Disc 1]]))</f>
        <v>0</v>
      </c>
      <c r="AA10" s="274">
        <f>IF(Table1[[#This Row],[h_hargasebelumdiskon]]="","",IF(Table1[[#This Row],[Disc 2]]="",0,(Table1[[#This Row],[h_hargasebelumdiskon]]-Table1[[#This Row],[h_disc 1]])*Table1[[#This Row],[Disc 2]]))</f>
        <v>0</v>
      </c>
      <c r="AB10" s="274">
        <f>IF(Table1[Item Description]="","",Table1[[#This Row],[h_disc 1]]+Table1[[#This Row],[h_disc 2]])</f>
        <v>0</v>
      </c>
      <c r="AC10" s="274">
        <f>IF(Table1[Item Description]="","",Table1[[#This Row],[h_hargasebelumdiskon]]-Table1[[#This Row],[h_diskon]])</f>
        <v>128000</v>
      </c>
      <c r="AD10" s="274">
        <f ca="1">IF(Table1[//]="","",SUMIF(Table1[h_id],Table1[h_id],Table1[h_hargasetelahdiskon]))</f>
        <v>287000</v>
      </c>
      <c r="AF10" s="274" t="str">
        <f>Table1[[#This Row],[Item Description]]&amp;Table1[[#This Row],[Unit]]&amp;Table1[[#This Row],[Unit Price]]</f>
        <v>PENCIL CASE 22 x 7.5 MAGNET C-2755LS128000</v>
      </c>
      <c r="AG10" s="3"/>
      <c r="AH10" s="3"/>
      <c r="AI10" s="3"/>
    </row>
    <row r="11" spans="1:35" x14ac:dyDescent="0.25">
      <c r="A11" s="278" t="str">
        <f ca="1">IF(Table1[[#This Row],[No. Invoice :]]="","",ROW())</f>
        <v/>
      </c>
      <c r="B11" s="278" t="str">
        <f ca="1">IF(Table1[Column3]="","",B$1+COUNT(INDIRECT("B$2:B"&amp;ROW()-1)))</f>
        <v/>
      </c>
      <c r="C11" s="272" t="str">
        <f>IF(Table1[[#This Row],[Column2]]="","",Table1[[#This Row],[Column2]]+C$1-1)</f>
        <v/>
      </c>
      <c r="E11" s="273"/>
      <c r="F11" s="271"/>
      <c r="G11" s="278" t="str">
        <f ca="1">IF(Table1[[#This Row],[h_No. Invoice :]]="","",CONCATENATE("AM"," ",Table1[[#This Row],[h_No. Invoice :]]))</f>
        <v/>
      </c>
      <c r="H11" s="271" t="str">
        <f>IF(Table1[[#This Row],[Column5]]="","",INDEX(Table2[Column1],MATCH(Table1[[#This Row],[Column5]],Table2[a],0)))</f>
        <v/>
      </c>
      <c r="I11" s="279" t="str">
        <f>IF(Table1[[#This Row],[Column3]]=0,"",CONCATENATE(UPPER(Table1[[#This Row],[Column3]])," ",Table1[[#This Row],[Column4]]))</f>
        <v xml:space="preserve"> </v>
      </c>
      <c r="J11" s="278" t="str">
        <f>IF(Table1[[#This Row],[Column5]]="","",INDEX(Table2[e],IF(Table1[[#This Row],[Column5]]="","",MATCH(Table1[[#This Row],[Column5]],Table2[a],0)),))</f>
        <v/>
      </c>
      <c r="K11" s="271">
        <v>1</v>
      </c>
      <c r="L11" s="271" t="s">
        <v>165</v>
      </c>
      <c r="O11" s="278" t="str">
        <f>IF(Table1[[#This Row],[h_Item Description]]="","",INDEX([1]!db[NB PAJAK],MATCH(Table1[[#This Row],[h_Item Description]],[1]!db[kode],0)))</f>
        <v/>
      </c>
      <c r="P11" s="271" t="s">
        <v>204</v>
      </c>
      <c r="Q11" s="274">
        <v>159000</v>
      </c>
      <c r="R11" s="275"/>
      <c r="S11" s="275"/>
      <c r="T11" s="274">
        <f>Table1[[#This Row],[h_hargasetelahdiskon]]</f>
        <v>159000</v>
      </c>
      <c r="V11" s="271"/>
      <c r="W11" s="278">
        <f ca="1">IF(Table1[[#This Row],[Item Description]]="","",IF(Table1[[#This Row],[//]]="",INDIRECT(ADDRESS(ROW()-1,COLUMN())),Table1[[#This Row],[//]]))</f>
        <v>10</v>
      </c>
      <c r="X11" s="278">
        <f ca="1">IF(Table1[[#This Row],[h_id]]="","",COUNTIF(Table1[h_id],Table1[[#This Row],[h_id]]))</f>
        <v>2</v>
      </c>
      <c r="Y11" s="274">
        <f>IF(Table1[Item Description]="","",Table1[[#This Row],[Qty]]*Table1[[#This Row],[Unit Price]])</f>
        <v>159000</v>
      </c>
      <c r="Z11" s="274">
        <f>IF(Table1[[#This Row],[h_hargasebelumdiskon]]="","",IF(Table1[[#This Row],[Disc 1]]="",0,Table1[[#This Row],[h_hargasebelumdiskon]]*Table1[[#This Row],[Disc 1]]))</f>
        <v>0</v>
      </c>
      <c r="AA11" s="274">
        <f>IF(Table1[[#This Row],[h_hargasebelumdiskon]]="","",IF(Table1[[#This Row],[Disc 2]]="",0,(Table1[[#This Row],[h_hargasebelumdiskon]]-Table1[[#This Row],[h_disc 1]])*Table1[[#This Row],[Disc 2]]))</f>
        <v>0</v>
      </c>
      <c r="AB11" s="274">
        <f>IF(Table1[Item Description]="","",Table1[[#This Row],[h_disc 1]]+Table1[[#This Row],[h_disc 2]])</f>
        <v>0</v>
      </c>
      <c r="AC11" s="274">
        <f>IF(Table1[Item Description]="","",Table1[[#This Row],[h_hargasebelumdiskon]]-Table1[[#This Row],[h_diskon]])</f>
        <v>159000</v>
      </c>
      <c r="AD11" s="274" t="str">
        <f ca="1">IF(Table1[//]="","",SUMIF(Table1[h_id],Table1[h_id],Table1[h_hargasetelahdiskon]))</f>
        <v/>
      </c>
      <c r="AF11" s="274" t="str">
        <f>Table1[[#This Row],[Item Description]]&amp;Table1[[#This Row],[Unit]]&amp;Table1[[#This Row],[Unit Price]]</f>
        <v>PENCIL CASE 22 x 10 MAGNET FX-2210 METALIK LEBARLS159000</v>
      </c>
      <c r="AG11" s="3"/>
      <c r="AH11" s="3"/>
      <c r="AI11" s="3"/>
    </row>
    <row r="12" spans="1:35" x14ac:dyDescent="0.25">
      <c r="A12" s="278" t="str">
        <f ca="1">IF(Table1[[#This Row],[No. Invoice :]]="","",ROW())</f>
        <v/>
      </c>
      <c r="B12" s="278" t="str">
        <f ca="1">IF(Table1[Column3]="","",B$1+COUNT(INDIRECT("B$2:B"&amp;ROW()-1)))</f>
        <v/>
      </c>
      <c r="C12" s="272" t="str">
        <f>IF(Table1[[#This Row],[Column2]]="","",Table1[[#This Row],[Column2]]+C$1-1)</f>
        <v/>
      </c>
      <c r="E12" s="273"/>
      <c r="F12" s="271"/>
      <c r="G12" s="278" t="str">
        <f ca="1">IF(Table1[[#This Row],[h_No. Invoice :]]="","",CONCATENATE("AM"," ",Table1[[#This Row],[h_No. Invoice :]]))</f>
        <v/>
      </c>
      <c r="H12" s="271" t="str">
        <f>IF(Table1[[#This Row],[Column5]]="","",INDEX(Table2[Column1],MATCH(Table1[[#This Row],[Column5]],Table2[a],0)))</f>
        <v/>
      </c>
      <c r="I12" s="279" t="str">
        <f>IF(Table1[[#This Row],[Column3]]=0,"",CONCATENATE(UPPER(Table1[[#This Row],[Column3]])," ",Table1[[#This Row],[Column4]]))</f>
        <v xml:space="preserve"> </v>
      </c>
      <c r="J12" s="278" t="str">
        <f>IF(Table1[[#This Row],[Column5]]="","",INDEX(Table2[e],IF(Table1[[#This Row],[Column5]]="","",MATCH(Table1[[#This Row],[Column5]],Table2[a],0)),))</f>
        <v/>
      </c>
      <c r="K12" s="271"/>
      <c r="L12" s="271"/>
      <c r="O12" s="278" t="str">
        <f>IF(Table1[[#This Row],[h_Item Description]]="","",INDEX([1]!db[NB PAJAK],MATCH(Table1[[#This Row],[h_Item Description]],[1]!db[kode],0)))</f>
        <v/>
      </c>
      <c r="Q12" s="274"/>
      <c r="R12" s="275"/>
      <c r="S12" s="275"/>
      <c r="T12" s="274" t="str">
        <f>Table1[[#This Row],[h_hargasetelahdiskon]]</f>
        <v/>
      </c>
      <c r="V12" s="271"/>
      <c r="W12" s="278" t="str">
        <f ca="1">IF(Table1[[#This Row],[Item Description]]="","",IF(Table1[[#This Row],[//]]="",INDIRECT(ADDRESS(ROW()-1,COLUMN())),Table1[[#This Row],[//]]))</f>
        <v/>
      </c>
      <c r="X12" s="278" t="str">
        <f ca="1">IF(Table1[[#This Row],[h_id]]="","",COUNTIF(Table1[h_id],Table1[[#This Row],[h_id]]))</f>
        <v/>
      </c>
      <c r="Y12" s="274" t="str">
        <f>IF(Table1[Item Description]="","",Table1[[#This Row],[Qty]]*Table1[[#This Row],[Unit Price]])</f>
        <v/>
      </c>
      <c r="Z12" s="274" t="str">
        <f>IF(Table1[[#This Row],[h_hargasebelumdiskon]]="","",IF(Table1[[#This Row],[Disc 1]]="",0,Table1[[#This Row],[h_hargasebelumdiskon]]*Table1[[#This Row],[Disc 1]]))</f>
        <v/>
      </c>
      <c r="AA12" s="274" t="str">
        <f>IF(Table1[[#This Row],[h_hargasebelumdiskon]]="","",IF(Table1[[#This Row],[Disc 2]]="",0,(Table1[[#This Row],[h_hargasebelumdiskon]]-Table1[[#This Row],[h_disc 1]])*Table1[[#This Row],[Disc 2]]))</f>
        <v/>
      </c>
      <c r="AB12" s="274" t="str">
        <f>IF(Table1[Item Description]="","",Table1[[#This Row],[h_disc 1]]+Table1[[#This Row],[h_disc 2]])</f>
        <v/>
      </c>
      <c r="AC12" s="274" t="str">
        <f>IF(Table1[Item Description]="","",Table1[[#This Row],[h_hargasebelumdiskon]]-Table1[[#This Row],[h_diskon]])</f>
        <v/>
      </c>
      <c r="AD12" s="274" t="str">
        <f ca="1">IF(Table1[//]="","",SUMIF(Table1[h_id],Table1[h_id],Table1[h_hargasetelahdiskon]))</f>
        <v/>
      </c>
      <c r="AF12" s="274" t="str">
        <f>Table1[[#This Row],[Item Description]]&amp;Table1[[#This Row],[Unit]]&amp;Table1[[#This Row],[Unit Price]]</f>
        <v/>
      </c>
      <c r="AG12" s="3"/>
      <c r="AH12" s="3"/>
      <c r="AI12" s="3"/>
    </row>
    <row r="13" spans="1:35" x14ac:dyDescent="0.25">
      <c r="A13" s="278">
        <f ca="1">IF(Table1[[#This Row],[No. Invoice :]]="","",ROW())</f>
        <v>13</v>
      </c>
      <c r="B13" s="278">
        <f ca="1">IF(Table1[Column3]="","",B$1+COUNT(INDIRECT("B$2:B"&amp;ROW()-1)))</f>
        <v>24020004</v>
      </c>
      <c r="C13" s="272">
        <f>IF(Table1[[#This Row],[Column2]]="","",Table1[[#This Row],[Column2]]+C$1-1)</f>
        <v>45328</v>
      </c>
      <c r="D13" s="281">
        <v>6</v>
      </c>
      <c r="E13" s="273" t="s">
        <v>205</v>
      </c>
      <c r="F13" s="271" t="s">
        <v>191</v>
      </c>
      <c r="G13" s="278" t="str">
        <f ca="1">IF(Table1[[#This Row],[h_No. Invoice :]]="","",CONCATENATE("AM"," ",Table1[[#This Row],[h_No. Invoice :]]))</f>
        <v>AM 24020004</v>
      </c>
      <c r="H13" s="271" t="str">
        <f>IF(Table1[[#This Row],[Column5]]="","",INDEX(Table2[Column1],MATCH(Table1[[#This Row],[Column5]],Table2[a],0)))</f>
        <v>A</v>
      </c>
      <c r="I13" s="279" t="str">
        <f>IF(Table1[[#This Row],[Column3]]=0,"",CONCATENATE(UPPER(Table1[[#This Row],[Column3]])," ",Table1[[#This Row],[Column4]]))</f>
        <v>A 0222</v>
      </c>
      <c r="J13" s="278" t="str">
        <f>IF(Table1[[#This Row],[Column5]]="","",INDEX(Table2[e],IF(Table1[[#This Row],[Column5]]="","",MATCH(Table1[[#This Row],[Column5]],Table2[a],0)),))</f>
        <v>PT RAMAI SANTOSO SEJAHTERA ( RAMAI SWALAYAN ) UNGARAN</v>
      </c>
      <c r="K13" s="271">
        <v>6</v>
      </c>
      <c r="L13" s="271" t="s">
        <v>159</v>
      </c>
      <c r="O13" s="278" t="str">
        <f>IF(Table1[[#This Row],[h_Item Description]]="","",INDEX([1]!db[NB PAJAK],MATCH(Table1[[#This Row],[h_Item Description]],[1]!db[kode],0)))</f>
        <v/>
      </c>
      <c r="P13" s="271" t="s">
        <v>207</v>
      </c>
      <c r="Q13" s="274">
        <v>16500</v>
      </c>
      <c r="R13" s="275"/>
      <c r="S13" s="275"/>
      <c r="T13" s="274">
        <f>Table1[[#This Row],[h_hargasetelahdiskon]]</f>
        <v>99000</v>
      </c>
      <c r="U13" s="274" t="s">
        <v>166</v>
      </c>
      <c r="V13" s="271"/>
      <c r="W13" s="278">
        <f ca="1">IF(Table1[[#This Row],[Item Description]]="","",IF(Table1[[#This Row],[//]]="",INDIRECT(ADDRESS(ROW()-1,COLUMN())),Table1[[#This Row],[//]]))</f>
        <v>13</v>
      </c>
      <c r="X13" s="278">
        <f ca="1">IF(Table1[[#This Row],[h_id]]="","",COUNTIF(Table1[h_id],Table1[[#This Row],[h_id]]))</f>
        <v>3</v>
      </c>
      <c r="Y13" s="274">
        <f>IF(Table1[Item Description]="","",Table1[[#This Row],[Qty]]*Table1[[#This Row],[Unit Price]])</f>
        <v>99000</v>
      </c>
      <c r="Z13" s="274">
        <f>IF(Table1[[#This Row],[h_hargasebelumdiskon]]="","",IF(Table1[[#This Row],[Disc 1]]="",0,Table1[[#This Row],[h_hargasebelumdiskon]]*Table1[[#This Row],[Disc 1]]))</f>
        <v>0</v>
      </c>
      <c r="AA13" s="274">
        <f>IF(Table1[[#This Row],[h_hargasebelumdiskon]]="","",IF(Table1[[#This Row],[Disc 2]]="",0,(Table1[[#This Row],[h_hargasebelumdiskon]]-Table1[[#This Row],[h_disc 1]])*Table1[[#This Row],[Disc 2]]))</f>
        <v>0</v>
      </c>
      <c r="AB13" s="274">
        <f>IF(Table1[Item Description]="","",Table1[[#This Row],[h_disc 1]]+Table1[[#This Row],[h_disc 2]])</f>
        <v>0</v>
      </c>
      <c r="AC13" s="274">
        <f>IF(Table1[Item Description]="","",Table1[[#This Row],[h_hargasebelumdiskon]]-Table1[[#This Row],[h_diskon]])</f>
        <v>99000</v>
      </c>
      <c r="AD13" s="274">
        <f ca="1">IF(Table1[//]="","",SUMIF(Table1[h_id],Table1[h_id],Table1[h_hargasetelahdiskon]))</f>
        <v>259000</v>
      </c>
      <c r="AF13" s="274" t="str">
        <f>Table1[[#This Row],[Item Description]]&amp;Table1[[#This Row],[Unit]]&amp;Table1[[#This Row],[Unit Price]]</f>
        <v>GEL PEN AODEMI GP-96129SET16500</v>
      </c>
      <c r="AG13" s="3"/>
      <c r="AH13" s="3"/>
      <c r="AI13" s="3"/>
    </row>
    <row r="14" spans="1:35" x14ac:dyDescent="0.25">
      <c r="A14" s="278" t="str">
        <f ca="1">IF(Table1[[#This Row],[No. Invoice :]]="","",ROW())</f>
        <v/>
      </c>
      <c r="B14" s="278" t="str">
        <f ca="1">IF(Table1[Column3]="","",B$1+COUNT(INDIRECT("B$2:B"&amp;ROW()-1)))</f>
        <v/>
      </c>
      <c r="C14" s="272" t="str">
        <f>IF(Table1[[#This Row],[Column2]]="","",Table1[[#This Row],[Column2]]+C$1-1)</f>
        <v/>
      </c>
      <c r="E14" s="273"/>
      <c r="F14" s="271"/>
      <c r="G14" s="278" t="str">
        <f ca="1">IF(Table1[[#This Row],[h_No. Invoice :]]="","",CONCATENATE("AM"," ",Table1[[#This Row],[h_No. Invoice :]]))</f>
        <v/>
      </c>
      <c r="H14" s="271" t="str">
        <f>IF(Table1[[#This Row],[Column5]]="","",INDEX(Table2[Column1],MATCH(Table1[[#This Row],[Column5]],Table2[a],0)))</f>
        <v/>
      </c>
      <c r="I14" s="279" t="str">
        <f>IF(Table1[[#This Row],[Column3]]=0,"",CONCATENATE(UPPER(Table1[[#This Row],[Column3]])," ",Table1[[#This Row],[Column4]]))</f>
        <v xml:space="preserve"> </v>
      </c>
      <c r="J14" s="278" t="str">
        <f>IF(Table1[[#This Row],[Column5]]="","",INDEX(Table2[e],IF(Table1[[#This Row],[Column5]]="","",MATCH(Table1[[#This Row],[Column5]],Table2[a],0)),))</f>
        <v/>
      </c>
      <c r="K14" s="271">
        <v>4</v>
      </c>
      <c r="L14" s="271" t="s">
        <v>165</v>
      </c>
      <c r="O14" s="278" t="str">
        <f>IF(Table1[[#This Row],[h_Item Description]]="","",INDEX([1]!db[NB PAJAK],MATCH(Table1[[#This Row],[h_Item Description]],[1]!db[kode],0)))</f>
        <v/>
      </c>
      <c r="P14" s="271" t="s">
        <v>199</v>
      </c>
      <c r="Q14" s="274">
        <v>25000</v>
      </c>
      <c r="R14" s="275"/>
      <c r="S14" s="275"/>
      <c r="T14" s="274">
        <f>Table1[[#This Row],[h_hargasetelahdiskon]]</f>
        <v>100000</v>
      </c>
      <c r="V14" s="271"/>
      <c r="W14" s="278">
        <f ca="1">IF(Table1[[#This Row],[Item Description]]="","",IF(Table1[[#This Row],[//]]="",INDIRECT(ADDRESS(ROW()-1,COLUMN())),Table1[[#This Row],[//]]))</f>
        <v>13</v>
      </c>
      <c r="X14" s="278">
        <f ca="1">IF(Table1[[#This Row],[h_id]]="","",COUNTIF(Table1[h_id],Table1[[#This Row],[h_id]]))</f>
        <v>3</v>
      </c>
      <c r="Y14" s="274">
        <f>IF(Table1[Item Description]="","",Table1[[#This Row],[Qty]]*Table1[[#This Row],[Unit Price]])</f>
        <v>100000</v>
      </c>
      <c r="Z14" s="274">
        <f>IF(Table1[[#This Row],[h_hargasebelumdiskon]]="","",IF(Table1[[#This Row],[Disc 1]]="",0,Table1[[#This Row],[h_hargasebelumdiskon]]*Table1[[#This Row],[Disc 1]]))</f>
        <v>0</v>
      </c>
      <c r="AA14" s="274">
        <f>IF(Table1[[#This Row],[h_hargasebelumdiskon]]="","",IF(Table1[[#This Row],[Disc 2]]="",0,(Table1[[#This Row],[h_hargasebelumdiskon]]-Table1[[#This Row],[h_disc 1]])*Table1[[#This Row],[Disc 2]]))</f>
        <v>0</v>
      </c>
      <c r="AB14" s="274">
        <f>IF(Table1[Item Description]="","",Table1[[#This Row],[h_disc 1]]+Table1[[#This Row],[h_disc 2]])</f>
        <v>0</v>
      </c>
      <c r="AC14" s="274">
        <f>IF(Table1[Item Description]="","",Table1[[#This Row],[h_hargasebelumdiskon]]-Table1[[#This Row],[h_diskon]])</f>
        <v>100000</v>
      </c>
      <c r="AD14" s="274" t="str">
        <f ca="1">IF(Table1[//]="","",SUMIF(Table1[h_id],Table1[h_id],Table1[h_hargasetelahdiskon]))</f>
        <v/>
      </c>
      <c r="AF14" s="274" t="str">
        <f>Table1[[#This Row],[Item Description]]&amp;Table1[[#This Row],[Unit]]&amp;Table1[[#This Row],[Unit Price]]</f>
        <v>BALLPEN VANCO 4W VC-6201LS25000</v>
      </c>
      <c r="AG14" s="3"/>
      <c r="AH14" s="3"/>
      <c r="AI14" s="3"/>
    </row>
    <row r="15" spans="1:35" x14ac:dyDescent="0.25">
      <c r="A15" s="278" t="str">
        <f ca="1">IF(Table1[[#This Row],[No. Invoice :]]="","",ROW())</f>
        <v/>
      </c>
      <c r="B15" s="278" t="str">
        <f ca="1">IF(Table1[Column3]="","",B$1+COUNT(INDIRECT("B$2:B"&amp;ROW()-1)))</f>
        <v/>
      </c>
      <c r="C15" s="272" t="str">
        <f>IF(Table1[[#This Row],[Column2]]="","",Table1[[#This Row],[Column2]]+C$1-1)</f>
        <v/>
      </c>
      <c r="E15" s="273"/>
      <c r="F15" s="271"/>
      <c r="G15" s="278" t="str">
        <f ca="1">IF(Table1[[#This Row],[h_No. Invoice :]]="","",CONCATENATE("AM"," ",Table1[[#This Row],[h_No. Invoice :]]))</f>
        <v/>
      </c>
      <c r="H15" s="271" t="str">
        <f>IF(Table1[[#This Row],[Column5]]="","",INDEX(Table2[Column1],MATCH(Table1[[#This Row],[Column5]],Table2[a],0)))</f>
        <v/>
      </c>
      <c r="I15" s="279" t="str">
        <f>IF(Table1[[#This Row],[Column3]]=0,"",CONCATENATE(UPPER(Table1[[#This Row],[Column3]])," ",Table1[[#This Row],[Column4]]))</f>
        <v xml:space="preserve"> </v>
      </c>
      <c r="J15" s="278" t="str">
        <f>IF(Table1[[#This Row],[Column5]]="","",INDEX(Table2[e],IF(Table1[[#This Row],[Column5]]="","",MATCH(Table1[[#This Row],[Column5]],Table2[a],0)),))</f>
        <v/>
      </c>
      <c r="K15" s="271">
        <v>1</v>
      </c>
      <c r="L15" s="271" t="s">
        <v>206</v>
      </c>
      <c r="O15" s="278" t="str">
        <f>IF(Table1[[#This Row],[h_Item Description]]="","",INDEX([1]!db[NB PAJAK],MATCH(Table1[[#This Row],[h_Item Description]],[1]!db[kode],0)))</f>
        <v/>
      </c>
      <c r="P15" s="271" t="s">
        <v>208</v>
      </c>
      <c r="Q15" s="274">
        <v>60000</v>
      </c>
      <c r="R15" s="275"/>
      <c r="S15" s="275"/>
      <c r="T15" s="274">
        <f>Table1[[#This Row],[h_hargasetelahdiskon]]</f>
        <v>60000</v>
      </c>
      <c r="V15" s="271"/>
      <c r="W15" s="278">
        <f ca="1">IF(Table1[[#This Row],[Item Description]]="","",IF(Table1[[#This Row],[//]]="",INDIRECT(ADDRESS(ROW()-1,COLUMN())),Table1[[#This Row],[//]]))</f>
        <v>13</v>
      </c>
      <c r="X15" s="278">
        <f ca="1">IF(Table1[[#This Row],[h_id]]="","",COUNTIF(Table1[h_id],Table1[[#This Row],[h_id]]))</f>
        <v>3</v>
      </c>
      <c r="Y15" s="274">
        <f>IF(Table1[Item Description]="","",Table1[[#This Row],[Qty]]*Table1[[#This Row],[Unit Price]])</f>
        <v>60000</v>
      </c>
      <c r="Z15" s="274">
        <f>IF(Table1[[#This Row],[h_hargasebelumdiskon]]="","",IF(Table1[[#This Row],[Disc 1]]="",0,Table1[[#This Row],[h_hargasebelumdiskon]]*Table1[[#This Row],[Disc 1]]))</f>
        <v>0</v>
      </c>
      <c r="AA15" s="274">
        <f>IF(Table1[[#This Row],[h_hargasebelumdiskon]]="","",IF(Table1[[#This Row],[Disc 2]]="",0,(Table1[[#This Row],[h_hargasebelumdiskon]]-Table1[[#This Row],[h_disc 1]])*Table1[[#This Row],[Disc 2]]))</f>
        <v>0</v>
      </c>
      <c r="AB15" s="274">
        <f>IF(Table1[Item Description]="","",Table1[[#This Row],[h_disc 1]]+Table1[[#This Row],[h_disc 2]])</f>
        <v>0</v>
      </c>
      <c r="AC15" s="274">
        <f>IF(Table1[Item Description]="","",Table1[[#This Row],[h_hargasebelumdiskon]]-Table1[[#This Row],[h_diskon]])</f>
        <v>60000</v>
      </c>
      <c r="AD15" s="274" t="str">
        <f ca="1">IF(Table1[//]="","",SUMIF(Table1[h_id],Table1[h_id],Table1[h_hargasetelahdiskon]))</f>
        <v/>
      </c>
      <c r="AF15" s="274" t="str">
        <f>Table1[[#This Row],[Item Description]]&amp;Table1[[#This Row],[Unit]]&amp;Table1[[#This Row],[Unit Price]]</f>
        <v>BENSIA SF-9939 A ISI 32 PC (LOVE DADU)DOS60000</v>
      </c>
      <c r="AG15" s="3"/>
      <c r="AH15" s="3"/>
      <c r="AI15" s="3"/>
    </row>
    <row r="16" spans="1:35" x14ac:dyDescent="0.25">
      <c r="A16" s="278" t="str">
        <f ca="1">IF(Table1[[#This Row],[No. Invoice :]]="","",ROW())</f>
        <v/>
      </c>
      <c r="B16" s="278" t="str">
        <f ca="1">IF(Table1[Column3]="","",B$1+COUNT(INDIRECT("B$2:B"&amp;ROW()-1)))</f>
        <v/>
      </c>
      <c r="C16" s="272" t="str">
        <f>IF(Table1[[#This Row],[Column2]]="","",Table1[[#This Row],[Column2]]+C$1-1)</f>
        <v/>
      </c>
      <c r="E16" s="273"/>
      <c r="F16" s="271"/>
      <c r="G16" s="278" t="str">
        <f ca="1">IF(Table1[[#This Row],[h_No. Invoice :]]="","",CONCATENATE("AM"," ",Table1[[#This Row],[h_No. Invoice :]]))</f>
        <v/>
      </c>
      <c r="H16" s="271" t="str">
        <f>IF(Table1[[#This Row],[Column5]]="","",INDEX(Table2[Column1],MATCH(Table1[[#This Row],[Column5]],Table2[a],0)))</f>
        <v/>
      </c>
      <c r="I16" s="279" t="str">
        <f>IF(Table1[[#This Row],[Column3]]=0,"",CONCATENATE(UPPER(Table1[[#This Row],[Column3]])," ",Table1[[#This Row],[Column4]]))</f>
        <v xml:space="preserve"> </v>
      </c>
      <c r="J16" s="278" t="str">
        <f>IF(Table1[[#This Row],[Column5]]="","",INDEX(Table2[e],IF(Table1[[#This Row],[Column5]]="","",MATCH(Table1[[#This Row],[Column5]],Table2[a],0)),))</f>
        <v/>
      </c>
      <c r="K16" s="271"/>
      <c r="L16" s="271"/>
      <c r="O16" s="278" t="str">
        <f>IF(Table1[[#This Row],[h_Item Description]]="","",INDEX([1]!db[NB PAJAK],MATCH(Table1[[#This Row],[h_Item Description]],[1]!db[kode],0)))</f>
        <v/>
      </c>
      <c r="Q16" s="274"/>
      <c r="R16" s="275"/>
      <c r="S16" s="275"/>
      <c r="T16" s="274" t="str">
        <f>Table1[[#This Row],[h_hargasetelahdiskon]]</f>
        <v/>
      </c>
      <c r="V16" s="271"/>
      <c r="W16" s="278" t="str">
        <f ca="1">IF(Table1[[#This Row],[Item Description]]="","",IF(Table1[[#This Row],[//]]="",INDIRECT(ADDRESS(ROW()-1,COLUMN())),Table1[[#This Row],[//]]))</f>
        <v/>
      </c>
      <c r="X16" s="278" t="str">
        <f ca="1">IF(Table1[[#This Row],[h_id]]="","",COUNTIF(Table1[h_id],Table1[[#This Row],[h_id]]))</f>
        <v/>
      </c>
      <c r="Y16" s="274" t="str">
        <f>IF(Table1[Item Description]="","",Table1[[#This Row],[Qty]]*Table1[[#This Row],[Unit Price]])</f>
        <v/>
      </c>
      <c r="Z16" s="274" t="str">
        <f>IF(Table1[[#This Row],[h_hargasebelumdiskon]]="","",IF(Table1[[#This Row],[Disc 1]]="",0,Table1[[#This Row],[h_hargasebelumdiskon]]*Table1[[#This Row],[Disc 1]]))</f>
        <v/>
      </c>
      <c r="AA16" s="274" t="str">
        <f>IF(Table1[[#This Row],[h_hargasebelumdiskon]]="","",IF(Table1[[#This Row],[Disc 2]]="",0,(Table1[[#This Row],[h_hargasebelumdiskon]]-Table1[[#This Row],[h_disc 1]])*Table1[[#This Row],[Disc 2]]))</f>
        <v/>
      </c>
      <c r="AB16" s="274" t="str">
        <f>IF(Table1[Item Description]="","",Table1[[#This Row],[h_disc 1]]+Table1[[#This Row],[h_disc 2]])</f>
        <v/>
      </c>
      <c r="AC16" s="274" t="str">
        <f>IF(Table1[Item Description]="","",Table1[[#This Row],[h_hargasebelumdiskon]]-Table1[[#This Row],[h_diskon]])</f>
        <v/>
      </c>
      <c r="AD16" s="274" t="str">
        <f ca="1">IF(Table1[//]="","",SUMIF(Table1[h_id],Table1[h_id],Table1[h_hargasetelahdiskon]))</f>
        <v/>
      </c>
      <c r="AF16" s="274" t="str">
        <f>Table1[[#This Row],[Item Description]]&amp;Table1[[#This Row],[Unit]]&amp;Table1[[#This Row],[Unit Price]]</f>
        <v/>
      </c>
      <c r="AG16" s="3"/>
      <c r="AH16" s="3"/>
      <c r="AI16" s="3"/>
    </row>
    <row r="17" spans="1:35" x14ac:dyDescent="0.25">
      <c r="A17" s="278">
        <f ca="1">IF(Table1[[#This Row],[No. Invoice :]]="","",ROW())</f>
        <v>17</v>
      </c>
      <c r="B17" s="278">
        <f ca="1">IF(Table1[Column3]="","",B$1+COUNT(INDIRECT("B$2:B"&amp;ROW()-1)))</f>
        <v>24020005</v>
      </c>
      <c r="C17" s="272">
        <f>IF(Table1[[#This Row],[Column2]]="","",Table1[[#This Row],[Column2]]+C$1-1)</f>
        <v>45328</v>
      </c>
      <c r="D17" s="281">
        <v>6</v>
      </c>
      <c r="E17" s="273" t="s">
        <v>209</v>
      </c>
      <c r="F17" s="271" t="s">
        <v>182</v>
      </c>
      <c r="G17" s="278" t="str">
        <f ca="1">IF(Table1[[#This Row],[h_No. Invoice :]]="","",CONCATENATE("AM"," ",Table1[[#This Row],[h_No. Invoice :]]))</f>
        <v>AM 24020005</v>
      </c>
      <c r="H17" s="271" t="str">
        <f>IF(Table1[[#This Row],[Column5]]="","",INDEX(Table2[Column1],MATCH(Table1[[#This Row],[Column5]],Table2[a],0)))</f>
        <v>KO</v>
      </c>
      <c r="I17" s="279" t="str">
        <f>IF(Table1[[#This Row],[Column3]]=0,"",CONCATENATE(UPPER(Table1[[#This Row],[Column3]])," ",Table1[[#This Row],[Column4]]))</f>
        <v>KO 2605</v>
      </c>
      <c r="J17" s="278" t="str">
        <f>IF(Table1[[#This Row],[Column5]]="","",INDEX(Table2[e],IF(Table1[[#This Row],[Column5]]="","",MATCH(Table1[[#This Row],[Column5]],Table2[a],0)),))</f>
        <v>CV LANCAR JAYA SENTOSA MALANG</v>
      </c>
      <c r="K17" s="271">
        <v>100</v>
      </c>
      <c r="L17" s="271" t="s">
        <v>135</v>
      </c>
      <c r="M17" s="271">
        <v>2</v>
      </c>
      <c r="O17" s="278" t="str">
        <f>IF(Table1[[#This Row],[h_Item Description]]="","",INDEX([1]!db[NB PAJAK],MATCH(Table1[[#This Row],[h_Item Description]],[1]!db[kode],0)))</f>
        <v/>
      </c>
      <c r="P17" s="271" t="s">
        <v>210</v>
      </c>
      <c r="Q17" s="274">
        <v>25000</v>
      </c>
      <c r="R17" s="275"/>
      <c r="S17" s="275"/>
      <c r="T17" s="274">
        <f>Table1[[#This Row],[h_hargasetelahdiskon]]</f>
        <v>2500000</v>
      </c>
      <c r="U17" s="274" t="s">
        <v>166</v>
      </c>
      <c r="V17" s="271"/>
      <c r="W17" s="278">
        <f ca="1">IF(Table1[[#This Row],[Item Description]]="","",IF(Table1[[#This Row],[//]]="",INDIRECT(ADDRESS(ROW()-1,COLUMN())),Table1[[#This Row],[//]]))</f>
        <v>17</v>
      </c>
      <c r="X17" s="278">
        <f ca="1">IF(Table1[[#This Row],[h_id]]="","",COUNTIF(Table1[h_id],Table1[[#This Row],[h_id]]))</f>
        <v>2</v>
      </c>
      <c r="Y17" s="274">
        <f>IF(Table1[Item Description]="","",Table1[[#This Row],[Qty]]*Table1[[#This Row],[Unit Price]])</f>
        <v>2500000</v>
      </c>
      <c r="Z17" s="274">
        <f>IF(Table1[[#This Row],[h_hargasebelumdiskon]]="","",IF(Table1[[#This Row],[Disc 1]]="",0,Table1[[#This Row],[h_hargasebelumdiskon]]*Table1[[#This Row],[Disc 1]]))</f>
        <v>0</v>
      </c>
      <c r="AA17" s="274">
        <f>IF(Table1[[#This Row],[h_hargasebelumdiskon]]="","",IF(Table1[[#This Row],[Disc 2]]="",0,(Table1[[#This Row],[h_hargasebelumdiskon]]-Table1[[#This Row],[h_disc 1]])*Table1[[#This Row],[Disc 2]]))</f>
        <v>0</v>
      </c>
      <c r="AB17" s="274">
        <f>IF(Table1[Item Description]="","",Table1[[#This Row],[h_disc 1]]+Table1[[#This Row],[h_disc 2]])</f>
        <v>0</v>
      </c>
      <c r="AC17" s="274">
        <f>IF(Table1[Item Description]="","",Table1[[#This Row],[h_hargasebelumdiskon]]-Table1[[#This Row],[h_diskon]])</f>
        <v>2500000</v>
      </c>
      <c r="AD17" s="274">
        <f ca="1">IF(Table1[//]="","",SUMIF(Table1[h_id],Table1[h_id],Table1[h_hargasetelahdiskon]))</f>
        <v>3452000</v>
      </c>
      <c r="AF17" s="274" t="str">
        <f>Table1[[#This Row],[Item Description]]&amp;Table1[[#This Row],[Unit]]&amp;Table1[[#This Row],[Unit Price]]</f>
        <v>ISI STAPLER (STAPLES) GREATWALL GW-369 (BESAR)PAK25000</v>
      </c>
      <c r="AG17" s="3"/>
      <c r="AH17" s="3"/>
      <c r="AI17" s="3"/>
    </row>
    <row r="18" spans="1:35" x14ac:dyDescent="0.25">
      <c r="A18" s="278" t="str">
        <f ca="1">IF(Table1[[#This Row],[No. Invoice :]]="","",ROW())</f>
        <v/>
      </c>
      <c r="B18" s="278" t="str">
        <f ca="1">IF(Table1[Column3]="","",B$1+COUNT(INDIRECT("B$2:B"&amp;ROW()-1)))</f>
        <v/>
      </c>
      <c r="C18" s="272" t="str">
        <f>IF(Table1[[#This Row],[Column2]]="","",Table1[[#This Row],[Column2]]+C$1-1)</f>
        <v/>
      </c>
      <c r="E18" s="273"/>
      <c r="F18" s="271"/>
      <c r="G18" s="278" t="str">
        <f ca="1">IF(Table1[[#This Row],[h_No. Invoice :]]="","",CONCATENATE("AM"," ",Table1[[#This Row],[h_No. Invoice :]]))</f>
        <v/>
      </c>
      <c r="H18" s="271" t="str">
        <f>IF(Table1[[#This Row],[Column5]]="","",INDEX(Table2[Column1],MATCH(Table1[[#This Row],[Column5]],Table2[a],0)))</f>
        <v/>
      </c>
      <c r="I18" s="279" t="str">
        <f>IF(Table1[[#This Row],[Column3]]=0,"",CONCATENATE(UPPER(Table1[[#This Row],[Column3]])," ",Table1[[#This Row],[Column4]]))</f>
        <v xml:space="preserve"> </v>
      </c>
      <c r="J18" s="278" t="str">
        <f>IF(Table1[[#This Row],[Column5]]="","",INDEX(Table2[e],IF(Table1[[#This Row],[Column5]]="","",MATCH(Table1[[#This Row],[Column5]],Table2[a],0)),))</f>
        <v/>
      </c>
      <c r="K18" s="271">
        <v>34</v>
      </c>
      <c r="L18" s="271" t="s">
        <v>206</v>
      </c>
      <c r="O18" s="278" t="str">
        <f>IF(Table1[[#This Row],[h_Item Description]]="","",INDEX([1]!db[NB PAJAK],MATCH(Table1[[#This Row],[h_Item Description]],[1]!db[kode],0)))</f>
        <v/>
      </c>
      <c r="P18" s="271" t="s">
        <v>163</v>
      </c>
      <c r="Q18" s="274">
        <v>32000</v>
      </c>
      <c r="R18" s="275">
        <v>0.125</v>
      </c>
      <c r="S18" s="275"/>
      <c r="T18" s="274">
        <f>Table1[[#This Row],[h_hargasetelahdiskon]]</f>
        <v>952000</v>
      </c>
      <c r="V18" s="271"/>
      <c r="W18" s="278">
        <f ca="1">IF(Table1[[#This Row],[Item Description]]="","",IF(Table1[[#This Row],[//]]="",INDIRECT(ADDRESS(ROW()-1,COLUMN())),Table1[[#This Row],[//]]))</f>
        <v>17</v>
      </c>
      <c r="X18" s="278">
        <f ca="1">IF(Table1[[#This Row],[h_id]]="","",COUNTIF(Table1[h_id],Table1[[#This Row],[h_id]]))</f>
        <v>2</v>
      </c>
      <c r="Y18" s="274">
        <f>IF(Table1[Item Description]="","",Table1[[#This Row],[Qty]]*Table1[[#This Row],[Unit Price]])</f>
        <v>1088000</v>
      </c>
      <c r="Z18" s="274">
        <f>IF(Table1[[#This Row],[h_hargasebelumdiskon]]="","",IF(Table1[[#This Row],[Disc 1]]="",0,Table1[[#This Row],[h_hargasebelumdiskon]]*Table1[[#This Row],[Disc 1]]))</f>
        <v>136000</v>
      </c>
      <c r="AA18" s="274">
        <f>IF(Table1[[#This Row],[h_hargasebelumdiskon]]="","",IF(Table1[[#This Row],[Disc 2]]="",0,(Table1[[#This Row],[h_hargasebelumdiskon]]-Table1[[#This Row],[h_disc 1]])*Table1[[#This Row],[Disc 2]]))</f>
        <v>0</v>
      </c>
      <c r="AB18" s="274">
        <f>IF(Table1[Item Description]="","",Table1[[#This Row],[h_disc 1]]+Table1[[#This Row],[h_disc 2]])</f>
        <v>136000</v>
      </c>
      <c r="AC18" s="274">
        <f>IF(Table1[Item Description]="","",Table1[[#This Row],[h_hargasebelumdiskon]]-Table1[[#This Row],[h_diskon]])</f>
        <v>952000</v>
      </c>
      <c r="AD18" s="274" t="str">
        <f ca="1">IF(Table1[//]="","",SUMIF(Table1[h_id],Table1[h_id],Table1[h_hargasetelahdiskon]))</f>
        <v/>
      </c>
      <c r="AF18" s="274" t="str">
        <f>Table1[[#This Row],[Item Description]]&amp;Table1[[#This Row],[Unit]]&amp;Table1[[#This Row],[Unit Price]]</f>
        <v>STIP / PENGHAPUS JOYKO EB-30 HITAMDOS32000</v>
      </c>
      <c r="AG18" s="3"/>
      <c r="AH18" s="3"/>
      <c r="AI18" s="3"/>
    </row>
    <row r="19" spans="1:35" x14ac:dyDescent="0.25">
      <c r="A19" s="278" t="str">
        <f ca="1">IF(Table1[[#This Row],[No. Invoice :]]="","",ROW())</f>
        <v/>
      </c>
      <c r="B19" s="278" t="str">
        <f ca="1">IF(Table1[Column3]="","",B$1+COUNT(INDIRECT("B$2:B"&amp;ROW()-1)))</f>
        <v/>
      </c>
      <c r="C19" s="272" t="str">
        <f>IF(Table1[[#This Row],[Column2]]="","",Table1[[#This Row],[Column2]]+C$1-1)</f>
        <v/>
      </c>
      <c r="E19" s="273"/>
      <c r="F19" s="271"/>
      <c r="G19" s="278" t="str">
        <f ca="1">IF(Table1[[#This Row],[h_No. Invoice :]]="","",CONCATENATE("AM"," ",Table1[[#This Row],[h_No. Invoice :]]))</f>
        <v/>
      </c>
      <c r="H19" s="271" t="str">
        <f>IF(Table1[[#This Row],[Column5]]="","",INDEX(Table2[Column1],MATCH(Table1[[#This Row],[Column5]],Table2[a],0)))</f>
        <v/>
      </c>
      <c r="I19" s="279" t="str">
        <f>IF(Table1[[#This Row],[Column3]]=0,"",CONCATENATE(UPPER(Table1[[#This Row],[Column3]])," ",Table1[[#This Row],[Column4]]))</f>
        <v xml:space="preserve"> </v>
      </c>
      <c r="J19" s="278" t="str">
        <f>IF(Table1[[#This Row],[Column5]]="","",INDEX(Table2[e],IF(Table1[[#This Row],[Column5]]="","",MATCH(Table1[[#This Row],[Column5]],Table2[a],0)),))</f>
        <v/>
      </c>
      <c r="K19" s="271"/>
      <c r="L19" s="271"/>
      <c r="O19" s="278" t="str">
        <f>IF(Table1[[#This Row],[h_Item Description]]="","",INDEX([1]!db[NB PAJAK],MATCH(Table1[[#This Row],[h_Item Description]],[1]!db[kode],0)))</f>
        <v/>
      </c>
      <c r="Q19" s="274"/>
      <c r="R19" s="275"/>
      <c r="S19" s="275"/>
      <c r="T19" s="274" t="str">
        <f>Table1[[#This Row],[h_hargasetelahdiskon]]</f>
        <v/>
      </c>
      <c r="V19" s="271"/>
      <c r="W19" s="278" t="str">
        <f ca="1">IF(Table1[[#This Row],[Item Description]]="","",IF(Table1[[#This Row],[//]]="",INDIRECT(ADDRESS(ROW()-1,COLUMN())),Table1[[#This Row],[//]]))</f>
        <v/>
      </c>
      <c r="X19" s="278" t="str">
        <f ca="1">IF(Table1[[#This Row],[h_id]]="","",COUNTIF(Table1[h_id],Table1[[#This Row],[h_id]]))</f>
        <v/>
      </c>
      <c r="Y19" s="274" t="str">
        <f>IF(Table1[Item Description]="","",Table1[[#This Row],[Qty]]*Table1[[#This Row],[Unit Price]])</f>
        <v/>
      </c>
      <c r="Z19" s="274" t="str">
        <f>IF(Table1[[#This Row],[h_hargasebelumdiskon]]="","",IF(Table1[[#This Row],[Disc 1]]="",0,Table1[[#This Row],[h_hargasebelumdiskon]]*Table1[[#This Row],[Disc 1]]))</f>
        <v/>
      </c>
      <c r="AA19" s="274" t="str">
        <f>IF(Table1[[#This Row],[h_hargasebelumdiskon]]="","",IF(Table1[[#This Row],[Disc 2]]="",0,(Table1[[#This Row],[h_hargasebelumdiskon]]-Table1[[#This Row],[h_disc 1]])*Table1[[#This Row],[Disc 2]]))</f>
        <v/>
      </c>
      <c r="AB19" s="274" t="str">
        <f>IF(Table1[Item Description]="","",Table1[[#This Row],[h_disc 1]]+Table1[[#This Row],[h_disc 2]])</f>
        <v/>
      </c>
      <c r="AC19" s="274" t="str">
        <f>IF(Table1[Item Description]="","",Table1[[#This Row],[h_hargasebelumdiskon]]-Table1[[#This Row],[h_diskon]])</f>
        <v/>
      </c>
      <c r="AD19" s="274" t="str">
        <f ca="1">IF(Table1[//]="","",SUMIF(Table1[h_id],Table1[h_id],Table1[h_hargasetelahdiskon]))</f>
        <v/>
      </c>
      <c r="AF19" s="274" t="str">
        <f>Table1[[#This Row],[Item Description]]&amp;Table1[[#This Row],[Unit]]&amp;Table1[[#This Row],[Unit Price]]</f>
        <v/>
      </c>
      <c r="AG19" s="3"/>
      <c r="AH19" s="3"/>
      <c r="AI19" s="3"/>
    </row>
    <row r="20" spans="1:35" x14ac:dyDescent="0.25">
      <c r="A20" s="278">
        <f ca="1">IF(Table1[[#This Row],[No. Invoice :]]="","",ROW())</f>
        <v>20</v>
      </c>
      <c r="B20" s="278">
        <f ca="1">IF(Table1[Column3]="","",B$1+COUNT(INDIRECT("B$2:B"&amp;ROW()-1)))</f>
        <v>24020006</v>
      </c>
      <c r="C20" s="272">
        <f>IF(Table1[[#This Row],[Column2]]="","",Table1[[#This Row],[Column2]]+C$1-1)</f>
        <v>45329</v>
      </c>
      <c r="D20" s="281">
        <v>7</v>
      </c>
      <c r="E20" s="273" t="s">
        <v>211</v>
      </c>
      <c r="F20" s="271" t="s">
        <v>145</v>
      </c>
      <c r="G20" s="278" t="str">
        <f ca="1">IF(Table1[[#This Row],[h_No. Invoice :]]="","",CONCATENATE("AM"," ",Table1[[#This Row],[h_No. Invoice :]]))</f>
        <v>AM 24020006</v>
      </c>
      <c r="H20" s="271" t="str">
        <f>IF(Table1[[#This Row],[Column5]]="","",INDEX(Table2[Column1],MATCH(Table1[[#This Row],[Column5]],Table2[a],0)))</f>
        <v>G</v>
      </c>
      <c r="I20" s="279" t="str">
        <f>IF(Table1[[#This Row],[Column3]]=0,"",CONCATENATE(UPPER(Table1[[#This Row],[Column3]])," ",Table1[[#This Row],[Column4]]))</f>
        <v>G 2662</v>
      </c>
      <c r="J20" s="278" t="str">
        <f>IF(Table1[[#This Row],[Column5]]="","",INDEX(Table2[e],IF(Table1[[#This Row],[Column5]]="","",MATCH(Table1[[#This Row],[Column5]],Table2[a],0)),))</f>
        <v>LILY JULIAWATI (REJO AGUNG) JOMBANG</v>
      </c>
      <c r="K20" s="271">
        <v>240</v>
      </c>
      <c r="L20" s="271" t="s">
        <v>149</v>
      </c>
      <c r="M20" s="271">
        <v>10</v>
      </c>
      <c r="N20" s="271" t="s">
        <v>158</v>
      </c>
      <c r="O20" s="278" t="str">
        <f>IF(Table1[[#This Row],[h_Item Description]]="","",INDEX([1]!db[NB PAJAK],MATCH(Table1[[#This Row],[h_Item Description]],[1]!db[kode],0)))</f>
        <v>TAPE CUTTER JOYKO TD-103</v>
      </c>
      <c r="P20" s="271" t="s">
        <v>160</v>
      </c>
      <c r="Q20" s="274">
        <v>19000</v>
      </c>
      <c r="R20" s="275">
        <v>0.125</v>
      </c>
      <c r="S20" s="275"/>
      <c r="T20" s="274">
        <f>Table1[[#This Row],[h_hargasetelahdiskon]]</f>
        <v>3990000</v>
      </c>
      <c r="U20" s="274" t="s">
        <v>129</v>
      </c>
      <c r="V20" s="271"/>
      <c r="W20" s="278">
        <f ca="1">IF(Table1[[#This Row],[Item Description]]="","",IF(Table1[[#This Row],[//]]="",INDIRECT(ADDRESS(ROW()-1,COLUMN())),Table1[[#This Row],[//]]))</f>
        <v>20</v>
      </c>
      <c r="X20" s="278">
        <f ca="1">IF(Table1[[#This Row],[h_id]]="","",COUNTIF(Table1[h_id],Table1[[#This Row],[h_id]]))</f>
        <v>4</v>
      </c>
      <c r="Y20" s="274">
        <f>IF(Table1[Item Description]="","",Table1[[#This Row],[Qty]]*Table1[[#This Row],[Unit Price]])</f>
        <v>4560000</v>
      </c>
      <c r="Z20" s="274">
        <f>IF(Table1[[#This Row],[h_hargasebelumdiskon]]="","",IF(Table1[[#This Row],[Disc 1]]="",0,Table1[[#This Row],[h_hargasebelumdiskon]]*Table1[[#This Row],[Disc 1]]))</f>
        <v>570000</v>
      </c>
      <c r="AA20" s="274">
        <f>IF(Table1[[#This Row],[h_hargasebelumdiskon]]="","",IF(Table1[[#This Row],[Disc 2]]="",0,(Table1[[#This Row],[h_hargasebelumdiskon]]-Table1[[#This Row],[h_disc 1]])*Table1[[#This Row],[Disc 2]]))</f>
        <v>0</v>
      </c>
      <c r="AB20" s="274">
        <f>IF(Table1[Item Description]="","",Table1[[#This Row],[h_disc 1]]+Table1[[#This Row],[h_disc 2]])</f>
        <v>570000</v>
      </c>
      <c r="AC20" s="274">
        <f>IF(Table1[Item Description]="","",Table1[[#This Row],[h_hargasebelumdiskon]]-Table1[[#This Row],[h_diskon]])</f>
        <v>3990000</v>
      </c>
      <c r="AD20" s="274">
        <f ca="1">IF(Table1[//]="","",SUMIF(Table1[h_id],Table1[h_id],Table1[h_hargasetelahdiskon]))</f>
        <v>17566500</v>
      </c>
      <c r="AF20" s="274" t="str">
        <f>Table1[[#This Row],[Item Description]]&amp;Table1[[#This Row],[Unit]]&amp;Table1[[#This Row],[Unit Price]]</f>
        <v>TAPE CUTTER JOYKO TD-103PCS19000</v>
      </c>
      <c r="AG20" s="3"/>
      <c r="AH20" s="3"/>
      <c r="AI20" s="3"/>
    </row>
    <row r="21" spans="1:35" x14ac:dyDescent="0.25">
      <c r="A21" s="278" t="str">
        <f ca="1">IF(Table1[[#This Row],[No. Invoice :]]="","",ROW())</f>
        <v/>
      </c>
      <c r="B21" s="278" t="str">
        <f ca="1">IF(Table1[Column3]="","",B$1+COUNT(INDIRECT("B$2:B"&amp;ROW()-1)))</f>
        <v/>
      </c>
      <c r="C21" s="272" t="str">
        <f>IF(Table1[[#This Row],[Column2]]="","",Table1[[#This Row],[Column2]]+C$1-1)</f>
        <v/>
      </c>
      <c r="E21" s="273"/>
      <c r="F21" s="271"/>
      <c r="G21" s="278" t="str">
        <f ca="1">IF(Table1[[#This Row],[h_No. Invoice :]]="","",CONCATENATE("AM"," ",Table1[[#This Row],[h_No. Invoice :]]))</f>
        <v/>
      </c>
      <c r="H21" s="271" t="str">
        <f>IF(Table1[[#This Row],[Column5]]="","",INDEX(Table2[Column1],MATCH(Table1[[#This Row],[Column5]],Table2[a],0)))</f>
        <v/>
      </c>
      <c r="I21" s="279" t="str">
        <f>IF(Table1[[#This Row],[Column3]]=0,"",CONCATENATE(UPPER(Table1[[#This Row],[Column3]])," ",Table1[[#This Row],[Column4]]))</f>
        <v xml:space="preserve"> </v>
      </c>
      <c r="J21" s="278" t="str">
        <f>IF(Table1[[#This Row],[Column5]]="","",INDEX(Table2[e],IF(Table1[[#This Row],[Column5]]="","",MATCH(Table1[[#This Row],[Column5]],Table2[a],0)),))</f>
        <v/>
      </c>
      <c r="K21" s="271">
        <v>216</v>
      </c>
      <c r="L21" s="271" t="s">
        <v>149</v>
      </c>
      <c r="M21" s="271">
        <v>1</v>
      </c>
      <c r="N21" s="271" t="s">
        <v>212</v>
      </c>
      <c r="O21" s="278" t="str">
        <f>IF(Table1[[#This Row],[h_Item Description]]="","",INDEX([1]!db[NB PAJAK],MATCH(Table1[[#This Row],[h_Item Description]],[1]!db[kode],0)))</f>
        <v>STAMP PAD JOYKO NO. 0</v>
      </c>
      <c r="P21" s="271" t="s">
        <v>213</v>
      </c>
      <c r="Q21" s="274">
        <v>4900</v>
      </c>
      <c r="R21" s="275">
        <v>0.125</v>
      </c>
      <c r="S21" s="275"/>
      <c r="T21" s="274">
        <f>Table1[[#This Row],[h_hargasetelahdiskon]]</f>
        <v>926100</v>
      </c>
      <c r="V21" s="271"/>
      <c r="W21" s="278">
        <f ca="1">IF(Table1[[#This Row],[Item Description]]="","",IF(Table1[[#This Row],[//]]="",INDIRECT(ADDRESS(ROW()-1,COLUMN())),Table1[[#This Row],[//]]))</f>
        <v>20</v>
      </c>
      <c r="X21" s="278">
        <f ca="1">IF(Table1[[#This Row],[h_id]]="","",COUNTIF(Table1[h_id],Table1[[#This Row],[h_id]]))</f>
        <v>4</v>
      </c>
      <c r="Y21" s="274">
        <f>IF(Table1[Item Description]="","",Table1[[#This Row],[Qty]]*Table1[[#This Row],[Unit Price]])</f>
        <v>1058400</v>
      </c>
      <c r="Z21" s="274">
        <f>IF(Table1[[#This Row],[h_hargasebelumdiskon]]="","",IF(Table1[[#This Row],[Disc 1]]="",0,Table1[[#This Row],[h_hargasebelumdiskon]]*Table1[[#This Row],[Disc 1]]))</f>
        <v>132300</v>
      </c>
      <c r="AA21" s="274">
        <f>IF(Table1[[#This Row],[h_hargasebelumdiskon]]="","",IF(Table1[[#This Row],[Disc 2]]="",0,(Table1[[#This Row],[h_hargasebelumdiskon]]-Table1[[#This Row],[h_disc 1]])*Table1[[#This Row],[Disc 2]]))</f>
        <v>0</v>
      </c>
      <c r="AB21" s="274">
        <f>IF(Table1[Item Description]="","",Table1[[#This Row],[h_disc 1]]+Table1[[#This Row],[h_disc 2]])</f>
        <v>132300</v>
      </c>
      <c r="AC21" s="274">
        <f>IF(Table1[Item Description]="","",Table1[[#This Row],[h_hargasebelumdiskon]]-Table1[[#This Row],[h_diskon]])</f>
        <v>926100</v>
      </c>
      <c r="AD21" s="274" t="str">
        <f ca="1">IF(Table1[//]="","",SUMIF(Table1[h_id],Table1[h_id],Table1[h_hargasetelahdiskon]))</f>
        <v/>
      </c>
      <c r="AF21" s="274" t="str">
        <f>Table1[[#This Row],[Item Description]]&amp;Table1[[#This Row],[Unit]]&amp;Table1[[#This Row],[Unit Price]]</f>
        <v>STAMP PAD JOYKO NO. 0PCS4900</v>
      </c>
      <c r="AG21" s="3"/>
      <c r="AH21" s="3"/>
      <c r="AI21" s="3"/>
    </row>
    <row r="22" spans="1:35" x14ac:dyDescent="0.25">
      <c r="A22" s="278" t="str">
        <f ca="1">IF(Table1[[#This Row],[No. Invoice :]]="","",ROW())</f>
        <v/>
      </c>
      <c r="B22" s="278" t="str">
        <f ca="1">IF(Table1[Column3]="","",B$1+COUNT(INDIRECT("B$2:B"&amp;ROW()-1)))</f>
        <v/>
      </c>
      <c r="C22" s="272" t="str">
        <f>IF(Table1[[#This Row],[Column2]]="","",Table1[[#This Row],[Column2]]+C$1-1)</f>
        <v/>
      </c>
      <c r="E22" s="273"/>
      <c r="F22" s="271"/>
      <c r="G22" s="278" t="str">
        <f ca="1">IF(Table1[[#This Row],[h_No. Invoice :]]="","",CONCATENATE("AM"," ",Table1[[#This Row],[h_No. Invoice :]]))</f>
        <v/>
      </c>
      <c r="H22" s="271" t="str">
        <f>IF(Table1[[#This Row],[Column5]]="","",INDEX(Table2[Column1],MATCH(Table1[[#This Row],[Column5]],Table2[a],0)))</f>
        <v/>
      </c>
      <c r="I22" s="279" t="str">
        <f>IF(Table1[[#This Row],[Column3]]=0,"",CONCATENATE(UPPER(Table1[[#This Row],[Column3]])," ",Table1[[#This Row],[Column4]]))</f>
        <v xml:space="preserve"> </v>
      </c>
      <c r="J22" s="278" t="str">
        <f>IF(Table1[[#This Row],[Column5]]="","",INDEX(Table2[e],IF(Table1[[#This Row],[Column5]]="","",MATCH(Table1[[#This Row],[Column5]],Table2[a],0)),))</f>
        <v/>
      </c>
      <c r="K22" s="271">
        <v>192</v>
      </c>
      <c r="L22" s="271" t="s">
        <v>159</v>
      </c>
      <c r="M22" s="271">
        <v>1</v>
      </c>
      <c r="N22" s="271" t="s">
        <v>214</v>
      </c>
      <c r="O22" s="278" t="str">
        <f>IF(Table1[[#This Row],[h_Item Description]]="","",INDEX([1]!db[NB PAJAK],MATCH(Table1[[#This Row],[h_Item Description]],[1]!db[kode],0)))</f>
        <v>GEL PEN SET JOYKO GPC-309S DIAMOND ART</v>
      </c>
      <c r="P22" s="271" t="s">
        <v>215</v>
      </c>
      <c r="Q22" s="274">
        <v>16800</v>
      </c>
      <c r="R22" s="275">
        <v>0.125</v>
      </c>
      <c r="S22" s="275"/>
      <c r="T22" s="274">
        <f>Table1[[#This Row],[h_hargasetelahdiskon]]</f>
        <v>2822400</v>
      </c>
      <c r="V22" s="271"/>
      <c r="W22" s="278">
        <f ca="1">IF(Table1[[#This Row],[Item Description]]="","",IF(Table1[[#This Row],[//]]="",INDIRECT(ADDRESS(ROW()-1,COLUMN())),Table1[[#This Row],[//]]))</f>
        <v>20</v>
      </c>
      <c r="X22" s="278">
        <f ca="1">IF(Table1[[#This Row],[h_id]]="","",COUNTIF(Table1[h_id],Table1[[#This Row],[h_id]]))</f>
        <v>4</v>
      </c>
      <c r="Y22" s="274">
        <f>IF(Table1[Item Description]="","",Table1[[#This Row],[Qty]]*Table1[[#This Row],[Unit Price]])</f>
        <v>3225600</v>
      </c>
      <c r="Z22" s="274">
        <f>IF(Table1[[#This Row],[h_hargasebelumdiskon]]="","",IF(Table1[[#This Row],[Disc 1]]="",0,Table1[[#This Row],[h_hargasebelumdiskon]]*Table1[[#This Row],[Disc 1]]))</f>
        <v>403200</v>
      </c>
      <c r="AA22" s="274">
        <f>IF(Table1[[#This Row],[h_hargasebelumdiskon]]="","",IF(Table1[[#This Row],[Disc 2]]="",0,(Table1[[#This Row],[h_hargasebelumdiskon]]-Table1[[#This Row],[h_disc 1]])*Table1[[#This Row],[Disc 2]]))</f>
        <v>0</v>
      </c>
      <c r="AB22" s="274">
        <f>IF(Table1[Item Description]="","",Table1[[#This Row],[h_disc 1]]+Table1[[#This Row],[h_disc 2]])</f>
        <v>403200</v>
      </c>
      <c r="AC22" s="274">
        <f>IF(Table1[Item Description]="","",Table1[[#This Row],[h_hargasebelumdiskon]]-Table1[[#This Row],[h_diskon]])</f>
        <v>2822400</v>
      </c>
      <c r="AD22" s="274" t="str">
        <f ca="1">IF(Table1[//]="","",SUMIF(Table1[h_id],Table1[h_id],Table1[h_hargasetelahdiskon]))</f>
        <v/>
      </c>
      <c r="AF22" s="274" t="str">
        <f>Table1[[#This Row],[Item Description]]&amp;Table1[[#This Row],[Unit]]&amp;Table1[[#This Row],[Unit Price]]</f>
        <v>GEL PEN SET JOYKO GPC-309S DIAMOND ARTSET16800</v>
      </c>
      <c r="AG22" s="3"/>
      <c r="AH22" s="3"/>
      <c r="AI22" s="3"/>
    </row>
    <row r="23" spans="1:35" x14ac:dyDescent="0.25">
      <c r="A23" s="278" t="str">
        <f ca="1">IF(Table1[[#This Row],[No. Invoice :]]="","",ROW())</f>
        <v/>
      </c>
      <c r="B23" s="278" t="str">
        <f ca="1">IF(Table1[Column3]="","",B$1+COUNT(INDIRECT("B$2:B"&amp;ROW()-1)))</f>
        <v/>
      </c>
      <c r="C23" s="272" t="str">
        <f>IF(Table1[[#This Row],[Column2]]="","",Table1[[#This Row],[Column2]]+C$1-1)</f>
        <v/>
      </c>
      <c r="E23" s="273"/>
      <c r="F23" s="271"/>
      <c r="G23" s="278" t="str">
        <f ca="1">IF(Table1[[#This Row],[h_No. Invoice :]]="","",CONCATENATE("AM"," ",Table1[[#This Row],[h_No. Invoice :]]))</f>
        <v/>
      </c>
      <c r="H23" s="271" t="str">
        <f>IF(Table1[[#This Row],[Column5]]="","",INDEX(Table2[Column1],MATCH(Table1[[#This Row],[Column5]],Table2[a],0)))</f>
        <v/>
      </c>
      <c r="I23" s="279" t="str">
        <f>IF(Table1[[#This Row],[Column3]]=0,"",CONCATENATE(UPPER(Table1[[#This Row],[Column3]])," ",Table1[[#This Row],[Column4]]))</f>
        <v xml:space="preserve"> </v>
      </c>
      <c r="J23" s="278" t="str">
        <f>IF(Table1[[#This Row],[Column5]]="","",INDEX(Table2[e],IF(Table1[[#This Row],[Column5]]="","",MATCH(Table1[[#This Row],[Column5]],Table2[a],0)),))</f>
        <v/>
      </c>
      <c r="K23" s="271">
        <v>288</v>
      </c>
      <c r="L23" s="271" t="s">
        <v>136</v>
      </c>
      <c r="M23" s="271">
        <v>2</v>
      </c>
      <c r="N23" s="271" t="s">
        <v>183</v>
      </c>
      <c r="O23" s="278" t="str">
        <f>IF(Table1[[#This Row],[h_Item Description]]="","",INDEX([1]!db[NB PAJAK],MATCH(Table1[[#This Row],[h_Item Description]],[1]!db[kode],0)))</f>
        <v>GEL PEN KENKO HI-TECH-H 0.28 MM HITAM</v>
      </c>
      <c r="P23" s="271" t="s">
        <v>184</v>
      </c>
      <c r="Q23" s="274">
        <v>39000</v>
      </c>
      <c r="R23" s="275">
        <v>0.125</v>
      </c>
      <c r="S23" s="275"/>
      <c r="T23" s="274">
        <f>Table1[[#This Row],[h_hargasetelahdiskon]]</f>
        <v>9828000</v>
      </c>
      <c r="V23" s="271"/>
      <c r="W23" s="278">
        <f ca="1">IF(Table1[[#This Row],[Item Description]]="","",IF(Table1[[#This Row],[//]]="",INDIRECT(ADDRESS(ROW()-1,COLUMN())),Table1[[#This Row],[//]]))</f>
        <v>20</v>
      </c>
      <c r="X23" s="278">
        <f ca="1">IF(Table1[[#This Row],[h_id]]="","",COUNTIF(Table1[h_id],Table1[[#This Row],[h_id]]))</f>
        <v>4</v>
      </c>
      <c r="Y23" s="274">
        <f>IF(Table1[Item Description]="","",Table1[[#This Row],[Qty]]*Table1[[#This Row],[Unit Price]])</f>
        <v>11232000</v>
      </c>
      <c r="Z23" s="274">
        <f>IF(Table1[[#This Row],[h_hargasebelumdiskon]]="","",IF(Table1[[#This Row],[Disc 1]]="",0,Table1[[#This Row],[h_hargasebelumdiskon]]*Table1[[#This Row],[Disc 1]]))</f>
        <v>1404000</v>
      </c>
      <c r="AA23" s="274">
        <f>IF(Table1[[#This Row],[h_hargasebelumdiskon]]="","",IF(Table1[[#This Row],[Disc 2]]="",0,(Table1[[#This Row],[h_hargasebelumdiskon]]-Table1[[#This Row],[h_disc 1]])*Table1[[#This Row],[Disc 2]]))</f>
        <v>0</v>
      </c>
      <c r="AB23" s="274">
        <f>IF(Table1[Item Description]="","",Table1[[#This Row],[h_disc 1]]+Table1[[#This Row],[h_disc 2]])</f>
        <v>1404000</v>
      </c>
      <c r="AC23" s="274">
        <f>IF(Table1[Item Description]="","",Table1[[#This Row],[h_hargasebelumdiskon]]-Table1[[#This Row],[h_diskon]])</f>
        <v>9828000</v>
      </c>
      <c r="AD23" s="274" t="str">
        <f ca="1">IF(Table1[//]="","",SUMIF(Table1[h_id],Table1[h_id],Table1[h_hargasetelahdiskon]))</f>
        <v/>
      </c>
      <c r="AF23" s="274" t="str">
        <f>Table1[[#This Row],[Item Description]]&amp;Table1[[#This Row],[Unit]]&amp;Table1[[#This Row],[Unit Price]]</f>
        <v>GEL PEN KENKO HI-TECH-H 0.28 MM HITAMLSN39000</v>
      </c>
      <c r="AG23" s="3"/>
      <c r="AH23" s="3"/>
      <c r="AI23" s="3"/>
    </row>
    <row r="24" spans="1:35" x14ac:dyDescent="0.25">
      <c r="A24" s="278" t="str">
        <f ca="1">IF(Table1[[#This Row],[No. Invoice :]]="","",ROW())</f>
        <v/>
      </c>
      <c r="B24" s="278" t="str">
        <f ca="1">IF(Table1[Column3]="","",B$1+COUNT(INDIRECT("B$2:B"&amp;ROW()-1)))</f>
        <v/>
      </c>
      <c r="C24" s="272" t="str">
        <f>IF(Table1[[#This Row],[Column2]]="","",Table1[[#This Row],[Column2]]+C$1-1)</f>
        <v/>
      </c>
      <c r="E24" s="273"/>
      <c r="F24" s="271"/>
      <c r="G24" s="278" t="str">
        <f ca="1">IF(Table1[[#This Row],[h_No. Invoice :]]="","",CONCATENATE("AM"," ",Table1[[#This Row],[h_No. Invoice :]]))</f>
        <v/>
      </c>
      <c r="H24" s="271" t="str">
        <f>IF(Table1[[#This Row],[Column5]]="","",INDEX(Table2[Column1],MATCH(Table1[[#This Row],[Column5]],Table2[a],0)))</f>
        <v/>
      </c>
      <c r="I24" s="279" t="str">
        <f>IF(Table1[[#This Row],[Column3]]=0,"",CONCATENATE(UPPER(Table1[[#This Row],[Column3]])," ",Table1[[#This Row],[Column4]]))</f>
        <v xml:space="preserve"> </v>
      </c>
      <c r="J24" s="278" t="str">
        <f>IF(Table1[[#This Row],[Column5]]="","",INDEX(Table2[e],IF(Table1[[#This Row],[Column5]]="","",MATCH(Table1[[#This Row],[Column5]],Table2[a],0)),))</f>
        <v/>
      </c>
      <c r="K24" s="271"/>
      <c r="L24" s="271"/>
      <c r="O24" s="278" t="str">
        <f>IF(Table1[[#This Row],[h_Item Description]]="","",INDEX([1]!db[NB PAJAK],MATCH(Table1[[#This Row],[h_Item Description]],[1]!db[kode],0)))</f>
        <v/>
      </c>
      <c r="Q24" s="274"/>
      <c r="R24" s="275"/>
      <c r="S24" s="275"/>
      <c r="T24" s="274" t="str">
        <f>Table1[[#This Row],[h_hargasetelahdiskon]]</f>
        <v/>
      </c>
      <c r="V24" s="271"/>
      <c r="W24" s="278" t="str">
        <f ca="1">IF(Table1[[#This Row],[Item Description]]="","",IF(Table1[[#This Row],[//]]="",INDIRECT(ADDRESS(ROW()-1,COLUMN())),Table1[[#This Row],[//]]))</f>
        <v/>
      </c>
      <c r="X24" s="278" t="str">
        <f ca="1">IF(Table1[[#This Row],[h_id]]="","",COUNTIF(Table1[h_id],Table1[[#This Row],[h_id]]))</f>
        <v/>
      </c>
      <c r="Y24" s="274" t="str">
        <f>IF(Table1[Item Description]="","",Table1[[#This Row],[Qty]]*Table1[[#This Row],[Unit Price]])</f>
        <v/>
      </c>
      <c r="Z24" s="274" t="str">
        <f>IF(Table1[[#This Row],[h_hargasebelumdiskon]]="","",IF(Table1[[#This Row],[Disc 1]]="",0,Table1[[#This Row],[h_hargasebelumdiskon]]*Table1[[#This Row],[Disc 1]]))</f>
        <v/>
      </c>
      <c r="AA24" s="274" t="str">
        <f>IF(Table1[[#This Row],[h_hargasebelumdiskon]]="","",IF(Table1[[#This Row],[Disc 2]]="",0,(Table1[[#This Row],[h_hargasebelumdiskon]]-Table1[[#This Row],[h_disc 1]])*Table1[[#This Row],[Disc 2]]))</f>
        <v/>
      </c>
      <c r="AB24" s="274" t="str">
        <f>IF(Table1[Item Description]="","",Table1[[#This Row],[h_disc 1]]+Table1[[#This Row],[h_disc 2]])</f>
        <v/>
      </c>
      <c r="AC24" s="274" t="str">
        <f>IF(Table1[Item Description]="","",Table1[[#This Row],[h_hargasebelumdiskon]]-Table1[[#This Row],[h_diskon]])</f>
        <v/>
      </c>
      <c r="AD24" s="274" t="str">
        <f ca="1">IF(Table1[//]="","",SUMIF(Table1[h_id],Table1[h_id],Table1[h_hargasetelahdiskon]))</f>
        <v/>
      </c>
      <c r="AF24" s="274" t="str">
        <f>Table1[[#This Row],[Item Description]]&amp;Table1[[#This Row],[Unit]]&amp;Table1[[#This Row],[Unit Price]]</f>
        <v/>
      </c>
      <c r="AG24" s="3"/>
      <c r="AH24" s="3"/>
      <c r="AI24" s="3"/>
    </row>
    <row r="25" spans="1:35" x14ac:dyDescent="0.25">
      <c r="A25" s="278">
        <f ca="1">IF(Table1[[#This Row],[No. Invoice :]]="","",ROW())</f>
        <v>25</v>
      </c>
      <c r="B25" s="278">
        <f ca="1">IF(Table1[Column3]="","",B$1+COUNT(INDIRECT("B$2:B"&amp;ROW()-1)))</f>
        <v>24020007</v>
      </c>
      <c r="C25" s="272">
        <f>IF(Table1[[#This Row],[Column2]]="","",Table1[[#This Row],[Column2]]+C$1-1)</f>
        <v>45329</v>
      </c>
      <c r="D25" s="281">
        <v>7</v>
      </c>
      <c r="E25" s="273" t="s">
        <v>216</v>
      </c>
      <c r="F25" s="271" t="s">
        <v>80</v>
      </c>
      <c r="G25" s="278" t="str">
        <f ca="1">IF(Table1[[#This Row],[h_No. Invoice :]]="","",CONCATENATE("AM"," ",Table1[[#This Row],[h_No. Invoice :]]))</f>
        <v>AM 24020007</v>
      </c>
      <c r="H25" s="271" t="str">
        <f>IF(Table1[[#This Row],[Column5]]="","",INDEX(Table2[Column1],MATCH(Table1[[#This Row],[Column5]],Table2[a],0)))</f>
        <v>KO</v>
      </c>
      <c r="I25" s="279" t="str">
        <f>IF(Table1[[#This Row],[Column3]]=0,"",CONCATENATE(UPPER(Table1[[#This Row],[Column3]])," ",Table1[[#This Row],[Column4]]))</f>
        <v>KO 2666</v>
      </c>
      <c r="J25" s="278" t="str">
        <f>IF(Table1[[#This Row],[Column5]]="","",INDEX(Table2[e],IF(Table1[[#This Row],[Column5]]="","",MATCH(Table1[[#This Row],[Column5]],Table2[a],0)),))</f>
        <v>CV PELITA JAYA (ANUGERAH SEJAHTERA) PURWOKERTO</v>
      </c>
      <c r="K25" s="271">
        <v>12</v>
      </c>
      <c r="L25" s="271" t="s">
        <v>149</v>
      </c>
      <c r="M25" s="271">
        <v>2</v>
      </c>
      <c r="N25" s="271" t="s">
        <v>217</v>
      </c>
      <c r="O25" s="278" t="str">
        <f>IF(Table1[[#This Row],[h_Item Description]]="","",INDEX([1]!db[NB PAJAK],MATCH(Table1[[#This Row],[h_Item Description]],[1]!db[kode],0)))</f>
        <v>STAPLER HEAVY DUTY KENKO HD-12N/13</v>
      </c>
      <c r="P25" s="271" t="s">
        <v>218</v>
      </c>
      <c r="Q25" s="274">
        <v>84000</v>
      </c>
      <c r="R25" s="275">
        <v>0.13500000000000001</v>
      </c>
      <c r="S25" s="275"/>
      <c r="T25" s="274">
        <f>Table1[[#This Row],[h_hargasetelahdiskon]]</f>
        <v>871920</v>
      </c>
      <c r="U25" s="274" t="s">
        <v>129</v>
      </c>
      <c r="V25" s="271"/>
      <c r="W25" s="278">
        <f ca="1">IF(Table1[[#This Row],[Item Description]]="","",IF(Table1[[#This Row],[//]]="",INDIRECT(ADDRESS(ROW()-1,COLUMN())),Table1[[#This Row],[//]]))</f>
        <v>25</v>
      </c>
      <c r="X25" s="278">
        <f ca="1">IF(Table1[[#This Row],[h_id]]="","",COUNTIF(Table1[h_id],Table1[[#This Row],[h_id]]))</f>
        <v>6</v>
      </c>
      <c r="Y25" s="274">
        <f>IF(Table1[Item Description]="","",Table1[[#This Row],[Qty]]*Table1[[#This Row],[Unit Price]])</f>
        <v>1008000</v>
      </c>
      <c r="Z25" s="274">
        <f>IF(Table1[[#This Row],[h_hargasebelumdiskon]]="","",IF(Table1[[#This Row],[Disc 1]]="",0,Table1[[#This Row],[h_hargasebelumdiskon]]*Table1[[#This Row],[Disc 1]]))</f>
        <v>136080</v>
      </c>
      <c r="AA25" s="274">
        <f>IF(Table1[[#This Row],[h_hargasebelumdiskon]]="","",IF(Table1[[#This Row],[Disc 2]]="",0,(Table1[[#This Row],[h_hargasebelumdiskon]]-Table1[[#This Row],[h_disc 1]])*Table1[[#This Row],[Disc 2]]))</f>
        <v>0</v>
      </c>
      <c r="AB25" s="274">
        <f>IF(Table1[Item Description]="","",Table1[[#This Row],[h_disc 1]]+Table1[[#This Row],[h_disc 2]])</f>
        <v>136080</v>
      </c>
      <c r="AC25" s="274">
        <f>IF(Table1[Item Description]="","",Table1[[#This Row],[h_hargasebelumdiskon]]-Table1[[#This Row],[h_diskon]])</f>
        <v>871920</v>
      </c>
      <c r="AD25" s="274">
        <f ca="1">IF(Table1[//]="","",SUMIF(Table1[h_id],Table1[h_id],Table1[h_hargasetelahdiskon]))</f>
        <v>9921550</v>
      </c>
      <c r="AF25" s="274" t="str">
        <f>Table1[[#This Row],[Item Description]]&amp;Table1[[#This Row],[Unit]]&amp;Table1[[#This Row],[Unit Price]]</f>
        <v>STAPLER HEAVY DUTY KENKO HD-12N/13PCS84000</v>
      </c>
      <c r="AG25" s="3"/>
      <c r="AH25" s="3"/>
      <c r="AI25" s="3"/>
    </row>
    <row r="26" spans="1:35" x14ac:dyDescent="0.25">
      <c r="A26" s="278" t="str">
        <f ca="1">IF(Table1[[#This Row],[No. Invoice :]]="","",ROW())</f>
        <v/>
      </c>
      <c r="B26" s="278" t="str">
        <f ca="1">IF(Table1[Column3]="","",B$1+COUNT(INDIRECT("B$2:B"&amp;ROW()-1)))</f>
        <v/>
      </c>
      <c r="C26" s="272" t="str">
        <f>IF(Table1[[#This Row],[Column2]]="","",Table1[[#This Row],[Column2]]+C$1-1)</f>
        <v/>
      </c>
      <c r="E26" s="273"/>
      <c r="F26" s="271"/>
      <c r="G26" s="278" t="str">
        <f ca="1">IF(Table1[[#This Row],[h_No. Invoice :]]="","",CONCATENATE("AM"," ",Table1[[#This Row],[h_No. Invoice :]]))</f>
        <v/>
      </c>
      <c r="H26" s="271" t="str">
        <f>IF(Table1[[#This Row],[Column5]]="","",INDEX(Table2[Column1],MATCH(Table1[[#This Row],[Column5]],Table2[a],0)))</f>
        <v/>
      </c>
      <c r="I26" s="279" t="str">
        <f>IF(Table1[[#This Row],[Column3]]=0,"",CONCATENATE(UPPER(Table1[[#This Row],[Column3]])," ",Table1[[#This Row],[Column4]]))</f>
        <v xml:space="preserve"> </v>
      </c>
      <c r="J26" s="278" t="str">
        <f>IF(Table1[[#This Row],[Column5]]="","",INDEX(Table2[e],IF(Table1[[#This Row],[Column5]]="","",MATCH(Table1[[#This Row],[Column5]],Table2[a],0)),))</f>
        <v/>
      </c>
      <c r="K26" s="271">
        <v>50</v>
      </c>
      <c r="L26" s="271" t="s">
        <v>157</v>
      </c>
      <c r="M26" s="271">
        <v>1</v>
      </c>
      <c r="N26" s="271" t="s">
        <v>161</v>
      </c>
      <c r="O26" s="278" t="str">
        <f>IF(Table1[[#This Row],[h_Item Description]]="","",INDEX([1]!db[NB PAJAK],MATCH(Table1[[#This Row],[h_Item Description]],[1]!db[kode],0)))</f>
        <v>STIP / PENGHAPUS JOYKO 526-B20 PUTIH</v>
      </c>
      <c r="P26" s="271" t="s">
        <v>162</v>
      </c>
      <c r="Q26" s="274">
        <v>34100</v>
      </c>
      <c r="R26" s="275">
        <v>0.13500000000000001</v>
      </c>
      <c r="S26" s="275"/>
      <c r="T26" s="274">
        <f>Table1[[#This Row],[h_hargasetelahdiskon]]</f>
        <v>1474825</v>
      </c>
      <c r="V26" s="271"/>
      <c r="W26" s="278">
        <f ca="1">IF(Table1[[#This Row],[Item Description]]="","",IF(Table1[[#This Row],[//]]="",INDIRECT(ADDRESS(ROW()-1,COLUMN())),Table1[[#This Row],[//]]))</f>
        <v>25</v>
      </c>
      <c r="X26" s="278">
        <f ca="1">IF(Table1[[#This Row],[h_id]]="","",COUNTIF(Table1[h_id],Table1[[#This Row],[h_id]]))</f>
        <v>6</v>
      </c>
      <c r="Y26" s="274">
        <f>IF(Table1[Item Description]="","",Table1[[#This Row],[Qty]]*Table1[[#This Row],[Unit Price]])</f>
        <v>1705000</v>
      </c>
      <c r="Z26" s="274">
        <f>IF(Table1[[#This Row],[h_hargasebelumdiskon]]="","",IF(Table1[[#This Row],[Disc 1]]="",0,Table1[[#This Row],[h_hargasebelumdiskon]]*Table1[[#This Row],[Disc 1]]))</f>
        <v>230175.00000000003</v>
      </c>
      <c r="AA26" s="274">
        <f>IF(Table1[[#This Row],[h_hargasebelumdiskon]]="","",IF(Table1[[#This Row],[Disc 2]]="",0,(Table1[[#This Row],[h_hargasebelumdiskon]]-Table1[[#This Row],[h_disc 1]])*Table1[[#This Row],[Disc 2]]))</f>
        <v>0</v>
      </c>
      <c r="AB26" s="274">
        <f>IF(Table1[Item Description]="","",Table1[[#This Row],[h_disc 1]]+Table1[[#This Row],[h_disc 2]])</f>
        <v>230175.00000000003</v>
      </c>
      <c r="AC26" s="274">
        <f>IF(Table1[Item Description]="","",Table1[[#This Row],[h_hargasebelumdiskon]]-Table1[[#This Row],[h_diskon]])</f>
        <v>1474825</v>
      </c>
      <c r="AD26" s="274" t="str">
        <f ca="1">IF(Table1[//]="","",SUMIF(Table1[h_id],Table1[h_id],Table1[h_hargasetelahdiskon]))</f>
        <v/>
      </c>
      <c r="AF26" s="274" t="str">
        <f>Table1[[#This Row],[Item Description]]&amp;Table1[[#This Row],[Unit]]&amp;Table1[[#This Row],[Unit Price]]</f>
        <v>STIP / PENGHAPUS JOYKO 526-B20 PUTIHBOX34100</v>
      </c>
      <c r="AG26" s="3"/>
      <c r="AH26" s="3"/>
      <c r="AI26" s="3"/>
    </row>
    <row r="27" spans="1:35" x14ac:dyDescent="0.25">
      <c r="A27" s="278" t="str">
        <f ca="1">IF(Table1[[#This Row],[No. Invoice :]]="","",ROW())</f>
        <v/>
      </c>
      <c r="B27" s="278" t="str">
        <f ca="1">IF(Table1[Column3]="","",B$1+COUNT(INDIRECT("B$2:B"&amp;ROW()-1)))</f>
        <v/>
      </c>
      <c r="C27" s="272" t="str">
        <f>IF(Table1[[#This Row],[Column2]]="","",Table1[[#This Row],[Column2]]+C$1-1)</f>
        <v/>
      </c>
      <c r="E27" s="273"/>
      <c r="F27" s="271"/>
      <c r="G27" s="278" t="str">
        <f ca="1">IF(Table1[[#This Row],[h_No. Invoice :]]="","",CONCATENATE("AM"," ",Table1[[#This Row],[h_No. Invoice :]]))</f>
        <v/>
      </c>
      <c r="H27" s="271" t="str">
        <f>IF(Table1[[#This Row],[Column5]]="","",INDEX(Table2[Column1],MATCH(Table1[[#This Row],[Column5]],Table2[a],0)))</f>
        <v/>
      </c>
      <c r="I27" s="279" t="str">
        <f>IF(Table1[[#This Row],[Column3]]=0,"",CONCATENATE(UPPER(Table1[[#This Row],[Column3]])," ",Table1[[#This Row],[Column4]]))</f>
        <v xml:space="preserve"> </v>
      </c>
      <c r="J27" s="278" t="str">
        <f>IF(Table1[[#This Row],[Column5]]="","",INDEX(Table2[e],IF(Table1[[#This Row],[Column5]]="","",MATCH(Table1[[#This Row],[Column5]],Table2[a],0)),))</f>
        <v/>
      </c>
      <c r="K27" s="271">
        <v>100</v>
      </c>
      <c r="L27" s="271" t="s">
        <v>157</v>
      </c>
      <c r="M27" s="271">
        <v>2</v>
      </c>
      <c r="N27" s="271" t="s">
        <v>219</v>
      </c>
      <c r="O27" s="278" t="str">
        <f>IF(Table1[[#This Row],[h_Item Description]]="","",INDEX([1]!db[NB PAJAK],MATCH(Table1[[#This Row],[h_Item Description]],[1]!db[kode],0)))</f>
        <v>STIP / PENGHAPUS KENKO ERW-40SQ PUTIH</v>
      </c>
      <c r="P27" s="271" t="s">
        <v>220</v>
      </c>
      <c r="Q27" s="274">
        <v>27500</v>
      </c>
      <c r="R27" s="275">
        <v>0.13500000000000001</v>
      </c>
      <c r="S27" s="275"/>
      <c r="T27" s="274">
        <f>Table1[[#This Row],[h_hargasetelahdiskon]]</f>
        <v>2378750</v>
      </c>
      <c r="V27" s="271"/>
      <c r="W27" s="278">
        <f ca="1">IF(Table1[[#This Row],[Item Description]]="","",IF(Table1[[#This Row],[//]]="",INDIRECT(ADDRESS(ROW()-1,COLUMN())),Table1[[#This Row],[//]]))</f>
        <v>25</v>
      </c>
      <c r="X27" s="278">
        <f ca="1">IF(Table1[[#This Row],[h_id]]="","",COUNTIF(Table1[h_id],Table1[[#This Row],[h_id]]))</f>
        <v>6</v>
      </c>
      <c r="Y27" s="274">
        <f>IF(Table1[Item Description]="","",Table1[[#This Row],[Qty]]*Table1[[#This Row],[Unit Price]])</f>
        <v>2750000</v>
      </c>
      <c r="Z27" s="274">
        <f>IF(Table1[[#This Row],[h_hargasebelumdiskon]]="","",IF(Table1[[#This Row],[Disc 1]]="",0,Table1[[#This Row],[h_hargasebelumdiskon]]*Table1[[#This Row],[Disc 1]]))</f>
        <v>371250</v>
      </c>
      <c r="AA27" s="274">
        <f>IF(Table1[[#This Row],[h_hargasebelumdiskon]]="","",IF(Table1[[#This Row],[Disc 2]]="",0,(Table1[[#This Row],[h_hargasebelumdiskon]]-Table1[[#This Row],[h_disc 1]])*Table1[[#This Row],[Disc 2]]))</f>
        <v>0</v>
      </c>
      <c r="AB27" s="274">
        <f>IF(Table1[Item Description]="","",Table1[[#This Row],[h_disc 1]]+Table1[[#This Row],[h_disc 2]])</f>
        <v>371250</v>
      </c>
      <c r="AC27" s="274">
        <f>IF(Table1[Item Description]="","",Table1[[#This Row],[h_hargasebelumdiskon]]-Table1[[#This Row],[h_diskon]])</f>
        <v>2378750</v>
      </c>
      <c r="AD27" s="274" t="str">
        <f ca="1">IF(Table1[//]="","",SUMIF(Table1[h_id],Table1[h_id],Table1[h_hargasetelahdiskon]))</f>
        <v/>
      </c>
      <c r="AF27" s="274" t="str">
        <f>Table1[[#This Row],[Item Description]]&amp;Table1[[#This Row],[Unit]]&amp;Table1[[#This Row],[Unit Price]]</f>
        <v>STIP / PENGHAPUS KENKO ERW-40SQ PUTIHBOX27500</v>
      </c>
      <c r="AG27" s="3"/>
      <c r="AH27" s="3"/>
      <c r="AI27" s="3"/>
    </row>
    <row r="28" spans="1:35" x14ac:dyDescent="0.25">
      <c r="A28" s="278" t="str">
        <f ca="1">IF(Table1[[#This Row],[No. Invoice :]]="","",ROW())</f>
        <v/>
      </c>
      <c r="B28" s="278" t="str">
        <f ca="1">IF(Table1[Column3]="","",B$1+COUNT(INDIRECT("B$2:B"&amp;ROW()-1)))</f>
        <v/>
      </c>
      <c r="C28" s="272" t="str">
        <f>IF(Table1[[#This Row],[Column2]]="","",Table1[[#This Row],[Column2]]+C$1-1)</f>
        <v/>
      </c>
      <c r="E28" s="273"/>
      <c r="F28" s="271"/>
      <c r="G28" s="278" t="str">
        <f ca="1">IF(Table1[[#This Row],[h_No. Invoice :]]="","",CONCATENATE("AM"," ",Table1[[#This Row],[h_No. Invoice :]]))</f>
        <v/>
      </c>
      <c r="H28" s="271" t="str">
        <f>IF(Table1[[#This Row],[Column5]]="","",INDEX(Table2[Column1],MATCH(Table1[[#This Row],[Column5]],Table2[a],0)))</f>
        <v/>
      </c>
      <c r="I28" s="279" t="str">
        <f>IF(Table1[[#This Row],[Column3]]=0,"",CONCATENATE(UPPER(Table1[[#This Row],[Column3]])," ",Table1[[#This Row],[Column4]]))</f>
        <v xml:space="preserve"> </v>
      </c>
      <c r="J28" s="278" t="str">
        <f>IF(Table1[[#This Row],[Column5]]="","",INDEX(Table2[e],IF(Table1[[#This Row],[Column5]]="","",MATCH(Table1[[#This Row],[Column5]],Table2[a],0)),))</f>
        <v/>
      </c>
      <c r="K28" s="271">
        <v>50</v>
      </c>
      <c r="L28" s="271" t="s">
        <v>157</v>
      </c>
      <c r="M28" s="271">
        <v>1</v>
      </c>
      <c r="N28" s="271" t="s">
        <v>221</v>
      </c>
      <c r="O28" s="278" t="str">
        <f>IF(Table1[[#This Row],[h_Item Description]]="","",INDEX([1]!db[NB PAJAK],MATCH(Table1[[#This Row],[h_Item Description]],[1]!db[kode],0)))</f>
        <v>STIP / PENGHAPUS KENKO ERB-40SQ HITAM</v>
      </c>
      <c r="P28" s="271" t="s">
        <v>222</v>
      </c>
      <c r="Q28" s="274">
        <v>27500</v>
      </c>
      <c r="R28" s="275">
        <v>0.13500000000000001</v>
      </c>
      <c r="S28" s="275"/>
      <c r="T28" s="274">
        <f>Table1[[#This Row],[h_hargasetelahdiskon]]</f>
        <v>1189375</v>
      </c>
      <c r="V28" s="271"/>
      <c r="W28" s="278">
        <f ca="1">IF(Table1[[#This Row],[Item Description]]="","",IF(Table1[[#This Row],[//]]="",INDIRECT(ADDRESS(ROW()-1,COLUMN())),Table1[[#This Row],[//]]))</f>
        <v>25</v>
      </c>
      <c r="X28" s="278">
        <f ca="1">IF(Table1[[#This Row],[h_id]]="","",COUNTIF(Table1[h_id],Table1[[#This Row],[h_id]]))</f>
        <v>6</v>
      </c>
      <c r="Y28" s="274">
        <f>IF(Table1[Item Description]="","",Table1[[#This Row],[Qty]]*Table1[[#This Row],[Unit Price]])</f>
        <v>1375000</v>
      </c>
      <c r="Z28" s="274">
        <f>IF(Table1[[#This Row],[h_hargasebelumdiskon]]="","",IF(Table1[[#This Row],[Disc 1]]="",0,Table1[[#This Row],[h_hargasebelumdiskon]]*Table1[[#This Row],[Disc 1]]))</f>
        <v>185625</v>
      </c>
      <c r="AA28" s="274">
        <f>IF(Table1[[#This Row],[h_hargasebelumdiskon]]="","",IF(Table1[[#This Row],[Disc 2]]="",0,(Table1[[#This Row],[h_hargasebelumdiskon]]-Table1[[#This Row],[h_disc 1]])*Table1[[#This Row],[Disc 2]]))</f>
        <v>0</v>
      </c>
      <c r="AB28" s="274">
        <f>IF(Table1[Item Description]="","",Table1[[#This Row],[h_disc 1]]+Table1[[#This Row],[h_disc 2]])</f>
        <v>185625</v>
      </c>
      <c r="AC28" s="274">
        <f>IF(Table1[Item Description]="","",Table1[[#This Row],[h_hargasebelumdiskon]]-Table1[[#This Row],[h_diskon]])</f>
        <v>1189375</v>
      </c>
      <c r="AD28" s="274" t="str">
        <f ca="1">IF(Table1[//]="","",SUMIF(Table1[h_id],Table1[h_id],Table1[h_hargasetelahdiskon]))</f>
        <v/>
      </c>
      <c r="AF28" s="274" t="str">
        <f>Table1[[#This Row],[Item Description]]&amp;Table1[[#This Row],[Unit]]&amp;Table1[[#This Row],[Unit Price]]</f>
        <v>STIP / PENGHAPUS KENKO ERB-40SQ HITAMBOX27500</v>
      </c>
      <c r="AG28" s="3"/>
      <c r="AH28" s="3"/>
      <c r="AI28" s="3"/>
    </row>
    <row r="29" spans="1:35" x14ac:dyDescent="0.25">
      <c r="A29" s="278" t="str">
        <f ca="1">IF(Table1[[#This Row],[No. Invoice :]]="","",ROW())</f>
        <v/>
      </c>
      <c r="B29" s="278" t="str">
        <f ca="1">IF(Table1[Column3]="","",B$1+COUNT(INDIRECT("B$2:B"&amp;ROW()-1)))</f>
        <v/>
      </c>
      <c r="C29" s="272" t="str">
        <f>IF(Table1[[#This Row],[Column2]]="","",Table1[[#This Row],[Column2]]+C$1-1)</f>
        <v/>
      </c>
      <c r="E29" s="273"/>
      <c r="F29" s="271"/>
      <c r="G29" s="278" t="str">
        <f ca="1">IF(Table1[[#This Row],[h_No. Invoice :]]="","",CONCATENATE("AM"," ",Table1[[#This Row],[h_No. Invoice :]]))</f>
        <v/>
      </c>
      <c r="H29" s="271" t="str">
        <f>IF(Table1[[#This Row],[Column5]]="","",INDEX(Table2[Column1],MATCH(Table1[[#This Row],[Column5]],Table2[a],0)))</f>
        <v/>
      </c>
      <c r="I29" s="279" t="str">
        <f>IF(Table1[[#This Row],[Column3]]=0,"",CONCATENATE(UPPER(Table1[[#This Row],[Column3]])," ",Table1[[#This Row],[Column4]]))</f>
        <v xml:space="preserve"> </v>
      </c>
      <c r="J29" s="278" t="str">
        <f>IF(Table1[[#This Row],[Column5]]="","",INDEX(Table2[e],IF(Table1[[#This Row],[Column5]]="","",MATCH(Table1[[#This Row],[Column5]],Table2[a],0)),))</f>
        <v/>
      </c>
      <c r="K29" s="271">
        <v>960</v>
      </c>
      <c r="L29" s="271" t="s">
        <v>149</v>
      </c>
      <c r="M29" s="271">
        <v>2</v>
      </c>
      <c r="N29" s="271" t="s">
        <v>223</v>
      </c>
      <c r="O29" s="278" t="e">
        <f>IF(Table1[[#This Row],[h_Item Description]]="","",INDEX([1]!db[NB PAJAK],MATCH(Table1[[#This Row],[h_Item Description]],[1]!db[kode],0)))</f>
        <v>#N/A</v>
      </c>
      <c r="P29" s="271" t="s">
        <v>224</v>
      </c>
      <c r="Q29" s="274">
        <v>3050</v>
      </c>
      <c r="R29" s="275">
        <v>0.13500000000000001</v>
      </c>
      <c r="S29" s="275"/>
      <c r="T29" s="274">
        <f>Table1[[#This Row],[h_hargasetelahdiskon]]</f>
        <v>2532720</v>
      </c>
      <c r="V29" s="271"/>
      <c r="W29" s="278">
        <f ca="1">IF(Table1[[#This Row],[Item Description]]="","",IF(Table1[[#This Row],[//]]="",INDIRECT(ADDRESS(ROW()-1,COLUMN())),Table1[[#This Row],[//]]))</f>
        <v>25</v>
      </c>
      <c r="X29" s="278">
        <f ca="1">IF(Table1[[#This Row],[h_id]]="","",COUNTIF(Table1[h_id],Table1[[#This Row],[h_id]]))</f>
        <v>6</v>
      </c>
      <c r="Y29" s="274">
        <f>IF(Table1[Item Description]="","",Table1[[#This Row],[Qty]]*Table1[[#This Row],[Unit Price]])</f>
        <v>2928000</v>
      </c>
      <c r="Z29" s="274">
        <f>IF(Table1[[#This Row],[h_hargasebelumdiskon]]="","",IF(Table1[[#This Row],[Disc 1]]="",0,Table1[[#This Row],[h_hargasebelumdiskon]]*Table1[[#This Row],[Disc 1]]))</f>
        <v>395280</v>
      </c>
      <c r="AA29" s="274">
        <f>IF(Table1[[#This Row],[h_hargasebelumdiskon]]="","",IF(Table1[[#This Row],[Disc 2]]="",0,(Table1[[#This Row],[h_hargasebelumdiskon]]-Table1[[#This Row],[h_disc 1]])*Table1[[#This Row],[Disc 2]]))</f>
        <v>0</v>
      </c>
      <c r="AB29" s="274">
        <f>IF(Table1[Item Description]="","",Table1[[#This Row],[h_disc 1]]+Table1[[#This Row],[h_disc 2]])</f>
        <v>395280</v>
      </c>
      <c r="AC29" s="274">
        <f>IF(Table1[Item Description]="","",Table1[[#This Row],[h_hargasebelumdiskon]]-Table1[[#This Row],[h_diskon]])</f>
        <v>2532720</v>
      </c>
      <c r="AD29" s="274" t="str">
        <f ca="1">IF(Table1[//]="","",SUMIF(Table1[h_id],Table1[h_id],Table1[h_hargasetelahdiskon]))</f>
        <v/>
      </c>
      <c r="AF29" s="274" t="str">
        <f>Table1[[#This Row],[Item Description]]&amp;Table1[[#This Row],[Unit]]&amp;Table1[[#This Row],[Unit Price]]</f>
        <v>HIGHLIGHTER / STABILO KENKO HL-100 ORANGE/ UNGUPCS3050</v>
      </c>
      <c r="AG29" s="3"/>
      <c r="AH29" s="3"/>
      <c r="AI29" s="3"/>
    </row>
    <row r="30" spans="1:35" x14ac:dyDescent="0.25">
      <c r="A30" s="278" t="str">
        <f ca="1">IF(Table1[[#This Row],[No. Invoice :]]="","",ROW())</f>
        <v/>
      </c>
      <c r="B30" s="278" t="str">
        <f ca="1">IF(Table1[Column3]="","",B$1+COUNT(INDIRECT("B$2:B"&amp;ROW()-1)))</f>
        <v/>
      </c>
      <c r="C30" s="272" t="str">
        <f>IF(Table1[[#This Row],[Column2]]="","",Table1[[#This Row],[Column2]]+C$1-1)</f>
        <v/>
      </c>
      <c r="E30" s="273"/>
      <c r="F30" s="271"/>
      <c r="G30" s="278" t="str">
        <f ca="1">IF(Table1[[#This Row],[h_No. Invoice :]]="","",CONCATENATE("AM"," ",Table1[[#This Row],[h_No. Invoice :]]))</f>
        <v/>
      </c>
      <c r="H30" s="271" t="str">
        <f>IF(Table1[[#This Row],[Column5]]="","",INDEX(Table2[Column1],MATCH(Table1[[#This Row],[Column5]],Table2[a],0)))</f>
        <v/>
      </c>
      <c r="I30" s="279" t="str">
        <f>IF(Table1[[#This Row],[Column3]]=0,"",CONCATENATE(UPPER(Table1[[#This Row],[Column3]])," ",Table1[[#This Row],[Column4]]))</f>
        <v xml:space="preserve"> </v>
      </c>
      <c r="J30" s="278" t="str">
        <f>IF(Table1[[#This Row],[Column5]]="","",INDEX(Table2[e],IF(Table1[[#This Row],[Column5]]="","",MATCH(Table1[[#This Row],[Column5]],Table2[a],0)),))</f>
        <v/>
      </c>
      <c r="K30" s="271">
        <v>20</v>
      </c>
      <c r="L30" s="271" t="s">
        <v>136</v>
      </c>
      <c r="M30" s="271">
        <v>1</v>
      </c>
      <c r="N30" s="271" t="s">
        <v>225</v>
      </c>
      <c r="O30" s="278" t="str">
        <f>IF(Table1[[#This Row],[h_Item Description]]="","",INDEX([1]!db[NB PAJAK],MATCH(Table1[[#This Row],[h_Item Description]],[1]!db[kode],0)))</f>
        <v>STAPLER JOYKO HD-10</v>
      </c>
      <c r="P30" s="271" t="s">
        <v>226</v>
      </c>
      <c r="Q30" s="274">
        <v>85200</v>
      </c>
      <c r="R30" s="275">
        <v>0.13500000000000001</v>
      </c>
      <c r="S30" s="275"/>
      <c r="T30" s="274">
        <f>Table1[[#This Row],[h_hargasetelahdiskon]]</f>
        <v>1473960</v>
      </c>
      <c r="V30" s="271"/>
      <c r="W30" s="278">
        <f ca="1">IF(Table1[[#This Row],[Item Description]]="","",IF(Table1[[#This Row],[//]]="",INDIRECT(ADDRESS(ROW()-1,COLUMN())),Table1[[#This Row],[//]]))</f>
        <v>25</v>
      </c>
      <c r="X30" s="278">
        <f ca="1">IF(Table1[[#This Row],[h_id]]="","",COUNTIF(Table1[h_id],Table1[[#This Row],[h_id]]))</f>
        <v>6</v>
      </c>
      <c r="Y30" s="274">
        <f>IF(Table1[Item Description]="","",Table1[[#This Row],[Qty]]*Table1[[#This Row],[Unit Price]])</f>
        <v>1704000</v>
      </c>
      <c r="Z30" s="274">
        <f>IF(Table1[[#This Row],[h_hargasebelumdiskon]]="","",IF(Table1[[#This Row],[Disc 1]]="",0,Table1[[#This Row],[h_hargasebelumdiskon]]*Table1[[#This Row],[Disc 1]]))</f>
        <v>230040.00000000003</v>
      </c>
      <c r="AA30" s="274">
        <f>IF(Table1[[#This Row],[h_hargasebelumdiskon]]="","",IF(Table1[[#This Row],[Disc 2]]="",0,(Table1[[#This Row],[h_hargasebelumdiskon]]-Table1[[#This Row],[h_disc 1]])*Table1[[#This Row],[Disc 2]]))</f>
        <v>0</v>
      </c>
      <c r="AB30" s="274">
        <f>IF(Table1[Item Description]="","",Table1[[#This Row],[h_disc 1]]+Table1[[#This Row],[h_disc 2]])</f>
        <v>230040.00000000003</v>
      </c>
      <c r="AC30" s="274">
        <f>IF(Table1[Item Description]="","",Table1[[#This Row],[h_hargasebelumdiskon]]-Table1[[#This Row],[h_diskon]])</f>
        <v>1473960</v>
      </c>
      <c r="AD30" s="274" t="str">
        <f ca="1">IF(Table1[//]="","",SUMIF(Table1[h_id],Table1[h_id],Table1[h_hargasetelahdiskon]))</f>
        <v/>
      </c>
      <c r="AF30" s="274" t="str">
        <f>Table1[[#This Row],[Item Description]]&amp;Table1[[#This Row],[Unit]]&amp;Table1[[#This Row],[Unit Price]]</f>
        <v>STAPLER JOYKO HD-10LSN85200</v>
      </c>
      <c r="AG30" s="3"/>
      <c r="AH30" s="3"/>
      <c r="AI30" s="3"/>
    </row>
    <row r="31" spans="1:35" x14ac:dyDescent="0.25">
      <c r="A31" s="278" t="str">
        <f ca="1">IF(Table1[[#This Row],[No. Invoice :]]="","",ROW())</f>
        <v/>
      </c>
      <c r="B31" s="278" t="str">
        <f ca="1">IF(Table1[Column3]="","",B$1+COUNT(INDIRECT("B$2:B"&amp;ROW()-1)))</f>
        <v/>
      </c>
      <c r="C31" s="272" t="str">
        <f>IF(Table1[[#This Row],[Column2]]="","",Table1[[#This Row],[Column2]]+C$1-1)</f>
        <v/>
      </c>
      <c r="E31" s="273"/>
      <c r="F31" s="271"/>
      <c r="G31" s="278" t="str">
        <f ca="1">IF(Table1[[#This Row],[h_No. Invoice :]]="","",CONCATENATE("AM"," ",Table1[[#This Row],[h_No. Invoice :]]))</f>
        <v/>
      </c>
      <c r="H31" s="271" t="str">
        <f>IF(Table1[[#This Row],[Column5]]="","",INDEX(Table2[Column1],MATCH(Table1[[#This Row],[Column5]],Table2[a],0)))</f>
        <v/>
      </c>
      <c r="I31" s="279" t="str">
        <f>IF(Table1[[#This Row],[Column3]]=0,"",CONCATENATE(UPPER(Table1[[#This Row],[Column3]])," ",Table1[[#This Row],[Column4]]))</f>
        <v xml:space="preserve"> </v>
      </c>
      <c r="J31" s="278" t="str">
        <f>IF(Table1[[#This Row],[Column5]]="","",INDEX(Table2[e],IF(Table1[[#This Row],[Column5]]="","",MATCH(Table1[[#This Row],[Column5]],Table2[a],0)),))</f>
        <v/>
      </c>
      <c r="K31" s="271"/>
      <c r="L31" s="271"/>
      <c r="O31" s="278" t="str">
        <f>IF(Table1[[#This Row],[h_Item Description]]="","",INDEX([1]!db[NB PAJAK],MATCH(Table1[[#This Row],[h_Item Description]],[1]!db[kode],0)))</f>
        <v/>
      </c>
      <c r="Q31" s="274"/>
      <c r="R31" s="275"/>
      <c r="S31" s="275"/>
      <c r="T31" s="274" t="str">
        <f>Table1[[#This Row],[h_hargasetelahdiskon]]</f>
        <v/>
      </c>
      <c r="V31" s="271"/>
      <c r="W31" s="278" t="str">
        <f ca="1">IF(Table1[[#This Row],[Item Description]]="","",IF(Table1[[#This Row],[//]]="",INDIRECT(ADDRESS(ROW()-1,COLUMN())),Table1[[#This Row],[//]]))</f>
        <v/>
      </c>
      <c r="X31" s="278" t="str">
        <f ca="1">IF(Table1[[#This Row],[h_id]]="","",COUNTIF(Table1[h_id],Table1[[#This Row],[h_id]]))</f>
        <v/>
      </c>
      <c r="Y31" s="274" t="str">
        <f>IF(Table1[Item Description]="","",Table1[[#This Row],[Qty]]*Table1[[#This Row],[Unit Price]])</f>
        <v/>
      </c>
      <c r="Z31" s="274" t="str">
        <f>IF(Table1[[#This Row],[h_hargasebelumdiskon]]="","",IF(Table1[[#This Row],[Disc 1]]="",0,Table1[[#This Row],[h_hargasebelumdiskon]]*Table1[[#This Row],[Disc 1]]))</f>
        <v/>
      </c>
      <c r="AA31" s="274" t="str">
        <f>IF(Table1[[#This Row],[h_hargasebelumdiskon]]="","",IF(Table1[[#This Row],[Disc 2]]="",0,(Table1[[#This Row],[h_hargasebelumdiskon]]-Table1[[#This Row],[h_disc 1]])*Table1[[#This Row],[Disc 2]]))</f>
        <v/>
      </c>
      <c r="AB31" s="274" t="str">
        <f>IF(Table1[Item Description]="","",Table1[[#This Row],[h_disc 1]]+Table1[[#This Row],[h_disc 2]])</f>
        <v/>
      </c>
      <c r="AC31" s="274" t="str">
        <f>IF(Table1[Item Description]="","",Table1[[#This Row],[h_hargasebelumdiskon]]-Table1[[#This Row],[h_diskon]])</f>
        <v/>
      </c>
      <c r="AD31" s="274" t="str">
        <f ca="1">IF(Table1[//]="","",SUMIF(Table1[h_id],Table1[h_id],Table1[h_hargasetelahdiskon]))</f>
        <v/>
      </c>
      <c r="AF31" s="274" t="str">
        <f>Table1[[#This Row],[Item Description]]&amp;Table1[[#This Row],[Unit]]&amp;Table1[[#This Row],[Unit Price]]</f>
        <v/>
      </c>
      <c r="AG31" s="3"/>
      <c r="AH31" s="3"/>
      <c r="AI31" s="3"/>
    </row>
    <row r="32" spans="1:35" s="278" customFormat="1" x14ac:dyDescent="0.25">
      <c r="A32" s="278">
        <f ca="1">IF(Table1[[#This Row],[No. Invoice :]]="","",ROW())</f>
        <v>32</v>
      </c>
      <c r="B32" s="278">
        <f ca="1">IF(Table1[Column3]="","",B$1+COUNT(INDIRECT("B$2:B"&amp;ROW()-1)))</f>
        <v>24020008</v>
      </c>
      <c r="C32" s="272">
        <f>IF(Table1[[#This Row],[Column2]]="","",Table1[[#This Row],[Column2]]+C$1-1)</f>
        <v>45334</v>
      </c>
      <c r="D32" s="281">
        <v>12</v>
      </c>
      <c r="E32" s="273" t="s">
        <v>227</v>
      </c>
      <c r="F32" s="271" t="s">
        <v>228</v>
      </c>
      <c r="G32" s="278" t="str">
        <f ca="1">IF(Table1[[#This Row],[h_No. Invoice :]]="","",CONCATENATE("AM"," ",Table1[[#This Row],[h_No. Invoice :]]))</f>
        <v>AM 24020008</v>
      </c>
      <c r="H32" s="271" t="str">
        <f>IF(Table1[[#This Row],[Column5]]="","",INDEX(Table2[Column1],MATCH(Table1[[#This Row],[Column5]],Table2[a],0)))</f>
        <v>KO</v>
      </c>
      <c r="I32" s="279" t="str">
        <f>IF(Table1[[#This Row],[Column3]]=0,"",CONCATENATE(UPPER(Table1[[#This Row],[Column3]])," ",Table1[[#This Row],[Column4]]))</f>
        <v>KO 2672</v>
      </c>
      <c r="J32" s="278" t="str">
        <f>IF(Table1[[#This Row],[Column5]]="","",INDEX(Table2[e],IF(Table1[[#This Row],[Column5]]="","",MATCH(Table1[[#This Row],[Column5]],Table2[a],0)),))</f>
        <v>HARNOYO (BENDAN) PEKALONGAN</v>
      </c>
      <c r="K32" s="271">
        <v>10</v>
      </c>
      <c r="L32" s="271" t="s">
        <v>136</v>
      </c>
      <c r="M32" s="271">
        <v>1</v>
      </c>
      <c r="N32" s="271" t="s">
        <v>229</v>
      </c>
      <c r="O32" s="278" t="str">
        <f>IF(Table1[[#This Row],[h_Item Description]]="","",INDEX([1]!db[NB PAJAK],MATCH(Table1[[#This Row],[h_Item Description]],[1]!db[kode],0)))</f>
        <v>STAPLER KENKO HD-50</v>
      </c>
      <c r="P32" s="271" t="s">
        <v>230</v>
      </c>
      <c r="Q32" s="274">
        <v>228000</v>
      </c>
      <c r="R32" s="275">
        <v>0.14000000000000001</v>
      </c>
      <c r="S32" s="275"/>
      <c r="T32" s="274">
        <f>Table1[[#This Row],[h_hargasetelahdiskon]]</f>
        <v>1960800</v>
      </c>
      <c r="U32" s="274" t="s">
        <v>129</v>
      </c>
      <c r="V32" s="271"/>
      <c r="W32" s="278">
        <f ca="1">IF(Table1[[#This Row],[Item Description]]="","",IF(Table1[[#This Row],[//]]="",INDIRECT(ADDRESS(ROW()-1,COLUMN())),Table1[[#This Row],[//]]))</f>
        <v>32</v>
      </c>
      <c r="X32" s="278">
        <f ca="1">IF(Table1[[#This Row],[h_id]]="","",COUNTIF(Table1[h_id],Table1[[#This Row],[h_id]]))</f>
        <v>2</v>
      </c>
      <c r="Y32" s="274">
        <f>IF(Table1[Item Description]="","",Table1[[#This Row],[Qty]]*Table1[[#This Row],[Unit Price]])</f>
        <v>2280000</v>
      </c>
      <c r="Z32" s="274">
        <f>IF(Table1[[#This Row],[h_hargasebelumdiskon]]="","",IF(Table1[[#This Row],[Disc 1]]="",0,Table1[[#This Row],[h_hargasebelumdiskon]]*Table1[[#This Row],[Disc 1]]))</f>
        <v>319200.00000000006</v>
      </c>
      <c r="AA32" s="274">
        <f>IF(Table1[[#This Row],[h_hargasebelumdiskon]]="","",IF(Table1[[#This Row],[Disc 2]]="",0,(Table1[[#This Row],[h_hargasebelumdiskon]]-Table1[[#This Row],[h_disc 1]])*Table1[[#This Row],[Disc 2]]))</f>
        <v>0</v>
      </c>
      <c r="AB32" s="274">
        <f>IF(Table1[Item Description]="","",Table1[[#This Row],[h_disc 1]]+Table1[[#This Row],[h_disc 2]])</f>
        <v>319200.00000000006</v>
      </c>
      <c r="AC32" s="274">
        <f>IF(Table1[Item Description]="","",Table1[[#This Row],[h_hargasebelumdiskon]]-Table1[[#This Row],[h_diskon]])</f>
        <v>1960800</v>
      </c>
      <c r="AD32" s="274">
        <f ca="1">IF(Table1[//]="","",SUMIF(Table1[h_id],Table1[h_id],Table1[h_hargasetelahdiskon]))</f>
        <v>3560400</v>
      </c>
      <c r="AE32" s="274"/>
      <c r="AF32" s="274" t="str">
        <f>Table1[[#This Row],[Item Description]]&amp;Table1[[#This Row],[Unit]]&amp;Table1[[#This Row],[Unit Price]]</f>
        <v>STAPLER KENKO HD-50LSN228000</v>
      </c>
    </row>
    <row r="33" spans="1:35" s="278" customFormat="1" ht="16.5" x14ac:dyDescent="0.25">
      <c r="A33" s="278" t="str">
        <f ca="1">IF(Table1[[#This Row],[No. Invoice :]]="","",ROW())</f>
        <v/>
      </c>
      <c r="B33" s="278" t="str">
        <f ca="1">IF(Table1[Column3]="","",B$1+COUNT(INDIRECT("B$2:B"&amp;ROW()-1)))</f>
        <v/>
      </c>
      <c r="C33" s="272" t="str">
        <f>IF(Table1[[#This Row],[Column2]]="","",Table1[[#This Row],[Column2]]+C$1-1)</f>
        <v/>
      </c>
      <c r="D33" s="281"/>
      <c r="E33" s="273"/>
      <c r="F33" s="271"/>
      <c r="G33" s="278" t="str">
        <f ca="1">IF(Table1[[#This Row],[h_No. Invoice :]]="","",CONCATENATE("AM"," ",Table1[[#This Row],[h_No. Invoice :]]))</f>
        <v/>
      </c>
      <c r="H33" s="271" t="str">
        <f>IF(Table1[[#This Row],[Column5]]="","",INDEX(Table2[Column1],MATCH(Table1[[#This Row],[Column5]],Table2[a],0)))</f>
        <v/>
      </c>
      <c r="I33" s="279" t="str">
        <f>IF(Table1[[#This Row],[Column3]]=0,"",CONCATENATE(UPPER(Table1[[#This Row],[Column3]])," ",Table1[[#This Row],[Column4]]))</f>
        <v xml:space="preserve"> </v>
      </c>
      <c r="J33" s="278" t="str">
        <f>IF(Table1[[#This Row],[Column5]]="","",INDEX(Table2[e],IF(Table1[[#This Row],[Column5]]="","",MATCH(Table1[[#This Row],[Column5]],Table2[a],0)),))</f>
        <v/>
      </c>
      <c r="K33" s="271">
        <v>20</v>
      </c>
      <c r="L33" s="271" t="s">
        <v>136</v>
      </c>
      <c r="M33" s="271">
        <v>1</v>
      </c>
      <c r="N33" s="271" t="s">
        <v>231</v>
      </c>
      <c r="O33" s="278" t="str">
        <f>IF(Table1[[#This Row],[h_Item Description]]="","",INDEX([1]!db[NB PAJAK],MATCH(Table1[[#This Row],[h_Item Description]],[1]!db[kode],0)))</f>
        <v>STAPLER KENKO HD-10</v>
      </c>
      <c r="P33" s="480" t="s">
        <v>232</v>
      </c>
      <c r="Q33" s="274">
        <v>93000</v>
      </c>
      <c r="R33" s="275">
        <v>0.14000000000000001</v>
      </c>
      <c r="S33" s="275"/>
      <c r="T33" s="274">
        <f>Table1[[#This Row],[h_hargasetelahdiskon]]</f>
        <v>1599600</v>
      </c>
      <c r="U33" s="274"/>
      <c r="V33" s="271"/>
      <c r="W33" s="278">
        <f ca="1">IF(Table1[[#This Row],[Item Description]]="","",IF(Table1[[#This Row],[//]]="",INDIRECT(ADDRESS(ROW()-1,COLUMN())),Table1[[#This Row],[//]]))</f>
        <v>32</v>
      </c>
      <c r="X33" s="278">
        <f ca="1">IF(Table1[[#This Row],[h_id]]="","",COUNTIF(Table1[h_id],Table1[[#This Row],[h_id]]))</f>
        <v>2</v>
      </c>
      <c r="Y33" s="274">
        <f>IF(Table1[Item Description]="","",Table1[[#This Row],[Qty]]*Table1[[#This Row],[Unit Price]])</f>
        <v>1860000</v>
      </c>
      <c r="Z33" s="274">
        <f>IF(Table1[[#This Row],[h_hargasebelumdiskon]]="","",IF(Table1[[#This Row],[Disc 1]]="",0,Table1[[#This Row],[h_hargasebelumdiskon]]*Table1[[#This Row],[Disc 1]]))</f>
        <v>260400.00000000003</v>
      </c>
      <c r="AA33" s="274">
        <f>IF(Table1[[#This Row],[h_hargasebelumdiskon]]="","",IF(Table1[[#This Row],[Disc 2]]="",0,(Table1[[#This Row],[h_hargasebelumdiskon]]-Table1[[#This Row],[h_disc 1]])*Table1[[#This Row],[Disc 2]]))</f>
        <v>0</v>
      </c>
      <c r="AB33" s="274">
        <f>IF(Table1[Item Description]="","",Table1[[#This Row],[h_disc 1]]+Table1[[#This Row],[h_disc 2]])</f>
        <v>260400.00000000003</v>
      </c>
      <c r="AC33" s="274">
        <f>IF(Table1[Item Description]="","",Table1[[#This Row],[h_hargasebelumdiskon]]-Table1[[#This Row],[h_diskon]])</f>
        <v>1599600</v>
      </c>
      <c r="AD33" s="274" t="str">
        <f ca="1">IF(Table1[//]="","",SUMIF(Table1[h_id],Table1[h_id],Table1[h_hargasetelahdiskon]))</f>
        <v/>
      </c>
      <c r="AE33" s="274"/>
      <c r="AF33" s="274" t="str">
        <f>Table1[[#This Row],[Item Description]]&amp;Table1[[#This Row],[Unit]]&amp;Table1[[#This Row],[Unit Price]]</f>
        <v>STAPLER KENKO HD-10LSN93000</v>
      </c>
    </row>
    <row r="34" spans="1:35" x14ac:dyDescent="0.25">
      <c r="A34" s="278" t="str">
        <f ca="1">IF(Table1[[#This Row],[No. Invoice :]]="","",ROW())</f>
        <v/>
      </c>
      <c r="B34" s="278" t="str">
        <f ca="1">IF(Table1[Column3]="","",B$1+COUNT(INDIRECT("B$2:B"&amp;ROW()-1)))</f>
        <v/>
      </c>
      <c r="C34" s="272" t="str">
        <f>IF(Table1[[#This Row],[Column2]]="","",Table1[[#This Row],[Column2]]+C$1-1)</f>
        <v/>
      </c>
      <c r="E34" s="273"/>
      <c r="F34" s="271"/>
      <c r="G34" s="278" t="str">
        <f ca="1">IF(Table1[[#This Row],[h_No. Invoice :]]="","",CONCATENATE("AM"," ",Table1[[#This Row],[h_No. Invoice :]]))</f>
        <v/>
      </c>
      <c r="H34" s="271" t="str">
        <f>IF(Table1[[#This Row],[Column5]]="","",INDEX(Table2[Column1],MATCH(Table1[[#This Row],[Column5]],Table2[a],0)))</f>
        <v/>
      </c>
      <c r="I34" s="279" t="str">
        <f>IF(Table1[[#This Row],[Column3]]=0,"",CONCATENATE(UPPER(Table1[[#This Row],[Column3]])," ",Table1[[#This Row],[Column4]]))</f>
        <v xml:space="preserve"> </v>
      </c>
      <c r="J34" s="278" t="str">
        <f>IF(Table1[[#This Row],[Column5]]="","",INDEX(Table2[e],IF(Table1[[#This Row],[Column5]]="","",MATCH(Table1[[#This Row],[Column5]],Table2[a],0)),))</f>
        <v/>
      </c>
      <c r="K34" s="271"/>
      <c r="L34" s="271"/>
      <c r="O34" s="278" t="str">
        <f>IF(Table1[[#This Row],[h_Item Description]]="","",INDEX([1]!db[NB PAJAK],MATCH(Table1[[#This Row],[h_Item Description]],[1]!db[kode],0)))</f>
        <v/>
      </c>
      <c r="Q34" s="274"/>
      <c r="R34" s="275"/>
      <c r="S34" s="275"/>
      <c r="T34" s="274" t="str">
        <f>Table1[[#This Row],[h_hargasetelahdiskon]]</f>
        <v/>
      </c>
      <c r="V34" s="271"/>
      <c r="W34" s="278" t="str">
        <f ca="1">IF(Table1[[#This Row],[Item Description]]="","",IF(Table1[[#This Row],[//]]="",INDIRECT(ADDRESS(ROW()-1,COLUMN())),Table1[[#This Row],[//]]))</f>
        <v/>
      </c>
      <c r="X34" s="278" t="str">
        <f ca="1">IF(Table1[[#This Row],[h_id]]="","",COUNTIF(Table1[h_id],Table1[[#This Row],[h_id]]))</f>
        <v/>
      </c>
      <c r="Y34" s="274" t="str">
        <f>IF(Table1[Item Description]="","",Table1[[#This Row],[Qty]]*Table1[[#This Row],[Unit Price]])</f>
        <v/>
      </c>
      <c r="Z34" s="274" t="str">
        <f>IF(Table1[[#This Row],[h_hargasebelumdiskon]]="","",IF(Table1[[#This Row],[Disc 1]]="",0,Table1[[#This Row],[h_hargasebelumdiskon]]*Table1[[#This Row],[Disc 1]]))</f>
        <v/>
      </c>
      <c r="AA34" s="274" t="str">
        <f>IF(Table1[[#This Row],[h_hargasebelumdiskon]]="","",IF(Table1[[#This Row],[Disc 2]]="",0,(Table1[[#This Row],[h_hargasebelumdiskon]]-Table1[[#This Row],[h_disc 1]])*Table1[[#This Row],[Disc 2]]))</f>
        <v/>
      </c>
      <c r="AB34" s="274" t="str">
        <f>IF(Table1[Item Description]="","",Table1[[#This Row],[h_disc 1]]+Table1[[#This Row],[h_disc 2]])</f>
        <v/>
      </c>
      <c r="AC34" s="274" t="str">
        <f>IF(Table1[Item Description]="","",Table1[[#This Row],[h_hargasebelumdiskon]]-Table1[[#This Row],[h_diskon]])</f>
        <v/>
      </c>
      <c r="AD34" s="274" t="str">
        <f ca="1">IF(Table1[//]="","",SUMIF(Table1[h_id],Table1[h_id],Table1[h_hargasetelahdiskon]))</f>
        <v/>
      </c>
      <c r="AF34" s="274" t="str">
        <f>Table1[[#This Row],[Item Description]]&amp;Table1[[#This Row],[Unit]]&amp;Table1[[#This Row],[Unit Price]]</f>
        <v/>
      </c>
      <c r="AG34" s="3"/>
      <c r="AH34" s="492">
        <v>13356000</v>
      </c>
      <c r="AI34" s="3"/>
    </row>
    <row r="35" spans="1:35" x14ac:dyDescent="0.25">
      <c r="A35" s="278">
        <f ca="1">IF(Table1[[#This Row],[No. Invoice :]]="","",ROW())</f>
        <v>35</v>
      </c>
      <c r="B35" s="278">
        <f ca="1">IF(Table1[Column3]="","",B$1+COUNT(INDIRECT("B$2:B"&amp;ROW()-1)))</f>
        <v>24020009</v>
      </c>
      <c r="C35" s="272">
        <f>IF(Table1[[#This Row],[Column2]]="","",Table1[[#This Row],[Column2]]+C$1-1)</f>
        <v>45335</v>
      </c>
      <c r="D35" s="281">
        <v>13</v>
      </c>
      <c r="E35" s="273" t="s">
        <v>233</v>
      </c>
      <c r="F35" s="271" t="s">
        <v>88</v>
      </c>
      <c r="G35" s="278" t="str">
        <f ca="1">IF(Table1[[#This Row],[h_No. Invoice :]]="","",CONCATENATE("AM"," ",Table1[[#This Row],[h_No. Invoice :]]))</f>
        <v>AM 24020009</v>
      </c>
      <c r="H35" s="271" t="str">
        <f>IF(Table1[[#This Row],[Column5]]="","",INDEX(Table2[Column1],MATCH(Table1[[#This Row],[Column5]],Table2[a],0)))</f>
        <v>G</v>
      </c>
      <c r="I35" s="279" t="str">
        <f>IF(Table1[[#This Row],[Column3]]=0,"",CONCATENATE(UPPER(Table1[[#This Row],[Column3]])," ",Table1[[#This Row],[Column4]]))</f>
        <v>G 0936</v>
      </c>
      <c r="J35" s="278" t="str">
        <f>IF(Table1[[#This Row],[Column5]]="","",INDEX(Table2[e],IF(Table1[[#This Row],[Column5]]="","",MATCH(Table1[[#This Row],[Column5]],Table2[a],0)),))</f>
        <v>CV UTAMA PUTRA TULUNG AGUNG</v>
      </c>
      <c r="K35" s="271">
        <v>24</v>
      </c>
      <c r="L35" s="271" t="s">
        <v>136</v>
      </c>
      <c r="N35" s="271" t="s">
        <v>234</v>
      </c>
      <c r="O35" s="278" t="str">
        <f>IF(Table1[[#This Row],[h_Item Description]]="","",INDEX([1]!db[NB PAJAK],MATCH(Table1[[#This Row],[h_Item Description]],[1]!db[kode],0)))</f>
        <v>CORRECTION TAPE KENKO CT-809 (8M x 5MM)</v>
      </c>
      <c r="P35" s="271" t="s">
        <v>239</v>
      </c>
      <c r="Q35" s="274">
        <v>54000</v>
      </c>
      <c r="R35" s="275">
        <v>0.125</v>
      </c>
      <c r="S35" s="275"/>
      <c r="T35" s="274">
        <f>Table1[[#This Row],[h_hargasetelahdiskon]]</f>
        <v>1134000</v>
      </c>
      <c r="U35" s="274" t="s">
        <v>129</v>
      </c>
      <c r="V35" s="271"/>
      <c r="W35" s="278">
        <f ca="1">IF(Table1[[#This Row],[Item Description]]="","",IF(Table1[[#This Row],[//]]="",INDIRECT(ADDRESS(ROW()-1,COLUMN())),Table1[[#This Row],[//]]))</f>
        <v>35</v>
      </c>
      <c r="X35" s="278">
        <f ca="1">IF(Table1[[#This Row],[h_id]]="","",COUNTIF(Table1[h_id],Table1[[#This Row],[h_id]]))</f>
        <v>6</v>
      </c>
      <c r="Y35" s="274">
        <f>IF(Table1[Item Description]="","",Table1[[#This Row],[Qty]]*Table1[[#This Row],[Unit Price]])</f>
        <v>1296000</v>
      </c>
      <c r="Z35" s="274">
        <f>IF(Table1[[#This Row],[h_hargasebelumdiskon]]="","",IF(Table1[[#This Row],[Disc 1]]="",0,Table1[[#This Row],[h_hargasebelumdiskon]]*Table1[[#This Row],[Disc 1]]))</f>
        <v>162000</v>
      </c>
      <c r="AA35" s="274">
        <f>IF(Table1[[#This Row],[h_hargasebelumdiskon]]="","",IF(Table1[[#This Row],[Disc 2]]="",0,(Table1[[#This Row],[h_hargasebelumdiskon]]-Table1[[#This Row],[h_disc 1]])*Table1[[#This Row],[Disc 2]]))</f>
        <v>0</v>
      </c>
      <c r="AB35" s="274">
        <f>IF(Table1[Item Description]="","",Table1[[#This Row],[h_disc 1]]+Table1[[#This Row],[h_disc 2]])</f>
        <v>162000</v>
      </c>
      <c r="AC35" s="274">
        <f>IF(Table1[Item Description]="","",Table1[[#This Row],[h_hargasebelumdiskon]]-Table1[[#This Row],[h_diskon]])</f>
        <v>1134000</v>
      </c>
      <c r="AD35" s="274">
        <f ca="1">IF(Table1[//]="","",SUMIF(Table1[h_id],Table1[h_id],Table1[h_hargasetelahdiskon]))</f>
        <v>10470600</v>
      </c>
      <c r="AF35" s="274" t="str">
        <f>Table1[[#This Row],[Item Description]]&amp;Table1[[#This Row],[Unit]]&amp;Table1[[#This Row],[Unit Price]]</f>
        <v>CORRECTION TAPE KENKO CT-809 (8M x 5MM)LSN54000</v>
      </c>
      <c r="AG35" s="3"/>
      <c r="AH35" s="492">
        <v>6678000</v>
      </c>
      <c r="AI35" s="3"/>
    </row>
    <row r="36" spans="1:35" x14ac:dyDescent="0.25">
      <c r="A36" s="278" t="str">
        <f ca="1">IF(Table1[[#This Row],[No. Invoice :]]="","",ROW())</f>
        <v/>
      </c>
      <c r="B36" s="278" t="str">
        <f ca="1">IF(Table1[Column3]="","",B$1+COUNT(INDIRECT("B$2:B"&amp;ROW()-1)))</f>
        <v/>
      </c>
      <c r="C36" s="272" t="str">
        <f>IF(Table1[[#This Row],[Column2]]="","",Table1[[#This Row],[Column2]]+C$1-1)</f>
        <v/>
      </c>
      <c r="E36" s="273"/>
      <c r="F36" s="271"/>
      <c r="G36" s="278" t="str">
        <f ca="1">IF(Table1[[#This Row],[h_No. Invoice :]]="","",CONCATENATE("AM"," ",Table1[[#This Row],[h_No. Invoice :]]))</f>
        <v/>
      </c>
      <c r="H36" s="271" t="str">
        <f>IF(Table1[[#This Row],[Column5]]="","",INDEX(Table2[Column1],MATCH(Table1[[#This Row],[Column5]],Table2[a],0)))</f>
        <v/>
      </c>
      <c r="I36" s="279" t="str">
        <f>IF(Table1[[#This Row],[Column3]]=0,"",CONCATENATE(UPPER(Table1[[#This Row],[Column3]])," ",Table1[[#This Row],[Column4]]))</f>
        <v xml:space="preserve"> </v>
      </c>
      <c r="J36" s="278" t="str">
        <f>IF(Table1[[#This Row],[Column5]]="","",INDEX(Table2[e],IF(Table1[[#This Row],[Column5]]="","",MATCH(Table1[[#This Row],[Column5]],Table2[a],0)),))</f>
        <v/>
      </c>
      <c r="K36" s="271">
        <v>24</v>
      </c>
      <c r="L36" s="271" t="s">
        <v>136</v>
      </c>
      <c r="N36" s="271" t="s">
        <v>235</v>
      </c>
      <c r="O36" s="278" t="str">
        <f>IF(Table1[[#This Row],[h_Item Description]]="","",INDEX([1]!db[NB PAJAK],MATCH(Table1[[#This Row],[h_Item Description]],[1]!db[kode],0)))</f>
        <v>CORRECTION TAPE KENKO CT-802N (8M x 5MM)</v>
      </c>
      <c r="P36" s="271" t="s">
        <v>240</v>
      </c>
      <c r="Q36" s="274">
        <v>51000</v>
      </c>
      <c r="R36" s="275">
        <v>0.125</v>
      </c>
      <c r="S36" s="275"/>
      <c r="T36" s="274">
        <f>Table1[[#This Row],[h_hargasetelahdiskon]]</f>
        <v>1071000</v>
      </c>
      <c r="V36" s="271"/>
      <c r="W36" s="278">
        <f ca="1">IF(Table1[[#This Row],[Item Description]]="","",IF(Table1[[#This Row],[//]]="",INDIRECT(ADDRESS(ROW()-1,COLUMN())),Table1[[#This Row],[//]]))</f>
        <v>35</v>
      </c>
      <c r="X36" s="278">
        <f ca="1">IF(Table1[[#This Row],[h_id]]="","",COUNTIF(Table1[h_id],Table1[[#This Row],[h_id]]))</f>
        <v>6</v>
      </c>
      <c r="Y36" s="274">
        <f>IF(Table1[Item Description]="","",Table1[[#This Row],[Qty]]*Table1[[#This Row],[Unit Price]])</f>
        <v>1224000</v>
      </c>
      <c r="Z36" s="274">
        <f>IF(Table1[[#This Row],[h_hargasebelumdiskon]]="","",IF(Table1[[#This Row],[Disc 1]]="",0,Table1[[#This Row],[h_hargasebelumdiskon]]*Table1[[#This Row],[Disc 1]]))</f>
        <v>153000</v>
      </c>
      <c r="AA36" s="274">
        <f>IF(Table1[[#This Row],[h_hargasebelumdiskon]]="","",IF(Table1[[#This Row],[Disc 2]]="",0,(Table1[[#This Row],[h_hargasebelumdiskon]]-Table1[[#This Row],[h_disc 1]])*Table1[[#This Row],[Disc 2]]))</f>
        <v>0</v>
      </c>
      <c r="AB36" s="274">
        <f>IF(Table1[Item Description]="","",Table1[[#This Row],[h_disc 1]]+Table1[[#This Row],[h_disc 2]])</f>
        <v>153000</v>
      </c>
      <c r="AC36" s="274">
        <f>IF(Table1[Item Description]="","",Table1[[#This Row],[h_hargasebelumdiskon]]-Table1[[#This Row],[h_diskon]])</f>
        <v>1071000</v>
      </c>
      <c r="AD36" s="274" t="str">
        <f ca="1">IF(Table1[//]="","",SUMIF(Table1[h_id],Table1[h_id],Table1[h_hargasetelahdiskon]))</f>
        <v/>
      </c>
      <c r="AF36" s="274" t="str">
        <f>Table1[[#This Row],[Item Description]]&amp;Table1[[#This Row],[Unit]]&amp;Table1[[#This Row],[Unit Price]]</f>
        <v>CORRECTION TAPE KENKO CT-802N (8M x 5MM)LSN51000</v>
      </c>
      <c r="AG36" s="3"/>
      <c r="AH36" s="492">
        <v>3376800</v>
      </c>
      <c r="AI36" s="3"/>
    </row>
    <row r="37" spans="1:35" x14ac:dyDescent="0.25">
      <c r="A37" s="278" t="str">
        <f ca="1">IF(Table1[[#This Row],[No. Invoice :]]="","",ROW())</f>
        <v/>
      </c>
      <c r="B37" s="278" t="str">
        <f ca="1">IF(Table1[Column3]="","",B$1+COUNT(INDIRECT("B$2:B"&amp;ROW()-1)))</f>
        <v/>
      </c>
      <c r="C37" s="272" t="str">
        <f>IF(Table1[[#This Row],[Column2]]="","",Table1[[#This Row],[Column2]]+C$1-1)</f>
        <v/>
      </c>
      <c r="E37" s="273"/>
      <c r="F37" s="271"/>
      <c r="G37" s="278" t="str">
        <f ca="1">IF(Table1[[#This Row],[h_No. Invoice :]]="","",CONCATENATE("AM"," ",Table1[[#This Row],[h_No. Invoice :]]))</f>
        <v/>
      </c>
      <c r="H37" s="271" t="str">
        <f>IF(Table1[[#This Row],[Column5]]="","",INDEX(Table2[Column1],MATCH(Table1[[#This Row],[Column5]],Table2[a],0)))</f>
        <v/>
      </c>
      <c r="I37" s="279" t="str">
        <f>IF(Table1[[#This Row],[Column3]]=0,"",CONCATENATE(UPPER(Table1[[#This Row],[Column3]])," ",Table1[[#This Row],[Column4]]))</f>
        <v xml:space="preserve"> </v>
      </c>
      <c r="J37" s="278" t="str">
        <f>IF(Table1[[#This Row],[Column5]]="","",INDEX(Table2[e],IF(Table1[[#This Row],[Column5]]="","",MATCH(Table1[[#This Row],[Column5]],Table2[a],0)),))</f>
        <v/>
      </c>
      <c r="K37" s="271">
        <v>24</v>
      </c>
      <c r="L37" s="271" t="s">
        <v>136</v>
      </c>
      <c r="N37" s="271" t="s">
        <v>238</v>
      </c>
      <c r="O37" s="278" t="str">
        <f>IF(Table1[[#This Row],[h_Item Description]]="","",INDEX([1]!db[NB PAJAK],MATCH(Table1[[#This Row],[h_Item Description]],[1]!db[kode],0)))</f>
        <v>CORRECTION TAPE KENKO CT-1505FC (15M X 5MM)</v>
      </c>
      <c r="P37" s="271" t="s">
        <v>241</v>
      </c>
      <c r="Q37" s="274">
        <v>69600</v>
      </c>
      <c r="R37" s="275">
        <v>0.125</v>
      </c>
      <c r="S37" s="275"/>
      <c r="T37" s="274">
        <f>Table1[[#This Row],[h_hargasetelahdiskon]]</f>
        <v>1461600</v>
      </c>
      <c r="V37" s="271"/>
      <c r="W37" s="278">
        <f ca="1">IF(Table1[[#This Row],[Item Description]]="","",IF(Table1[[#This Row],[//]]="",INDIRECT(ADDRESS(ROW()-1,COLUMN())),Table1[[#This Row],[//]]))</f>
        <v>35</v>
      </c>
      <c r="X37" s="278">
        <f ca="1">IF(Table1[[#This Row],[h_id]]="","",COUNTIF(Table1[h_id],Table1[[#This Row],[h_id]]))</f>
        <v>6</v>
      </c>
      <c r="Y37" s="274">
        <f>IF(Table1[Item Description]="","",Table1[[#This Row],[Qty]]*Table1[[#This Row],[Unit Price]])</f>
        <v>1670400</v>
      </c>
      <c r="Z37" s="274">
        <f>IF(Table1[[#This Row],[h_hargasebelumdiskon]]="","",IF(Table1[[#This Row],[Disc 1]]="",0,Table1[[#This Row],[h_hargasebelumdiskon]]*Table1[[#This Row],[Disc 1]]))</f>
        <v>208800</v>
      </c>
      <c r="AA37" s="274">
        <f>IF(Table1[[#This Row],[h_hargasebelumdiskon]]="","",IF(Table1[[#This Row],[Disc 2]]="",0,(Table1[[#This Row],[h_hargasebelumdiskon]]-Table1[[#This Row],[h_disc 1]])*Table1[[#This Row],[Disc 2]]))</f>
        <v>0</v>
      </c>
      <c r="AB37" s="274">
        <f>IF(Table1[Item Description]="","",Table1[[#This Row],[h_disc 1]]+Table1[[#This Row],[h_disc 2]])</f>
        <v>208800</v>
      </c>
      <c r="AC37" s="274">
        <f>IF(Table1[Item Description]="","",Table1[[#This Row],[h_hargasebelumdiskon]]-Table1[[#This Row],[h_diskon]])</f>
        <v>1461600</v>
      </c>
      <c r="AD37" s="274" t="str">
        <f ca="1">IF(Table1[//]="","",SUMIF(Table1[h_id],Table1[h_id],Table1[h_hargasetelahdiskon]))</f>
        <v/>
      </c>
      <c r="AF37" s="274" t="str">
        <f>Table1[[#This Row],[Item Description]]&amp;Table1[[#This Row],[Unit]]&amp;Table1[[#This Row],[Unit Price]]</f>
        <v>CORRECTION TAPE KENKO CT-1505FC (15M X 5MM)LSN69600</v>
      </c>
      <c r="AG37" s="3"/>
      <c r="AH37" s="492">
        <v>932400</v>
      </c>
      <c r="AI37" s="3"/>
    </row>
    <row r="38" spans="1:35" x14ac:dyDescent="0.25">
      <c r="A38" s="278" t="str">
        <f ca="1">IF(Table1[[#This Row],[No. Invoice :]]="","",ROW())</f>
        <v/>
      </c>
      <c r="B38" s="278" t="str">
        <f ca="1">IF(Table1[Column3]="","",B$1+COUNT(INDIRECT("B$2:B"&amp;ROW()-1)))</f>
        <v/>
      </c>
      <c r="C38" s="272" t="str">
        <f>IF(Table1[[#This Row],[Column2]]="","",Table1[[#This Row],[Column2]]+C$1-1)</f>
        <v/>
      </c>
      <c r="E38" s="273"/>
      <c r="F38" s="271"/>
      <c r="G38" s="278" t="str">
        <f ca="1">IF(Table1[[#This Row],[h_No. Invoice :]]="","",CONCATENATE("AM"," ",Table1[[#This Row],[h_No. Invoice :]]))</f>
        <v/>
      </c>
      <c r="H38" s="271" t="str">
        <f>IF(Table1[[#This Row],[Column5]]="","",INDEX(Table2[Column1],MATCH(Table1[[#This Row],[Column5]],Table2[a],0)))</f>
        <v/>
      </c>
      <c r="I38" s="279" t="str">
        <f>IF(Table1[[#This Row],[Column3]]=0,"",CONCATENATE(UPPER(Table1[[#This Row],[Column3]])," ",Table1[[#This Row],[Column4]]))</f>
        <v xml:space="preserve"> </v>
      </c>
      <c r="J38" s="278" t="str">
        <f>IF(Table1[[#This Row],[Column5]]="","",INDEX(Table2[e],IF(Table1[[#This Row],[Column5]]="","",MATCH(Table1[[#This Row],[Column5]],Table2[a],0)),))</f>
        <v/>
      </c>
      <c r="K38" s="271">
        <v>24</v>
      </c>
      <c r="L38" s="271" t="s">
        <v>136</v>
      </c>
      <c r="N38" s="271" t="s">
        <v>236</v>
      </c>
      <c r="O38" s="278" t="str">
        <f>IF(Table1[[#This Row],[h_Item Description]]="","",INDEX([1]!db[NB PAJAK],MATCH(Table1[[#This Row],[h_Item Description]],[1]!db[kode],0)))</f>
        <v>CORRECTION TAPE KENKO CT-902 (12M x 5MM)</v>
      </c>
      <c r="P38" s="271" t="s">
        <v>242</v>
      </c>
      <c r="Q38" s="274">
        <v>60000</v>
      </c>
      <c r="R38" s="275">
        <v>0.125</v>
      </c>
      <c r="S38" s="275"/>
      <c r="T38" s="274">
        <f>Table1[[#This Row],[h_hargasetelahdiskon]]</f>
        <v>1260000</v>
      </c>
      <c r="V38" s="271"/>
      <c r="W38" s="278">
        <f ca="1">IF(Table1[[#This Row],[Item Description]]="","",IF(Table1[[#This Row],[//]]="",INDIRECT(ADDRESS(ROW()-1,COLUMN())),Table1[[#This Row],[//]]))</f>
        <v>35</v>
      </c>
      <c r="X38" s="278">
        <f ca="1">IF(Table1[[#This Row],[h_id]]="","",COUNTIF(Table1[h_id],Table1[[#This Row],[h_id]]))</f>
        <v>6</v>
      </c>
      <c r="Y38" s="274">
        <f>IF(Table1[Item Description]="","",Table1[[#This Row],[Qty]]*Table1[[#This Row],[Unit Price]])</f>
        <v>1440000</v>
      </c>
      <c r="Z38" s="274">
        <f>IF(Table1[[#This Row],[h_hargasebelumdiskon]]="","",IF(Table1[[#This Row],[Disc 1]]="",0,Table1[[#This Row],[h_hargasebelumdiskon]]*Table1[[#This Row],[Disc 1]]))</f>
        <v>180000</v>
      </c>
      <c r="AA38" s="274">
        <f>IF(Table1[[#This Row],[h_hargasebelumdiskon]]="","",IF(Table1[[#This Row],[Disc 2]]="",0,(Table1[[#This Row],[h_hargasebelumdiskon]]-Table1[[#This Row],[h_disc 1]])*Table1[[#This Row],[Disc 2]]))</f>
        <v>0</v>
      </c>
      <c r="AB38" s="274">
        <f>IF(Table1[Item Description]="","",Table1[[#This Row],[h_disc 1]]+Table1[[#This Row],[h_disc 2]])</f>
        <v>180000</v>
      </c>
      <c r="AC38" s="274">
        <f>IF(Table1[Item Description]="","",Table1[[#This Row],[h_hargasebelumdiskon]]-Table1[[#This Row],[h_diskon]])</f>
        <v>1260000</v>
      </c>
      <c r="AD38" s="274" t="str">
        <f ca="1">IF(Table1[//]="","",SUMIF(Table1[h_id],Table1[h_id],Table1[h_hargasetelahdiskon]))</f>
        <v/>
      </c>
      <c r="AF38" s="274" t="str">
        <f>Table1[[#This Row],[Item Description]]&amp;Table1[[#This Row],[Unit]]&amp;Table1[[#This Row],[Unit Price]]</f>
        <v>CORRECTION TAPE KENKO CT-902 (12M x 5MM)LSN60000</v>
      </c>
      <c r="AG38" s="3"/>
      <c r="AH38" s="492">
        <v>3990000</v>
      </c>
      <c r="AI38" s="3"/>
    </row>
    <row r="39" spans="1:35" ht="16.5" x14ac:dyDescent="0.25">
      <c r="A39" s="278" t="str">
        <f ca="1">IF(Table1[[#This Row],[No. Invoice :]]="","",ROW())</f>
        <v/>
      </c>
      <c r="B39" s="278" t="str">
        <f ca="1">IF(Table1[Column3]="","",B$1+COUNT(INDIRECT("B$2:B"&amp;ROW()-1)))</f>
        <v/>
      </c>
      <c r="C39" s="272" t="str">
        <f>IF(Table1[[#This Row],[Column2]]="","",Table1[[#This Row],[Column2]]+C$1-1)</f>
        <v/>
      </c>
      <c r="E39" s="273"/>
      <c r="F39" s="271"/>
      <c r="G39" s="278" t="str">
        <f ca="1">IF(Table1[[#This Row],[h_No. Invoice :]]="","",CONCATENATE("AM"," ",Table1[[#This Row],[h_No. Invoice :]]))</f>
        <v/>
      </c>
      <c r="H39" s="271" t="str">
        <f>IF(Table1[[#This Row],[Column5]]="","",INDEX(Table2[Column1],MATCH(Table1[[#This Row],[Column5]],Table2[a],0)))</f>
        <v/>
      </c>
      <c r="I39" s="279" t="str">
        <f>IF(Table1[[#This Row],[Column3]]=0,"",CONCATENATE(UPPER(Table1[[#This Row],[Column3]])," ",Table1[[#This Row],[Column4]]))</f>
        <v xml:space="preserve"> </v>
      </c>
      <c r="J39" s="278" t="str">
        <f>IF(Table1[[#This Row],[Column5]]="","",INDEX(Table2[e],IF(Table1[[#This Row],[Column5]]="","",MATCH(Table1[[#This Row],[Column5]],Table2[a],0)),))</f>
        <v/>
      </c>
      <c r="K39" s="271">
        <v>12</v>
      </c>
      <c r="L39" s="271" t="s">
        <v>136</v>
      </c>
      <c r="N39" s="271" t="s">
        <v>237</v>
      </c>
      <c r="O39" s="278" t="str">
        <f>IF(Table1[[#This Row],[h_Item Description]]="","",INDEX([1]!db[NB PAJAK],MATCH(Table1[[#This Row],[h_Item Description]],[1]!db[kode],0)))</f>
        <v>CORRECTION TAPE KENKO CT-902CL (12M x 5MM)</v>
      </c>
      <c r="P39" s="480" t="s">
        <v>243</v>
      </c>
      <c r="Q39" s="274">
        <v>60000</v>
      </c>
      <c r="R39" s="275">
        <v>0.125</v>
      </c>
      <c r="S39" s="275"/>
      <c r="T39" s="274">
        <f>Table1[[#This Row],[h_hargasetelahdiskon]]</f>
        <v>630000</v>
      </c>
      <c r="V39" s="271"/>
      <c r="W39" s="278">
        <f ca="1">IF(Table1[[#This Row],[Item Description]]="","",IF(Table1[[#This Row],[//]]="",INDIRECT(ADDRESS(ROW()-1,COLUMN())),Table1[[#This Row],[//]]))</f>
        <v>35</v>
      </c>
      <c r="X39" s="278">
        <f ca="1">IF(Table1[[#This Row],[h_id]]="","",COUNTIF(Table1[h_id],Table1[[#This Row],[h_id]]))</f>
        <v>6</v>
      </c>
      <c r="Y39" s="274">
        <f>IF(Table1[Item Description]="","",Table1[[#This Row],[Qty]]*Table1[[#This Row],[Unit Price]])</f>
        <v>720000</v>
      </c>
      <c r="Z39" s="274">
        <f>IF(Table1[[#This Row],[h_hargasebelumdiskon]]="","",IF(Table1[[#This Row],[Disc 1]]="",0,Table1[[#This Row],[h_hargasebelumdiskon]]*Table1[[#This Row],[Disc 1]]))</f>
        <v>90000</v>
      </c>
      <c r="AA39" s="274">
        <f>IF(Table1[[#This Row],[h_hargasebelumdiskon]]="","",IF(Table1[[#This Row],[Disc 2]]="",0,(Table1[[#This Row],[h_hargasebelumdiskon]]-Table1[[#This Row],[h_disc 1]])*Table1[[#This Row],[Disc 2]]))</f>
        <v>0</v>
      </c>
      <c r="AB39" s="274">
        <f>IF(Table1[Item Description]="","",Table1[[#This Row],[h_disc 1]]+Table1[[#This Row],[h_disc 2]])</f>
        <v>90000</v>
      </c>
      <c r="AC39" s="274">
        <f>IF(Table1[Item Description]="","",Table1[[#This Row],[h_hargasebelumdiskon]]-Table1[[#This Row],[h_diskon]])</f>
        <v>630000</v>
      </c>
      <c r="AD39" s="274" t="str">
        <f ca="1">IF(Table1[//]="","",SUMIF(Table1[h_id],Table1[h_id],Table1[h_hargasetelahdiskon]))</f>
        <v/>
      </c>
      <c r="AF39" s="274" t="str">
        <f>Table1[[#This Row],[Item Description]]&amp;Table1[[#This Row],[Unit]]&amp;Table1[[#This Row],[Unit Price]]</f>
        <v>CORRECTION TAPE KENKO CT-902CL (12M x 5MM)LSN60000</v>
      </c>
      <c r="AG39" s="3"/>
      <c r="AH39" s="492">
        <v>18522000</v>
      </c>
      <c r="AI39" s="3"/>
    </row>
    <row r="40" spans="1:35" x14ac:dyDescent="0.25">
      <c r="A40" s="278" t="str">
        <f ca="1">IF(Table1[[#This Row],[No. Invoice :]]="","",ROW())</f>
        <v/>
      </c>
      <c r="B40" s="278" t="str">
        <f ca="1">IF(Table1[Column3]="","",B$1+COUNT(INDIRECT("B$2:B"&amp;ROW()-1)))</f>
        <v/>
      </c>
      <c r="C40" s="272" t="str">
        <f>IF(Table1[[#This Row],[Column2]]="","",Table1[[#This Row],[Column2]]+C$1-1)</f>
        <v/>
      </c>
      <c r="E40" s="273"/>
      <c r="F40" s="271"/>
      <c r="G40" s="278" t="str">
        <f ca="1">IF(Table1[[#This Row],[h_No. Invoice :]]="","",CONCATENATE("AM"," ",Table1[[#This Row],[h_No. Invoice :]]))</f>
        <v/>
      </c>
      <c r="H40" s="271" t="str">
        <f>IF(Table1[[#This Row],[Column5]]="","",INDEX(Table2[Column1],MATCH(Table1[[#This Row],[Column5]],Table2[a],0)))</f>
        <v/>
      </c>
      <c r="I40" s="279" t="str">
        <f>IF(Table1[[#This Row],[Column3]]=0,"",CONCATENATE(UPPER(Table1[[#This Row],[Column3]])," ",Table1[[#This Row],[Column4]]))</f>
        <v xml:space="preserve"> </v>
      </c>
      <c r="J40" s="278" t="str">
        <f>IF(Table1[[#This Row],[Column5]]="","",INDEX(Table2[e],IF(Table1[[#This Row],[Column5]]="","",MATCH(Table1[[#This Row],[Column5]],Table2[a],0)),))</f>
        <v/>
      </c>
      <c r="K40" s="271">
        <v>144</v>
      </c>
      <c r="L40" s="271" t="s">
        <v>136</v>
      </c>
      <c r="M40" s="271">
        <v>1</v>
      </c>
      <c r="N40" s="271" t="s">
        <v>183</v>
      </c>
      <c r="O40" s="278" t="str">
        <f>IF(Table1[[#This Row],[h_Item Description]]="","",INDEX([1]!db[NB PAJAK],MATCH(Table1[[#This Row],[h_Item Description]],[1]!db[kode],0)))</f>
        <v>GEL PEN KENKO HI-TECH-H 0.28 MM HITAM</v>
      </c>
      <c r="P40" s="271" t="s">
        <v>184</v>
      </c>
      <c r="Q40" s="274">
        <v>39000</v>
      </c>
      <c r="R40" s="275">
        <v>0.125</v>
      </c>
      <c r="S40" s="275"/>
      <c r="T40" s="274">
        <f>Table1[[#This Row],[h_hargasetelahdiskon]]</f>
        <v>4914000</v>
      </c>
      <c r="V40" s="271"/>
      <c r="W40" s="278">
        <f ca="1">IF(Table1[[#This Row],[Item Description]]="","",IF(Table1[[#This Row],[//]]="",INDIRECT(ADDRESS(ROW()-1,COLUMN())),Table1[[#This Row],[//]]))</f>
        <v>35</v>
      </c>
      <c r="X40" s="278">
        <f ca="1">IF(Table1[[#This Row],[h_id]]="","",COUNTIF(Table1[h_id],Table1[[#This Row],[h_id]]))</f>
        <v>6</v>
      </c>
      <c r="Y40" s="274">
        <f>IF(Table1[Item Description]="","",Table1[[#This Row],[Qty]]*Table1[[#This Row],[Unit Price]])</f>
        <v>5616000</v>
      </c>
      <c r="Z40" s="274">
        <f>IF(Table1[[#This Row],[h_hargasebelumdiskon]]="","",IF(Table1[[#This Row],[Disc 1]]="",0,Table1[[#This Row],[h_hargasebelumdiskon]]*Table1[[#This Row],[Disc 1]]))</f>
        <v>702000</v>
      </c>
      <c r="AA40" s="274">
        <f>IF(Table1[[#This Row],[h_hargasebelumdiskon]]="","",IF(Table1[[#This Row],[Disc 2]]="",0,(Table1[[#This Row],[h_hargasebelumdiskon]]-Table1[[#This Row],[h_disc 1]])*Table1[[#This Row],[Disc 2]]))</f>
        <v>0</v>
      </c>
      <c r="AB40" s="274">
        <f>IF(Table1[Item Description]="","",Table1[[#This Row],[h_disc 1]]+Table1[[#This Row],[h_disc 2]])</f>
        <v>702000</v>
      </c>
      <c r="AC40" s="274">
        <f>IF(Table1[Item Description]="","",Table1[[#This Row],[h_hargasebelumdiskon]]-Table1[[#This Row],[h_diskon]])</f>
        <v>4914000</v>
      </c>
      <c r="AD40" s="274" t="str">
        <f ca="1">IF(Table1[//]="","",SUMIF(Table1[h_id],Table1[h_id],Table1[h_hargasetelahdiskon]))</f>
        <v/>
      </c>
      <c r="AF40" s="274" t="str">
        <f>Table1[[#This Row],[Item Description]]&amp;Table1[[#This Row],[Unit]]&amp;Table1[[#This Row],[Unit Price]]</f>
        <v>GEL PEN KENKO HI-TECH-H 0.28 MM HITAMLSN39000</v>
      </c>
      <c r="AG40" s="3"/>
      <c r="AH40" s="492">
        <v>708750</v>
      </c>
      <c r="AI40" s="3"/>
    </row>
    <row r="41" spans="1:35" x14ac:dyDescent="0.25">
      <c r="A41" s="278" t="str">
        <f ca="1">IF(Table1[[#This Row],[No. Invoice :]]="","",ROW())</f>
        <v/>
      </c>
      <c r="B41" s="278" t="str">
        <f ca="1">IF(Table1[Column3]="","",B$1+COUNT(INDIRECT("B$2:B"&amp;ROW()-1)))</f>
        <v/>
      </c>
      <c r="C41" s="272" t="str">
        <f>IF(Table1[[#This Row],[Column2]]="","",Table1[[#This Row],[Column2]]+C$1-1)</f>
        <v/>
      </c>
      <c r="E41" s="273"/>
      <c r="F41" s="271"/>
      <c r="G41" s="278" t="str">
        <f ca="1">IF(Table1[[#This Row],[h_No. Invoice :]]="","",CONCATENATE("AM"," ",Table1[[#This Row],[h_No. Invoice :]]))</f>
        <v/>
      </c>
      <c r="H41" s="271" t="str">
        <f>IF(Table1[[#This Row],[Column5]]="","",INDEX(Table2[Column1],MATCH(Table1[[#This Row],[Column5]],Table2[a],0)))</f>
        <v/>
      </c>
      <c r="I41" s="279" t="str">
        <f>IF(Table1[[#This Row],[Column3]]=0,"",CONCATENATE(UPPER(Table1[[#This Row],[Column3]])," ",Table1[[#This Row],[Column4]]))</f>
        <v xml:space="preserve"> </v>
      </c>
      <c r="J41" s="278" t="str">
        <f>IF(Table1[[#This Row],[Column5]]="","",INDEX(Table2[e],IF(Table1[[#This Row],[Column5]]="","",MATCH(Table1[[#This Row],[Column5]],Table2[a],0)),))</f>
        <v/>
      </c>
      <c r="K41" s="271"/>
      <c r="L41" s="271"/>
      <c r="O41" s="278" t="str">
        <f>IF(Table1[[#This Row],[h_Item Description]]="","",INDEX([1]!db[NB PAJAK],MATCH(Table1[[#This Row],[h_Item Description]],[1]!db[kode],0)))</f>
        <v/>
      </c>
      <c r="Q41" s="274"/>
      <c r="R41" s="275"/>
      <c r="S41" s="275"/>
      <c r="T41" s="274" t="str">
        <f>Table1[[#This Row],[h_hargasetelahdiskon]]</f>
        <v/>
      </c>
      <c r="V41" s="271"/>
      <c r="W41" s="278" t="str">
        <f ca="1">IF(Table1[[#This Row],[Item Description]]="","",IF(Table1[[#This Row],[//]]="",INDIRECT(ADDRESS(ROW()-1,COLUMN())),Table1[[#This Row],[//]]))</f>
        <v/>
      </c>
      <c r="X41" s="278" t="str">
        <f ca="1">IF(Table1[[#This Row],[h_id]]="","",COUNTIF(Table1[h_id],Table1[[#This Row],[h_id]]))</f>
        <v/>
      </c>
      <c r="Y41" s="274" t="str">
        <f>IF(Table1[Item Description]="","",Table1[[#This Row],[Qty]]*Table1[[#This Row],[Unit Price]])</f>
        <v/>
      </c>
      <c r="Z41" s="274" t="str">
        <f>IF(Table1[[#This Row],[h_hargasebelumdiskon]]="","",IF(Table1[[#This Row],[Disc 1]]="",0,Table1[[#This Row],[h_hargasebelumdiskon]]*Table1[[#This Row],[Disc 1]]))</f>
        <v/>
      </c>
      <c r="AA41" s="274" t="str">
        <f>IF(Table1[[#This Row],[h_hargasebelumdiskon]]="","",IF(Table1[[#This Row],[Disc 2]]="",0,(Table1[[#This Row],[h_hargasebelumdiskon]]-Table1[[#This Row],[h_disc 1]])*Table1[[#This Row],[Disc 2]]))</f>
        <v/>
      </c>
      <c r="AB41" s="274" t="str">
        <f>IF(Table1[Item Description]="","",Table1[[#This Row],[h_disc 1]]+Table1[[#This Row],[h_disc 2]])</f>
        <v/>
      </c>
      <c r="AC41" s="274" t="str">
        <f>IF(Table1[Item Description]="","",Table1[[#This Row],[h_hargasebelumdiskon]]-Table1[[#This Row],[h_diskon]])</f>
        <v/>
      </c>
      <c r="AD41" s="274" t="str">
        <f ca="1">IF(Table1[//]="","",SUMIF(Table1[h_id],Table1[h_id],Table1[h_hargasetelahdiskon]))</f>
        <v/>
      </c>
      <c r="AF41" s="274" t="str">
        <f>Table1[[#This Row],[Item Description]]&amp;Table1[[#This Row],[Unit]]&amp;Table1[[#This Row],[Unit Price]]</f>
        <v/>
      </c>
      <c r="AG41" s="3"/>
      <c r="AH41" s="492">
        <v>3587500</v>
      </c>
      <c r="AI41" s="3"/>
    </row>
    <row r="42" spans="1:35" x14ac:dyDescent="0.25">
      <c r="A42" s="278">
        <f ca="1">IF(Table1[[#This Row],[No. Invoice :]]="","",ROW())</f>
        <v>42</v>
      </c>
      <c r="B42" s="278">
        <f ca="1">IF(Table1[Column3]="","",B$1+COUNT(INDIRECT("B$2:B"&amp;ROW()-1)))</f>
        <v>24020010</v>
      </c>
      <c r="C42" s="272">
        <f>IF(Table1[[#This Row],[Column2]]="","",Table1[[#This Row],[Column2]]+C$1-1)</f>
        <v>45335</v>
      </c>
      <c r="D42" s="281">
        <v>13</v>
      </c>
      <c r="E42" s="273" t="s">
        <v>244</v>
      </c>
      <c r="F42" s="271" t="s">
        <v>145</v>
      </c>
      <c r="G42" s="278" t="str">
        <f ca="1">IF(Table1[[#This Row],[h_No. Invoice :]]="","",CONCATENATE("AM"," ",Table1[[#This Row],[h_No. Invoice :]]))</f>
        <v>AM 24020010</v>
      </c>
      <c r="H42" s="271" t="str">
        <f>IF(Table1[[#This Row],[Column5]]="","",INDEX(Table2[Column1],MATCH(Table1[[#This Row],[Column5]],Table2[a],0)))</f>
        <v>G</v>
      </c>
      <c r="I42" s="279" t="str">
        <f>IF(Table1[[#This Row],[Column3]]=0,"",CONCATENATE(UPPER(Table1[[#This Row],[Column3]])," ",Table1[[#This Row],[Column4]]))</f>
        <v>G 2682</v>
      </c>
      <c r="J42" s="278" t="str">
        <f>IF(Table1[[#This Row],[Column5]]="","",INDEX(Table2[e],IF(Table1[[#This Row],[Column5]]="","",MATCH(Table1[[#This Row],[Column5]],Table2[a],0)),))</f>
        <v>LILY JULIAWATI (REJO AGUNG) JOMBANG</v>
      </c>
      <c r="K42" s="271">
        <v>600</v>
      </c>
      <c r="L42" s="271" t="s">
        <v>136</v>
      </c>
      <c r="M42" s="271">
        <v>10</v>
      </c>
      <c r="N42" s="271" t="s">
        <v>245</v>
      </c>
      <c r="O42" s="278" t="str">
        <f>IF(Table1[[#This Row],[h_Item Description]]="","",INDEX([1]!db[NB PAJAK],MATCH(Table1[[#This Row],[h_Item Description]],[1]!db[kode],0)))</f>
        <v>ISI CUTTER 18 MM KENKO L-150 (BESAR)</v>
      </c>
      <c r="P42" s="271" t="s">
        <v>246</v>
      </c>
      <c r="Q42" s="274">
        <v>64800</v>
      </c>
      <c r="R42" s="275">
        <v>0.125</v>
      </c>
      <c r="S42" s="275"/>
      <c r="T42" s="274">
        <f>Table1[[#This Row],[h_hargasetelahdiskon]]</f>
        <v>34020000</v>
      </c>
      <c r="U42" s="274" t="s">
        <v>129</v>
      </c>
      <c r="V42" s="271"/>
      <c r="W42" s="278">
        <f ca="1">IF(Table1[[#This Row],[Item Description]]="","",IF(Table1[[#This Row],[//]]="",INDIRECT(ADDRESS(ROW()-1,COLUMN())),Table1[[#This Row],[//]]))</f>
        <v>42</v>
      </c>
      <c r="X42" s="278">
        <f ca="1">IF(Table1[[#This Row],[h_id]]="","",COUNTIF(Table1[h_id],Table1[[#This Row],[h_id]]))</f>
        <v>2</v>
      </c>
      <c r="Y42" s="274">
        <f>IF(Table1[Item Description]="","",Table1[[#This Row],[Qty]]*Table1[[#This Row],[Unit Price]])</f>
        <v>38880000</v>
      </c>
      <c r="Z42" s="274">
        <f>IF(Table1[[#This Row],[h_hargasebelumdiskon]]="","",IF(Table1[[#This Row],[Disc 1]]="",0,Table1[[#This Row],[h_hargasebelumdiskon]]*Table1[[#This Row],[Disc 1]]))</f>
        <v>4860000</v>
      </c>
      <c r="AA42" s="274">
        <f>IF(Table1[[#This Row],[h_hargasebelumdiskon]]="","",IF(Table1[[#This Row],[Disc 2]]="",0,(Table1[[#This Row],[h_hargasebelumdiskon]]-Table1[[#This Row],[h_disc 1]])*Table1[[#This Row],[Disc 2]]))</f>
        <v>0</v>
      </c>
      <c r="AB42" s="274">
        <f>IF(Table1[Item Description]="","",Table1[[#This Row],[h_disc 1]]+Table1[[#This Row],[h_disc 2]])</f>
        <v>4860000</v>
      </c>
      <c r="AC42" s="274">
        <f>IF(Table1[Item Description]="","",Table1[[#This Row],[h_hargasebelumdiskon]]-Table1[[#This Row],[h_diskon]])</f>
        <v>34020000</v>
      </c>
      <c r="AD42" s="274">
        <f ca="1">IF(Table1[//]="","",SUMIF(Table1[h_id],Table1[h_id],Table1[h_hargasetelahdiskon]))</f>
        <v>37422000</v>
      </c>
      <c r="AF42" s="274" t="str">
        <f>Table1[[#This Row],[Item Description]]&amp;Table1[[#This Row],[Unit]]&amp;Table1[[#This Row],[Unit Price]]</f>
        <v>ISI CUTTER 18 MM KENKO L-150 (BESAR)LSN64800</v>
      </c>
      <c r="AG42" s="3"/>
      <c r="AH42" s="492">
        <v>4687200</v>
      </c>
      <c r="AI42" s="3"/>
    </row>
    <row r="43" spans="1:35" x14ac:dyDescent="0.25">
      <c r="A43" s="278" t="str">
        <f ca="1">IF(Table1[[#This Row],[No. Invoice :]]="","",ROW())</f>
        <v/>
      </c>
      <c r="B43" s="278" t="str">
        <f ca="1">IF(Table1[Column3]="","",B$1+COUNT(INDIRECT("B$2:B"&amp;ROW()-1)))</f>
        <v/>
      </c>
      <c r="C43" s="272" t="str">
        <f>IF(Table1[[#This Row],[Column2]]="","",Table1[[#This Row],[Column2]]+C$1-1)</f>
        <v/>
      </c>
      <c r="E43" s="273"/>
      <c r="F43" s="271"/>
      <c r="G43" s="278" t="str">
        <f ca="1">IF(Table1[[#This Row],[h_No. Invoice :]]="","",CONCATENATE("AM"," ",Table1[[#This Row],[h_No. Invoice :]]))</f>
        <v/>
      </c>
      <c r="H43" s="271" t="str">
        <f>IF(Table1[[#This Row],[Column5]]="","",INDEX(Table2[Column1],MATCH(Table1[[#This Row],[Column5]],Table2[a],0)))</f>
        <v/>
      </c>
      <c r="I43" s="279" t="str">
        <f>IF(Table1[[#This Row],[Column3]]=0,"",CONCATENATE(UPPER(Table1[[#This Row],[Column3]])," ",Table1[[#This Row],[Column4]]))</f>
        <v xml:space="preserve"> </v>
      </c>
      <c r="J43" s="278" t="str">
        <f>IF(Table1[[#This Row],[Column5]]="","",INDEX(Table2[e],IF(Table1[[#This Row],[Column5]]="","",MATCH(Table1[[#This Row],[Column5]],Table2[a],0)),))</f>
        <v/>
      </c>
      <c r="K43" s="271">
        <v>120</v>
      </c>
      <c r="L43" s="271" t="s">
        <v>136</v>
      </c>
      <c r="M43" s="271">
        <v>1</v>
      </c>
      <c r="N43" s="271" t="s">
        <v>247</v>
      </c>
      <c r="O43" s="278" t="str">
        <f>IF(Table1[[#This Row],[h_Item Description]]="","",INDEX([1]!db[NB PAJAK],MATCH(Table1[[#This Row],[h_Item Description]],[1]!db[kode],0)))</f>
        <v>ISI CUTTER 9 MM KENKO A-100 (KECIL)</v>
      </c>
      <c r="P43" s="271" t="s">
        <v>248</v>
      </c>
      <c r="Q43" s="274">
        <v>32400</v>
      </c>
      <c r="R43" s="275">
        <v>0.125</v>
      </c>
      <c r="S43" s="275"/>
      <c r="T43" s="274">
        <f>Table1[[#This Row],[h_hargasetelahdiskon]]</f>
        <v>3402000</v>
      </c>
      <c r="V43" s="271"/>
      <c r="W43" s="278">
        <f ca="1">IF(Table1[[#This Row],[Item Description]]="","",IF(Table1[[#This Row],[//]]="",INDIRECT(ADDRESS(ROW()-1,COLUMN())),Table1[[#This Row],[//]]))</f>
        <v>42</v>
      </c>
      <c r="X43" s="278">
        <f ca="1">IF(Table1[[#This Row],[h_id]]="","",COUNTIF(Table1[h_id],Table1[[#This Row],[h_id]]))</f>
        <v>2</v>
      </c>
      <c r="Y43" s="274">
        <f>IF(Table1[Item Description]="","",Table1[[#This Row],[Qty]]*Table1[[#This Row],[Unit Price]])</f>
        <v>3888000</v>
      </c>
      <c r="Z43" s="274">
        <f>IF(Table1[[#This Row],[h_hargasebelumdiskon]]="","",IF(Table1[[#This Row],[Disc 1]]="",0,Table1[[#This Row],[h_hargasebelumdiskon]]*Table1[[#This Row],[Disc 1]]))</f>
        <v>486000</v>
      </c>
      <c r="AA43" s="274">
        <f>IF(Table1[[#This Row],[h_hargasebelumdiskon]]="","",IF(Table1[[#This Row],[Disc 2]]="",0,(Table1[[#This Row],[h_hargasebelumdiskon]]-Table1[[#This Row],[h_disc 1]])*Table1[[#This Row],[Disc 2]]))</f>
        <v>0</v>
      </c>
      <c r="AB43" s="274">
        <f>IF(Table1[Item Description]="","",Table1[[#This Row],[h_disc 1]]+Table1[[#This Row],[h_disc 2]])</f>
        <v>486000</v>
      </c>
      <c r="AC43" s="274">
        <f>IF(Table1[Item Description]="","",Table1[[#This Row],[h_hargasebelumdiskon]]-Table1[[#This Row],[h_diskon]])</f>
        <v>3402000</v>
      </c>
      <c r="AD43" s="274" t="str">
        <f ca="1">IF(Table1[//]="","",SUMIF(Table1[h_id],Table1[h_id],Table1[h_hargasetelahdiskon]))</f>
        <v/>
      </c>
      <c r="AF43" s="274" t="str">
        <f>Table1[[#This Row],[Item Description]]&amp;Table1[[#This Row],[Unit]]&amp;Table1[[#This Row],[Unit Price]]</f>
        <v>ISI CUTTER 9 MM KENKO A-100 (KECIL)LSN32400</v>
      </c>
      <c r="AG43" s="3"/>
      <c r="AH43" s="492">
        <v>3231900</v>
      </c>
      <c r="AI43" s="3"/>
    </row>
    <row r="44" spans="1:35" x14ac:dyDescent="0.25">
      <c r="A44" s="278" t="str">
        <f ca="1">IF(Table1[[#This Row],[No. Invoice :]]="","",ROW())</f>
        <v/>
      </c>
      <c r="B44" s="278" t="str">
        <f ca="1">IF(Table1[Column3]="","",B$1+COUNT(INDIRECT("B$2:B"&amp;ROW()-1)))</f>
        <v/>
      </c>
      <c r="C44" s="272" t="str">
        <f>IF(Table1[[#This Row],[Column2]]="","",Table1[[#This Row],[Column2]]+C$1-1)</f>
        <v/>
      </c>
      <c r="E44" s="273"/>
      <c r="F44" s="271"/>
      <c r="G44" s="278" t="str">
        <f ca="1">IF(Table1[[#This Row],[h_No. Invoice :]]="","",CONCATENATE("AM"," ",Table1[[#This Row],[h_No. Invoice :]]))</f>
        <v/>
      </c>
      <c r="H44" s="271" t="str">
        <f>IF(Table1[[#This Row],[Column5]]="","",INDEX(Table2[Column1],MATCH(Table1[[#This Row],[Column5]],Table2[a],0)))</f>
        <v/>
      </c>
      <c r="I44" s="279" t="str">
        <f>IF(Table1[[#This Row],[Column3]]=0,"",CONCATENATE(UPPER(Table1[[#This Row],[Column3]])," ",Table1[[#This Row],[Column4]]))</f>
        <v xml:space="preserve"> </v>
      </c>
      <c r="J44" s="278" t="str">
        <f>IF(Table1[[#This Row],[Column5]]="","",INDEX(Table2[e],IF(Table1[[#This Row],[Column5]]="","",MATCH(Table1[[#This Row],[Column5]],Table2[a],0)),))</f>
        <v/>
      </c>
      <c r="K44" s="271"/>
      <c r="L44" s="271"/>
      <c r="O44" s="278" t="str">
        <f>IF(Table1[[#This Row],[h_Item Description]]="","",INDEX([1]!db[NB PAJAK],MATCH(Table1[[#This Row],[h_Item Description]],[1]!db[kode],0)))</f>
        <v/>
      </c>
      <c r="Q44" s="274"/>
      <c r="R44" s="275"/>
      <c r="S44" s="275"/>
      <c r="T44" s="274" t="str">
        <f>Table1[[#This Row],[h_hargasetelahdiskon]]</f>
        <v/>
      </c>
      <c r="V44" s="271"/>
      <c r="W44" s="278" t="str">
        <f ca="1">IF(Table1[[#This Row],[Item Description]]="","",IF(Table1[[#This Row],[//]]="",INDIRECT(ADDRESS(ROW()-1,COLUMN())),Table1[[#This Row],[//]]))</f>
        <v/>
      </c>
      <c r="X44" s="278" t="str">
        <f ca="1">IF(Table1[[#This Row],[h_id]]="","",COUNTIF(Table1[h_id],Table1[[#This Row],[h_id]]))</f>
        <v/>
      </c>
      <c r="Y44" s="274" t="str">
        <f>IF(Table1[Item Description]="","",Table1[[#This Row],[Qty]]*Table1[[#This Row],[Unit Price]])</f>
        <v/>
      </c>
      <c r="Z44" s="274" t="str">
        <f>IF(Table1[[#This Row],[h_hargasebelumdiskon]]="","",IF(Table1[[#This Row],[Disc 1]]="",0,Table1[[#This Row],[h_hargasebelumdiskon]]*Table1[[#This Row],[Disc 1]]))</f>
        <v/>
      </c>
      <c r="AA44" s="274" t="str">
        <f>IF(Table1[[#This Row],[h_hargasebelumdiskon]]="","",IF(Table1[[#This Row],[Disc 2]]="",0,(Table1[[#This Row],[h_hargasebelumdiskon]]-Table1[[#This Row],[h_disc 1]])*Table1[[#This Row],[Disc 2]]))</f>
        <v/>
      </c>
      <c r="AB44" s="274" t="str">
        <f>IF(Table1[Item Description]="","",Table1[[#This Row],[h_disc 1]]+Table1[[#This Row],[h_disc 2]])</f>
        <v/>
      </c>
      <c r="AC44" s="274" t="str">
        <f>IF(Table1[Item Description]="","",Table1[[#This Row],[h_hargasebelumdiskon]]-Table1[[#This Row],[h_diskon]])</f>
        <v/>
      </c>
      <c r="AD44" s="274" t="str">
        <f ca="1">IF(Table1[//]="","",SUMIF(Table1[h_id],Table1[h_id],Table1[h_hargasetelahdiskon]))</f>
        <v/>
      </c>
      <c r="AF44" s="274" t="str">
        <f>Table1[[#This Row],[Item Description]]&amp;Table1[[#This Row],[Unit]]&amp;Table1[[#This Row],[Unit Price]]</f>
        <v/>
      </c>
      <c r="AG44" s="3"/>
      <c r="AH44" s="492">
        <v>7434000</v>
      </c>
      <c r="AI44" s="3"/>
    </row>
    <row r="45" spans="1:35" x14ac:dyDescent="0.25">
      <c r="A45" s="278">
        <f ca="1">IF(Table1[[#This Row],[No. Invoice :]]="","",ROW())</f>
        <v>45</v>
      </c>
      <c r="B45" s="278">
        <f ca="1">IF(Table1[Column3]="","",B$1+COUNT(INDIRECT("B$2:B"&amp;ROW()-1)))</f>
        <v>24020011</v>
      </c>
      <c r="C45" s="272">
        <f>IF(Table1[[#This Row],[Column2]]="","",Table1[[#This Row],[Column2]]+C$1-1)</f>
        <v>45338</v>
      </c>
      <c r="D45" s="281">
        <v>16</v>
      </c>
      <c r="E45" s="273" t="s">
        <v>249</v>
      </c>
      <c r="F45" s="271" t="s">
        <v>182</v>
      </c>
      <c r="G45" s="278" t="str">
        <f ca="1">IF(Table1[[#This Row],[h_No. Invoice :]]="","",CONCATENATE("AM"," ",Table1[[#This Row],[h_No. Invoice :]]))</f>
        <v>AM 24020011</v>
      </c>
      <c r="H45" s="271" t="str">
        <f>IF(Table1[[#This Row],[Column5]]="","",INDEX(Table2[Column1],MATCH(Table1[[#This Row],[Column5]],Table2[a],0)))</f>
        <v>KO</v>
      </c>
      <c r="I45" s="279" t="str">
        <f>IF(Table1[[#This Row],[Column3]]=0,"",CONCATENATE(UPPER(Table1[[#This Row],[Column3]])," ",Table1[[#This Row],[Column4]]))</f>
        <v>KO 2620</v>
      </c>
      <c r="J45" s="278" t="str">
        <f>IF(Table1[[#This Row],[Column5]]="","",INDEX(Table2[e],IF(Table1[[#This Row],[Column5]]="","",MATCH(Table1[[#This Row],[Column5]],Table2[a],0)),))</f>
        <v>CV LANCAR JAYA SENTOSA MALANG</v>
      </c>
      <c r="K45" s="271">
        <v>288</v>
      </c>
      <c r="L45" s="271" t="s">
        <v>159</v>
      </c>
      <c r="M45" s="271">
        <v>2</v>
      </c>
      <c r="N45" s="271" t="s">
        <v>250</v>
      </c>
      <c r="O45" s="278" t="str">
        <f>IF(Table1[[#This Row],[h_Item Description]]="","",INDEX([1]!db[NB PAJAK],MATCH(Table1[[#This Row],[h_Item Description]],[1]!db[kode],0)))</f>
        <v>PENSIL WARNA JOYKO CP-12PB (PANJANG)</v>
      </c>
      <c r="P45" s="271" t="s">
        <v>254</v>
      </c>
      <c r="Q45" s="274">
        <v>10600</v>
      </c>
      <c r="R45" s="275">
        <v>0.125</v>
      </c>
      <c r="S45" s="275"/>
      <c r="T45" s="274">
        <f>Table1[[#This Row],[h_hargasetelahdiskon]]</f>
        <v>2671200</v>
      </c>
      <c r="U45" s="274" t="s">
        <v>129</v>
      </c>
      <c r="V45" s="271"/>
      <c r="W45" s="278">
        <f ca="1">IF(Table1[[#This Row],[Item Description]]="","",IF(Table1[[#This Row],[//]]="",INDIRECT(ADDRESS(ROW()-1,COLUMN())),Table1[[#This Row],[//]]))</f>
        <v>45</v>
      </c>
      <c r="X45" s="278">
        <f ca="1">IF(Table1[[#This Row],[h_id]]="","",COUNTIF(Table1[h_id],Table1[[#This Row],[h_id]]))</f>
        <v>4</v>
      </c>
      <c r="Y45" s="274">
        <f>IF(Table1[Item Description]="","",Table1[[#This Row],[Qty]]*Table1[[#This Row],[Unit Price]])</f>
        <v>3052800</v>
      </c>
      <c r="Z45" s="274">
        <f>IF(Table1[[#This Row],[h_hargasebelumdiskon]]="","",IF(Table1[[#This Row],[Disc 1]]="",0,Table1[[#This Row],[h_hargasebelumdiskon]]*Table1[[#This Row],[Disc 1]]))</f>
        <v>381600</v>
      </c>
      <c r="AA45" s="274">
        <f>IF(Table1[[#This Row],[h_hargasebelumdiskon]]="","",IF(Table1[[#This Row],[Disc 2]]="",0,(Table1[[#This Row],[h_hargasebelumdiskon]]-Table1[[#This Row],[h_disc 1]])*Table1[[#This Row],[Disc 2]]))</f>
        <v>0</v>
      </c>
      <c r="AB45" s="274">
        <f>IF(Table1[Item Description]="","",Table1[[#This Row],[h_disc 1]]+Table1[[#This Row],[h_disc 2]])</f>
        <v>381600</v>
      </c>
      <c r="AC45" s="274">
        <f>IF(Table1[Item Description]="","",Table1[[#This Row],[h_hargasebelumdiskon]]-Table1[[#This Row],[h_diskon]])</f>
        <v>2671200</v>
      </c>
      <c r="AD45" s="274">
        <f ca="1">IF(Table1[//]="","",SUMIF(Table1[h_id],Table1[h_id],Table1[h_hargasetelahdiskon]))</f>
        <v>8103200</v>
      </c>
      <c r="AF45" s="274" t="str">
        <f>Table1[[#This Row],[Item Description]]&amp;Table1[[#This Row],[Unit]]&amp;Table1[[#This Row],[Unit Price]]</f>
        <v>PENSIL WARNA JOYKO CP-12PB (PANJANG)SET10600</v>
      </c>
      <c r="AG45" s="3"/>
      <c r="AH45" s="492">
        <v>7434000</v>
      </c>
      <c r="AI45" s="3"/>
    </row>
    <row r="46" spans="1:35" x14ac:dyDescent="0.25">
      <c r="A46" s="278" t="str">
        <f ca="1">IF(Table1[[#This Row],[No. Invoice :]]="","",ROW())</f>
        <v/>
      </c>
      <c r="B46" s="278" t="str">
        <f ca="1">IF(Table1[Column3]="","",B$1+COUNT(INDIRECT("B$2:B"&amp;ROW()-1)))</f>
        <v/>
      </c>
      <c r="C46" s="272" t="str">
        <f>IF(Table1[[#This Row],[Column2]]="","",Table1[[#This Row],[Column2]]+C$1-1)</f>
        <v/>
      </c>
      <c r="E46" s="273"/>
      <c r="F46" s="271"/>
      <c r="G46" s="278" t="str">
        <f ca="1">IF(Table1[[#This Row],[h_No. Invoice :]]="","",CONCATENATE("AM"," ",Table1[[#This Row],[h_No. Invoice :]]))</f>
        <v/>
      </c>
      <c r="H46" s="271" t="str">
        <f>IF(Table1[[#This Row],[Column5]]="","",INDEX(Table2[Column1],MATCH(Table1[[#This Row],[Column5]],Table2[a],0)))</f>
        <v/>
      </c>
      <c r="I46" s="279" t="str">
        <f>IF(Table1[[#This Row],[Column3]]=0,"",CONCATENATE(UPPER(Table1[[#This Row],[Column3]])," ",Table1[[#This Row],[Column4]]))</f>
        <v xml:space="preserve"> </v>
      </c>
      <c r="J46" s="278" t="str">
        <f>IF(Table1[[#This Row],[Column5]]="","",INDEX(Table2[e],IF(Table1[[#This Row],[Column5]]="","",MATCH(Table1[[#This Row],[Column5]],Table2[a],0)),))</f>
        <v/>
      </c>
      <c r="K46" s="271">
        <v>288</v>
      </c>
      <c r="L46" s="271" t="s">
        <v>159</v>
      </c>
      <c r="M46" s="271">
        <v>1</v>
      </c>
      <c r="N46" s="271" t="s">
        <v>251</v>
      </c>
      <c r="O46" s="278" t="str">
        <f>IF(Table1[[#This Row],[h_Item Description]]="","",INDEX([1]!db[NB PAJAK],MATCH(Table1[[#This Row],[h_Item Description]],[1]!db[kode],0)))</f>
        <v>PENSIL WARNA JOYKO CP-S12 MINI (PENDEK)</v>
      </c>
      <c r="P46" s="271" t="s">
        <v>255</v>
      </c>
      <c r="Q46" s="274">
        <v>6700</v>
      </c>
      <c r="R46" s="275">
        <v>0.125</v>
      </c>
      <c r="S46" s="275"/>
      <c r="T46" s="274">
        <f>Table1[[#This Row],[h_hargasetelahdiskon]]</f>
        <v>1688400</v>
      </c>
      <c r="V46" s="271"/>
      <c r="W46" s="278">
        <f ca="1">IF(Table1[[#This Row],[Item Description]]="","",IF(Table1[[#This Row],[//]]="",INDIRECT(ADDRESS(ROW()-1,COLUMN())),Table1[[#This Row],[//]]))</f>
        <v>45</v>
      </c>
      <c r="X46" s="278">
        <f ca="1">IF(Table1[[#This Row],[h_id]]="","",COUNTIF(Table1[h_id],Table1[[#This Row],[h_id]]))</f>
        <v>4</v>
      </c>
      <c r="Y46" s="274">
        <f>IF(Table1[Item Description]="","",Table1[[#This Row],[Qty]]*Table1[[#This Row],[Unit Price]])</f>
        <v>1929600</v>
      </c>
      <c r="Z46" s="274">
        <f>IF(Table1[[#This Row],[h_hargasebelumdiskon]]="","",IF(Table1[[#This Row],[Disc 1]]="",0,Table1[[#This Row],[h_hargasebelumdiskon]]*Table1[[#This Row],[Disc 1]]))</f>
        <v>241200</v>
      </c>
      <c r="AA46" s="274">
        <f>IF(Table1[[#This Row],[h_hargasebelumdiskon]]="","",IF(Table1[[#This Row],[Disc 2]]="",0,(Table1[[#This Row],[h_hargasebelumdiskon]]-Table1[[#This Row],[h_disc 1]])*Table1[[#This Row],[Disc 2]]))</f>
        <v>0</v>
      </c>
      <c r="AB46" s="274">
        <f>IF(Table1[Item Description]="","",Table1[[#This Row],[h_disc 1]]+Table1[[#This Row],[h_disc 2]])</f>
        <v>241200</v>
      </c>
      <c r="AC46" s="274">
        <f>IF(Table1[Item Description]="","",Table1[[#This Row],[h_hargasebelumdiskon]]-Table1[[#This Row],[h_diskon]])</f>
        <v>1688400</v>
      </c>
      <c r="AD46" s="274" t="str">
        <f ca="1">IF(Table1[//]="","",SUMIF(Table1[h_id],Table1[h_id],Table1[h_hargasetelahdiskon]))</f>
        <v/>
      </c>
      <c r="AF46" s="274" t="str">
        <f>Table1[[#This Row],[Item Description]]&amp;Table1[[#This Row],[Unit]]&amp;Table1[[#This Row],[Unit Price]]</f>
        <v>PENSIL WARNA JOYKO CP-S12 MINI (PENDEK)SET6700</v>
      </c>
      <c r="AG46" s="3"/>
      <c r="AH46" s="492">
        <v>1483650</v>
      </c>
      <c r="AI46" s="3"/>
    </row>
    <row r="47" spans="1:35" x14ac:dyDescent="0.25">
      <c r="A47" s="278" t="str">
        <f ca="1">IF(Table1[[#This Row],[No. Invoice :]]="","",ROW())</f>
        <v/>
      </c>
      <c r="B47" s="278" t="str">
        <f ca="1">IF(Table1[Column3]="","",B$1+COUNT(INDIRECT("B$2:B"&amp;ROW()-1)))</f>
        <v/>
      </c>
      <c r="C47" s="272" t="str">
        <f>IF(Table1[[#This Row],[Column2]]="","",Table1[[#This Row],[Column2]]+C$1-1)</f>
        <v/>
      </c>
      <c r="E47" s="273"/>
      <c r="F47" s="271"/>
      <c r="G47" s="278" t="str">
        <f ca="1">IF(Table1[[#This Row],[h_No. Invoice :]]="","",CONCATENATE("AM"," ",Table1[[#This Row],[h_No. Invoice :]]))</f>
        <v/>
      </c>
      <c r="H47" s="271" t="str">
        <f>IF(Table1[[#This Row],[Column5]]="","",INDEX(Table2[Column1],MATCH(Table1[[#This Row],[Column5]],Table2[a],0)))</f>
        <v/>
      </c>
      <c r="I47" s="279" t="str">
        <f>IF(Table1[[#This Row],[Column3]]=0,"",CONCATENATE(UPPER(Table1[[#This Row],[Column3]])," ",Table1[[#This Row],[Column4]]))</f>
        <v xml:space="preserve"> </v>
      </c>
      <c r="J47" s="278" t="str">
        <f>IF(Table1[[#This Row],[Column5]]="","",INDEX(Table2[e],IF(Table1[[#This Row],[Column5]]="","",MATCH(Table1[[#This Row],[Column5]],Table2[a],0)),))</f>
        <v/>
      </c>
      <c r="K47" s="271">
        <v>72</v>
      </c>
      <c r="L47" s="271" t="s">
        <v>136</v>
      </c>
      <c r="M47" s="271">
        <v>1</v>
      </c>
      <c r="N47" s="271" t="s">
        <v>252</v>
      </c>
      <c r="O47" s="278" t="str">
        <f>IF(Table1[[#This Row],[h_Item Description]]="","",INDEX([1]!db[NB PAJAK],MATCH(Table1[[#This Row],[h_Item Description]],[1]!db[kode],0)))</f>
        <v>ISI PENSIL 2B 2.0 MM JOYKO PL-11</v>
      </c>
      <c r="P47" s="271" t="s">
        <v>256</v>
      </c>
      <c r="Q47" s="274">
        <v>37200</v>
      </c>
      <c r="R47" s="275">
        <v>0.125</v>
      </c>
      <c r="S47" s="275"/>
      <c r="T47" s="274">
        <f>Table1[[#This Row],[h_hargasetelahdiskon]]</f>
        <v>2343600</v>
      </c>
      <c r="V47" s="271"/>
      <c r="W47" s="278">
        <f ca="1">IF(Table1[[#This Row],[Item Description]]="","",IF(Table1[[#This Row],[//]]="",INDIRECT(ADDRESS(ROW()-1,COLUMN())),Table1[[#This Row],[//]]))</f>
        <v>45</v>
      </c>
      <c r="X47" s="278">
        <f ca="1">IF(Table1[[#This Row],[h_id]]="","",COUNTIF(Table1[h_id],Table1[[#This Row],[h_id]]))</f>
        <v>4</v>
      </c>
      <c r="Y47" s="274">
        <f>IF(Table1[Item Description]="","",Table1[[#This Row],[Qty]]*Table1[[#This Row],[Unit Price]])</f>
        <v>2678400</v>
      </c>
      <c r="Z47" s="274">
        <f>IF(Table1[[#This Row],[h_hargasebelumdiskon]]="","",IF(Table1[[#This Row],[Disc 1]]="",0,Table1[[#This Row],[h_hargasebelumdiskon]]*Table1[[#This Row],[Disc 1]]))</f>
        <v>334800</v>
      </c>
      <c r="AA47" s="274">
        <f>IF(Table1[[#This Row],[h_hargasebelumdiskon]]="","",IF(Table1[[#This Row],[Disc 2]]="",0,(Table1[[#This Row],[h_hargasebelumdiskon]]-Table1[[#This Row],[h_disc 1]])*Table1[[#This Row],[Disc 2]]))</f>
        <v>0</v>
      </c>
      <c r="AB47" s="274">
        <f>IF(Table1[Item Description]="","",Table1[[#This Row],[h_disc 1]]+Table1[[#This Row],[h_disc 2]])</f>
        <v>334800</v>
      </c>
      <c r="AC47" s="274">
        <f>IF(Table1[Item Description]="","",Table1[[#This Row],[h_hargasebelumdiskon]]-Table1[[#This Row],[h_diskon]])</f>
        <v>2343600</v>
      </c>
      <c r="AD47" s="274" t="str">
        <f ca="1">IF(Table1[//]="","",SUMIF(Table1[h_id],Table1[h_id],Table1[h_hargasetelahdiskon]))</f>
        <v/>
      </c>
      <c r="AF47" s="274" t="str">
        <f>Table1[[#This Row],[Item Description]]&amp;Table1[[#This Row],[Unit]]&amp;Table1[[#This Row],[Unit Price]]</f>
        <v>ISI PENSIL 2B 2.0 MM JOYKO PL-11LSN37200</v>
      </c>
      <c r="AG47" s="3"/>
      <c r="AH47" s="492">
        <v>3696000</v>
      </c>
      <c r="AI47" s="3"/>
    </row>
    <row r="48" spans="1:35" x14ac:dyDescent="0.25">
      <c r="A48" s="278" t="str">
        <f ca="1">IF(Table1[[#This Row],[No. Invoice :]]="","",ROW())</f>
        <v/>
      </c>
      <c r="B48" s="278" t="str">
        <f ca="1">IF(Table1[Column3]="","",B$1+COUNT(INDIRECT("B$2:B"&amp;ROW()-1)))</f>
        <v/>
      </c>
      <c r="C48" s="272" t="str">
        <f>IF(Table1[[#This Row],[Column2]]="","",Table1[[#This Row],[Column2]]+C$1-1)</f>
        <v/>
      </c>
      <c r="E48" s="273"/>
      <c r="F48" s="271"/>
      <c r="G48" s="278" t="str">
        <f ca="1">IF(Table1[[#This Row],[h_No. Invoice :]]="","",CONCATENATE("AM"," ",Table1[[#This Row],[h_No. Invoice :]]))</f>
        <v/>
      </c>
      <c r="H48" s="271" t="str">
        <f>IF(Table1[[#This Row],[Column5]]="","",INDEX(Table2[Column1],MATCH(Table1[[#This Row],[Column5]],Table2[a],0)))</f>
        <v/>
      </c>
      <c r="I48" s="279" t="str">
        <f>IF(Table1[[#This Row],[Column3]]=0,"",CONCATENATE(UPPER(Table1[[#This Row],[Column3]])," ",Table1[[#This Row],[Column4]]))</f>
        <v xml:space="preserve"> </v>
      </c>
      <c r="J48" s="278" t="str">
        <f>IF(Table1[[#This Row],[Column5]]="","",INDEX(Table2[e],IF(Table1[[#This Row],[Column5]]="","",MATCH(Table1[[#This Row],[Column5]],Table2[a],0)),))</f>
        <v/>
      </c>
      <c r="K48" s="271">
        <v>50</v>
      </c>
      <c r="L48" s="271" t="s">
        <v>157</v>
      </c>
      <c r="M48" s="271">
        <v>1</v>
      </c>
      <c r="N48" s="271" t="s">
        <v>253</v>
      </c>
      <c r="O48" s="278" t="str">
        <f>IF(Table1[[#This Row],[h_Item Description]]="","",INDEX([1]!db[NB PAJAK],MATCH(Table1[[#This Row],[h_Item Description]],[1]!db[kode],0)))</f>
        <v>STIP / PENGHAPUS JOYKO EB-30 HITAM</v>
      </c>
      <c r="P48" s="271" t="s">
        <v>163</v>
      </c>
      <c r="Q48" s="274">
        <v>32000</v>
      </c>
      <c r="R48" s="275">
        <v>0.125</v>
      </c>
      <c r="S48" s="275"/>
      <c r="T48" s="274">
        <f>Table1[[#This Row],[h_hargasetelahdiskon]]</f>
        <v>1400000</v>
      </c>
      <c r="V48" s="271"/>
      <c r="W48" s="278">
        <f ca="1">IF(Table1[[#This Row],[Item Description]]="","",IF(Table1[[#This Row],[//]]="",INDIRECT(ADDRESS(ROW()-1,COLUMN())),Table1[[#This Row],[//]]))</f>
        <v>45</v>
      </c>
      <c r="X48" s="278">
        <f ca="1">IF(Table1[[#This Row],[h_id]]="","",COUNTIF(Table1[h_id],Table1[[#This Row],[h_id]]))</f>
        <v>4</v>
      </c>
      <c r="Y48" s="274">
        <f>IF(Table1[Item Description]="","",Table1[[#This Row],[Qty]]*Table1[[#This Row],[Unit Price]])</f>
        <v>1600000</v>
      </c>
      <c r="Z48" s="274">
        <f>IF(Table1[[#This Row],[h_hargasebelumdiskon]]="","",IF(Table1[[#This Row],[Disc 1]]="",0,Table1[[#This Row],[h_hargasebelumdiskon]]*Table1[[#This Row],[Disc 1]]))</f>
        <v>200000</v>
      </c>
      <c r="AA48" s="274">
        <f>IF(Table1[[#This Row],[h_hargasebelumdiskon]]="","",IF(Table1[[#This Row],[Disc 2]]="",0,(Table1[[#This Row],[h_hargasebelumdiskon]]-Table1[[#This Row],[h_disc 1]])*Table1[[#This Row],[Disc 2]]))</f>
        <v>0</v>
      </c>
      <c r="AB48" s="274">
        <f>IF(Table1[Item Description]="","",Table1[[#This Row],[h_disc 1]]+Table1[[#This Row],[h_disc 2]])</f>
        <v>200000</v>
      </c>
      <c r="AC48" s="274">
        <f>IF(Table1[Item Description]="","",Table1[[#This Row],[h_hargasebelumdiskon]]-Table1[[#This Row],[h_diskon]])</f>
        <v>1400000</v>
      </c>
      <c r="AD48" s="274" t="str">
        <f ca="1">IF(Table1[//]="","",SUMIF(Table1[h_id],Table1[h_id],Table1[h_hargasetelahdiskon]))</f>
        <v/>
      </c>
      <c r="AF48" s="274" t="str">
        <f>Table1[[#This Row],[Item Description]]&amp;Table1[[#This Row],[Unit]]&amp;Table1[[#This Row],[Unit Price]]</f>
        <v>STIP / PENGHAPUS JOYKO EB-30 HITAMBOX32000</v>
      </c>
      <c r="AG48" s="3"/>
      <c r="AH48" s="492">
        <v>1877400</v>
      </c>
      <c r="AI48" s="3"/>
    </row>
    <row r="49" spans="1:35" x14ac:dyDescent="0.25">
      <c r="A49" s="278" t="str">
        <f ca="1">IF(Table1[[#This Row],[No. Invoice :]]="","",ROW())</f>
        <v/>
      </c>
      <c r="B49" s="481" t="str">
        <f ca="1">IF(Table1[Column3]="","",B$1+COUNT(INDIRECT("B$2:B"&amp;ROW()-1)))</f>
        <v/>
      </c>
      <c r="C49" s="272" t="str">
        <f>IF(Table1[[#This Row],[Column2]]="","",Table1[[#This Row],[Column2]]+C$1-1)</f>
        <v/>
      </c>
      <c r="D49" s="482"/>
      <c r="E49" s="483"/>
      <c r="F49" s="484"/>
      <c r="G49" s="278" t="str">
        <f ca="1">IF(Table1[[#This Row],[h_No. Invoice :]]="","",CONCATENATE("AM"," ",Table1[[#This Row],[h_No. Invoice :]]))</f>
        <v/>
      </c>
      <c r="H49" s="481" t="str">
        <f>IF(Table1[[#This Row],[Column5]]="","",INDEX(Table2[Column1],MATCH(Table1[[#This Row],[Column5]],Table2[a],0)))</f>
        <v/>
      </c>
      <c r="I49" s="279" t="str">
        <f>IF(Table1[[#This Row],[Column3]]=0,"",CONCATENATE(UPPER(Table1[[#This Row],[Column3]])," ",Table1[[#This Row],[Column4]]))</f>
        <v xml:space="preserve"> </v>
      </c>
      <c r="J49" s="278" t="str">
        <f>IF(Table1[[#This Row],[Column5]]="","",INDEX(Table2[e],IF(Table1[[#This Row],[Column5]]="","",MATCH(Table1[[#This Row],[Column5]],Table2[a],0)),))</f>
        <v/>
      </c>
      <c r="K49" s="271"/>
      <c r="L49" s="271"/>
      <c r="N49" s="484"/>
      <c r="O49" s="481" t="str">
        <f>IF(Table1[[#This Row],[h_Item Description]]="","",INDEX([1]!db[NB PAJAK],MATCH(Table1[[#This Row],[h_Item Description]],[1]!db[kode],0)))</f>
        <v/>
      </c>
      <c r="Q49" s="274"/>
      <c r="R49" s="275"/>
      <c r="S49" s="275"/>
      <c r="T49" s="485" t="str">
        <f>Table1[[#This Row],[h_hargasetelahdiskon]]</f>
        <v/>
      </c>
      <c r="V49" s="271"/>
      <c r="W49" s="278" t="str">
        <f ca="1">IF(Table1[[#This Row],[Item Description]]="","",IF(Table1[[#This Row],[//]]="",INDIRECT(ADDRESS(ROW()-1,COLUMN())),Table1[[#This Row],[//]]))</f>
        <v/>
      </c>
      <c r="X49" s="278" t="str">
        <f ca="1">IF(Table1[[#This Row],[h_id]]="","",COUNTIF(Table1[h_id],Table1[[#This Row],[h_id]]))</f>
        <v/>
      </c>
      <c r="Y49" s="274" t="str">
        <f>IF(Table1[Item Description]="","",Table1[[#This Row],[Qty]]*Table1[[#This Row],[Unit Price]])</f>
        <v/>
      </c>
      <c r="Z49" s="485" t="str">
        <f>IF(Table1[[#This Row],[h_hargasebelumdiskon]]="","",IF(Table1[[#This Row],[Disc 1]]="",0,Table1[[#This Row],[h_hargasebelumdiskon]]*Table1[[#This Row],[Disc 1]]))</f>
        <v/>
      </c>
      <c r="AA49" s="485" t="str">
        <f>IF(Table1[[#This Row],[h_hargasebelumdiskon]]="","",IF(Table1[[#This Row],[Disc 2]]="",0,(Table1[[#This Row],[h_hargasebelumdiskon]]-Table1[[#This Row],[h_disc 1]])*Table1[[#This Row],[Disc 2]]))</f>
        <v/>
      </c>
      <c r="AB49" s="274" t="str">
        <f>IF(Table1[Item Description]="","",Table1[[#This Row],[h_disc 1]]+Table1[[#This Row],[h_disc 2]])</f>
        <v/>
      </c>
      <c r="AC49" s="274" t="str">
        <f>IF(Table1[Item Description]="","",Table1[[#This Row],[h_hargasebelumdiskon]]-Table1[[#This Row],[h_diskon]])</f>
        <v/>
      </c>
      <c r="AD49" s="274" t="str">
        <f ca="1">IF(Table1[//]="","",SUMIF(Table1[h_id],Table1[h_id],Table1[h_hargasetelahdiskon]))</f>
        <v/>
      </c>
      <c r="AF49" s="274" t="str">
        <f>Table1[[#This Row],[Item Description]]&amp;Table1[[#This Row],[Unit]]&amp;Table1[[#This Row],[Unit Price]]</f>
        <v/>
      </c>
      <c r="AG49" s="3"/>
      <c r="AH49" s="492"/>
      <c r="AI49" s="3"/>
    </row>
    <row r="50" spans="1:35" x14ac:dyDescent="0.25">
      <c r="A50" s="278">
        <f ca="1">IF(Table1[[#This Row],[No. Invoice :]]="","",ROW())</f>
        <v>50</v>
      </c>
      <c r="B50" s="278">
        <f ca="1">IF(Table1[Column3]="","",B$1+COUNT(INDIRECT("B$2:B"&amp;ROW()-1)))</f>
        <v>24020012</v>
      </c>
      <c r="C50" s="272">
        <f>IF(Table1[[#This Row],[Column2]]="","",Table1[[#This Row],[Column2]]+C$1-1)</f>
        <v>45338</v>
      </c>
      <c r="D50" s="281">
        <v>16</v>
      </c>
      <c r="E50" s="273" t="s">
        <v>257</v>
      </c>
      <c r="F50" s="271" t="s">
        <v>228</v>
      </c>
      <c r="G50" s="278" t="str">
        <f ca="1">IF(Table1[[#This Row],[h_No. Invoice :]]="","",CONCATENATE("AM"," ",Table1[[#This Row],[h_No. Invoice :]]))</f>
        <v>AM 24020012</v>
      </c>
      <c r="H50" s="271" t="str">
        <f>IF(Table1[[#This Row],[Column5]]="","",INDEX(Table2[Column1],MATCH(Table1[[#This Row],[Column5]],Table2[a],0)))</f>
        <v>KO</v>
      </c>
      <c r="I50" s="279" t="str">
        <f>IF(Table1[[#This Row],[Column3]]=0,"",CONCATENATE(UPPER(Table1[[#This Row],[Column3]])," ",Table1[[#This Row],[Column4]]))</f>
        <v>KO 2696</v>
      </c>
      <c r="J50" s="278" t="str">
        <f>IF(Table1[[#This Row],[Column5]]="","",INDEX(Table2[e],IF(Table1[[#This Row],[Column5]]="","",MATCH(Table1[[#This Row],[Column5]],Table2[a],0)),))</f>
        <v>HARNOYO (BENDAN) PEKALONGAN</v>
      </c>
      <c r="K50" s="271">
        <v>30</v>
      </c>
      <c r="L50" s="271" t="s">
        <v>258</v>
      </c>
      <c r="M50" s="271">
        <v>1</v>
      </c>
      <c r="N50" s="271" t="s">
        <v>259</v>
      </c>
      <c r="O50" s="278" t="str">
        <f>IF(Table1[[#This Row],[h_Item Description]]="","",INDEX([1]!db[NB PAJAK],MATCH(Table1[[#This Row],[h_Item Description]],[1]!db[kode],0)))</f>
        <v>BINDER CLIP KENKO NO. 111</v>
      </c>
      <c r="P50" s="271" t="s">
        <v>260</v>
      </c>
      <c r="Q50" s="274">
        <v>49200</v>
      </c>
      <c r="R50" s="275">
        <v>0.14000000000000001</v>
      </c>
      <c r="S50" s="275"/>
      <c r="T50" s="274">
        <f>Table1[[#This Row],[h_hargasetelahdiskon]]</f>
        <v>1269360</v>
      </c>
      <c r="U50" s="274" t="s">
        <v>129</v>
      </c>
      <c r="V50" s="271"/>
      <c r="W50" s="278">
        <f ca="1">IF(Table1[[#This Row],[Item Description]]="","",IF(Table1[[#This Row],[//]]="",INDIRECT(ADDRESS(ROW()-1,COLUMN())),Table1[[#This Row],[//]]))</f>
        <v>50</v>
      </c>
      <c r="X50" s="278">
        <f ca="1">IF(Table1[[#This Row],[h_id]]="","",COUNTIF(Table1[h_id],Table1[[#This Row],[h_id]]))</f>
        <v>2</v>
      </c>
      <c r="Y50" s="274">
        <f>IF(Table1[Item Description]="","",Table1[[#This Row],[Qty]]*Table1[[#This Row],[Unit Price]])</f>
        <v>1476000</v>
      </c>
      <c r="Z50" s="274">
        <f>IF(Table1[[#This Row],[h_hargasebelumdiskon]]="","",IF(Table1[[#This Row],[Disc 1]]="",0,Table1[[#This Row],[h_hargasebelumdiskon]]*Table1[[#This Row],[Disc 1]]))</f>
        <v>206640.00000000003</v>
      </c>
      <c r="AA50" s="274">
        <f>IF(Table1[[#This Row],[h_hargasebelumdiskon]]="","",IF(Table1[[#This Row],[Disc 2]]="",0,(Table1[[#This Row],[h_hargasebelumdiskon]]-Table1[[#This Row],[h_disc 1]])*Table1[[#This Row],[Disc 2]]))</f>
        <v>0</v>
      </c>
      <c r="AB50" s="274">
        <f>IF(Table1[Item Description]="","",Table1[[#This Row],[h_disc 1]]+Table1[[#This Row],[h_disc 2]])</f>
        <v>206640.00000000003</v>
      </c>
      <c r="AC50" s="274">
        <f>IF(Table1[Item Description]="","",Table1[[#This Row],[h_hargasebelumdiskon]]-Table1[[#This Row],[h_diskon]])</f>
        <v>1269360</v>
      </c>
      <c r="AD50" s="274">
        <f ca="1">IF(Table1[//]="","",SUMIF(Table1[h_id],Table1[h_id],Table1[h_hargasetelahdiskon]))</f>
        <v>2636760</v>
      </c>
      <c r="AF50" s="274" t="str">
        <f>Table1[[#This Row],[Item Description]]&amp;Table1[[#This Row],[Unit]]&amp;Table1[[#This Row],[Unit Price]]</f>
        <v>BINDER CLIP KENKO NO. 111GRS49200</v>
      </c>
      <c r="AG50" s="3"/>
      <c r="AH50" s="492">
        <v>1877400</v>
      </c>
      <c r="AI50" s="3"/>
    </row>
    <row r="51" spans="1:35" x14ac:dyDescent="0.25">
      <c r="A51" s="278" t="str">
        <f ca="1">IF(Table1[[#This Row],[No. Invoice :]]="","",ROW())</f>
        <v/>
      </c>
      <c r="B51" s="278" t="str">
        <f ca="1">IF(Table1[Column3]="","",B$1+COUNT(INDIRECT("B$2:B"&amp;ROW()-1)))</f>
        <v/>
      </c>
      <c r="C51" s="272" t="str">
        <f>IF(Table1[[#This Row],[Column2]]="","",Table1[[#This Row],[Column2]]+C$1-1)</f>
        <v/>
      </c>
      <c r="E51" s="273"/>
      <c r="F51" s="271"/>
      <c r="G51" s="278" t="str">
        <f ca="1">IF(Table1[[#This Row],[h_No. Invoice :]]="","",CONCATENATE("AM"," ",Table1[[#This Row],[h_No. Invoice :]]))</f>
        <v/>
      </c>
      <c r="H51" s="271" t="str">
        <f>IF(Table1[[#This Row],[Column5]]="","",INDEX(Table2[Column1],MATCH(Table1[[#This Row],[Column5]],Table2[a],0)))</f>
        <v/>
      </c>
      <c r="I51" s="279" t="str">
        <f>IF(Table1[[#This Row],[Column3]]=0,"",CONCATENATE(UPPER(Table1[[#This Row],[Column3]])," ",Table1[[#This Row],[Column4]]))</f>
        <v xml:space="preserve"> </v>
      </c>
      <c r="J51" s="278" t="str">
        <f>IF(Table1[[#This Row],[Column5]]="","",INDEX(Table2[e],IF(Table1[[#This Row],[Column5]]="","",MATCH(Table1[[#This Row],[Column5]],Table2[a],0)),))</f>
        <v/>
      </c>
      <c r="K51" s="271">
        <v>50</v>
      </c>
      <c r="L51" s="271" t="s">
        <v>258</v>
      </c>
      <c r="M51" s="271">
        <v>1</v>
      </c>
      <c r="N51" s="271" t="s">
        <v>261</v>
      </c>
      <c r="O51" s="278" t="str">
        <f>IF(Table1[[#This Row],[h_Item Description]]="","",INDEX([1]!db[NB PAJAK],MATCH(Table1[[#This Row],[h_Item Description]],[1]!db[kode],0)))</f>
        <v>BINDER CLIP KENKO NO. 107</v>
      </c>
      <c r="P51" s="271" t="s">
        <v>262</v>
      </c>
      <c r="Q51" s="274">
        <v>31800</v>
      </c>
      <c r="R51" s="275">
        <v>0.14000000000000001</v>
      </c>
      <c r="S51" s="275"/>
      <c r="T51" s="274">
        <f>Table1[[#This Row],[h_hargasetelahdiskon]]</f>
        <v>1367400</v>
      </c>
      <c r="V51" s="271"/>
      <c r="W51" s="278">
        <f ca="1">IF(Table1[[#This Row],[Item Description]]="","",IF(Table1[[#This Row],[//]]="",INDIRECT(ADDRESS(ROW()-1,COLUMN())),Table1[[#This Row],[//]]))</f>
        <v>50</v>
      </c>
      <c r="X51" s="278">
        <f ca="1">IF(Table1[[#This Row],[h_id]]="","",COUNTIF(Table1[h_id],Table1[[#This Row],[h_id]]))</f>
        <v>2</v>
      </c>
      <c r="Y51" s="274">
        <f>IF(Table1[Item Description]="","",Table1[[#This Row],[Qty]]*Table1[[#This Row],[Unit Price]])</f>
        <v>1590000</v>
      </c>
      <c r="Z51" s="274">
        <f>IF(Table1[[#This Row],[h_hargasebelumdiskon]]="","",IF(Table1[[#This Row],[Disc 1]]="",0,Table1[[#This Row],[h_hargasebelumdiskon]]*Table1[[#This Row],[Disc 1]]))</f>
        <v>222600.00000000003</v>
      </c>
      <c r="AA51" s="274">
        <f>IF(Table1[[#This Row],[h_hargasebelumdiskon]]="","",IF(Table1[[#This Row],[Disc 2]]="",0,(Table1[[#This Row],[h_hargasebelumdiskon]]-Table1[[#This Row],[h_disc 1]])*Table1[[#This Row],[Disc 2]]))</f>
        <v>0</v>
      </c>
      <c r="AB51" s="274">
        <f>IF(Table1[Item Description]="","",Table1[[#This Row],[h_disc 1]]+Table1[[#This Row],[h_disc 2]])</f>
        <v>222600.00000000003</v>
      </c>
      <c r="AC51" s="274">
        <f>IF(Table1[Item Description]="","",Table1[[#This Row],[h_hargasebelumdiskon]]-Table1[[#This Row],[h_diskon]])</f>
        <v>1367400</v>
      </c>
      <c r="AD51" s="274" t="str">
        <f ca="1">IF(Table1[//]="","",SUMIF(Table1[h_id],Table1[h_id],Table1[h_hargasetelahdiskon]))</f>
        <v/>
      </c>
      <c r="AF51" s="274" t="str">
        <f>Table1[[#This Row],[Item Description]]&amp;Table1[[#This Row],[Unit]]&amp;Table1[[#This Row],[Unit Price]]</f>
        <v>BINDER CLIP KENKO NO. 107GRS31800</v>
      </c>
      <c r="AG51" s="3"/>
      <c r="AH51" s="492">
        <f>SUM(AH34:AH50)</f>
        <v>82873000</v>
      </c>
      <c r="AI51" s="3"/>
    </row>
    <row r="52" spans="1:35" x14ac:dyDescent="0.25">
      <c r="A52" s="278" t="str">
        <f ca="1">IF(Table1[[#This Row],[No. Invoice :]]="","",ROW())</f>
        <v/>
      </c>
      <c r="B52" s="278" t="str">
        <f ca="1">IF(Table1[Column3]="","",B$1+COUNT(INDIRECT("B$2:B"&amp;ROW()-1)))</f>
        <v/>
      </c>
      <c r="C52" s="272" t="str">
        <f>IF(Table1[[#This Row],[Column2]]="","",Table1[[#This Row],[Column2]]+C$1-1)</f>
        <v/>
      </c>
      <c r="E52" s="273"/>
      <c r="F52" s="271"/>
      <c r="G52" s="278" t="str">
        <f ca="1">IF(Table1[[#This Row],[h_No. Invoice :]]="","",CONCATENATE("AM"," ",Table1[[#This Row],[h_No. Invoice :]]))</f>
        <v/>
      </c>
      <c r="H52" s="271" t="str">
        <f>IF(Table1[[#This Row],[Column5]]="","",INDEX(Table2[Column1],MATCH(Table1[[#This Row],[Column5]],Table2[a],0)))</f>
        <v/>
      </c>
      <c r="I52" s="279" t="str">
        <f>IF(Table1[[#This Row],[Column3]]=0,"",CONCATENATE(UPPER(Table1[[#This Row],[Column3]])," ",Table1[[#This Row],[Column4]]))</f>
        <v xml:space="preserve"> </v>
      </c>
      <c r="J52" s="278" t="str">
        <f>IF(Table1[[#This Row],[Column5]]="","",INDEX(Table2[e],IF(Table1[[#This Row],[Column5]]="","",MATCH(Table1[[#This Row],[Column5]],Table2[a],0)),))</f>
        <v/>
      </c>
      <c r="K52" s="271"/>
      <c r="L52" s="271"/>
      <c r="O52" s="278" t="str">
        <f>IF(Table1[[#This Row],[h_Item Description]]="","",INDEX([1]!db[NB PAJAK],MATCH(Table1[[#This Row],[h_Item Description]],[1]!db[kode],0)))</f>
        <v/>
      </c>
      <c r="Q52" s="274"/>
      <c r="R52" s="275"/>
      <c r="S52" s="275"/>
      <c r="T52" s="274" t="str">
        <f>Table1[[#This Row],[h_hargasetelahdiskon]]</f>
        <v/>
      </c>
      <c r="V52" s="271"/>
      <c r="W52" s="278" t="str">
        <f ca="1">IF(Table1[[#This Row],[Item Description]]="","",IF(Table1[[#This Row],[//]]="",INDIRECT(ADDRESS(ROW()-1,COLUMN())),Table1[[#This Row],[//]]))</f>
        <v/>
      </c>
      <c r="X52" s="278" t="str">
        <f ca="1">IF(Table1[[#This Row],[h_id]]="","",COUNTIF(Table1[h_id],Table1[[#This Row],[h_id]]))</f>
        <v/>
      </c>
      <c r="Y52" s="274" t="str">
        <f>IF(Table1[Item Description]="","",Table1[[#This Row],[Qty]]*Table1[[#This Row],[Unit Price]])</f>
        <v/>
      </c>
      <c r="Z52" s="274" t="str">
        <f>IF(Table1[[#This Row],[h_hargasebelumdiskon]]="","",IF(Table1[[#This Row],[Disc 1]]="",0,Table1[[#This Row],[h_hargasebelumdiskon]]*Table1[[#This Row],[Disc 1]]))</f>
        <v/>
      </c>
      <c r="AA52" s="274" t="str">
        <f>IF(Table1[[#This Row],[h_hargasebelumdiskon]]="","",IF(Table1[[#This Row],[Disc 2]]="",0,(Table1[[#This Row],[h_hargasebelumdiskon]]-Table1[[#This Row],[h_disc 1]])*Table1[[#This Row],[Disc 2]]))</f>
        <v/>
      </c>
      <c r="AB52" s="274" t="str">
        <f>IF(Table1[Item Description]="","",Table1[[#This Row],[h_disc 1]]+Table1[[#This Row],[h_disc 2]])</f>
        <v/>
      </c>
      <c r="AC52" s="274" t="str">
        <f>IF(Table1[Item Description]="","",Table1[[#This Row],[h_hargasebelumdiskon]]-Table1[[#This Row],[h_diskon]])</f>
        <v/>
      </c>
      <c r="AD52" s="274" t="str">
        <f ca="1">IF(Table1[//]="","",SUMIF(Table1[h_id],Table1[h_id],Table1[h_hargasetelahdiskon]))</f>
        <v/>
      </c>
      <c r="AF52" s="274" t="str">
        <f>Table1[[#This Row],[Item Description]]&amp;Table1[[#This Row],[Unit]]&amp;Table1[[#This Row],[Unit Price]]</f>
        <v/>
      </c>
      <c r="AG52" s="3"/>
      <c r="AH52" s="3"/>
      <c r="AI52" s="3"/>
    </row>
    <row r="53" spans="1:35" x14ac:dyDescent="0.25">
      <c r="A53" s="278">
        <f ca="1">IF(Table1[[#This Row],[No. Invoice :]]="","",ROW())</f>
        <v>53</v>
      </c>
      <c r="B53" s="278">
        <f ca="1">IF(Table1[Column3]="","",B$1+COUNT(INDIRECT("B$2:B"&amp;ROW()-1)))</f>
        <v>24020013</v>
      </c>
      <c r="C53" s="272">
        <f>IF(Table1[[#This Row],[Column2]]="","",Table1[[#This Row],[Column2]]+C$1-1)</f>
        <v>45339</v>
      </c>
      <c r="D53" s="281">
        <v>17</v>
      </c>
      <c r="E53" s="273" t="s">
        <v>263</v>
      </c>
      <c r="F53" s="271" t="s">
        <v>38</v>
      </c>
      <c r="G53" s="278" t="str">
        <f ca="1">IF(Table1[[#This Row],[h_No. Invoice :]]="","",CONCATENATE("AM"," ",Table1[[#This Row],[h_No. Invoice :]]))</f>
        <v>AM 24020013</v>
      </c>
      <c r="H53" s="271" t="str">
        <f>IF(Table1[[#This Row],[Column5]]="","",INDEX(Table2[Column1],MATCH(Table1[[#This Row],[Column5]],Table2[a],0)))</f>
        <v>KO</v>
      </c>
      <c r="I53" s="279" t="str">
        <f>IF(Table1[[#This Row],[Column3]]=0,"",CONCATENATE(UPPER(Table1[[#This Row],[Column3]])," ",Table1[[#This Row],[Column4]]))</f>
        <v>KO 2701</v>
      </c>
      <c r="J53" s="278" t="str">
        <f>IF(Table1[[#This Row],[Column5]]="","",INDEX(Table2[e],IF(Table1[[#This Row],[Column5]]="","",MATCH(Table1[[#This Row],[Column5]],Table2[a],0)),))</f>
        <v>CV DWI JAYA YOGYAKARTA</v>
      </c>
      <c r="K53" s="271">
        <v>4</v>
      </c>
      <c r="L53" s="271" t="s">
        <v>136</v>
      </c>
      <c r="N53" s="271" t="s">
        <v>264</v>
      </c>
      <c r="O53" s="278" t="str">
        <f>IF(Table1[[#This Row],[h_Item Description]]="","",INDEX([1]!db[NB PAJAK],MATCH(Table1[[#This Row],[h_Item Description]],[1]!db[kode],0)))</f>
        <v>CUTTER 18 MM KENKO L-500 (BESAR)</v>
      </c>
      <c r="P53" s="271" t="s">
        <v>266</v>
      </c>
      <c r="Q53" s="274">
        <v>147600</v>
      </c>
      <c r="R53" s="275">
        <v>0.1</v>
      </c>
      <c r="S53" s="275"/>
      <c r="T53" s="274">
        <f>Table1[[#This Row],[h_hargasetelahdiskon]]</f>
        <v>531360</v>
      </c>
      <c r="U53" s="274" t="s">
        <v>129</v>
      </c>
      <c r="V53" s="271"/>
      <c r="W53" s="278">
        <f ca="1">IF(Table1[[#This Row],[Item Description]]="","",IF(Table1[[#This Row],[//]]="",INDIRECT(ADDRESS(ROW()-1,COLUMN())),Table1[[#This Row],[//]]))</f>
        <v>53</v>
      </c>
      <c r="X53" s="278">
        <f ca="1">IF(Table1[[#This Row],[h_id]]="","",COUNTIF(Table1[h_id],Table1[[#This Row],[h_id]]))</f>
        <v>2</v>
      </c>
      <c r="Y53" s="274">
        <f>IF(Table1[Item Description]="","",Table1[[#This Row],[Qty]]*Table1[[#This Row],[Unit Price]])</f>
        <v>590400</v>
      </c>
      <c r="Z53" s="274">
        <f>IF(Table1[[#This Row],[h_hargasebelumdiskon]]="","",IF(Table1[[#This Row],[Disc 1]]="",0,Table1[[#This Row],[h_hargasebelumdiskon]]*Table1[[#This Row],[Disc 1]]))</f>
        <v>59040</v>
      </c>
      <c r="AA53" s="274">
        <f>IF(Table1[[#This Row],[h_hargasebelumdiskon]]="","",IF(Table1[[#This Row],[Disc 2]]="",0,(Table1[[#This Row],[h_hargasebelumdiskon]]-Table1[[#This Row],[h_disc 1]])*Table1[[#This Row],[Disc 2]]))</f>
        <v>0</v>
      </c>
      <c r="AB53" s="274">
        <f>IF(Table1[Item Description]="","",Table1[[#This Row],[h_disc 1]]+Table1[[#This Row],[h_disc 2]])</f>
        <v>59040</v>
      </c>
      <c r="AC53" s="274">
        <f>IF(Table1[Item Description]="","",Table1[[#This Row],[h_hargasebelumdiskon]]-Table1[[#This Row],[h_diskon]])</f>
        <v>531360</v>
      </c>
      <c r="AD53" s="274">
        <f ca="1">IF(Table1[//]="","",SUMIF(Table1[h_id],Table1[h_id],Table1[h_hargasetelahdiskon]))</f>
        <v>725760</v>
      </c>
      <c r="AF53" s="274" t="str">
        <f>Table1[[#This Row],[Item Description]]&amp;Table1[[#This Row],[Unit]]&amp;Table1[[#This Row],[Unit Price]]</f>
        <v>CUTTER 18 MM KENKO L-500 (BESAR)LSN147600</v>
      </c>
      <c r="AG53" s="3"/>
      <c r="AH53" s="3"/>
      <c r="AI53" s="3"/>
    </row>
    <row r="54" spans="1:35" x14ac:dyDescent="0.25">
      <c r="A54" s="278" t="str">
        <f ca="1">IF(Table1[[#This Row],[No. Invoice :]]="","",ROW())</f>
        <v/>
      </c>
      <c r="B54" s="278" t="str">
        <f ca="1">IF(Table1[Column3]="","",B$1+COUNT(INDIRECT("B$2:B"&amp;ROW()-1)))</f>
        <v/>
      </c>
      <c r="C54" s="272" t="str">
        <f>IF(Table1[[#This Row],[Column2]]="","",Table1[[#This Row],[Column2]]+C$1-1)</f>
        <v/>
      </c>
      <c r="E54" s="273"/>
      <c r="F54" s="271"/>
      <c r="G54" s="278" t="str">
        <f ca="1">IF(Table1[[#This Row],[h_No. Invoice :]]="","",CONCATENATE("AM"," ",Table1[[#This Row],[h_No. Invoice :]]))</f>
        <v/>
      </c>
      <c r="H54" s="271" t="str">
        <f>IF(Table1[[#This Row],[Column5]]="","",INDEX(Table2[Column1],MATCH(Table1[[#This Row],[Column5]],Table2[a],0)))</f>
        <v/>
      </c>
      <c r="I54" s="279" t="str">
        <f>IF(Table1[[#This Row],[Column3]]=0,"",CONCATENATE(UPPER(Table1[[#This Row],[Column3]])," ",Table1[[#This Row],[Column4]]))</f>
        <v xml:space="preserve"> </v>
      </c>
      <c r="J54" s="278" t="str">
        <f>IF(Table1[[#This Row],[Column5]]="","",INDEX(Table2[e],IF(Table1[[#This Row],[Column5]]="","",MATCH(Table1[[#This Row],[Column5]],Table2[a],0)),))</f>
        <v/>
      </c>
      <c r="K54" s="271">
        <v>3</v>
      </c>
      <c r="L54" s="271" t="s">
        <v>157</v>
      </c>
      <c r="N54" s="271" t="s">
        <v>265</v>
      </c>
      <c r="O54" s="278" t="str">
        <f>IF(Table1[[#This Row],[h_Item Description]]="","",INDEX([1]!db[NB PAJAK],MATCH(Table1[[#This Row],[h_Item Description]],[1]!db[kode],0)))</f>
        <v>LEM STICK KENKO 15 GR (TANGGUNG) isi 20 pc</v>
      </c>
      <c r="P54" s="271" t="s">
        <v>267</v>
      </c>
      <c r="Q54" s="274">
        <v>72000</v>
      </c>
      <c r="R54" s="275">
        <v>0.1</v>
      </c>
      <c r="S54" s="275"/>
      <c r="T54" s="274">
        <f>Table1[[#This Row],[h_hargasetelahdiskon]]</f>
        <v>194400</v>
      </c>
      <c r="V54" s="271"/>
      <c r="W54" s="278">
        <f ca="1">IF(Table1[[#This Row],[Item Description]]="","",IF(Table1[[#This Row],[//]]="",INDIRECT(ADDRESS(ROW()-1,COLUMN())),Table1[[#This Row],[//]]))</f>
        <v>53</v>
      </c>
      <c r="X54" s="278">
        <f ca="1">IF(Table1[[#This Row],[h_id]]="","",COUNTIF(Table1[h_id],Table1[[#This Row],[h_id]]))</f>
        <v>2</v>
      </c>
      <c r="Y54" s="274">
        <f>IF(Table1[Item Description]="","",Table1[[#This Row],[Qty]]*Table1[[#This Row],[Unit Price]])</f>
        <v>216000</v>
      </c>
      <c r="Z54" s="274">
        <f>IF(Table1[[#This Row],[h_hargasebelumdiskon]]="","",IF(Table1[[#This Row],[Disc 1]]="",0,Table1[[#This Row],[h_hargasebelumdiskon]]*Table1[[#This Row],[Disc 1]]))</f>
        <v>21600</v>
      </c>
      <c r="AA54" s="274">
        <f>IF(Table1[[#This Row],[h_hargasebelumdiskon]]="","",IF(Table1[[#This Row],[Disc 2]]="",0,(Table1[[#This Row],[h_hargasebelumdiskon]]-Table1[[#This Row],[h_disc 1]])*Table1[[#This Row],[Disc 2]]))</f>
        <v>0</v>
      </c>
      <c r="AB54" s="274">
        <f>IF(Table1[Item Description]="","",Table1[[#This Row],[h_disc 1]]+Table1[[#This Row],[h_disc 2]])</f>
        <v>21600</v>
      </c>
      <c r="AC54" s="274">
        <f>IF(Table1[Item Description]="","",Table1[[#This Row],[h_hargasebelumdiskon]]-Table1[[#This Row],[h_diskon]])</f>
        <v>194400</v>
      </c>
      <c r="AD54" s="274" t="str">
        <f ca="1">IF(Table1[//]="","",SUMIF(Table1[h_id],Table1[h_id],Table1[h_hargasetelahdiskon]))</f>
        <v/>
      </c>
      <c r="AF54" s="274" t="str">
        <f>Table1[[#This Row],[Item Description]]&amp;Table1[[#This Row],[Unit]]&amp;Table1[[#This Row],[Unit Price]]</f>
        <v>LEM STICK KENKO 15 GR (TANGGUNG) isi 20 pcBOX72000</v>
      </c>
      <c r="AG54" s="3"/>
      <c r="AH54" s="3"/>
      <c r="AI54" s="3"/>
    </row>
    <row r="55" spans="1:35" x14ac:dyDescent="0.25">
      <c r="A55" s="278" t="str">
        <f ca="1">IF(Table1[[#This Row],[No. Invoice :]]="","",ROW())</f>
        <v/>
      </c>
      <c r="B55" s="486" t="str">
        <f ca="1">IF(Table1[Column3]="","",B$1+COUNT(INDIRECT("B$2:B"&amp;ROW()-1)))</f>
        <v/>
      </c>
      <c r="C55" s="272" t="str">
        <f>IF(Table1[[#This Row],[Column2]]="","",Table1[[#This Row],[Column2]]+C$1-1)</f>
        <v/>
      </c>
      <c r="D55" s="487"/>
      <c r="E55" s="488"/>
      <c r="F55" s="489"/>
      <c r="G55" s="278" t="str">
        <f ca="1">IF(Table1[[#This Row],[h_No. Invoice :]]="","",CONCATENATE("AM"," ",Table1[[#This Row],[h_No. Invoice :]]))</f>
        <v/>
      </c>
      <c r="H55" s="486" t="str">
        <f>IF(Table1[[#This Row],[Column5]]="","",INDEX(Table2[Column1],MATCH(Table1[[#This Row],[Column5]],Table2[a],0)))</f>
        <v/>
      </c>
      <c r="I55" s="279" t="str">
        <f>IF(Table1[[#This Row],[Column3]]=0,"",CONCATENATE(UPPER(Table1[[#This Row],[Column3]])," ",Table1[[#This Row],[Column4]]))</f>
        <v xml:space="preserve"> </v>
      </c>
      <c r="J55" s="278" t="str">
        <f>IF(Table1[[#This Row],[Column5]]="","",INDEX(Table2[e],IF(Table1[[#This Row],[Column5]]="","",MATCH(Table1[[#This Row],[Column5]],Table2[a],0)),))</f>
        <v/>
      </c>
      <c r="K55" s="271"/>
      <c r="L55" s="271"/>
      <c r="N55" s="489"/>
      <c r="O55" s="486" t="str">
        <f>IF(Table1[[#This Row],[h_Item Description]]="","",INDEX([1]!db[NB PAJAK],MATCH(Table1[[#This Row],[h_Item Description]],[1]!db[kode],0)))</f>
        <v/>
      </c>
      <c r="Q55" s="274"/>
      <c r="R55" s="275"/>
      <c r="S55" s="275"/>
      <c r="T55" s="490" t="str">
        <f>Table1[[#This Row],[h_hargasetelahdiskon]]</f>
        <v/>
      </c>
      <c r="V55" s="271"/>
      <c r="W55" s="278" t="str">
        <f ca="1">IF(Table1[[#This Row],[Item Description]]="","",IF(Table1[[#This Row],[//]]="",INDIRECT(ADDRESS(ROW()-1,COLUMN())),Table1[[#This Row],[//]]))</f>
        <v/>
      </c>
      <c r="X55" s="278" t="str">
        <f ca="1">IF(Table1[[#This Row],[h_id]]="","",COUNTIF(Table1[h_id],Table1[[#This Row],[h_id]]))</f>
        <v/>
      </c>
      <c r="Y55" s="274" t="str">
        <f>IF(Table1[Item Description]="","",Table1[[#This Row],[Qty]]*Table1[[#This Row],[Unit Price]])</f>
        <v/>
      </c>
      <c r="Z55" s="490" t="str">
        <f>IF(Table1[[#This Row],[h_hargasebelumdiskon]]="","",IF(Table1[[#This Row],[Disc 1]]="",0,Table1[[#This Row],[h_hargasebelumdiskon]]*Table1[[#This Row],[Disc 1]]))</f>
        <v/>
      </c>
      <c r="AA55" s="490" t="str">
        <f>IF(Table1[[#This Row],[h_hargasebelumdiskon]]="","",IF(Table1[[#This Row],[Disc 2]]="",0,(Table1[[#This Row],[h_hargasebelumdiskon]]-Table1[[#This Row],[h_disc 1]])*Table1[[#This Row],[Disc 2]]))</f>
        <v/>
      </c>
      <c r="AB55" s="274" t="str">
        <f>IF(Table1[Item Description]="","",Table1[[#This Row],[h_disc 1]]+Table1[[#This Row],[h_disc 2]])</f>
        <v/>
      </c>
      <c r="AC55" s="274" t="str">
        <f>IF(Table1[Item Description]="","",Table1[[#This Row],[h_hargasebelumdiskon]]-Table1[[#This Row],[h_diskon]])</f>
        <v/>
      </c>
      <c r="AD55" s="274" t="str">
        <f ca="1">IF(Table1[//]="","",SUMIF(Table1[h_id],Table1[h_id],Table1[h_hargasetelahdiskon]))</f>
        <v/>
      </c>
      <c r="AF55" s="274" t="str">
        <f>Table1[[#This Row],[Item Description]]&amp;Table1[[#This Row],[Unit]]&amp;Table1[[#This Row],[Unit Price]]</f>
        <v/>
      </c>
      <c r="AG55" s="3"/>
      <c r="AH55" s="3"/>
      <c r="AI55" s="3"/>
    </row>
    <row r="56" spans="1:35" x14ac:dyDescent="0.25">
      <c r="A56" s="278">
        <f ca="1">IF(Table1[[#This Row],[No. Invoice :]]="","",ROW())</f>
        <v>56</v>
      </c>
      <c r="B56" s="278">
        <f ca="1">IF(Table1[Column3]="","",B$1+COUNT(INDIRECT("B$2:B"&amp;ROW()-1)))</f>
        <v>24020014</v>
      </c>
      <c r="C56" s="272">
        <f>IF(Table1[[#This Row],[Column2]]="","",Table1[[#This Row],[Column2]]+C$1-1)</f>
        <v>45342</v>
      </c>
      <c r="D56" s="281">
        <v>20</v>
      </c>
      <c r="E56" s="273" t="s">
        <v>283</v>
      </c>
      <c r="F56" s="271" t="s">
        <v>145</v>
      </c>
      <c r="G56" s="278" t="str">
        <f ca="1">IF(Table1[[#This Row],[h_No. Invoice :]]="","",CONCATENATE("AM"," ",Table1[[#This Row],[h_No. Invoice :]]))</f>
        <v>AM 24020014</v>
      </c>
      <c r="H56" s="271" t="str">
        <f>IF(Table1[[#This Row],[Column5]]="","",INDEX(Table2[Column1],MATCH(Table1[[#This Row],[Column5]],Table2[a],0)))</f>
        <v>G</v>
      </c>
      <c r="I56" s="279" t="str">
        <f>IF(Table1[[#This Row],[Column3]]=0,"",CONCATENATE(UPPER(Table1[[#This Row],[Column3]])," ",Table1[[#This Row],[Column4]]))</f>
        <v>G 2710</v>
      </c>
      <c r="J56" s="278" t="str">
        <f>IF(Table1[[#This Row],[Column5]]="","",INDEX(Table2[e],IF(Table1[[#This Row],[Column5]]="","",MATCH(Table1[[#This Row],[Column5]],Table2[a],0)),))</f>
        <v>LILY JULIAWATI (REJO AGUNG) JOMBANG</v>
      </c>
      <c r="K56" s="271">
        <v>24</v>
      </c>
      <c r="L56" s="271" t="s">
        <v>258</v>
      </c>
      <c r="M56" s="271">
        <v>2</v>
      </c>
      <c r="O56" s="278" t="str">
        <f>IF(Table1[[#This Row],[h_Item Description]]="","",INDEX([1]!db[NB PAJAK],MATCH(Table1[[#This Row],[h_Item Description]],[1]!db[kode],0)))</f>
        <v/>
      </c>
      <c r="P56" s="271" t="s">
        <v>285</v>
      </c>
      <c r="Q56" s="274">
        <v>176400</v>
      </c>
      <c r="R56" s="275">
        <v>0.125</v>
      </c>
      <c r="S56" s="275"/>
      <c r="T56" s="274">
        <f>Table1[[#This Row],[h_hargasetelahdiskon]]</f>
        <v>3704400</v>
      </c>
      <c r="U56" s="274" t="s">
        <v>166</v>
      </c>
      <c r="V56" s="271"/>
      <c r="W56" s="278">
        <f ca="1">IF(Table1[[#This Row],[Item Description]]="","",IF(Table1[[#This Row],[//]]="",INDIRECT(ADDRESS(ROW()-1,COLUMN())),Table1[[#This Row],[//]]))</f>
        <v>56</v>
      </c>
      <c r="X56" s="278">
        <f ca="1">IF(Table1[[#This Row],[h_id]]="","",COUNTIF(Table1[h_id],Table1[[#This Row],[h_id]]))</f>
        <v>14</v>
      </c>
      <c r="Y56" s="274">
        <f>IF(Table1[Item Description]="","",Table1[[#This Row],[Qty]]*Table1[[#This Row],[Unit Price]])</f>
        <v>4233600</v>
      </c>
      <c r="Z56" s="274">
        <f>IF(Table1[[#This Row],[h_hargasebelumdiskon]]="","",IF(Table1[[#This Row],[Disc 1]]="",0,Table1[[#This Row],[h_hargasebelumdiskon]]*Table1[[#This Row],[Disc 1]]))</f>
        <v>529200</v>
      </c>
      <c r="AA56" s="274">
        <f>IF(Table1[[#This Row],[h_hargasebelumdiskon]]="","",IF(Table1[[#This Row],[Disc 2]]="",0,(Table1[[#This Row],[h_hargasebelumdiskon]]-Table1[[#This Row],[h_disc 1]])*Table1[[#This Row],[Disc 2]]))</f>
        <v>0</v>
      </c>
      <c r="AB56" s="274">
        <f>IF(Table1[Item Description]="","",Table1[[#This Row],[h_disc 1]]+Table1[[#This Row],[h_disc 2]])</f>
        <v>529200</v>
      </c>
      <c r="AC56" s="274">
        <f>IF(Table1[Item Description]="","",Table1[[#This Row],[h_hargasebelumdiskon]]-Table1[[#This Row],[h_diskon]])</f>
        <v>3704400</v>
      </c>
      <c r="AD56" s="274">
        <f ca="1">IF(Table1[//]="","",SUMIF(Table1[h_id],Table1[h_id],Table1[h_hargasetelahdiskon]))</f>
        <v>61643750</v>
      </c>
      <c r="AF56" s="274" t="str">
        <f>Table1[[#This Row],[Item Description]]&amp;Table1[[#This Row],[Unit]]&amp;Table1[[#This Row],[Unit Price]]</f>
        <v>ISI PENSIL 2B 0.5 MM JOYKO PL-05GRS176400</v>
      </c>
      <c r="AG56" s="3"/>
      <c r="AH56" s="3"/>
      <c r="AI56" s="3"/>
    </row>
    <row r="57" spans="1:35" x14ac:dyDescent="0.25">
      <c r="A57" s="278" t="str">
        <f ca="1">IF(Table1[[#This Row],[No. Invoice :]]="","",ROW())</f>
        <v/>
      </c>
      <c r="B57" s="278" t="str">
        <f ca="1">IF(Table1[Column3]="","",B$1+COUNT(INDIRECT("B$2:B"&amp;ROW()-1)))</f>
        <v/>
      </c>
      <c r="C57" s="272" t="str">
        <f>IF(Table1[[#This Row],[Column2]]="","",Table1[[#This Row],[Column2]]+C$1-1)</f>
        <v/>
      </c>
      <c r="E57" s="273"/>
      <c r="F57" s="271"/>
      <c r="G57" s="278" t="str">
        <f ca="1">IF(Table1[[#This Row],[h_No. Invoice :]]="","",CONCATENATE("AM"," ",Table1[[#This Row],[h_No. Invoice :]]))</f>
        <v/>
      </c>
      <c r="H57" s="271" t="str">
        <f>IF(Table1[[#This Row],[Column5]]="","",INDEX(Table2[Column1],MATCH(Table1[[#This Row],[Column5]],Table2[a],0)))</f>
        <v/>
      </c>
      <c r="I57" s="279" t="str">
        <f>IF(Table1[[#This Row],[Column3]]=0,"",CONCATENATE(UPPER(Table1[[#This Row],[Column3]])," ",Table1[[#This Row],[Column4]]))</f>
        <v xml:space="preserve"> </v>
      </c>
      <c r="J57" s="278" t="str">
        <f>IF(Table1[[#This Row],[Column5]]="","",INDEX(Table2[e],IF(Table1[[#This Row],[Column5]]="","",MATCH(Table1[[#This Row],[Column5]],Table2[a],0)),))</f>
        <v/>
      </c>
      <c r="K57" s="271">
        <v>288</v>
      </c>
      <c r="L57" s="271" t="s">
        <v>165</v>
      </c>
      <c r="M57" s="271">
        <v>2</v>
      </c>
      <c r="O57" s="278" t="str">
        <f>IF(Table1[[#This Row],[h_Item Description]]="","",INDEX([1]!db[NB PAJAK],MATCH(Table1[[#This Row],[h_Item Description]],[1]!db[kode],0)))</f>
        <v/>
      </c>
      <c r="P57" s="271" t="s">
        <v>286</v>
      </c>
      <c r="Q57" s="274">
        <v>19800</v>
      </c>
      <c r="R57" s="275">
        <v>0.125</v>
      </c>
      <c r="S57" s="275"/>
      <c r="T57" s="274">
        <f>Table1[[#This Row],[h_hargasetelahdiskon]]</f>
        <v>4989600</v>
      </c>
      <c r="V57" s="271"/>
      <c r="W57" s="278">
        <f ca="1">IF(Table1[[#This Row],[Item Description]]="","",IF(Table1[[#This Row],[//]]="",INDIRECT(ADDRESS(ROW()-1,COLUMN())),Table1[[#This Row],[//]]))</f>
        <v>56</v>
      </c>
      <c r="X57" s="278">
        <f ca="1">IF(Table1[[#This Row],[h_id]]="","",COUNTIF(Table1[h_id],Table1[[#This Row],[h_id]]))</f>
        <v>14</v>
      </c>
      <c r="Y57" s="274">
        <f>IF(Table1[Item Description]="","",Table1[[#This Row],[Qty]]*Table1[[#This Row],[Unit Price]])</f>
        <v>5702400</v>
      </c>
      <c r="Z57" s="274">
        <f>IF(Table1[[#This Row],[h_hargasebelumdiskon]]="","",IF(Table1[[#This Row],[Disc 1]]="",0,Table1[[#This Row],[h_hargasebelumdiskon]]*Table1[[#This Row],[Disc 1]]))</f>
        <v>712800</v>
      </c>
      <c r="AA57" s="274">
        <f>IF(Table1[[#This Row],[h_hargasebelumdiskon]]="","",IF(Table1[[#This Row],[Disc 2]]="",0,(Table1[[#This Row],[h_hargasebelumdiskon]]-Table1[[#This Row],[h_disc 1]])*Table1[[#This Row],[Disc 2]]))</f>
        <v>0</v>
      </c>
      <c r="AB57" s="274">
        <f>IF(Table1[Item Description]="","",Table1[[#This Row],[h_disc 1]]+Table1[[#This Row],[h_disc 2]])</f>
        <v>712800</v>
      </c>
      <c r="AC57" s="274">
        <f>IF(Table1[Item Description]="","",Table1[[#This Row],[h_hargasebelumdiskon]]-Table1[[#This Row],[h_diskon]])</f>
        <v>4989600</v>
      </c>
      <c r="AD57" s="274" t="str">
        <f ca="1">IF(Table1[//]="","",SUMIF(Table1[h_id],Table1[h_id],Table1[h_hargasetelahdiskon]))</f>
        <v/>
      </c>
      <c r="AF57" s="274" t="str">
        <f>Table1[[#This Row],[Item Description]]&amp;Table1[[#This Row],[Unit]]&amp;Table1[[#This Row],[Unit Price]]</f>
        <v>ISI PENSIL 2B 2.0 MM JOYKO PL-10LS19800</v>
      </c>
      <c r="AG57" s="3"/>
      <c r="AH57" s="3"/>
      <c r="AI57" s="3"/>
    </row>
    <row r="58" spans="1:35" x14ac:dyDescent="0.25">
      <c r="A58" s="278" t="str">
        <f ca="1">IF(Table1[[#This Row],[No. Invoice :]]="","",ROW())</f>
        <v/>
      </c>
      <c r="B58" s="278" t="str">
        <f ca="1">IF(Table1[Column3]="","",B$1+COUNT(INDIRECT("B$2:B"&amp;ROW()-1)))</f>
        <v/>
      </c>
      <c r="C58" s="272" t="str">
        <f>IF(Table1[[#This Row],[Column2]]="","",Table1[[#This Row],[Column2]]+C$1-1)</f>
        <v/>
      </c>
      <c r="E58" s="273"/>
      <c r="F58" s="271"/>
      <c r="G58" s="278" t="str">
        <f ca="1">IF(Table1[[#This Row],[h_No. Invoice :]]="","",CONCATENATE("AM"," ",Table1[[#This Row],[h_No. Invoice :]]))</f>
        <v/>
      </c>
      <c r="H58" s="271" t="str">
        <f>IF(Table1[[#This Row],[Column5]]="","",INDEX(Table2[Column1],MATCH(Table1[[#This Row],[Column5]],Table2[a],0)))</f>
        <v/>
      </c>
      <c r="I58" s="279" t="str">
        <f>IF(Table1[[#This Row],[Column3]]=0,"",CONCATENATE(UPPER(Table1[[#This Row],[Column3]])," ",Table1[[#This Row],[Column4]]))</f>
        <v xml:space="preserve"> </v>
      </c>
      <c r="J58" s="278" t="str">
        <f>IF(Table1[[#This Row],[Column5]]="","",INDEX(Table2[e],IF(Table1[[#This Row],[Column5]]="","",MATCH(Table1[[#This Row],[Column5]],Table2[a],0)),))</f>
        <v/>
      </c>
      <c r="K58" s="271">
        <v>144</v>
      </c>
      <c r="L58" s="271" t="s">
        <v>165</v>
      </c>
      <c r="M58" s="271">
        <v>2</v>
      </c>
      <c r="O58" s="278" t="str">
        <f>IF(Table1[[#This Row],[h_Item Description]]="","",INDEX([1]!db[NB PAJAK],MATCH(Table1[[#This Row],[h_Item Description]],[1]!db[kode],0)))</f>
        <v/>
      </c>
      <c r="P58" s="271" t="s">
        <v>256</v>
      </c>
      <c r="Q58" s="274">
        <v>37200</v>
      </c>
      <c r="R58" s="275">
        <v>0.125</v>
      </c>
      <c r="S58" s="275"/>
      <c r="T58" s="274">
        <f>Table1[[#This Row],[h_hargasetelahdiskon]]</f>
        <v>4687200</v>
      </c>
      <c r="V58" s="271"/>
      <c r="W58" s="278">
        <f ca="1">IF(Table1[[#This Row],[Item Description]]="","",IF(Table1[[#This Row],[//]]="",INDIRECT(ADDRESS(ROW()-1,COLUMN())),Table1[[#This Row],[//]]))</f>
        <v>56</v>
      </c>
      <c r="X58" s="278">
        <f ca="1">IF(Table1[[#This Row],[h_id]]="","",COUNTIF(Table1[h_id],Table1[[#This Row],[h_id]]))</f>
        <v>14</v>
      </c>
      <c r="Y58" s="274">
        <f>IF(Table1[Item Description]="","",Table1[[#This Row],[Qty]]*Table1[[#This Row],[Unit Price]])</f>
        <v>5356800</v>
      </c>
      <c r="Z58" s="274">
        <f>IF(Table1[[#This Row],[h_hargasebelumdiskon]]="","",IF(Table1[[#This Row],[Disc 1]]="",0,Table1[[#This Row],[h_hargasebelumdiskon]]*Table1[[#This Row],[Disc 1]]))</f>
        <v>669600</v>
      </c>
      <c r="AA58" s="274">
        <f>IF(Table1[[#This Row],[h_hargasebelumdiskon]]="","",IF(Table1[[#This Row],[Disc 2]]="",0,(Table1[[#This Row],[h_hargasebelumdiskon]]-Table1[[#This Row],[h_disc 1]])*Table1[[#This Row],[Disc 2]]))</f>
        <v>0</v>
      </c>
      <c r="AB58" s="274">
        <f>IF(Table1[Item Description]="","",Table1[[#This Row],[h_disc 1]]+Table1[[#This Row],[h_disc 2]])</f>
        <v>669600</v>
      </c>
      <c r="AC58" s="274">
        <f>IF(Table1[Item Description]="","",Table1[[#This Row],[h_hargasebelumdiskon]]-Table1[[#This Row],[h_diskon]])</f>
        <v>4687200</v>
      </c>
      <c r="AD58" s="274" t="str">
        <f ca="1">IF(Table1[//]="","",SUMIF(Table1[h_id],Table1[h_id],Table1[h_hargasetelahdiskon]))</f>
        <v/>
      </c>
      <c r="AF58" s="274" t="str">
        <f>Table1[[#This Row],[Item Description]]&amp;Table1[[#This Row],[Unit]]&amp;Table1[[#This Row],[Unit Price]]</f>
        <v>ISI PENSIL 2B 2.0 MM JOYKO PL-11LS37200</v>
      </c>
      <c r="AG58" s="3"/>
      <c r="AH58" s="3"/>
      <c r="AI58" s="3"/>
    </row>
    <row r="59" spans="1:35" x14ac:dyDescent="0.25">
      <c r="A59" s="278" t="str">
        <f ca="1">IF(Table1[[#This Row],[No. Invoice :]]="","",ROW())</f>
        <v/>
      </c>
      <c r="B59" s="278" t="str">
        <f ca="1">IF(Table1[Column3]="","",B$1+COUNT(INDIRECT("B$2:B"&amp;ROW()-1)))</f>
        <v/>
      </c>
      <c r="C59" s="272" t="str">
        <f>IF(Table1[[#This Row],[Column2]]="","",Table1[[#This Row],[Column2]]+C$1-1)</f>
        <v/>
      </c>
      <c r="E59" s="273"/>
      <c r="F59" s="271"/>
      <c r="G59" s="278" t="str">
        <f ca="1">IF(Table1[[#This Row],[h_No. Invoice :]]="","",CONCATENATE("AM"," ",Table1[[#This Row],[h_No. Invoice :]]))</f>
        <v/>
      </c>
      <c r="H59" s="271" t="str">
        <f>IF(Table1[[#This Row],[Column5]]="","",INDEX(Table2[Column1],MATCH(Table1[[#This Row],[Column5]],Table2[a],0)))</f>
        <v/>
      </c>
      <c r="I59" s="279" t="str">
        <f>IF(Table1[[#This Row],[Column3]]=0,"",CONCATENATE(UPPER(Table1[[#This Row],[Column3]])," ",Table1[[#This Row],[Column4]]))</f>
        <v xml:space="preserve"> </v>
      </c>
      <c r="J59" s="278" t="str">
        <f>IF(Table1[[#This Row],[Column5]]="","",INDEX(Table2[e],IF(Table1[[#This Row],[Column5]]="","",MATCH(Table1[[#This Row],[Column5]],Table2[a],0)),))</f>
        <v/>
      </c>
      <c r="K59" s="271">
        <v>288</v>
      </c>
      <c r="L59" s="271" t="s">
        <v>284</v>
      </c>
      <c r="M59" s="271">
        <v>1</v>
      </c>
      <c r="O59" s="278" t="str">
        <f>IF(Table1[[#This Row],[h_Item Description]]="","",INDEX([1]!db[NB PAJAK],MATCH(Table1[[#This Row],[h_Item Description]],[1]!db[kode],0)))</f>
        <v/>
      </c>
      <c r="P59" s="271" t="s">
        <v>287</v>
      </c>
      <c r="Q59" s="274">
        <v>12000</v>
      </c>
      <c r="R59" s="275">
        <v>0.125</v>
      </c>
      <c r="S59" s="275"/>
      <c r="T59" s="274">
        <f>Table1[[#This Row],[h_hargasetelahdiskon]]</f>
        <v>3024000</v>
      </c>
      <c r="V59" s="271"/>
      <c r="W59" s="278">
        <f ca="1">IF(Table1[[#This Row],[Item Description]]="","",IF(Table1[[#This Row],[//]]="",INDIRECT(ADDRESS(ROW()-1,COLUMN())),Table1[[#This Row],[//]]))</f>
        <v>56</v>
      </c>
      <c r="X59" s="278">
        <f ca="1">IF(Table1[[#This Row],[h_id]]="","",COUNTIF(Table1[h_id],Table1[[#This Row],[h_id]]))</f>
        <v>14</v>
      </c>
      <c r="Y59" s="274">
        <f>IF(Table1[Item Description]="","",Table1[[#This Row],[Qty]]*Table1[[#This Row],[Unit Price]])</f>
        <v>3456000</v>
      </c>
      <c r="Z59" s="274">
        <f>IF(Table1[[#This Row],[h_hargasebelumdiskon]]="","",IF(Table1[[#This Row],[Disc 1]]="",0,Table1[[#This Row],[h_hargasebelumdiskon]]*Table1[[#This Row],[Disc 1]]))</f>
        <v>432000</v>
      </c>
      <c r="AA59" s="274">
        <f>IF(Table1[[#This Row],[h_hargasebelumdiskon]]="","",IF(Table1[[#This Row],[Disc 2]]="",0,(Table1[[#This Row],[h_hargasebelumdiskon]]-Table1[[#This Row],[h_disc 1]])*Table1[[#This Row],[Disc 2]]))</f>
        <v>0</v>
      </c>
      <c r="AB59" s="274">
        <f>IF(Table1[Item Description]="","",Table1[[#This Row],[h_disc 1]]+Table1[[#This Row],[h_disc 2]])</f>
        <v>432000</v>
      </c>
      <c r="AC59" s="274">
        <f>IF(Table1[Item Description]="","",Table1[[#This Row],[h_hargasebelumdiskon]]-Table1[[#This Row],[h_diskon]])</f>
        <v>3024000</v>
      </c>
      <c r="AD59" s="274" t="str">
        <f ca="1">IF(Table1[//]="","",SUMIF(Table1[h_id],Table1[h_id],Table1[h_hargasetelahdiskon]))</f>
        <v/>
      </c>
      <c r="AF59" s="274" t="str">
        <f>Table1[[#This Row],[Item Description]]&amp;Table1[[#This Row],[Unit]]&amp;Table1[[#This Row],[Unit Price]]</f>
        <v>JANGKA (MATH SET) JOYKO MS-402PC12000</v>
      </c>
      <c r="AG59" s="3"/>
      <c r="AH59" s="3"/>
      <c r="AI59" s="3"/>
    </row>
    <row r="60" spans="1:35" x14ac:dyDescent="0.25">
      <c r="A60" s="278" t="str">
        <f ca="1">IF(Table1[[#This Row],[No. Invoice :]]="","",ROW())</f>
        <v/>
      </c>
      <c r="B60" s="278" t="str">
        <f ca="1">IF(Table1[Column3]="","",B$1+COUNT(INDIRECT("B$2:B"&amp;ROW()-1)))</f>
        <v/>
      </c>
      <c r="C60" s="272" t="str">
        <f>IF(Table1[[#This Row],[Column2]]="","",Table1[[#This Row],[Column2]]+C$1-1)</f>
        <v/>
      </c>
      <c r="E60" s="273"/>
      <c r="F60" s="271"/>
      <c r="G60" s="278" t="str">
        <f ca="1">IF(Table1[[#This Row],[h_No. Invoice :]]="","",CONCATENATE("AM"," ",Table1[[#This Row],[h_No. Invoice :]]))</f>
        <v/>
      </c>
      <c r="H60" s="271" t="str">
        <f>IF(Table1[[#This Row],[Column5]]="","",INDEX(Table2[Column1],MATCH(Table1[[#This Row],[Column5]],Table2[a],0)))</f>
        <v/>
      </c>
      <c r="I60" s="279" t="str">
        <f>IF(Table1[[#This Row],[Column3]]=0,"",CONCATENATE(UPPER(Table1[[#This Row],[Column3]])," ",Table1[[#This Row],[Column4]]))</f>
        <v xml:space="preserve"> </v>
      </c>
      <c r="J60" s="278" t="str">
        <f>IF(Table1[[#This Row],[Column5]]="","",INDEX(Table2[e],IF(Table1[[#This Row],[Column5]]="","",MATCH(Table1[[#This Row],[Column5]],Table2[a],0)),))</f>
        <v/>
      </c>
      <c r="K60" s="271">
        <v>24</v>
      </c>
      <c r="L60" s="271" t="s">
        <v>165</v>
      </c>
      <c r="M60" s="271">
        <v>1</v>
      </c>
      <c r="O60" s="278" t="str">
        <f>IF(Table1[[#This Row],[h_Item Description]]="","",INDEX([1]!db[NB PAJAK],MATCH(Table1[[#This Row],[h_Item Description]],[1]!db[kode],0)))</f>
        <v/>
      </c>
      <c r="P60" s="271" t="s">
        <v>288</v>
      </c>
      <c r="Q60" s="274">
        <v>89400</v>
      </c>
      <c r="R60" s="275">
        <v>0.125</v>
      </c>
      <c r="S60" s="275"/>
      <c r="T60" s="274">
        <f>Table1[[#This Row],[h_hargasetelahdiskon]]</f>
        <v>1877400</v>
      </c>
      <c r="V60" s="271"/>
      <c r="W60" s="278">
        <f ca="1">IF(Table1[[#This Row],[Item Description]]="","",IF(Table1[[#This Row],[//]]="",INDIRECT(ADDRESS(ROW()-1,COLUMN())),Table1[[#This Row],[//]]))</f>
        <v>56</v>
      </c>
      <c r="X60" s="278">
        <f ca="1">IF(Table1[[#This Row],[h_id]]="","",COUNTIF(Table1[h_id],Table1[[#This Row],[h_id]]))</f>
        <v>14</v>
      </c>
      <c r="Y60" s="274">
        <f>IF(Table1[Item Description]="","",Table1[[#This Row],[Qty]]*Table1[[#This Row],[Unit Price]])</f>
        <v>2145600</v>
      </c>
      <c r="Z60" s="274">
        <f>IF(Table1[[#This Row],[h_hargasebelumdiskon]]="","",IF(Table1[[#This Row],[Disc 1]]="",0,Table1[[#This Row],[h_hargasebelumdiskon]]*Table1[[#This Row],[Disc 1]]))</f>
        <v>268200</v>
      </c>
      <c r="AA60" s="274">
        <f>IF(Table1[[#This Row],[h_hargasebelumdiskon]]="","",IF(Table1[[#This Row],[Disc 2]]="",0,(Table1[[#This Row],[h_hargasebelumdiskon]]-Table1[[#This Row],[h_disc 1]])*Table1[[#This Row],[Disc 2]]))</f>
        <v>0</v>
      </c>
      <c r="AB60" s="274">
        <f>IF(Table1[Item Description]="","",Table1[[#This Row],[h_disc 1]]+Table1[[#This Row],[h_disc 2]])</f>
        <v>268200</v>
      </c>
      <c r="AC60" s="274">
        <f>IF(Table1[Item Description]="","",Table1[[#This Row],[h_hargasebelumdiskon]]-Table1[[#This Row],[h_diskon]])</f>
        <v>1877400</v>
      </c>
      <c r="AD60" s="274" t="str">
        <f ca="1">IF(Table1[//]="","",SUMIF(Table1[h_id],Table1[h_id],Table1[h_hargasetelahdiskon]))</f>
        <v/>
      </c>
      <c r="AF60" s="274" t="str">
        <f>Table1[[#This Row],[Item Description]]&amp;Table1[[#This Row],[Unit]]&amp;Table1[[#This Row],[Unit Price]]</f>
        <v>JANGKA (MATH SET) JOYKO MS-25LS89400</v>
      </c>
      <c r="AG60" s="3"/>
      <c r="AH60" s="3"/>
      <c r="AI60" s="3"/>
    </row>
    <row r="61" spans="1:35" x14ac:dyDescent="0.25">
      <c r="A61" s="278" t="str">
        <f ca="1">IF(Table1[[#This Row],[No. Invoice :]]="","",ROW())</f>
        <v/>
      </c>
      <c r="B61" s="278" t="str">
        <f ca="1">IF(Table1[Column3]="","",B$1+COUNT(INDIRECT("B$2:B"&amp;ROW()-1)))</f>
        <v/>
      </c>
      <c r="C61" s="272" t="str">
        <f>IF(Table1[[#This Row],[Column2]]="","",Table1[[#This Row],[Column2]]+C$1-1)</f>
        <v/>
      </c>
      <c r="E61" s="273"/>
      <c r="F61" s="271"/>
      <c r="G61" s="278" t="str">
        <f ca="1">IF(Table1[[#This Row],[h_No. Invoice :]]="","",CONCATENATE("AM"," ",Table1[[#This Row],[h_No. Invoice :]]))</f>
        <v/>
      </c>
      <c r="H61" s="271" t="str">
        <f>IF(Table1[[#This Row],[Column5]]="","",INDEX(Table2[Column1],MATCH(Table1[[#This Row],[Column5]],Table2[a],0)))</f>
        <v/>
      </c>
      <c r="I61" s="279" t="str">
        <f>IF(Table1[[#This Row],[Column3]]=0,"",CONCATENATE(UPPER(Table1[[#This Row],[Column3]])," ",Table1[[#This Row],[Column4]]))</f>
        <v xml:space="preserve"> </v>
      </c>
      <c r="J61" s="278" t="str">
        <f>IF(Table1[[#This Row],[Column5]]="","",INDEX(Table2[e],IF(Table1[[#This Row],[Column5]]="","",MATCH(Table1[[#This Row],[Column5]],Table2[a],0)),))</f>
        <v/>
      </c>
      <c r="K61" s="271">
        <v>120</v>
      </c>
      <c r="L61" s="271" t="s">
        <v>284</v>
      </c>
      <c r="M61" s="271">
        <v>2</v>
      </c>
      <c r="O61" s="278" t="str">
        <f>IF(Table1[[#This Row],[h_Item Description]]="","",INDEX([1]!db[NB PAJAK],MATCH(Table1[[#This Row],[h_Item Description]],[1]!db[kode],0)))</f>
        <v/>
      </c>
      <c r="P61" s="271" t="s">
        <v>289</v>
      </c>
      <c r="Q61" s="274">
        <v>29500</v>
      </c>
      <c r="R61" s="275">
        <v>0.125</v>
      </c>
      <c r="S61" s="275"/>
      <c r="T61" s="274">
        <f>Table1[[#This Row],[h_hargasetelahdiskon]]</f>
        <v>3097500</v>
      </c>
      <c r="V61" s="271"/>
      <c r="W61" s="278">
        <f ca="1">IF(Table1[[#This Row],[Item Description]]="","",IF(Table1[[#This Row],[//]]="",INDIRECT(ADDRESS(ROW()-1,COLUMN())),Table1[[#This Row],[//]]))</f>
        <v>56</v>
      </c>
      <c r="X61" s="278">
        <f ca="1">IF(Table1[[#This Row],[h_id]]="","",COUNTIF(Table1[h_id],Table1[[#This Row],[h_id]]))</f>
        <v>14</v>
      </c>
      <c r="Y61" s="274">
        <f>IF(Table1[Item Description]="","",Table1[[#This Row],[Qty]]*Table1[[#This Row],[Unit Price]])</f>
        <v>3540000</v>
      </c>
      <c r="Z61" s="274">
        <f>IF(Table1[[#This Row],[h_hargasebelumdiskon]]="","",IF(Table1[[#This Row],[Disc 1]]="",0,Table1[[#This Row],[h_hargasebelumdiskon]]*Table1[[#This Row],[Disc 1]]))</f>
        <v>442500</v>
      </c>
      <c r="AA61" s="274">
        <f>IF(Table1[[#This Row],[h_hargasebelumdiskon]]="","",IF(Table1[[#This Row],[Disc 2]]="",0,(Table1[[#This Row],[h_hargasebelumdiskon]]-Table1[[#This Row],[h_disc 1]])*Table1[[#This Row],[Disc 2]]))</f>
        <v>0</v>
      </c>
      <c r="AB61" s="274">
        <f>IF(Table1[Item Description]="","",Table1[[#This Row],[h_disc 1]]+Table1[[#This Row],[h_disc 2]])</f>
        <v>442500</v>
      </c>
      <c r="AC61" s="274">
        <f>IF(Table1[Item Description]="","",Table1[[#This Row],[h_hargasebelumdiskon]]-Table1[[#This Row],[h_diskon]])</f>
        <v>3097500</v>
      </c>
      <c r="AD61" s="274" t="str">
        <f ca="1">IF(Table1[//]="","",SUMIF(Table1[h_id],Table1[h_id],Table1[h_hargasetelahdiskon]))</f>
        <v/>
      </c>
      <c r="AF61" s="274" t="str">
        <f>Table1[[#This Row],[Item Description]]&amp;Table1[[#This Row],[Unit]]&amp;Table1[[#This Row],[Unit Price]]</f>
        <v>PUNCH KENKO NO. 40XLPC29500</v>
      </c>
      <c r="AG61" s="3"/>
      <c r="AH61" s="3"/>
      <c r="AI61" s="3"/>
    </row>
    <row r="62" spans="1:35" x14ac:dyDescent="0.25">
      <c r="A62" s="278" t="str">
        <f ca="1">IF(Table1[[#This Row],[No. Invoice :]]="","",ROW())</f>
        <v/>
      </c>
      <c r="B62" s="278" t="str">
        <f ca="1">IF(Table1[Column3]="","",B$1+COUNT(INDIRECT("B$2:B"&amp;ROW()-1)))</f>
        <v/>
      </c>
      <c r="C62" s="272" t="str">
        <f>IF(Table1[[#This Row],[Column2]]="","",Table1[[#This Row],[Column2]]+C$1-1)</f>
        <v/>
      </c>
      <c r="E62" s="273"/>
      <c r="F62" s="271"/>
      <c r="G62" s="278" t="str">
        <f ca="1">IF(Table1[[#This Row],[h_No. Invoice :]]="","",CONCATENATE("AM"," ",Table1[[#This Row],[h_No. Invoice :]]))</f>
        <v/>
      </c>
      <c r="H62" s="271" t="str">
        <f>IF(Table1[[#This Row],[Column5]]="","",INDEX(Table2[Column1],MATCH(Table1[[#This Row],[Column5]],Table2[a],0)))</f>
        <v/>
      </c>
      <c r="I62" s="279" t="str">
        <f>IF(Table1[[#This Row],[Column3]]=0,"",CONCATENATE(UPPER(Table1[[#This Row],[Column3]])," ",Table1[[#This Row],[Column4]]))</f>
        <v xml:space="preserve"> </v>
      </c>
      <c r="J62" s="278" t="str">
        <f>IF(Table1[[#This Row],[Column5]]="","",INDEX(Table2[e],IF(Table1[[#This Row],[Column5]]="","",MATCH(Table1[[#This Row],[Column5]],Table2[a],0)),))</f>
        <v/>
      </c>
      <c r="K62" s="271">
        <v>240</v>
      </c>
      <c r="L62" s="271" t="s">
        <v>284</v>
      </c>
      <c r="M62" s="271">
        <v>2</v>
      </c>
      <c r="O62" s="278" t="str">
        <f>IF(Table1[[#This Row],[h_Item Description]]="","",INDEX([1]!db[NB PAJAK],MATCH(Table1[[#This Row],[h_Item Description]],[1]!db[kode],0)))</f>
        <v/>
      </c>
      <c r="P62" s="271" t="s">
        <v>290</v>
      </c>
      <c r="Q62" s="274">
        <v>12950</v>
      </c>
      <c r="R62" s="275">
        <v>0.125</v>
      </c>
      <c r="S62" s="275"/>
      <c r="T62" s="274">
        <f>Table1[[#This Row],[h_hargasetelahdiskon]]</f>
        <v>2719500</v>
      </c>
      <c r="V62" s="271"/>
      <c r="W62" s="278">
        <f ca="1">IF(Table1[[#This Row],[Item Description]]="","",IF(Table1[[#This Row],[//]]="",INDIRECT(ADDRESS(ROW()-1,COLUMN())),Table1[[#This Row],[//]]))</f>
        <v>56</v>
      </c>
      <c r="X62" s="278">
        <f ca="1">IF(Table1[[#This Row],[h_id]]="","",COUNTIF(Table1[h_id],Table1[[#This Row],[h_id]]))</f>
        <v>14</v>
      </c>
      <c r="Y62" s="274">
        <f>IF(Table1[Item Description]="","",Table1[[#This Row],[Qty]]*Table1[[#This Row],[Unit Price]])</f>
        <v>3108000</v>
      </c>
      <c r="Z62" s="274">
        <f>IF(Table1[[#This Row],[h_hargasebelumdiskon]]="","",IF(Table1[[#This Row],[Disc 1]]="",0,Table1[[#This Row],[h_hargasebelumdiskon]]*Table1[[#This Row],[Disc 1]]))</f>
        <v>388500</v>
      </c>
      <c r="AA62" s="274">
        <f>IF(Table1[[#This Row],[h_hargasebelumdiskon]]="","",IF(Table1[[#This Row],[Disc 2]]="",0,(Table1[[#This Row],[h_hargasebelumdiskon]]-Table1[[#This Row],[h_disc 1]])*Table1[[#This Row],[Disc 2]]))</f>
        <v>0</v>
      </c>
      <c r="AB62" s="274">
        <f>IF(Table1[Item Description]="","",Table1[[#This Row],[h_disc 1]]+Table1[[#This Row],[h_disc 2]])</f>
        <v>388500</v>
      </c>
      <c r="AC62" s="274">
        <f>IF(Table1[Item Description]="","",Table1[[#This Row],[h_hargasebelumdiskon]]-Table1[[#This Row],[h_diskon]])</f>
        <v>2719500</v>
      </c>
      <c r="AD62" s="274" t="str">
        <f ca="1">IF(Table1[//]="","",SUMIF(Table1[h_id],Table1[h_id],Table1[h_hargasetelahdiskon]))</f>
        <v/>
      </c>
      <c r="AF62" s="274" t="str">
        <f>Table1[[#This Row],[Item Description]]&amp;Table1[[#This Row],[Unit]]&amp;Table1[[#This Row],[Unit Price]]</f>
        <v>PUNCH KENKO NO. 30XLPC12950</v>
      </c>
      <c r="AG62" s="3"/>
      <c r="AH62" s="3"/>
      <c r="AI62" s="3"/>
    </row>
    <row r="63" spans="1:35" x14ac:dyDescent="0.25">
      <c r="A63" s="278" t="str">
        <f ca="1">IF(Table1[[#This Row],[No. Invoice :]]="","",ROW())</f>
        <v/>
      </c>
      <c r="B63" s="278" t="str">
        <f ca="1">IF(Table1[Column3]="","",B$1+COUNT(INDIRECT("B$2:B"&amp;ROW()-1)))</f>
        <v/>
      </c>
      <c r="C63" s="272" t="str">
        <f>IF(Table1[[#This Row],[Column2]]="","",Table1[[#This Row],[Column2]]+C$1-1)</f>
        <v/>
      </c>
      <c r="E63" s="273"/>
      <c r="F63" s="271"/>
      <c r="G63" s="278" t="str">
        <f ca="1">IF(Table1[[#This Row],[h_No. Invoice :]]="","",CONCATENATE("AM"," ",Table1[[#This Row],[h_No. Invoice :]]))</f>
        <v/>
      </c>
      <c r="H63" s="271" t="str">
        <f>IF(Table1[[#This Row],[Column5]]="","",INDEX(Table2[Column1],MATCH(Table1[[#This Row],[Column5]],Table2[a],0)))</f>
        <v/>
      </c>
      <c r="I63" s="279" t="str">
        <f>IF(Table1[[#This Row],[Column3]]=0,"",CONCATENATE(UPPER(Table1[[#This Row],[Column3]])," ",Table1[[#This Row],[Column4]]))</f>
        <v xml:space="preserve"> </v>
      </c>
      <c r="J63" s="278" t="str">
        <f>IF(Table1[[#This Row],[Column5]]="","",INDEX(Table2[e],IF(Table1[[#This Row],[Column5]]="","",MATCH(Table1[[#This Row],[Column5]],Table2[a],0)),))</f>
        <v/>
      </c>
      <c r="K63" s="271">
        <v>48</v>
      </c>
      <c r="L63" s="271" t="s">
        <v>284</v>
      </c>
      <c r="M63" s="271">
        <v>2</v>
      </c>
      <c r="O63" s="278" t="str">
        <f>IF(Table1[[#This Row],[h_Item Description]]="","",INDEX([1]!db[NB PAJAK],MATCH(Table1[[#This Row],[h_Item Description]],[1]!db[kode],0)))</f>
        <v/>
      </c>
      <c r="P63" s="271" t="s">
        <v>291</v>
      </c>
      <c r="Q63" s="274">
        <v>40000</v>
      </c>
      <c r="R63" s="275">
        <v>0.125</v>
      </c>
      <c r="S63" s="275"/>
      <c r="T63" s="274">
        <f>Table1[[#This Row],[h_hargasetelahdiskon]]</f>
        <v>1680000</v>
      </c>
      <c r="V63" s="271"/>
      <c r="W63" s="278">
        <f ca="1">IF(Table1[[#This Row],[Item Description]]="","",IF(Table1[[#This Row],[//]]="",INDIRECT(ADDRESS(ROW()-1,COLUMN())),Table1[[#This Row],[//]]))</f>
        <v>56</v>
      </c>
      <c r="X63" s="278">
        <f ca="1">IF(Table1[[#This Row],[h_id]]="","",COUNTIF(Table1[h_id],Table1[[#This Row],[h_id]]))</f>
        <v>14</v>
      </c>
      <c r="Y63" s="274">
        <f>IF(Table1[Item Description]="","",Table1[[#This Row],[Qty]]*Table1[[#This Row],[Unit Price]])</f>
        <v>1920000</v>
      </c>
      <c r="Z63" s="274">
        <f>IF(Table1[[#This Row],[h_hargasebelumdiskon]]="","",IF(Table1[[#This Row],[Disc 1]]="",0,Table1[[#This Row],[h_hargasebelumdiskon]]*Table1[[#This Row],[Disc 1]]))</f>
        <v>240000</v>
      </c>
      <c r="AA63" s="274">
        <f>IF(Table1[[#This Row],[h_hargasebelumdiskon]]="","",IF(Table1[[#This Row],[Disc 2]]="",0,(Table1[[#This Row],[h_hargasebelumdiskon]]-Table1[[#This Row],[h_disc 1]])*Table1[[#This Row],[Disc 2]]))</f>
        <v>0</v>
      </c>
      <c r="AB63" s="274">
        <f>IF(Table1[Item Description]="","",Table1[[#This Row],[h_disc 1]]+Table1[[#This Row],[h_disc 2]])</f>
        <v>240000</v>
      </c>
      <c r="AC63" s="274">
        <f>IF(Table1[Item Description]="","",Table1[[#This Row],[h_hargasebelumdiskon]]-Table1[[#This Row],[h_diskon]])</f>
        <v>1680000</v>
      </c>
      <c r="AD63" s="274" t="str">
        <f ca="1">IF(Table1[//]="","",SUMIF(Table1[h_id],Table1[h_id],Table1[h_hargasetelahdiskon]))</f>
        <v/>
      </c>
      <c r="AF63" s="274" t="str">
        <f>Table1[[#This Row],[Item Description]]&amp;Table1[[#This Row],[Unit]]&amp;Table1[[#This Row],[Unit Price]]</f>
        <v>PUNCH KENKO NO. 85PC40000</v>
      </c>
      <c r="AG63" s="3"/>
      <c r="AH63" s="3"/>
      <c r="AI63" s="3"/>
    </row>
    <row r="64" spans="1:35" x14ac:dyDescent="0.25">
      <c r="A64" s="278" t="str">
        <f ca="1">IF(Table1[[#This Row],[No. Invoice :]]="","",ROW())</f>
        <v/>
      </c>
      <c r="B64" s="278" t="str">
        <f ca="1">IF(Table1[Column3]="","",B$1+COUNT(INDIRECT("B$2:B"&amp;ROW()-1)))</f>
        <v/>
      </c>
      <c r="C64" s="272" t="str">
        <f>IF(Table1[[#This Row],[Column2]]="","",Table1[[#This Row],[Column2]]+C$1-1)</f>
        <v/>
      </c>
      <c r="E64" s="273"/>
      <c r="F64" s="271"/>
      <c r="G64" s="278" t="str">
        <f ca="1">IF(Table1[[#This Row],[h_No. Invoice :]]="","",CONCATENATE("AM"," ",Table1[[#This Row],[h_No. Invoice :]]))</f>
        <v/>
      </c>
      <c r="H64" s="271" t="str">
        <f>IF(Table1[[#This Row],[Column5]]="","",INDEX(Table2[Column1],MATCH(Table1[[#This Row],[Column5]],Table2[a],0)))</f>
        <v/>
      </c>
      <c r="I64" s="279" t="str">
        <f>IF(Table1[[#This Row],[Column3]]=0,"",CONCATENATE(UPPER(Table1[[#This Row],[Column3]])," ",Table1[[#This Row],[Column4]]))</f>
        <v xml:space="preserve"> </v>
      </c>
      <c r="J64" s="278" t="str">
        <f>IF(Table1[[#This Row],[Column5]]="","",INDEX(Table2[e],IF(Table1[[#This Row],[Column5]]="","",MATCH(Table1[[#This Row],[Column5]],Table2[a],0)),))</f>
        <v/>
      </c>
      <c r="K64" s="271">
        <v>1000</v>
      </c>
      <c r="L64" s="271" t="s">
        <v>284</v>
      </c>
      <c r="M64" s="271">
        <v>1</v>
      </c>
      <c r="O64" s="278" t="str">
        <f>IF(Table1[[#This Row],[h_Item Description]]="","",INDEX([1]!db[NB PAJAK],MATCH(Table1[[#This Row],[h_Item Description]],[1]!db[kode],0)))</f>
        <v/>
      </c>
      <c r="P64" s="271" t="s">
        <v>292</v>
      </c>
      <c r="Q64" s="274">
        <v>2050</v>
      </c>
      <c r="R64" s="275">
        <v>0.125</v>
      </c>
      <c r="S64" s="275"/>
      <c r="T64" s="274">
        <f>Table1[[#This Row],[h_hargasetelahdiskon]]</f>
        <v>1793750</v>
      </c>
      <c r="V64" s="271"/>
      <c r="W64" s="278">
        <f ca="1">IF(Table1[[#This Row],[Item Description]]="","",IF(Table1[[#This Row],[//]]="",INDIRECT(ADDRESS(ROW()-1,COLUMN())),Table1[[#This Row],[//]]))</f>
        <v>56</v>
      </c>
      <c r="X64" s="278">
        <f ca="1">IF(Table1[[#This Row],[h_id]]="","",COUNTIF(Table1[h_id],Table1[[#This Row],[h_id]]))</f>
        <v>14</v>
      </c>
      <c r="Y64" s="274">
        <f>IF(Table1[Item Description]="","",Table1[[#This Row],[Qty]]*Table1[[#This Row],[Unit Price]])</f>
        <v>2050000</v>
      </c>
      <c r="Z64" s="274">
        <f>IF(Table1[[#This Row],[h_hargasebelumdiskon]]="","",IF(Table1[[#This Row],[Disc 1]]="",0,Table1[[#This Row],[h_hargasebelumdiskon]]*Table1[[#This Row],[Disc 1]]))</f>
        <v>256250</v>
      </c>
      <c r="AA64" s="274">
        <f>IF(Table1[[#This Row],[h_hargasebelumdiskon]]="","",IF(Table1[[#This Row],[Disc 2]]="",0,(Table1[[#This Row],[h_hargasebelumdiskon]]-Table1[[#This Row],[h_disc 1]])*Table1[[#This Row],[Disc 2]]))</f>
        <v>0</v>
      </c>
      <c r="AB64" s="274">
        <f>IF(Table1[Item Description]="","",Table1[[#This Row],[h_disc 1]]+Table1[[#This Row],[h_disc 2]])</f>
        <v>256250</v>
      </c>
      <c r="AC64" s="274">
        <f>IF(Table1[Item Description]="","",Table1[[#This Row],[h_hargasebelumdiskon]]-Table1[[#This Row],[h_diskon]])</f>
        <v>1793750</v>
      </c>
      <c r="AD64" s="274" t="str">
        <f ca="1">IF(Table1[//]="","",SUMIF(Table1[h_id],Table1[h_id],Table1[h_hargasetelahdiskon]))</f>
        <v/>
      </c>
      <c r="AF64" s="274" t="str">
        <f>Table1[[#This Row],[Item Description]]&amp;Table1[[#This Row],[Unit]]&amp;Table1[[#This Row],[Unit Price]]</f>
        <v>LABEL HARGA JOYKO LB-2RL (1 LINE PUTIH)PC2050</v>
      </c>
      <c r="AG64" s="3"/>
      <c r="AH64" s="3"/>
      <c r="AI64" s="3"/>
    </row>
    <row r="65" spans="1:35" x14ac:dyDescent="0.25">
      <c r="A65" s="278" t="str">
        <f ca="1">IF(Table1[[#This Row],[No. Invoice :]]="","",ROW())</f>
        <v/>
      </c>
      <c r="B65" s="278" t="str">
        <f ca="1">IF(Table1[Column3]="","",B$1+COUNT(INDIRECT("B$2:B"&amp;ROW()-1)))</f>
        <v/>
      </c>
      <c r="C65" s="272" t="str">
        <f>IF(Table1[[#This Row],[Column2]]="","",Table1[[#This Row],[Column2]]+C$1-1)</f>
        <v/>
      </c>
      <c r="E65" s="273"/>
      <c r="F65" s="271"/>
      <c r="G65" s="278" t="str">
        <f ca="1">IF(Table1[[#This Row],[h_No. Invoice :]]="","",CONCATENATE("AM"," ",Table1[[#This Row],[h_No. Invoice :]]))</f>
        <v/>
      </c>
      <c r="H65" s="271" t="str">
        <f>IF(Table1[[#This Row],[Column5]]="","",INDEX(Table2[Column1],MATCH(Table1[[#This Row],[Column5]],Table2[a],0)))</f>
        <v/>
      </c>
      <c r="I65" s="279" t="str">
        <f>IF(Table1[[#This Row],[Column3]]=0,"",CONCATENATE(UPPER(Table1[[#This Row],[Column3]])," ",Table1[[#This Row],[Column4]]))</f>
        <v xml:space="preserve"> </v>
      </c>
      <c r="J65" s="278" t="str">
        <f>IF(Table1[[#This Row],[Column5]]="","",INDEX(Table2[e],IF(Table1[[#This Row],[Column5]]="","",MATCH(Table1[[#This Row],[Column5]],Table2[a],0)),))</f>
        <v/>
      </c>
      <c r="K65" s="271">
        <v>360</v>
      </c>
      <c r="L65" s="271" t="s">
        <v>157</v>
      </c>
      <c r="M65" s="271">
        <v>10</v>
      </c>
      <c r="O65" s="278" t="str">
        <f>IF(Table1[[#This Row],[h_Item Description]]="","",INDEX([1]!db[NB PAJAK],MATCH(Table1[[#This Row],[h_Item Description]],[1]!db[kode],0)))</f>
        <v/>
      </c>
      <c r="P65" s="271" t="s">
        <v>293</v>
      </c>
      <c r="Q65" s="274">
        <v>58800</v>
      </c>
      <c r="R65" s="275">
        <v>0.125</v>
      </c>
      <c r="S65" s="275"/>
      <c r="T65" s="274">
        <f>Table1[[#This Row],[h_hargasetelahdiskon]]</f>
        <v>18522000</v>
      </c>
      <c r="V65" s="271"/>
      <c r="W65" s="278">
        <f ca="1">IF(Table1[[#This Row],[Item Description]]="","",IF(Table1[[#This Row],[//]]="",INDIRECT(ADDRESS(ROW()-1,COLUMN())),Table1[[#This Row],[//]]))</f>
        <v>56</v>
      </c>
      <c r="X65" s="278">
        <f ca="1">IF(Table1[[#This Row],[h_id]]="","",COUNTIF(Table1[h_id],Table1[[#This Row],[h_id]]))</f>
        <v>14</v>
      </c>
      <c r="Y65" s="274">
        <f>IF(Table1[Item Description]="","",Table1[[#This Row],[Qty]]*Table1[[#This Row],[Unit Price]])</f>
        <v>21168000</v>
      </c>
      <c r="Z65" s="274">
        <f>IF(Table1[[#This Row],[h_hargasebelumdiskon]]="","",IF(Table1[[#This Row],[Disc 1]]="",0,Table1[[#This Row],[h_hargasebelumdiskon]]*Table1[[#This Row],[Disc 1]]))</f>
        <v>2646000</v>
      </c>
      <c r="AA65" s="274">
        <f>IF(Table1[[#This Row],[h_hargasebelumdiskon]]="","",IF(Table1[[#This Row],[Disc 2]]="",0,(Table1[[#This Row],[h_hargasebelumdiskon]]-Table1[[#This Row],[h_disc 1]])*Table1[[#This Row],[Disc 2]]))</f>
        <v>0</v>
      </c>
      <c r="AB65" s="274">
        <f>IF(Table1[Item Description]="","",Table1[[#This Row],[h_disc 1]]+Table1[[#This Row],[h_disc 2]])</f>
        <v>2646000</v>
      </c>
      <c r="AC65" s="274">
        <f>IF(Table1[Item Description]="","",Table1[[#This Row],[h_hargasebelumdiskon]]-Table1[[#This Row],[h_diskon]])</f>
        <v>18522000</v>
      </c>
      <c r="AD65" s="274" t="str">
        <f ca="1">IF(Table1[//]="","",SUMIF(Table1[h_id],Table1[h_id],Table1[h_hargasetelahdiskon]))</f>
        <v/>
      </c>
      <c r="AF65" s="274" t="str">
        <f>Table1[[#This Row],[Item Description]]&amp;Table1[[#This Row],[Unit]]&amp;Table1[[#This Row],[Unit Price]]</f>
        <v>LEM STICK JOYKO 15 GR GS-104 TG (ANIMAL KINGDOM) isi 24 pcBOX58800</v>
      </c>
      <c r="AG65" s="3"/>
      <c r="AH65" s="3"/>
      <c r="AI65" s="3"/>
    </row>
    <row r="66" spans="1:35" x14ac:dyDescent="0.25">
      <c r="A66" s="278" t="str">
        <f ca="1">IF(Table1[[#This Row],[No. Invoice :]]="","",ROW())</f>
        <v/>
      </c>
      <c r="B66" s="278" t="str">
        <f ca="1">IF(Table1[Column3]="","",B$1+COUNT(INDIRECT("B$2:B"&amp;ROW()-1)))</f>
        <v/>
      </c>
      <c r="C66" s="272" t="str">
        <f>IF(Table1[[#This Row],[Column2]]="","",Table1[[#This Row],[Column2]]+C$1-1)</f>
        <v/>
      </c>
      <c r="E66" s="273"/>
      <c r="F66" s="271"/>
      <c r="G66" s="278" t="str">
        <f ca="1">IF(Table1[[#This Row],[h_No. Invoice :]]="","",CONCATENATE("AM"," ",Table1[[#This Row],[h_No. Invoice :]]))</f>
        <v/>
      </c>
      <c r="H66" s="271" t="str">
        <f>IF(Table1[[#This Row],[Column5]]="","",INDEX(Table2[Column1],MATCH(Table1[[#This Row],[Column5]],Table2[a],0)))</f>
        <v/>
      </c>
      <c r="I66" s="279" t="str">
        <f>IF(Table1[[#This Row],[Column3]]=0,"",CONCATENATE(UPPER(Table1[[#This Row],[Column3]])," ",Table1[[#This Row],[Column4]]))</f>
        <v xml:space="preserve"> </v>
      </c>
      <c r="J66" s="278" t="str">
        <f>IF(Table1[[#This Row],[Column5]]="","",INDEX(Table2[e],IF(Table1[[#This Row],[Column5]]="","",MATCH(Table1[[#This Row],[Column5]],Table2[a],0)),))</f>
        <v/>
      </c>
      <c r="K66" s="271">
        <v>128</v>
      </c>
      <c r="L66" s="271" t="s">
        <v>165</v>
      </c>
      <c r="M66" s="271">
        <v>2</v>
      </c>
      <c r="O66" s="278" t="str">
        <f>IF(Table1[[#This Row],[h_Item Description]]="","",INDEX([1]!db[NB PAJAK],MATCH(Table1[[#This Row],[h_Item Description]],[1]!db[kode],0)))</f>
        <v/>
      </c>
      <c r="P66" s="271" t="s">
        <v>294</v>
      </c>
      <c r="Q66" s="274">
        <v>25200</v>
      </c>
      <c r="R66" s="275">
        <v>0.125</v>
      </c>
      <c r="S66" s="275"/>
      <c r="T66" s="274">
        <f>Table1[[#This Row],[h_hargasetelahdiskon]]</f>
        <v>2822400</v>
      </c>
      <c r="V66" s="271"/>
      <c r="W66" s="278">
        <f ca="1">IF(Table1[[#This Row],[Item Description]]="","",IF(Table1[[#This Row],[//]]="",INDIRECT(ADDRESS(ROW()-1,COLUMN())),Table1[[#This Row],[//]]))</f>
        <v>56</v>
      </c>
      <c r="X66" s="278">
        <f ca="1">IF(Table1[[#This Row],[h_id]]="","",COUNTIF(Table1[h_id],Table1[[#This Row],[h_id]]))</f>
        <v>14</v>
      </c>
      <c r="Y66" s="274">
        <f>IF(Table1[Item Description]="","",Table1[[#This Row],[Qty]]*Table1[[#This Row],[Unit Price]])</f>
        <v>3225600</v>
      </c>
      <c r="Z66" s="274">
        <f>IF(Table1[[#This Row],[h_hargasebelumdiskon]]="","",IF(Table1[[#This Row],[Disc 1]]="",0,Table1[[#This Row],[h_hargasebelumdiskon]]*Table1[[#This Row],[Disc 1]]))</f>
        <v>403200</v>
      </c>
      <c r="AA66" s="274">
        <f>IF(Table1[[#This Row],[h_hargasebelumdiskon]]="","",IF(Table1[[#This Row],[Disc 2]]="",0,(Table1[[#This Row],[h_hargasebelumdiskon]]-Table1[[#This Row],[h_disc 1]])*Table1[[#This Row],[Disc 2]]))</f>
        <v>0</v>
      </c>
      <c r="AB66" s="274">
        <f>IF(Table1[Item Description]="","",Table1[[#This Row],[h_disc 1]]+Table1[[#This Row],[h_disc 2]])</f>
        <v>403200</v>
      </c>
      <c r="AC66" s="274">
        <f>IF(Table1[Item Description]="","",Table1[[#This Row],[h_hargasebelumdiskon]]-Table1[[#This Row],[h_diskon]])</f>
        <v>2822400</v>
      </c>
      <c r="AD66" s="274" t="str">
        <f ca="1">IF(Table1[//]="","",SUMIF(Table1[h_id],Table1[h_id],Table1[h_hargasetelahdiskon]))</f>
        <v/>
      </c>
      <c r="AF66" s="274" t="str">
        <f>Table1[[#This Row],[Item Description]]&amp;Table1[[#This Row],[Unit]]&amp;Table1[[#This Row],[Unit Price]]</f>
        <v>LEM STICK JOYKO 8 GR GS-09 isi 12 pcLS25200</v>
      </c>
      <c r="AG66" s="3"/>
      <c r="AH66" s="3"/>
      <c r="AI66" s="3"/>
    </row>
    <row r="67" spans="1:35" x14ac:dyDescent="0.25">
      <c r="A67" s="278" t="str">
        <f ca="1">IF(Table1[[#This Row],[No. Invoice :]]="","",ROW())</f>
        <v/>
      </c>
      <c r="B67" s="278" t="str">
        <f ca="1">IF(Table1[Column3]="","",B$1+COUNT(INDIRECT("B$2:B"&amp;ROW()-1)))</f>
        <v/>
      </c>
      <c r="C67" s="272" t="str">
        <f>IF(Table1[[#This Row],[Column2]]="","",Table1[[#This Row],[Column2]]+C$1-1)</f>
        <v/>
      </c>
      <c r="E67" s="273"/>
      <c r="F67" s="271"/>
      <c r="G67" s="278" t="str">
        <f ca="1">IF(Table1[[#This Row],[h_No. Invoice :]]="","",CONCATENATE("AM"," ",Table1[[#This Row],[h_No. Invoice :]]))</f>
        <v/>
      </c>
      <c r="H67" s="271" t="str">
        <f>IF(Table1[[#This Row],[Column5]]="","",INDEX(Table2[Column1],MATCH(Table1[[#This Row],[Column5]],Table2[a],0)))</f>
        <v/>
      </c>
      <c r="I67" s="279" t="str">
        <f>IF(Table1[[#This Row],[Column3]]=0,"",CONCATENATE(UPPER(Table1[[#This Row],[Column3]])," ",Table1[[#This Row],[Column4]]))</f>
        <v xml:space="preserve"> </v>
      </c>
      <c r="J67" s="278" t="str">
        <f>IF(Table1[[#This Row],[Column5]]="","",INDEX(Table2[e],IF(Table1[[#This Row],[Column5]]="","",MATCH(Table1[[#This Row],[Column5]],Table2[a],0)),))</f>
        <v/>
      </c>
      <c r="K67" s="271">
        <v>48</v>
      </c>
      <c r="L67" s="271" t="s">
        <v>165</v>
      </c>
      <c r="M67" s="271">
        <v>2</v>
      </c>
      <c r="O67" s="278" t="str">
        <f>IF(Table1[[#This Row],[h_Item Description]]="","",INDEX([1]!db[NB PAJAK],MATCH(Table1[[#This Row],[h_Item Description]],[1]!db[kode],0)))</f>
        <v/>
      </c>
      <c r="P67" s="271" t="s">
        <v>255</v>
      </c>
      <c r="Q67" s="274">
        <v>80400</v>
      </c>
      <c r="R67" s="275">
        <v>0.125</v>
      </c>
      <c r="S67" s="275"/>
      <c r="T67" s="274">
        <f>Table1[[#This Row],[h_hargasetelahdiskon]]</f>
        <v>3376800</v>
      </c>
      <c r="V67" s="271"/>
      <c r="W67" s="278">
        <f ca="1">IF(Table1[[#This Row],[Item Description]]="","",IF(Table1[[#This Row],[//]]="",INDIRECT(ADDRESS(ROW()-1,COLUMN())),Table1[[#This Row],[//]]))</f>
        <v>56</v>
      </c>
      <c r="X67" s="278">
        <f ca="1">IF(Table1[[#This Row],[h_id]]="","",COUNTIF(Table1[h_id],Table1[[#This Row],[h_id]]))</f>
        <v>14</v>
      </c>
      <c r="Y67" s="274">
        <f>IF(Table1[Item Description]="","",Table1[[#This Row],[Qty]]*Table1[[#This Row],[Unit Price]])</f>
        <v>3859200</v>
      </c>
      <c r="Z67" s="274">
        <f>IF(Table1[[#This Row],[h_hargasebelumdiskon]]="","",IF(Table1[[#This Row],[Disc 1]]="",0,Table1[[#This Row],[h_hargasebelumdiskon]]*Table1[[#This Row],[Disc 1]]))</f>
        <v>482400</v>
      </c>
      <c r="AA67" s="274">
        <f>IF(Table1[[#This Row],[h_hargasebelumdiskon]]="","",IF(Table1[[#This Row],[Disc 2]]="",0,(Table1[[#This Row],[h_hargasebelumdiskon]]-Table1[[#This Row],[h_disc 1]])*Table1[[#This Row],[Disc 2]]))</f>
        <v>0</v>
      </c>
      <c r="AB67" s="274">
        <f>IF(Table1[Item Description]="","",Table1[[#This Row],[h_disc 1]]+Table1[[#This Row],[h_disc 2]])</f>
        <v>482400</v>
      </c>
      <c r="AC67" s="274">
        <f>IF(Table1[Item Description]="","",Table1[[#This Row],[h_hargasebelumdiskon]]-Table1[[#This Row],[h_diskon]])</f>
        <v>3376800</v>
      </c>
      <c r="AD67" s="274" t="str">
        <f ca="1">IF(Table1[//]="","",SUMIF(Table1[h_id],Table1[h_id],Table1[h_hargasetelahdiskon]))</f>
        <v/>
      </c>
      <c r="AF67" s="274" t="str">
        <f>Table1[[#This Row],[Item Description]]&amp;Table1[[#This Row],[Unit]]&amp;Table1[[#This Row],[Unit Price]]</f>
        <v>PENSIL WARNA JOYKO CP-S12 MINI (PENDEK)LS80400</v>
      </c>
      <c r="AG67" s="3"/>
      <c r="AH67" s="3"/>
      <c r="AI67" s="3"/>
    </row>
    <row r="68" spans="1:35" x14ac:dyDescent="0.25">
      <c r="A68" s="278" t="str">
        <f ca="1">IF(Table1[[#This Row],[No. Invoice :]]="","",ROW())</f>
        <v/>
      </c>
      <c r="B68" s="278" t="str">
        <f ca="1">IF(Table1[Column3]="","",B$1+COUNT(INDIRECT("B$2:B"&amp;ROW()-1)))</f>
        <v/>
      </c>
      <c r="C68" s="272" t="str">
        <f>IF(Table1[[#This Row],[Column2]]="","",Table1[[#This Row],[Column2]]+C$1-1)</f>
        <v/>
      </c>
      <c r="E68" s="273"/>
      <c r="F68" s="271"/>
      <c r="G68" s="278" t="str">
        <f ca="1">IF(Table1[[#This Row],[h_No. Invoice :]]="","",CONCATENATE("AM"," ",Table1[[#This Row],[h_No. Invoice :]]))</f>
        <v/>
      </c>
      <c r="H68" s="271" t="str">
        <f>IF(Table1[[#This Row],[Column5]]="","",INDEX(Table2[Column1],MATCH(Table1[[#This Row],[Column5]],Table2[a],0)))</f>
        <v/>
      </c>
      <c r="I68" s="279" t="str">
        <f>IF(Table1[[#This Row],[Column3]]=0,"",CONCATENATE(UPPER(Table1[[#This Row],[Column3]])," ",Table1[[#This Row],[Column4]]))</f>
        <v xml:space="preserve"> </v>
      </c>
      <c r="J68" s="278" t="str">
        <f>IF(Table1[[#This Row],[Column5]]="","",INDEX(Table2[e],IF(Table1[[#This Row],[Column5]]="","",MATCH(Table1[[#This Row],[Column5]],Table2[a],0)),))</f>
        <v/>
      </c>
      <c r="K68" s="271">
        <v>144</v>
      </c>
      <c r="L68" s="271" t="s">
        <v>284</v>
      </c>
      <c r="M68" s="271">
        <v>2</v>
      </c>
      <c r="O68" s="278" t="str">
        <f>IF(Table1[[#This Row],[h_Item Description]]="","",INDEX([1]!db[NB PAJAK],MATCH(Table1[[#This Row],[h_Item Description]],[1]!db[kode],0)))</f>
        <v/>
      </c>
      <c r="P68" s="271" t="s">
        <v>295</v>
      </c>
      <c r="Q68" s="274">
        <v>21200</v>
      </c>
      <c r="R68" s="275">
        <v>0.125</v>
      </c>
      <c r="S68" s="275"/>
      <c r="T68" s="274">
        <f>Table1[[#This Row],[h_hargasetelahdiskon]]</f>
        <v>2671200</v>
      </c>
      <c r="V68" s="271"/>
      <c r="W68" s="278">
        <f ca="1">IF(Table1[[#This Row],[Item Description]]="","",IF(Table1[[#This Row],[//]]="",INDIRECT(ADDRESS(ROW()-1,COLUMN())),Table1[[#This Row],[//]]))</f>
        <v>56</v>
      </c>
      <c r="X68" s="278">
        <f ca="1">IF(Table1[[#This Row],[h_id]]="","",COUNTIF(Table1[h_id],Table1[[#This Row],[h_id]]))</f>
        <v>14</v>
      </c>
      <c r="Y68" s="274">
        <f>IF(Table1[Item Description]="","",Table1[[#This Row],[Qty]]*Table1[[#This Row],[Unit Price]])</f>
        <v>3052800</v>
      </c>
      <c r="Z68" s="274">
        <f>IF(Table1[[#This Row],[h_hargasebelumdiskon]]="","",IF(Table1[[#This Row],[Disc 1]]="",0,Table1[[#This Row],[h_hargasebelumdiskon]]*Table1[[#This Row],[Disc 1]]))</f>
        <v>381600</v>
      </c>
      <c r="AA68" s="274">
        <f>IF(Table1[[#This Row],[h_hargasebelumdiskon]]="","",IF(Table1[[#This Row],[Disc 2]]="",0,(Table1[[#This Row],[h_hargasebelumdiskon]]-Table1[[#This Row],[h_disc 1]])*Table1[[#This Row],[Disc 2]]))</f>
        <v>0</v>
      </c>
      <c r="AB68" s="274">
        <f>IF(Table1[Item Description]="","",Table1[[#This Row],[h_disc 1]]+Table1[[#This Row],[h_disc 2]])</f>
        <v>381600</v>
      </c>
      <c r="AC68" s="274">
        <f>IF(Table1[Item Description]="","",Table1[[#This Row],[h_hargasebelumdiskon]]-Table1[[#This Row],[h_diskon]])</f>
        <v>2671200</v>
      </c>
      <c r="AD68" s="274" t="str">
        <f ca="1">IF(Table1[//]="","",SUMIF(Table1[h_id],Table1[h_id],Table1[h_hargasetelahdiskon]))</f>
        <v/>
      </c>
      <c r="AF68" s="274" t="str">
        <f>Table1[[#This Row],[Item Description]]&amp;Table1[[#This Row],[Unit]]&amp;Table1[[#This Row],[Unit Price]]</f>
        <v>PENSIL WARNA JOYKO CP-24PB (PANJANG)PC21200</v>
      </c>
      <c r="AG68" s="3"/>
      <c r="AH68" s="3"/>
      <c r="AI68" s="3"/>
    </row>
    <row r="69" spans="1:35" x14ac:dyDescent="0.25">
      <c r="A69" s="278" t="str">
        <f ca="1">IF(Table1[[#This Row],[No. Invoice :]]="","",ROW())</f>
        <v/>
      </c>
      <c r="B69" s="278" t="str">
        <f ca="1">IF(Table1[Column3]="","",B$1+COUNT(INDIRECT("B$2:B"&amp;ROW()-1)))</f>
        <v/>
      </c>
      <c r="C69" s="272" t="str">
        <f>IF(Table1[[#This Row],[Column2]]="","",Table1[[#This Row],[Column2]]+C$1-1)</f>
        <v/>
      </c>
      <c r="E69" s="273"/>
      <c r="F69" s="271"/>
      <c r="G69" s="278" t="str">
        <f ca="1">IF(Table1[[#This Row],[h_No. Invoice :]]="","",CONCATENATE("AM"," ",Table1[[#This Row],[h_No. Invoice :]]))</f>
        <v/>
      </c>
      <c r="H69" s="271" t="str">
        <f>IF(Table1[[#This Row],[Column5]]="","",INDEX(Table2[Column1],MATCH(Table1[[#This Row],[Column5]],Table2[a],0)))</f>
        <v/>
      </c>
      <c r="I69" s="279" t="str">
        <f>IF(Table1[[#This Row],[Column3]]=0,"",CONCATENATE(UPPER(Table1[[#This Row],[Column3]])," ",Table1[[#This Row],[Column4]]))</f>
        <v xml:space="preserve"> </v>
      </c>
      <c r="J69" s="278" t="str">
        <f>IF(Table1[[#This Row],[Column5]]="","",INDEX(Table2[e],IF(Table1[[#This Row],[Column5]]="","",MATCH(Table1[[#This Row],[Column5]],Table2[a],0)),))</f>
        <v/>
      </c>
      <c r="K69" s="271">
        <v>720</v>
      </c>
      <c r="L69" s="271" t="s">
        <v>284</v>
      </c>
      <c r="M69" s="271">
        <v>5</v>
      </c>
      <c r="O69" s="278" t="str">
        <f>IF(Table1[[#This Row],[h_Item Description]]="","",INDEX([1]!db[NB PAJAK],MATCH(Table1[[#This Row],[h_Item Description]],[1]!db[kode],0)))</f>
        <v/>
      </c>
      <c r="P69" s="271" t="s">
        <v>254</v>
      </c>
      <c r="Q69" s="274">
        <v>10600</v>
      </c>
      <c r="R69" s="275">
        <v>0.125</v>
      </c>
      <c r="S69" s="275"/>
      <c r="T69" s="274">
        <f>Table1[[#This Row],[h_hargasetelahdiskon]]</f>
        <v>6678000</v>
      </c>
      <c r="V69" s="271"/>
      <c r="W69" s="278">
        <f ca="1">IF(Table1[[#This Row],[Item Description]]="","",IF(Table1[[#This Row],[//]]="",INDIRECT(ADDRESS(ROW()-1,COLUMN())),Table1[[#This Row],[//]]))</f>
        <v>56</v>
      </c>
      <c r="X69" s="278">
        <f ca="1">IF(Table1[[#This Row],[h_id]]="","",COUNTIF(Table1[h_id],Table1[[#This Row],[h_id]]))</f>
        <v>14</v>
      </c>
      <c r="Y69" s="274">
        <f>IF(Table1[Item Description]="","",Table1[[#This Row],[Qty]]*Table1[[#This Row],[Unit Price]])</f>
        <v>7632000</v>
      </c>
      <c r="Z69" s="274">
        <f>IF(Table1[[#This Row],[h_hargasebelumdiskon]]="","",IF(Table1[[#This Row],[Disc 1]]="",0,Table1[[#This Row],[h_hargasebelumdiskon]]*Table1[[#This Row],[Disc 1]]))</f>
        <v>954000</v>
      </c>
      <c r="AA69" s="274">
        <f>IF(Table1[[#This Row],[h_hargasebelumdiskon]]="","",IF(Table1[[#This Row],[Disc 2]]="",0,(Table1[[#This Row],[h_hargasebelumdiskon]]-Table1[[#This Row],[h_disc 1]])*Table1[[#This Row],[Disc 2]]))</f>
        <v>0</v>
      </c>
      <c r="AB69" s="274">
        <f>IF(Table1[Item Description]="","",Table1[[#This Row],[h_disc 1]]+Table1[[#This Row],[h_disc 2]])</f>
        <v>954000</v>
      </c>
      <c r="AC69" s="274">
        <f>IF(Table1[Item Description]="","",Table1[[#This Row],[h_hargasebelumdiskon]]-Table1[[#This Row],[h_diskon]])</f>
        <v>6678000</v>
      </c>
      <c r="AD69" s="274" t="str">
        <f ca="1">IF(Table1[//]="","",SUMIF(Table1[h_id],Table1[h_id],Table1[h_hargasetelahdiskon]))</f>
        <v/>
      </c>
      <c r="AF69" s="274" t="str">
        <f>Table1[[#This Row],[Item Description]]&amp;Table1[[#This Row],[Unit]]&amp;Table1[[#This Row],[Unit Price]]</f>
        <v>PENSIL WARNA JOYKO CP-12PB (PANJANG)PC10600</v>
      </c>
      <c r="AG69" s="3"/>
      <c r="AH69" s="3"/>
      <c r="AI69" s="3"/>
    </row>
    <row r="70" spans="1:35" x14ac:dyDescent="0.25">
      <c r="A70" s="278" t="str">
        <f ca="1">IF(Table1[[#This Row],[No. Invoice :]]="","",ROW())</f>
        <v/>
      </c>
      <c r="B70" s="278" t="str">
        <f ca="1">IF(Table1[Column3]="","",B$1+COUNT(INDIRECT("B$2:B"&amp;ROW()-1)))</f>
        <v/>
      </c>
      <c r="C70" s="272" t="str">
        <f>IF(Table1[[#This Row],[Column2]]="","",Table1[[#This Row],[Column2]]+C$1-1)</f>
        <v/>
      </c>
      <c r="E70" s="273"/>
      <c r="F70" s="271"/>
      <c r="G70" s="278" t="str">
        <f ca="1">IF(Table1[[#This Row],[h_No. Invoice :]]="","",CONCATENATE("AM"," ",Table1[[#This Row],[h_No. Invoice :]]))</f>
        <v/>
      </c>
      <c r="H70" s="271" t="str">
        <f>IF(Table1[[#This Row],[Column5]]="","",INDEX(Table2[Column1],MATCH(Table1[[#This Row],[Column5]],Table2[a],0)))</f>
        <v/>
      </c>
      <c r="I70" s="279" t="str">
        <f>IF(Table1[[#This Row],[Column3]]=0,"",CONCATENATE(UPPER(Table1[[#This Row],[Column3]])," ",Table1[[#This Row],[Column4]]))</f>
        <v xml:space="preserve"> </v>
      </c>
      <c r="J70" s="278" t="str">
        <f>IF(Table1[[#This Row],[Column5]]="","",INDEX(Table2[e],IF(Table1[[#This Row],[Column5]]="","",MATCH(Table1[[#This Row],[Column5]],Table2[a],0)),))</f>
        <v/>
      </c>
      <c r="K70" s="271"/>
      <c r="L70" s="271"/>
      <c r="O70" s="278" t="str">
        <f>IF(Table1[[#This Row],[h_Item Description]]="","",INDEX([1]!db[NB PAJAK],MATCH(Table1[[#This Row],[h_Item Description]],[1]!db[kode],0)))</f>
        <v/>
      </c>
      <c r="Q70" s="274"/>
      <c r="R70" s="275"/>
      <c r="S70" s="275"/>
      <c r="T70" s="274" t="str">
        <f>Table1[[#This Row],[h_hargasetelahdiskon]]</f>
        <v/>
      </c>
      <c r="V70" s="271"/>
      <c r="W70" s="278" t="str">
        <f ca="1">IF(Table1[[#This Row],[Item Description]]="","",IF(Table1[[#This Row],[//]]="",INDIRECT(ADDRESS(ROW()-1,COLUMN())),Table1[[#This Row],[//]]))</f>
        <v/>
      </c>
      <c r="X70" s="278" t="str">
        <f ca="1">IF(Table1[[#This Row],[h_id]]="","",COUNTIF(Table1[h_id],Table1[[#This Row],[h_id]]))</f>
        <v/>
      </c>
      <c r="Y70" s="274" t="str">
        <f>IF(Table1[Item Description]="","",Table1[[#This Row],[Qty]]*Table1[[#This Row],[Unit Price]])</f>
        <v/>
      </c>
      <c r="Z70" s="274" t="str">
        <f>IF(Table1[[#This Row],[h_hargasebelumdiskon]]="","",IF(Table1[[#This Row],[Disc 1]]="",0,Table1[[#This Row],[h_hargasebelumdiskon]]*Table1[[#This Row],[Disc 1]]))</f>
        <v/>
      </c>
      <c r="AA70" s="274" t="str">
        <f>IF(Table1[[#This Row],[h_hargasebelumdiskon]]="","",IF(Table1[[#This Row],[Disc 2]]="",0,(Table1[[#This Row],[h_hargasebelumdiskon]]-Table1[[#This Row],[h_disc 1]])*Table1[[#This Row],[Disc 2]]))</f>
        <v/>
      </c>
      <c r="AB70" s="274" t="str">
        <f>IF(Table1[Item Description]="","",Table1[[#This Row],[h_disc 1]]+Table1[[#This Row],[h_disc 2]])</f>
        <v/>
      </c>
      <c r="AC70" s="274" t="str">
        <f>IF(Table1[Item Description]="","",Table1[[#This Row],[h_hargasebelumdiskon]]-Table1[[#This Row],[h_diskon]])</f>
        <v/>
      </c>
      <c r="AD70" s="274" t="str">
        <f ca="1">IF(Table1[//]="","",SUMIF(Table1[h_id],Table1[h_id],Table1[h_hargasetelahdiskon]))</f>
        <v/>
      </c>
      <c r="AF70" s="274" t="str">
        <f>Table1[[#This Row],[Item Description]]&amp;Table1[[#This Row],[Unit]]&amp;Table1[[#This Row],[Unit Price]]</f>
        <v/>
      </c>
      <c r="AG70" s="3"/>
      <c r="AH70" s="3"/>
      <c r="AI70" s="3"/>
    </row>
    <row r="71" spans="1:35" x14ac:dyDescent="0.25">
      <c r="A71" s="278">
        <f ca="1">IF(Table1[[#This Row],[No. Invoice :]]="","",ROW())</f>
        <v>71</v>
      </c>
      <c r="B71" s="278">
        <f ca="1">IF(Table1[Column3]="","",B$1+COUNT(INDIRECT("B$2:B"&amp;ROW()-1)))</f>
        <v>24020015</v>
      </c>
      <c r="C71" s="272">
        <f>IF(Table1[[#This Row],[Column2]]="","",Table1[[#This Row],[Column2]]+C$1-1)</f>
        <v>45342</v>
      </c>
      <c r="D71" s="281">
        <v>20</v>
      </c>
      <c r="E71" s="273" t="s">
        <v>296</v>
      </c>
      <c r="F71" s="271" t="s">
        <v>145</v>
      </c>
      <c r="G71" s="278" t="str">
        <f ca="1">IF(Table1[[#This Row],[h_No. Invoice :]]="","",CONCATENATE("AM"," ",Table1[[#This Row],[h_No. Invoice :]]))</f>
        <v>AM 24020015</v>
      </c>
      <c r="H71" s="271" t="str">
        <f>IF(Table1[[#This Row],[Column5]]="","",INDEX(Table2[Column1],MATCH(Table1[[#This Row],[Column5]],Table2[a],0)))</f>
        <v>G</v>
      </c>
      <c r="I71" s="279" t="str">
        <f>IF(Table1[[#This Row],[Column3]]=0,"",CONCATENATE(UPPER(Table1[[#This Row],[Column3]])," ",Table1[[#This Row],[Column4]]))</f>
        <v>G 2711</v>
      </c>
      <c r="J71" s="278" t="str">
        <f>IF(Table1[[#This Row],[Column5]]="","",INDEX(Table2[e],IF(Table1[[#This Row],[Column5]]="","",MATCH(Table1[[#This Row],[Column5]],Table2[a],0)),))</f>
        <v>LILY JULIAWATI (REJO AGUNG) JOMBANG</v>
      </c>
      <c r="K71" s="271">
        <v>300</v>
      </c>
      <c r="L71" s="271" t="s">
        <v>165</v>
      </c>
      <c r="M71" s="271">
        <v>5</v>
      </c>
      <c r="O71" s="278" t="str">
        <f>IF(Table1[[#This Row],[h_Item Description]]="","",INDEX([1]!db[NB PAJAK],MATCH(Table1[[#This Row],[h_Item Description]],[1]!db[kode],0)))</f>
        <v/>
      </c>
      <c r="P71" s="271" t="s">
        <v>297</v>
      </c>
      <c r="Q71" s="274">
        <v>51600</v>
      </c>
      <c r="R71" s="275">
        <v>0.125</v>
      </c>
      <c r="S71" s="275"/>
      <c r="T71" s="274">
        <f>Table1[[#This Row],[h_hargasetelahdiskon]]</f>
        <v>13545000</v>
      </c>
      <c r="U71" s="274" t="s">
        <v>166</v>
      </c>
      <c r="V71" s="271"/>
      <c r="W71" s="278">
        <f ca="1">IF(Table1[[#This Row],[Item Description]]="","",IF(Table1[[#This Row],[//]]="",INDIRECT(ADDRESS(ROW()-1,COLUMN())),Table1[[#This Row],[//]]))</f>
        <v>71</v>
      </c>
      <c r="X71" s="278">
        <f ca="1">IF(Table1[[#This Row],[h_id]]="","",COUNTIF(Table1[h_id],Table1[[#This Row],[h_id]]))</f>
        <v>9</v>
      </c>
      <c r="Y71" s="274">
        <f>IF(Table1[Item Description]="","",Table1[[#This Row],[Qty]]*Table1[[#This Row],[Unit Price]])</f>
        <v>15480000</v>
      </c>
      <c r="Z71" s="274">
        <f>IF(Table1[[#This Row],[h_hargasebelumdiskon]]="","",IF(Table1[[#This Row],[Disc 1]]="",0,Table1[[#This Row],[h_hargasebelumdiskon]]*Table1[[#This Row],[Disc 1]]))</f>
        <v>1935000</v>
      </c>
      <c r="AA71" s="274">
        <f>IF(Table1[[#This Row],[h_hargasebelumdiskon]]="","",IF(Table1[[#This Row],[Disc 2]]="",0,(Table1[[#This Row],[h_hargasebelumdiskon]]-Table1[[#This Row],[h_disc 1]])*Table1[[#This Row],[Disc 2]]))</f>
        <v>0</v>
      </c>
      <c r="AB71" s="274">
        <f>IF(Table1[Item Description]="","",Table1[[#This Row],[h_disc 1]]+Table1[[#This Row],[h_disc 2]])</f>
        <v>1935000</v>
      </c>
      <c r="AC71" s="274">
        <f>IF(Table1[Item Description]="","",Table1[[#This Row],[h_hargasebelumdiskon]]-Table1[[#This Row],[h_diskon]])</f>
        <v>13545000</v>
      </c>
      <c r="AD71" s="274">
        <f ca="1">IF(Table1[//]="","",SUMIF(Table1[h_id],Table1[h_id],Table1[h_hargasetelahdiskon]))</f>
        <v>22109850</v>
      </c>
      <c r="AF71" s="274" t="str">
        <f>Table1[[#This Row],[Item Description]]&amp;Table1[[#This Row],[Unit]]&amp;Table1[[#This Row],[Unit Price]]</f>
        <v>CORRECTION TAPE JOYKO CT-522LS51600</v>
      </c>
      <c r="AG71" s="3"/>
      <c r="AH71" s="3"/>
      <c r="AI71" s="3"/>
    </row>
    <row r="72" spans="1:35" x14ac:dyDescent="0.25">
      <c r="A72" s="278" t="str">
        <f ca="1">IF(Table1[[#This Row],[No. Invoice :]]="","",ROW())</f>
        <v/>
      </c>
      <c r="B72" s="278" t="str">
        <f ca="1">IF(Table1[Column3]="","",B$1+COUNT(INDIRECT("B$2:B"&amp;ROW()-1)))</f>
        <v/>
      </c>
      <c r="C72" s="272" t="str">
        <f>IF(Table1[[#This Row],[Column2]]="","",Table1[[#This Row],[Column2]]+C$1-1)</f>
        <v/>
      </c>
      <c r="E72" s="273"/>
      <c r="F72" s="271"/>
      <c r="G72" s="278" t="str">
        <f ca="1">IF(Table1[[#This Row],[h_No. Invoice :]]="","",CONCATENATE("AM"," ",Table1[[#This Row],[h_No. Invoice :]]))</f>
        <v/>
      </c>
      <c r="H72" s="271" t="str">
        <f>IF(Table1[[#This Row],[Column5]]="","",INDEX(Table2[Column1],MATCH(Table1[[#This Row],[Column5]],Table2[a],0)))</f>
        <v/>
      </c>
      <c r="I72" s="279" t="str">
        <f>IF(Table1[[#This Row],[Column3]]=0,"",CONCATENATE(UPPER(Table1[[#This Row],[Column3]])," ",Table1[[#This Row],[Column4]]))</f>
        <v xml:space="preserve"> </v>
      </c>
      <c r="J72" s="278" t="str">
        <f>IF(Table1[[#This Row],[Column5]]="","",INDEX(Table2[e],IF(Table1[[#This Row],[Column5]]="","",MATCH(Table1[[#This Row],[Column5]],Table2[a],0)),))</f>
        <v/>
      </c>
      <c r="K72" s="271">
        <v>216</v>
      </c>
      <c r="L72" s="271" t="s">
        <v>284</v>
      </c>
      <c r="M72" s="271">
        <v>1</v>
      </c>
      <c r="O72" s="278" t="str">
        <f>IF(Table1[[#This Row],[h_Item Description]]="","",INDEX([1]!db[NB PAJAK],MATCH(Table1[[#This Row],[h_Item Description]],[1]!db[kode],0)))</f>
        <v/>
      </c>
      <c r="P72" s="271" t="s">
        <v>298</v>
      </c>
      <c r="Q72" s="274">
        <v>5800</v>
      </c>
      <c r="R72" s="275">
        <v>0.125</v>
      </c>
      <c r="S72" s="275"/>
      <c r="T72" s="274">
        <f>Table1[[#This Row],[h_hargasetelahdiskon]]</f>
        <v>1096200</v>
      </c>
      <c r="V72" s="271"/>
      <c r="W72" s="278">
        <f ca="1">IF(Table1[[#This Row],[Item Description]]="","",IF(Table1[[#This Row],[//]]="",INDIRECT(ADDRESS(ROW()-1,COLUMN())),Table1[[#This Row],[//]]))</f>
        <v>71</v>
      </c>
      <c r="X72" s="278">
        <f ca="1">IF(Table1[[#This Row],[h_id]]="","",COUNTIF(Table1[h_id],Table1[[#This Row],[h_id]]))</f>
        <v>9</v>
      </c>
      <c r="Y72" s="274">
        <f>IF(Table1[Item Description]="","",Table1[[#This Row],[Qty]]*Table1[[#This Row],[Unit Price]])</f>
        <v>1252800</v>
      </c>
      <c r="Z72" s="274">
        <f>IF(Table1[[#This Row],[h_hargasebelumdiskon]]="","",IF(Table1[[#This Row],[Disc 1]]="",0,Table1[[#This Row],[h_hargasebelumdiskon]]*Table1[[#This Row],[Disc 1]]))</f>
        <v>156600</v>
      </c>
      <c r="AA72" s="274">
        <f>IF(Table1[[#This Row],[h_hargasebelumdiskon]]="","",IF(Table1[[#This Row],[Disc 2]]="",0,(Table1[[#This Row],[h_hargasebelumdiskon]]-Table1[[#This Row],[h_disc 1]])*Table1[[#This Row],[Disc 2]]))</f>
        <v>0</v>
      </c>
      <c r="AB72" s="274">
        <f>IF(Table1[Item Description]="","",Table1[[#This Row],[h_disc 1]]+Table1[[#This Row],[h_disc 2]])</f>
        <v>156600</v>
      </c>
      <c r="AC72" s="274">
        <f>IF(Table1[Item Description]="","",Table1[[#This Row],[h_hargasebelumdiskon]]-Table1[[#This Row],[h_diskon]])</f>
        <v>1096200</v>
      </c>
      <c r="AD72" s="274" t="str">
        <f ca="1">IF(Table1[//]="","",SUMIF(Table1[h_id],Table1[h_id],Table1[h_hargasetelahdiskon]))</f>
        <v/>
      </c>
      <c r="AF72" s="274" t="str">
        <f>Table1[[#This Row],[Item Description]]&amp;Table1[[#This Row],[Unit]]&amp;Table1[[#This Row],[Unit Price]]</f>
        <v>STAMP PAD JOYKO NO. 1PC5800</v>
      </c>
      <c r="AG72" s="3"/>
      <c r="AH72" s="3"/>
      <c r="AI72" s="3"/>
    </row>
    <row r="73" spans="1:35" x14ac:dyDescent="0.25">
      <c r="A73" s="278" t="str">
        <f ca="1">IF(Table1[[#This Row],[No. Invoice :]]="","",ROW())</f>
        <v/>
      </c>
      <c r="B73" s="278" t="str">
        <f ca="1">IF(Table1[Column3]="","",B$1+COUNT(INDIRECT("B$2:B"&amp;ROW()-1)))</f>
        <v/>
      </c>
      <c r="C73" s="272" t="str">
        <f>IF(Table1[[#This Row],[Column2]]="","",Table1[[#This Row],[Column2]]+C$1-1)</f>
        <v/>
      </c>
      <c r="E73" s="273"/>
      <c r="F73" s="271"/>
      <c r="G73" s="278" t="str">
        <f ca="1">IF(Table1[[#This Row],[h_No. Invoice :]]="","",CONCATENATE("AM"," ",Table1[[#This Row],[h_No. Invoice :]]))</f>
        <v/>
      </c>
      <c r="H73" s="271" t="str">
        <f>IF(Table1[[#This Row],[Column5]]="","",INDEX(Table2[Column1],MATCH(Table1[[#This Row],[Column5]],Table2[a],0)))</f>
        <v/>
      </c>
      <c r="I73" s="279" t="str">
        <f>IF(Table1[[#This Row],[Column3]]=0,"",CONCATENATE(UPPER(Table1[[#This Row],[Column3]])," ",Table1[[#This Row],[Column4]]))</f>
        <v xml:space="preserve"> </v>
      </c>
      <c r="J73" s="278" t="str">
        <f>IF(Table1[[#This Row],[Column5]]="","",INDEX(Table2[e],IF(Table1[[#This Row],[Column5]]="","",MATCH(Table1[[#This Row],[Column5]],Table2[a],0)),))</f>
        <v/>
      </c>
      <c r="K73" s="271">
        <v>72</v>
      </c>
      <c r="L73" s="271" t="s">
        <v>284</v>
      </c>
      <c r="M73" s="271">
        <v>1</v>
      </c>
      <c r="O73" s="278" t="str">
        <f>IF(Table1[[#This Row],[h_Item Description]]="","",INDEX([1]!db[NB PAJAK],MATCH(Table1[[#This Row],[h_Item Description]],[1]!db[kode],0)))</f>
        <v/>
      </c>
      <c r="P73" s="271" t="s">
        <v>299</v>
      </c>
      <c r="Q73" s="274">
        <v>15800</v>
      </c>
      <c r="R73" s="275">
        <v>0.125</v>
      </c>
      <c r="S73" s="275"/>
      <c r="T73" s="274">
        <f>Table1[[#This Row],[h_hargasetelahdiskon]]</f>
        <v>995400</v>
      </c>
      <c r="V73" s="271"/>
      <c r="W73" s="278">
        <f ca="1">IF(Table1[[#This Row],[Item Description]]="","",IF(Table1[[#This Row],[//]]="",INDIRECT(ADDRESS(ROW()-1,COLUMN())),Table1[[#This Row],[//]]))</f>
        <v>71</v>
      </c>
      <c r="X73" s="278">
        <f ca="1">IF(Table1[[#This Row],[h_id]]="","",COUNTIF(Table1[h_id],Table1[[#This Row],[h_id]]))</f>
        <v>9</v>
      </c>
      <c r="Y73" s="274">
        <f>IF(Table1[Item Description]="","",Table1[[#This Row],[Qty]]*Table1[[#This Row],[Unit Price]])</f>
        <v>1137600</v>
      </c>
      <c r="Z73" s="274">
        <f>IF(Table1[[#This Row],[h_hargasebelumdiskon]]="","",IF(Table1[[#This Row],[Disc 1]]="",0,Table1[[#This Row],[h_hargasebelumdiskon]]*Table1[[#This Row],[Disc 1]]))</f>
        <v>142200</v>
      </c>
      <c r="AA73" s="274">
        <f>IF(Table1[[#This Row],[h_hargasebelumdiskon]]="","",IF(Table1[[#This Row],[Disc 2]]="",0,(Table1[[#This Row],[h_hargasebelumdiskon]]-Table1[[#This Row],[h_disc 1]])*Table1[[#This Row],[Disc 2]]))</f>
        <v>0</v>
      </c>
      <c r="AB73" s="274">
        <f>IF(Table1[Item Description]="","",Table1[[#This Row],[h_disc 1]]+Table1[[#This Row],[h_disc 2]])</f>
        <v>142200</v>
      </c>
      <c r="AC73" s="274">
        <f>IF(Table1[Item Description]="","",Table1[[#This Row],[h_hargasebelumdiskon]]-Table1[[#This Row],[h_diskon]])</f>
        <v>995400</v>
      </c>
      <c r="AD73" s="274" t="str">
        <f ca="1">IF(Table1[//]="","",SUMIF(Table1[h_id],Table1[h_id],Table1[h_hargasetelahdiskon]))</f>
        <v/>
      </c>
      <c r="AF73" s="274" t="str">
        <f>Table1[[#This Row],[Item Description]]&amp;Table1[[#This Row],[Unit]]&amp;Table1[[#This Row],[Unit Price]]</f>
        <v>BINDER NOTE JOYKO A5 TSUN-M473PC15800</v>
      </c>
      <c r="AG73" s="3"/>
      <c r="AH73" s="3"/>
      <c r="AI73" s="3"/>
    </row>
    <row r="74" spans="1:35" x14ac:dyDescent="0.25">
      <c r="A74" s="278" t="str">
        <f ca="1">IF(Table1[[#This Row],[No. Invoice :]]="","",ROW())</f>
        <v/>
      </c>
      <c r="B74" s="278" t="str">
        <f ca="1">IF(Table1[Column3]="","",B$1+COUNT(INDIRECT("B$2:B"&amp;ROW()-1)))</f>
        <v/>
      </c>
      <c r="C74" s="272" t="str">
        <f>IF(Table1[[#This Row],[Column2]]="","",Table1[[#This Row],[Column2]]+C$1-1)</f>
        <v/>
      </c>
      <c r="E74" s="273"/>
      <c r="F74" s="271"/>
      <c r="G74" s="278" t="str">
        <f ca="1">IF(Table1[[#This Row],[h_No. Invoice :]]="","",CONCATENATE("AM"," ",Table1[[#This Row],[h_No. Invoice :]]))</f>
        <v/>
      </c>
      <c r="H74" s="271" t="str">
        <f>IF(Table1[[#This Row],[Column5]]="","",INDEX(Table2[Column1],MATCH(Table1[[#This Row],[Column5]],Table2[a],0)))</f>
        <v/>
      </c>
      <c r="I74" s="279" t="str">
        <f>IF(Table1[[#This Row],[Column3]]=0,"",CONCATENATE(UPPER(Table1[[#This Row],[Column3]])," ",Table1[[#This Row],[Column4]]))</f>
        <v xml:space="preserve"> </v>
      </c>
      <c r="J74" s="278" t="str">
        <f>IF(Table1[[#This Row],[Column5]]="","",INDEX(Table2[e],IF(Table1[[#This Row],[Column5]]="","",MATCH(Table1[[#This Row],[Column5]],Table2[a],0)),))</f>
        <v/>
      </c>
      <c r="K74" s="271">
        <v>72</v>
      </c>
      <c r="L74" s="271" t="s">
        <v>284</v>
      </c>
      <c r="M74" s="271">
        <v>1</v>
      </c>
      <c r="O74" s="278" t="str">
        <f>IF(Table1[[#This Row],[h_Item Description]]="","",INDEX([1]!db[NB PAJAK],MATCH(Table1[[#This Row],[h_Item Description]],[1]!db[kode],0)))</f>
        <v/>
      </c>
      <c r="P74" s="271" t="s">
        <v>300</v>
      </c>
      <c r="Q74" s="274">
        <v>15800</v>
      </c>
      <c r="R74" s="275">
        <v>0.125</v>
      </c>
      <c r="S74" s="275"/>
      <c r="T74" s="274">
        <f>Table1[[#This Row],[h_hargasetelahdiskon]]</f>
        <v>995400</v>
      </c>
      <c r="V74" s="271"/>
      <c r="W74" s="278">
        <f ca="1">IF(Table1[[#This Row],[Item Description]]="","",IF(Table1[[#This Row],[//]]="",INDIRECT(ADDRESS(ROW()-1,COLUMN())),Table1[[#This Row],[//]]))</f>
        <v>71</v>
      </c>
      <c r="X74" s="278">
        <f ca="1">IF(Table1[[#This Row],[h_id]]="","",COUNTIF(Table1[h_id],Table1[[#This Row],[h_id]]))</f>
        <v>9</v>
      </c>
      <c r="Y74" s="274">
        <f>IF(Table1[Item Description]="","",Table1[[#This Row],[Qty]]*Table1[[#This Row],[Unit Price]])</f>
        <v>1137600</v>
      </c>
      <c r="Z74" s="274">
        <f>IF(Table1[[#This Row],[h_hargasebelumdiskon]]="","",IF(Table1[[#This Row],[Disc 1]]="",0,Table1[[#This Row],[h_hargasebelumdiskon]]*Table1[[#This Row],[Disc 1]]))</f>
        <v>142200</v>
      </c>
      <c r="AA74" s="274">
        <f>IF(Table1[[#This Row],[h_hargasebelumdiskon]]="","",IF(Table1[[#This Row],[Disc 2]]="",0,(Table1[[#This Row],[h_hargasebelumdiskon]]-Table1[[#This Row],[h_disc 1]])*Table1[[#This Row],[Disc 2]]))</f>
        <v>0</v>
      </c>
      <c r="AB74" s="274">
        <f>IF(Table1[Item Description]="","",Table1[[#This Row],[h_disc 1]]+Table1[[#This Row],[h_disc 2]])</f>
        <v>142200</v>
      </c>
      <c r="AC74" s="274">
        <f>IF(Table1[Item Description]="","",Table1[[#This Row],[h_hargasebelumdiskon]]-Table1[[#This Row],[h_diskon]])</f>
        <v>995400</v>
      </c>
      <c r="AD74" s="274" t="str">
        <f ca="1">IF(Table1[//]="","",SUMIF(Table1[h_id],Table1[h_id],Table1[h_hargasetelahdiskon]))</f>
        <v/>
      </c>
      <c r="AF74" s="274" t="str">
        <f>Table1[[#This Row],[Item Description]]&amp;Table1[[#This Row],[Unit]]&amp;Table1[[#This Row],[Unit Price]]</f>
        <v>BINDER NOTE JOYKO A5 TSFS-514PC15800</v>
      </c>
      <c r="AG74" s="3"/>
      <c r="AH74" s="3"/>
      <c r="AI74" s="3"/>
    </row>
    <row r="75" spans="1:35" x14ac:dyDescent="0.25">
      <c r="A75" s="278" t="str">
        <f ca="1">IF(Table1[[#This Row],[No. Invoice :]]="","",ROW())</f>
        <v/>
      </c>
      <c r="B75" s="278" t="str">
        <f ca="1">IF(Table1[Column3]="","",B$1+COUNT(INDIRECT("B$2:B"&amp;ROW()-1)))</f>
        <v/>
      </c>
      <c r="C75" s="272" t="str">
        <f>IF(Table1[[#This Row],[Column2]]="","",Table1[[#This Row],[Column2]]+C$1-1)</f>
        <v/>
      </c>
      <c r="E75" s="273"/>
      <c r="F75" s="271"/>
      <c r="G75" s="278" t="str">
        <f ca="1">IF(Table1[[#This Row],[h_No. Invoice :]]="","",CONCATENATE("AM"," ",Table1[[#This Row],[h_No. Invoice :]]))</f>
        <v/>
      </c>
      <c r="H75" s="271" t="str">
        <f>IF(Table1[[#This Row],[Column5]]="","",INDEX(Table2[Column1],MATCH(Table1[[#This Row],[Column5]],Table2[a],0)))</f>
        <v/>
      </c>
      <c r="I75" s="279" t="str">
        <f>IF(Table1[[#This Row],[Column3]]=0,"",CONCATENATE(UPPER(Table1[[#This Row],[Column3]])," ",Table1[[#This Row],[Column4]]))</f>
        <v xml:space="preserve"> </v>
      </c>
      <c r="J75" s="278" t="str">
        <f>IF(Table1[[#This Row],[Column5]]="","",INDEX(Table2[e],IF(Table1[[#This Row],[Column5]]="","",MATCH(Table1[[#This Row],[Column5]],Table2[a],0)),))</f>
        <v/>
      </c>
      <c r="K75" s="271">
        <v>72</v>
      </c>
      <c r="L75" s="271" t="s">
        <v>284</v>
      </c>
      <c r="M75" s="271">
        <v>1</v>
      </c>
      <c r="O75" s="278" t="str">
        <f>IF(Table1[[#This Row],[h_Item Description]]="","",INDEX([1]!db[NB PAJAK],MATCH(Table1[[#This Row],[h_Item Description]],[1]!db[kode],0)))</f>
        <v/>
      </c>
      <c r="P75" s="271" t="s">
        <v>301</v>
      </c>
      <c r="Q75" s="274">
        <v>15800</v>
      </c>
      <c r="R75" s="275">
        <v>0.125</v>
      </c>
      <c r="S75" s="275"/>
      <c r="T75" s="274">
        <f>Table1[[#This Row],[h_hargasetelahdiskon]]</f>
        <v>995400</v>
      </c>
      <c r="V75" s="271"/>
      <c r="W75" s="278">
        <f ca="1">IF(Table1[[#This Row],[Item Description]]="","",IF(Table1[[#This Row],[//]]="",INDIRECT(ADDRESS(ROW()-1,COLUMN())),Table1[[#This Row],[//]]))</f>
        <v>71</v>
      </c>
      <c r="X75" s="278">
        <f ca="1">IF(Table1[[#This Row],[h_id]]="","",COUNTIF(Table1[h_id],Table1[[#This Row],[h_id]]))</f>
        <v>9</v>
      </c>
      <c r="Y75" s="274">
        <f>IF(Table1[Item Description]="","",Table1[[#This Row],[Qty]]*Table1[[#This Row],[Unit Price]])</f>
        <v>1137600</v>
      </c>
      <c r="Z75" s="274">
        <f>IF(Table1[[#This Row],[h_hargasebelumdiskon]]="","",IF(Table1[[#This Row],[Disc 1]]="",0,Table1[[#This Row],[h_hargasebelumdiskon]]*Table1[[#This Row],[Disc 1]]))</f>
        <v>142200</v>
      </c>
      <c r="AA75" s="274">
        <f>IF(Table1[[#This Row],[h_hargasebelumdiskon]]="","",IF(Table1[[#This Row],[Disc 2]]="",0,(Table1[[#This Row],[h_hargasebelumdiskon]]-Table1[[#This Row],[h_disc 1]])*Table1[[#This Row],[Disc 2]]))</f>
        <v>0</v>
      </c>
      <c r="AB75" s="274">
        <f>IF(Table1[Item Description]="","",Table1[[#This Row],[h_disc 1]]+Table1[[#This Row],[h_disc 2]])</f>
        <v>142200</v>
      </c>
      <c r="AC75" s="274">
        <f>IF(Table1[Item Description]="","",Table1[[#This Row],[h_hargasebelumdiskon]]-Table1[[#This Row],[h_diskon]])</f>
        <v>995400</v>
      </c>
      <c r="AD75" s="274" t="str">
        <f ca="1">IF(Table1[//]="","",SUMIF(Table1[h_id],Table1[h_id],Table1[h_hargasetelahdiskon]))</f>
        <v/>
      </c>
      <c r="AF75" s="274" t="str">
        <f>Table1[[#This Row],[Item Description]]&amp;Table1[[#This Row],[Unit]]&amp;Table1[[#This Row],[Unit Price]]</f>
        <v>BINDER NOTE JOYKO A5 TSTP-513PC15800</v>
      </c>
      <c r="AG75" s="3"/>
      <c r="AH75" s="3"/>
      <c r="AI75" s="3"/>
    </row>
    <row r="76" spans="1:35" x14ac:dyDescent="0.25">
      <c r="A76" s="278" t="str">
        <f ca="1">IF(Table1[[#This Row],[No. Invoice :]]="","",ROW())</f>
        <v/>
      </c>
      <c r="B76" s="278" t="str">
        <f ca="1">IF(Table1[Column3]="","",B$1+COUNT(INDIRECT("B$2:B"&amp;ROW()-1)))</f>
        <v/>
      </c>
      <c r="C76" s="272" t="str">
        <f>IF(Table1[[#This Row],[Column2]]="","",Table1[[#This Row],[Column2]]+C$1-1)</f>
        <v/>
      </c>
      <c r="E76" s="273"/>
      <c r="F76" s="271"/>
      <c r="G76" s="278" t="str">
        <f ca="1">IF(Table1[[#This Row],[h_No. Invoice :]]="","",CONCATENATE("AM"," ",Table1[[#This Row],[h_No. Invoice :]]))</f>
        <v/>
      </c>
      <c r="H76" s="271" t="str">
        <f>IF(Table1[[#This Row],[Column5]]="","",INDEX(Table2[Column1],MATCH(Table1[[#This Row],[Column5]],Table2[a],0)))</f>
        <v/>
      </c>
      <c r="I76" s="279" t="str">
        <f>IF(Table1[[#This Row],[Column3]]=0,"",CONCATENATE(UPPER(Table1[[#This Row],[Column3]])," ",Table1[[#This Row],[Column4]]))</f>
        <v xml:space="preserve"> </v>
      </c>
      <c r="J76" s="278" t="str">
        <f>IF(Table1[[#This Row],[Column5]]="","",INDEX(Table2[e],IF(Table1[[#This Row],[Column5]]="","",MATCH(Table1[[#This Row],[Column5]],Table2[a],0)),))</f>
        <v/>
      </c>
      <c r="K76" s="271">
        <v>72</v>
      </c>
      <c r="L76" s="271" t="s">
        <v>284</v>
      </c>
      <c r="M76" s="271">
        <v>1</v>
      </c>
      <c r="O76" s="278" t="str">
        <f>IF(Table1[[#This Row],[h_Item Description]]="","",INDEX([1]!db[NB PAJAK],MATCH(Table1[[#This Row],[h_Item Description]],[1]!db[kode],0)))</f>
        <v/>
      </c>
      <c r="P76" s="271" t="s">
        <v>302</v>
      </c>
      <c r="Q76" s="274">
        <v>15800</v>
      </c>
      <c r="R76" s="275">
        <v>0.125</v>
      </c>
      <c r="S76" s="275"/>
      <c r="T76" s="274">
        <f>Table1[[#This Row],[h_hargasetelahdiskon]]</f>
        <v>995400</v>
      </c>
      <c r="V76" s="271"/>
      <c r="W76" s="278">
        <f ca="1">IF(Table1[[#This Row],[Item Description]]="","",IF(Table1[[#This Row],[//]]="",INDIRECT(ADDRESS(ROW()-1,COLUMN())),Table1[[#This Row],[//]]))</f>
        <v>71</v>
      </c>
      <c r="X76" s="278">
        <f ca="1">IF(Table1[[#This Row],[h_id]]="","",COUNTIF(Table1[h_id],Table1[[#This Row],[h_id]]))</f>
        <v>9</v>
      </c>
      <c r="Y76" s="274">
        <f>IF(Table1[Item Description]="","",Table1[[#This Row],[Qty]]*Table1[[#This Row],[Unit Price]])</f>
        <v>1137600</v>
      </c>
      <c r="Z76" s="274">
        <f>IF(Table1[[#This Row],[h_hargasebelumdiskon]]="","",IF(Table1[[#This Row],[Disc 1]]="",0,Table1[[#This Row],[h_hargasebelumdiskon]]*Table1[[#This Row],[Disc 1]]))</f>
        <v>142200</v>
      </c>
      <c r="AA76" s="274">
        <f>IF(Table1[[#This Row],[h_hargasebelumdiskon]]="","",IF(Table1[[#This Row],[Disc 2]]="",0,(Table1[[#This Row],[h_hargasebelumdiskon]]-Table1[[#This Row],[h_disc 1]])*Table1[[#This Row],[Disc 2]]))</f>
        <v>0</v>
      </c>
      <c r="AB76" s="274">
        <f>IF(Table1[Item Description]="","",Table1[[#This Row],[h_disc 1]]+Table1[[#This Row],[h_disc 2]])</f>
        <v>142200</v>
      </c>
      <c r="AC76" s="274">
        <f>IF(Table1[Item Description]="","",Table1[[#This Row],[h_hargasebelumdiskon]]-Table1[[#This Row],[h_diskon]])</f>
        <v>995400</v>
      </c>
      <c r="AD76" s="274" t="str">
        <f ca="1">IF(Table1[//]="","",SUMIF(Table1[h_id],Table1[h_id],Table1[h_hargasetelahdiskon]))</f>
        <v/>
      </c>
      <c r="AF76" s="274" t="str">
        <f>Table1[[#This Row],[Item Description]]&amp;Table1[[#This Row],[Unit]]&amp;Table1[[#This Row],[Unit Price]]</f>
        <v>BINDER NOTE JOYKO A5 TSED-M503PC15800</v>
      </c>
      <c r="AG76" s="3"/>
      <c r="AH76" s="3"/>
      <c r="AI76" s="3"/>
    </row>
    <row r="77" spans="1:35" x14ac:dyDescent="0.25">
      <c r="A77" s="278" t="str">
        <f ca="1">IF(Table1[[#This Row],[No. Invoice :]]="","",ROW())</f>
        <v/>
      </c>
      <c r="B77" s="278" t="str">
        <f ca="1">IF(Table1[Column3]="","",B$1+COUNT(INDIRECT("B$2:B"&amp;ROW()-1)))</f>
        <v/>
      </c>
      <c r="C77" s="272" t="str">
        <f>IF(Table1[[#This Row],[Column2]]="","",Table1[[#This Row],[Column2]]+C$1-1)</f>
        <v/>
      </c>
      <c r="E77" s="273"/>
      <c r="F77" s="271"/>
      <c r="G77" s="278" t="str">
        <f ca="1">IF(Table1[[#This Row],[h_No. Invoice :]]="","",CONCATENATE("AM"," ",Table1[[#This Row],[h_No. Invoice :]]))</f>
        <v/>
      </c>
      <c r="H77" s="271" t="str">
        <f>IF(Table1[[#This Row],[Column5]]="","",INDEX(Table2[Column1],MATCH(Table1[[#This Row],[Column5]],Table2[a],0)))</f>
        <v/>
      </c>
      <c r="I77" s="279" t="str">
        <f>IF(Table1[[#This Row],[Column3]]=0,"",CONCATENATE(UPPER(Table1[[#This Row],[Column3]])," ",Table1[[#This Row],[Column4]]))</f>
        <v xml:space="preserve"> </v>
      </c>
      <c r="J77" s="278" t="str">
        <f>IF(Table1[[#This Row],[Column5]]="","",INDEX(Table2[e],IF(Table1[[#This Row],[Column5]]="","",MATCH(Table1[[#This Row],[Column5]],Table2[a],0)),))</f>
        <v/>
      </c>
      <c r="K77" s="271">
        <v>72</v>
      </c>
      <c r="L77" s="271" t="s">
        <v>284</v>
      </c>
      <c r="M77" s="271">
        <v>1</v>
      </c>
      <c r="O77" s="278" t="str">
        <f>IF(Table1[[#This Row],[h_Item Description]]="","",INDEX([1]!db[NB PAJAK],MATCH(Table1[[#This Row],[h_Item Description]],[1]!db[kode],0)))</f>
        <v/>
      </c>
      <c r="P77" s="271" t="s">
        <v>303</v>
      </c>
      <c r="Q77" s="274">
        <v>15800</v>
      </c>
      <c r="R77" s="275">
        <v>0.125</v>
      </c>
      <c r="S77" s="275"/>
      <c r="T77" s="274">
        <f>Table1[[#This Row],[h_hargasetelahdiskon]]</f>
        <v>995400</v>
      </c>
      <c r="V77" s="271"/>
      <c r="W77" s="278">
        <f ca="1">IF(Table1[[#This Row],[Item Description]]="","",IF(Table1[[#This Row],[//]]="",INDIRECT(ADDRESS(ROW()-1,COLUMN())),Table1[[#This Row],[//]]))</f>
        <v>71</v>
      </c>
      <c r="X77" s="278">
        <f ca="1">IF(Table1[[#This Row],[h_id]]="","",COUNTIF(Table1[h_id],Table1[[#This Row],[h_id]]))</f>
        <v>9</v>
      </c>
      <c r="Y77" s="274">
        <f>IF(Table1[Item Description]="","",Table1[[#This Row],[Qty]]*Table1[[#This Row],[Unit Price]])</f>
        <v>1137600</v>
      </c>
      <c r="Z77" s="274">
        <f>IF(Table1[[#This Row],[h_hargasebelumdiskon]]="","",IF(Table1[[#This Row],[Disc 1]]="",0,Table1[[#This Row],[h_hargasebelumdiskon]]*Table1[[#This Row],[Disc 1]]))</f>
        <v>142200</v>
      </c>
      <c r="AA77" s="274">
        <f>IF(Table1[[#This Row],[h_hargasebelumdiskon]]="","",IF(Table1[[#This Row],[Disc 2]]="",0,(Table1[[#This Row],[h_hargasebelumdiskon]]-Table1[[#This Row],[h_disc 1]])*Table1[[#This Row],[Disc 2]]))</f>
        <v>0</v>
      </c>
      <c r="AB77" s="274">
        <f>IF(Table1[Item Description]="","",Table1[[#This Row],[h_disc 1]]+Table1[[#This Row],[h_disc 2]])</f>
        <v>142200</v>
      </c>
      <c r="AC77" s="274">
        <f>IF(Table1[Item Description]="","",Table1[[#This Row],[h_hargasebelumdiskon]]-Table1[[#This Row],[h_diskon]])</f>
        <v>995400</v>
      </c>
      <c r="AD77" s="274" t="str">
        <f ca="1">IF(Table1[//]="","",SUMIF(Table1[h_id],Table1[h_id],Table1[h_hargasetelahdiskon]))</f>
        <v/>
      </c>
      <c r="AF77" s="274" t="str">
        <f>Table1[[#This Row],[Item Description]]&amp;Table1[[#This Row],[Unit]]&amp;Table1[[#This Row],[Unit Price]]</f>
        <v>BINDER NOTE JOYKO A5 TSCL-M491PC15800</v>
      </c>
      <c r="AG77" s="3"/>
      <c r="AH77" s="3"/>
      <c r="AI77" s="3"/>
    </row>
    <row r="78" spans="1:35" x14ac:dyDescent="0.25">
      <c r="A78" s="278" t="str">
        <f ca="1">IF(Table1[[#This Row],[No. Invoice :]]="","",ROW())</f>
        <v/>
      </c>
      <c r="B78" s="278" t="str">
        <f ca="1">IF(Table1[Column3]="","",B$1+COUNT(INDIRECT("B$2:B"&amp;ROW()-1)))</f>
        <v/>
      </c>
      <c r="C78" s="272" t="str">
        <f>IF(Table1[[#This Row],[Column2]]="","",Table1[[#This Row],[Column2]]+C$1-1)</f>
        <v/>
      </c>
      <c r="E78" s="273"/>
      <c r="F78" s="271"/>
      <c r="G78" s="278" t="str">
        <f ca="1">IF(Table1[[#This Row],[h_No. Invoice :]]="","",CONCATENATE("AM"," ",Table1[[#This Row],[h_No. Invoice :]]))</f>
        <v/>
      </c>
      <c r="H78" s="271" t="str">
        <f>IF(Table1[[#This Row],[Column5]]="","",INDEX(Table2[Column1],MATCH(Table1[[#This Row],[Column5]],Table2[a],0)))</f>
        <v/>
      </c>
      <c r="I78" s="279" t="str">
        <f>IF(Table1[[#This Row],[Column3]]=0,"",CONCATENATE(UPPER(Table1[[#This Row],[Column3]])," ",Table1[[#This Row],[Column4]]))</f>
        <v xml:space="preserve"> </v>
      </c>
      <c r="J78" s="278" t="str">
        <f>IF(Table1[[#This Row],[Column5]]="","",INDEX(Table2[e],IF(Table1[[#This Row],[Column5]]="","",MATCH(Table1[[#This Row],[Column5]],Table2[a],0)),))</f>
        <v/>
      </c>
      <c r="K78" s="271">
        <v>72</v>
      </c>
      <c r="L78" s="271" t="s">
        <v>284</v>
      </c>
      <c r="M78" s="271">
        <v>1</v>
      </c>
      <c r="O78" s="278" t="str">
        <f>IF(Table1[[#This Row],[h_Item Description]]="","",INDEX([1]!db[NB PAJAK],MATCH(Table1[[#This Row],[h_Item Description]],[1]!db[kode],0)))</f>
        <v/>
      </c>
      <c r="P78" s="271" t="s">
        <v>304</v>
      </c>
      <c r="Q78" s="274">
        <v>15800</v>
      </c>
      <c r="R78" s="275">
        <v>0.125</v>
      </c>
      <c r="S78" s="275"/>
      <c r="T78" s="274">
        <f>Table1[[#This Row],[h_hargasetelahdiskon]]</f>
        <v>995400</v>
      </c>
      <c r="V78" s="271"/>
      <c r="W78" s="278">
        <f ca="1">IF(Table1[[#This Row],[Item Description]]="","",IF(Table1[[#This Row],[//]]="",INDIRECT(ADDRESS(ROW()-1,COLUMN())),Table1[[#This Row],[//]]))</f>
        <v>71</v>
      </c>
      <c r="X78" s="278">
        <f ca="1">IF(Table1[[#This Row],[h_id]]="","",COUNTIF(Table1[h_id],Table1[[#This Row],[h_id]]))</f>
        <v>9</v>
      </c>
      <c r="Y78" s="274">
        <f>IF(Table1[Item Description]="","",Table1[[#This Row],[Qty]]*Table1[[#This Row],[Unit Price]])</f>
        <v>1137600</v>
      </c>
      <c r="Z78" s="274">
        <f>IF(Table1[[#This Row],[h_hargasebelumdiskon]]="","",IF(Table1[[#This Row],[Disc 1]]="",0,Table1[[#This Row],[h_hargasebelumdiskon]]*Table1[[#This Row],[Disc 1]]))</f>
        <v>142200</v>
      </c>
      <c r="AA78" s="274">
        <f>IF(Table1[[#This Row],[h_hargasebelumdiskon]]="","",IF(Table1[[#This Row],[Disc 2]]="",0,(Table1[[#This Row],[h_hargasebelumdiskon]]-Table1[[#This Row],[h_disc 1]])*Table1[[#This Row],[Disc 2]]))</f>
        <v>0</v>
      </c>
      <c r="AB78" s="274">
        <f>IF(Table1[Item Description]="","",Table1[[#This Row],[h_disc 1]]+Table1[[#This Row],[h_disc 2]])</f>
        <v>142200</v>
      </c>
      <c r="AC78" s="274">
        <f>IF(Table1[Item Description]="","",Table1[[#This Row],[h_hargasebelumdiskon]]-Table1[[#This Row],[h_diskon]])</f>
        <v>995400</v>
      </c>
      <c r="AD78" s="274" t="str">
        <f ca="1">IF(Table1[//]="","",SUMIF(Table1[h_id],Table1[h_id],Table1[h_hargasetelahdiskon]))</f>
        <v/>
      </c>
      <c r="AF78" s="274" t="str">
        <f>Table1[[#This Row],[Item Description]]&amp;Table1[[#This Row],[Unit]]&amp;Table1[[#This Row],[Unit Price]]</f>
        <v>BINDER NOTE JOYKO A5 TSIM-M416PC15800</v>
      </c>
      <c r="AG78" s="3"/>
      <c r="AH78" s="3"/>
      <c r="AI78" s="3"/>
    </row>
    <row r="79" spans="1:35" x14ac:dyDescent="0.25">
      <c r="A79" s="278" t="str">
        <f ca="1">IF(Table1[[#This Row],[No. Invoice :]]="","",ROW())</f>
        <v/>
      </c>
      <c r="B79" s="278" t="str">
        <f ca="1">IF(Table1[Column3]="","",B$1+COUNT(INDIRECT("B$2:B"&amp;ROW()-1)))</f>
        <v/>
      </c>
      <c r="C79" s="272" t="str">
        <f>IF(Table1[[#This Row],[Column2]]="","",Table1[[#This Row],[Column2]]+C$1-1)</f>
        <v/>
      </c>
      <c r="E79" s="273"/>
      <c r="F79" s="271"/>
      <c r="G79" s="278" t="str">
        <f ca="1">IF(Table1[[#This Row],[h_No. Invoice :]]="","",CONCATENATE("AM"," ",Table1[[#This Row],[h_No. Invoice :]]))</f>
        <v/>
      </c>
      <c r="H79" s="271" t="str">
        <f>IF(Table1[[#This Row],[Column5]]="","",INDEX(Table2[Column1],MATCH(Table1[[#This Row],[Column5]],Table2[a],0)))</f>
        <v/>
      </c>
      <c r="I79" s="279" t="str">
        <f>IF(Table1[[#This Row],[Column3]]=0,"",CONCATENATE(UPPER(Table1[[#This Row],[Column3]])," ",Table1[[#This Row],[Column4]]))</f>
        <v xml:space="preserve"> </v>
      </c>
      <c r="J79" s="278" t="str">
        <f>IF(Table1[[#This Row],[Column5]]="","",INDEX(Table2[e],IF(Table1[[#This Row],[Column5]]="","",MATCH(Table1[[#This Row],[Column5]],Table2[a],0)),))</f>
        <v/>
      </c>
      <c r="K79" s="271">
        <v>30</v>
      </c>
      <c r="L79" s="271" t="s">
        <v>165</v>
      </c>
      <c r="M79" s="271">
        <v>1</v>
      </c>
      <c r="O79" s="278" t="str">
        <f>IF(Table1[[#This Row],[h_Item Description]]="","",INDEX([1]!db[NB PAJAK],MATCH(Table1[[#This Row],[h_Item Description]],[1]!db[kode],0)))</f>
        <v/>
      </c>
      <c r="P79" s="271" t="s">
        <v>197</v>
      </c>
      <c r="Q79" s="274">
        <v>57000</v>
      </c>
      <c r="R79" s="275">
        <v>0.125</v>
      </c>
      <c r="S79" s="275"/>
      <c r="T79" s="274">
        <f>Table1[[#This Row],[h_hargasetelahdiskon]]</f>
        <v>1496250</v>
      </c>
      <c r="V79" s="271"/>
      <c r="W79" s="278">
        <f ca="1">IF(Table1[[#This Row],[Item Description]]="","",IF(Table1[[#This Row],[//]]="",INDIRECT(ADDRESS(ROW()-1,COLUMN())),Table1[[#This Row],[//]]))</f>
        <v>71</v>
      </c>
      <c r="X79" s="278">
        <f ca="1">IF(Table1[[#This Row],[h_id]]="","",COUNTIF(Table1[h_id],Table1[[#This Row],[h_id]]))</f>
        <v>9</v>
      </c>
      <c r="Y79" s="274">
        <f>IF(Table1[Item Description]="","",Table1[[#This Row],[Qty]]*Table1[[#This Row],[Unit Price]])</f>
        <v>1710000</v>
      </c>
      <c r="Z79" s="274">
        <f>IF(Table1[[#This Row],[h_hargasebelumdiskon]]="","",IF(Table1[[#This Row],[Disc 1]]="",0,Table1[[#This Row],[h_hargasebelumdiskon]]*Table1[[#This Row],[Disc 1]]))</f>
        <v>213750</v>
      </c>
      <c r="AA79" s="274">
        <f>IF(Table1[[#This Row],[h_hargasebelumdiskon]]="","",IF(Table1[[#This Row],[Disc 2]]="",0,(Table1[[#This Row],[h_hargasebelumdiskon]]-Table1[[#This Row],[h_disc 1]])*Table1[[#This Row],[Disc 2]]))</f>
        <v>0</v>
      </c>
      <c r="AB79" s="274">
        <f>IF(Table1[Item Description]="","",Table1[[#This Row],[h_disc 1]]+Table1[[#This Row],[h_disc 2]])</f>
        <v>213750</v>
      </c>
      <c r="AC79" s="274">
        <f>IF(Table1[Item Description]="","",Table1[[#This Row],[h_hargasebelumdiskon]]-Table1[[#This Row],[h_diskon]])</f>
        <v>1496250</v>
      </c>
      <c r="AD79" s="274" t="str">
        <f ca="1">IF(Table1[//]="","",SUMIF(Table1[h_id],Table1[h_id],Table1[h_hargasetelahdiskon]))</f>
        <v/>
      </c>
      <c r="AF79" s="274" t="str">
        <f>Table1[[#This Row],[Item Description]]&amp;Table1[[#This Row],[Unit]]&amp;Table1[[#This Row],[Unit Price]]</f>
        <v>CUTTER 9 MM KENKO A-300 (KECIL)LS57000</v>
      </c>
      <c r="AG79" s="3"/>
      <c r="AH79" s="3"/>
      <c r="AI79" s="3"/>
    </row>
    <row r="80" spans="1:35" x14ac:dyDescent="0.25">
      <c r="A80" s="278" t="str">
        <f ca="1">IF(Table1[[#This Row],[No. Invoice :]]="","",ROW())</f>
        <v/>
      </c>
      <c r="B80" s="278" t="str">
        <f ca="1">IF(Table1[Column3]="","",B$1+COUNT(INDIRECT("B$2:B"&amp;ROW()-1)))</f>
        <v/>
      </c>
      <c r="C80" s="272" t="str">
        <f>IF(Table1[[#This Row],[Column2]]="","",Table1[[#This Row],[Column2]]+C$1-1)</f>
        <v/>
      </c>
      <c r="E80" s="273"/>
      <c r="F80" s="271"/>
      <c r="G80" s="278" t="str">
        <f ca="1">IF(Table1[[#This Row],[h_No. Invoice :]]="","",CONCATENATE("AM"," ",Table1[[#This Row],[h_No. Invoice :]]))</f>
        <v/>
      </c>
      <c r="H80" s="271" t="str">
        <f>IF(Table1[[#This Row],[Column5]]="","",INDEX(Table2[Column1],MATCH(Table1[[#This Row],[Column5]],Table2[a],0)))</f>
        <v/>
      </c>
      <c r="I80" s="279" t="str">
        <f>IF(Table1[[#This Row],[Column3]]=0,"",CONCATENATE(UPPER(Table1[[#This Row],[Column3]])," ",Table1[[#This Row],[Column4]]))</f>
        <v xml:space="preserve"> </v>
      </c>
      <c r="J80" s="278" t="str">
        <f>IF(Table1[[#This Row],[Column5]]="","",INDEX(Table2[e],IF(Table1[[#This Row],[Column5]]="","",MATCH(Table1[[#This Row],[Column5]],Table2[a],0)),))</f>
        <v/>
      </c>
      <c r="K80" s="271"/>
      <c r="L80" s="271"/>
      <c r="O80" s="278" t="str">
        <f>IF(Table1[[#This Row],[h_Item Description]]="","",INDEX([1]!db[NB PAJAK],MATCH(Table1[[#This Row],[h_Item Description]],[1]!db[kode],0)))</f>
        <v/>
      </c>
      <c r="Q80" s="274"/>
      <c r="R80" s="275"/>
      <c r="S80" s="275"/>
      <c r="T80" s="274" t="str">
        <f>Table1[[#This Row],[h_hargasetelahdiskon]]</f>
        <v/>
      </c>
      <c r="V80" s="271"/>
      <c r="W80" s="278" t="str">
        <f ca="1">IF(Table1[[#This Row],[Item Description]]="","",IF(Table1[[#This Row],[//]]="",INDIRECT(ADDRESS(ROW()-1,COLUMN())),Table1[[#This Row],[//]]))</f>
        <v/>
      </c>
      <c r="X80" s="278" t="str">
        <f ca="1">IF(Table1[[#This Row],[h_id]]="","",COUNTIF(Table1[h_id],Table1[[#This Row],[h_id]]))</f>
        <v/>
      </c>
      <c r="Y80" s="274" t="str">
        <f>IF(Table1[Item Description]="","",Table1[[#This Row],[Qty]]*Table1[[#This Row],[Unit Price]])</f>
        <v/>
      </c>
      <c r="Z80" s="274" t="str">
        <f>IF(Table1[[#This Row],[h_hargasebelumdiskon]]="","",IF(Table1[[#This Row],[Disc 1]]="",0,Table1[[#This Row],[h_hargasebelumdiskon]]*Table1[[#This Row],[Disc 1]]))</f>
        <v/>
      </c>
      <c r="AA80" s="274" t="str">
        <f>IF(Table1[[#This Row],[h_hargasebelumdiskon]]="","",IF(Table1[[#This Row],[Disc 2]]="",0,(Table1[[#This Row],[h_hargasebelumdiskon]]-Table1[[#This Row],[h_disc 1]])*Table1[[#This Row],[Disc 2]]))</f>
        <v/>
      </c>
      <c r="AB80" s="274" t="str">
        <f>IF(Table1[Item Description]="","",Table1[[#This Row],[h_disc 1]]+Table1[[#This Row],[h_disc 2]])</f>
        <v/>
      </c>
      <c r="AC80" s="274" t="str">
        <f>IF(Table1[Item Description]="","",Table1[[#This Row],[h_hargasebelumdiskon]]-Table1[[#This Row],[h_diskon]])</f>
        <v/>
      </c>
      <c r="AD80" s="274" t="str">
        <f ca="1">IF(Table1[//]="","",SUMIF(Table1[h_id],Table1[h_id],Table1[h_hargasetelahdiskon]))</f>
        <v/>
      </c>
      <c r="AF80" s="274" t="str">
        <f>Table1[[#This Row],[Item Description]]&amp;Table1[[#This Row],[Unit]]&amp;Table1[[#This Row],[Unit Price]]</f>
        <v/>
      </c>
      <c r="AG80" s="3"/>
      <c r="AH80" s="3"/>
      <c r="AI80" s="3"/>
    </row>
    <row r="81" spans="1:35" x14ac:dyDescent="0.25">
      <c r="A81" s="278">
        <f ca="1">IF(Table1[[#This Row],[No. Invoice :]]="","",ROW())</f>
        <v>81</v>
      </c>
      <c r="B81" s="278">
        <f ca="1">IF(Table1[Column3]="","",B$1+COUNT(INDIRECT("B$2:B"&amp;ROW()-1)))</f>
        <v>24020016</v>
      </c>
      <c r="C81" s="272">
        <f>IF(Table1[[#This Row],[Column2]]="","",Table1[[#This Row],[Column2]]+C$1-1)</f>
        <v>45342</v>
      </c>
      <c r="D81" s="281">
        <v>20</v>
      </c>
      <c r="E81" s="273" t="s">
        <v>305</v>
      </c>
      <c r="F81" s="271" t="s">
        <v>228</v>
      </c>
      <c r="G81" s="278" t="str">
        <f ca="1">IF(Table1[[#This Row],[h_No. Invoice :]]="","",CONCATENATE("AM"," ",Table1[[#This Row],[h_No. Invoice :]]))</f>
        <v>AM 24020016</v>
      </c>
      <c r="H81" s="271" t="str">
        <f>IF(Table1[[#This Row],[Column5]]="","",INDEX(Table2[Column1],MATCH(Table1[[#This Row],[Column5]],Table2[a],0)))</f>
        <v>KO</v>
      </c>
      <c r="I81" s="279" t="str">
        <f>IF(Table1[[#This Row],[Column3]]=0,"",CONCATENATE(UPPER(Table1[[#This Row],[Column3]])," ",Table1[[#This Row],[Column4]]))</f>
        <v>KO 2712</v>
      </c>
      <c r="J81" s="278" t="str">
        <f>IF(Table1[[#This Row],[Column5]]="","",INDEX(Table2[e],IF(Table1[[#This Row],[Column5]]="","",MATCH(Table1[[#This Row],[Column5]],Table2[a],0)),))</f>
        <v>HARNOYO (BENDAN) PEKALONGAN</v>
      </c>
      <c r="K81" s="271">
        <v>100</v>
      </c>
      <c r="L81" s="271" t="s">
        <v>135</v>
      </c>
      <c r="M81" s="271">
        <v>1</v>
      </c>
      <c r="O81" s="278" t="str">
        <f>IF(Table1[[#This Row],[h_Item Description]]="","",INDEX([1]!db[NB PAJAK],MATCH(Table1[[#This Row],[h_Item Description]],[1]!db[kode],0)))</f>
        <v/>
      </c>
      <c r="P81" s="271" t="s">
        <v>306</v>
      </c>
      <c r="Q81" s="274">
        <v>9800</v>
      </c>
      <c r="R81" s="275">
        <v>0.14000000000000001</v>
      </c>
      <c r="S81" s="275"/>
      <c r="T81" s="274">
        <f>Table1[[#This Row],[h_hargasetelahdiskon]]</f>
        <v>842800</v>
      </c>
      <c r="U81" s="274" t="s">
        <v>166</v>
      </c>
      <c r="V81" s="271"/>
      <c r="W81" s="278">
        <f ca="1">IF(Table1[[#This Row],[Item Description]]="","",IF(Table1[[#This Row],[//]]="",INDIRECT(ADDRESS(ROW()-1,COLUMN())),Table1[[#This Row],[//]]))</f>
        <v>81</v>
      </c>
      <c r="X81" s="278">
        <f ca="1">IF(Table1[[#This Row],[h_id]]="","",COUNTIF(Table1[h_id],Table1[[#This Row],[h_id]]))</f>
        <v>1</v>
      </c>
      <c r="Y81" s="274">
        <f>IF(Table1[Item Description]="","",Table1[[#This Row],[Qty]]*Table1[[#This Row],[Unit Price]])</f>
        <v>980000</v>
      </c>
      <c r="Z81" s="274">
        <f>IF(Table1[[#This Row],[h_hargasebelumdiskon]]="","",IF(Table1[[#This Row],[Disc 1]]="",0,Table1[[#This Row],[h_hargasebelumdiskon]]*Table1[[#This Row],[Disc 1]]))</f>
        <v>137200</v>
      </c>
      <c r="AA81" s="274">
        <f>IF(Table1[[#This Row],[h_hargasebelumdiskon]]="","",IF(Table1[[#This Row],[Disc 2]]="",0,(Table1[[#This Row],[h_hargasebelumdiskon]]-Table1[[#This Row],[h_disc 1]])*Table1[[#This Row],[Disc 2]]))</f>
        <v>0</v>
      </c>
      <c r="AB81" s="274">
        <f>IF(Table1[Item Description]="","",Table1[[#This Row],[h_disc 1]]+Table1[[#This Row],[h_disc 2]])</f>
        <v>137200</v>
      </c>
      <c r="AC81" s="274">
        <f>IF(Table1[Item Description]="","",Table1[[#This Row],[h_hargasebelumdiskon]]-Table1[[#This Row],[h_diskon]])</f>
        <v>842800</v>
      </c>
      <c r="AD81" s="274">
        <f ca="1">IF(Table1[//]="","",SUMIF(Table1[h_id],Table1[h_id],Table1[h_hargasetelahdiskon]))</f>
        <v>842800</v>
      </c>
      <c r="AF81" s="274" t="str">
        <f>Table1[[#This Row],[Item Description]]&amp;Table1[[#This Row],[Unit]]&amp;Table1[[#This Row],[Unit Price]]</f>
        <v>PAPER FASTENER (ACCO) KENKO PF-508 ISI 50 PC PUTIHPAK9800</v>
      </c>
      <c r="AG81" s="3"/>
      <c r="AH81" s="3"/>
      <c r="AI81" s="3"/>
    </row>
    <row r="82" spans="1:35" x14ac:dyDescent="0.25">
      <c r="A82" s="278" t="str">
        <f ca="1">IF(Table1[[#This Row],[No. Invoice :]]="","",ROW())</f>
        <v/>
      </c>
      <c r="B82" s="278" t="str">
        <f ca="1">IF(Table1[Column3]="","",B$1+COUNT(INDIRECT("B$2:B"&amp;ROW()-1)))</f>
        <v/>
      </c>
      <c r="C82" s="272" t="str">
        <f>IF(Table1[[#This Row],[Column2]]="","",Table1[[#This Row],[Column2]]+C$1-1)</f>
        <v/>
      </c>
      <c r="E82" s="273"/>
      <c r="F82" s="271"/>
      <c r="G82" s="278" t="str">
        <f ca="1">IF(Table1[[#This Row],[h_No. Invoice :]]="","",CONCATENATE("AM"," ",Table1[[#This Row],[h_No. Invoice :]]))</f>
        <v/>
      </c>
      <c r="H82" s="271" t="str">
        <f>IF(Table1[[#This Row],[Column5]]="","",INDEX(Table2[Column1],MATCH(Table1[[#This Row],[Column5]],Table2[a],0)))</f>
        <v/>
      </c>
      <c r="I82" s="279" t="str">
        <f>IF(Table1[[#This Row],[Column3]]=0,"",CONCATENATE(UPPER(Table1[[#This Row],[Column3]])," ",Table1[[#This Row],[Column4]]))</f>
        <v xml:space="preserve"> </v>
      </c>
      <c r="J82" s="278" t="str">
        <f>IF(Table1[[#This Row],[Column5]]="","",INDEX(Table2[e],IF(Table1[[#This Row],[Column5]]="","",MATCH(Table1[[#This Row],[Column5]],Table2[a],0)),))</f>
        <v/>
      </c>
      <c r="K82" s="271"/>
      <c r="L82" s="271"/>
      <c r="O82" s="278" t="str">
        <f>IF(Table1[[#This Row],[h_Item Description]]="","",INDEX([1]!db[NB PAJAK],MATCH(Table1[[#This Row],[h_Item Description]],[1]!db[kode],0)))</f>
        <v/>
      </c>
      <c r="Q82" s="274"/>
      <c r="R82" s="275"/>
      <c r="S82" s="275"/>
      <c r="T82" s="274" t="str">
        <f>Table1[[#This Row],[h_hargasetelahdiskon]]</f>
        <v/>
      </c>
      <c r="V82" s="271"/>
      <c r="W82" s="278" t="str">
        <f ca="1">IF(Table1[[#This Row],[Item Description]]="","",IF(Table1[[#This Row],[//]]="",INDIRECT(ADDRESS(ROW()-1,COLUMN())),Table1[[#This Row],[//]]))</f>
        <v/>
      </c>
      <c r="X82" s="278" t="str">
        <f ca="1">IF(Table1[[#This Row],[h_id]]="","",COUNTIF(Table1[h_id],Table1[[#This Row],[h_id]]))</f>
        <v/>
      </c>
      <c r="Y82" s="274" t="str">
        <f>IF(Table1[Item Description]="","",Table1[[#This Row],[Qty]]*Table1[[#This Row],[Unit Price]])</f>
        <v/>
      </c>
      <c r="Z82" s="274" t="str">
        <f>IF(Table1[[#This Row],[h_hargasebelumdiskon]]="","",IF(Table1[[#This Row],[Disc 1]]="",0,Table1[[#This Row],[h_hargasebelumdiskon]]*Table1[[#This Row],[Disc 1]]))</f>
        <v/>
      </c>
      <c r="AA82" s="274" t="str">
        <f>IF(Table1[[#This Row],[h_hargasebelumdiskon]]="","",IF(Table1[[#This Row],[Disc 2]]="",0,(Table1[[#This Row],[h_hargasebelumdiskon]]-Table1[[#This Row],[h_disc 1]])*Table1[[#This Row],[Disc 2]]))</f>
        <v/>
      </c>
      <c r="AB82" s="274" t="str">
        <f>IF(Table1[Item Description]="","",Table1[[#This Row],[h_disc 1]]+Table1[[#This Row],[h_disc 2]])</f>
        <v/>
      </c>
      <c r="AC82" s="274" t="str">
        <f>IF(Table1[Item Description]="","",Table1[[#This Row],[h_hargasebelumdiskon]]-Table1[[#This Row],[h_diskon]])</f>
        <v/>
      </c>
      <c r="AD82" s="274" t="str">
        <f ca="1">IF(Table1[//]="","",SUMIF(Table1[h_id],Table1[h_id],Table1[h_hargasetelahdiskon]))</f>
        <v/>
      </c>
      <c r="AF82" s="274" t="str">
        <f>Table1[[#This Row],[Item Description]]&amp;Table1[[#This Row],[Unit]]&amp;Table1[[#This Row],[Unit Price]]</f>
        <v/>
      </c>
      <c r="AG82" s="3"/>
      <c r="AH82" s="3"/>
      <c r="AI82" s="3"/>
    </row>
    <row r="83" spans="1:35" x14ac:dyDescent="0.25">
      <c r="A83" s="278">
        <f ca="1">IF(Table1[[#This Row],[No. Invoice :]]="","",ROW())</f>
        <v>83</v>
      </c>
      <c r="B83" s="278">
        <f ca="1">IF(Table1[Column3]="","",B$1+COUNT(INDIRECT("B$2:B"&amp;ROW()-1)))</f>
        <v>24020017</v>
      </c>
      <c r="C83" s="272">
        <f>IF(Table1[[#This Row],[Column2]]="","",Table1[[#This Row],[Column2]]+C$1-1)</f>
        <v>45342</v>
      </c>
      <c r="D83" s="281">
        <v>20</v>
      </c>
      <c r="E83" s="273" t="s">
        <v>307</v>
      </c>
      <c r="F83" s="271" t="s">
        <v>308</v>
      </c>
      <c r="G83" s="278" t="str">
        <f ca="1">IF(Table1[[#This Row],[h_No. Invoice :]]="","",CONCATENATE("AM"," ",Table1[[#This Row],[h_No. Invoice :]]))</f>
        <v>AM 24020017</v>
      </c>
      <c r="H83" s="271" t="str">
        <f>IF(Table1[[#This Row],[Column5]]="","",INDEX(Table2[Column1],MATCH(Table1[[#This Row],[Column5]],Table2[a],0)))</f>
        <v>KO</v>
      </c>
      <c r="I83" s="279" t="str">
        <f>IF(Table1[[#This Row],[Column3]]=0,"",CONCATENATE(UPPER(Table1[[#This Row],[Column3]])," ",Table1[[#This Row],[Column4]]))</f>
        <v>KO 2623</v>
      </c>
      <c r="J83" s="278" t="str">
        <f>IF(Table1[[#This Row],[Column5]]="","",INDEX(Table2[e],IF(Table1[[#This Row],[Column5]]="","",MATCH(Table1[[#This Row],[Column5]],Table2[a],0)),))</f>
        <v>CV RAINBOW NUSANTARA ( PELANGI ) SIDOARJO</v>
      </c>
      <c r="K83" s="271">
        <v>84</v>
      </c>
      <c r="L83" s="271" t="s">
        <v>284</v>
      </c>
      <c r="O83" s="278" t="str">
        <f>IF(Table1[[#This Row],[h_Item Description]]="","",INDEX([1]!db[NB PAJAK],MATCH(Table1[[#This Row],[h_Item Description]],[1]!db[kode],0)))</f>
        <v/>
      </c>
      <c r="P83" s="271" t="s">
        <v>311</v>
      </c>
      <c r="Q83" s="274">
        <v>7500</v>
      </c>
      <c r="R83" s="275">
        <v>0.14499999999999999</v>
      </c>
      <c r="S83" s="275"/>
      <c r="T83" s="274">
        <f>Table1[[#This Row],[h_hargasetelahdiskon]]</f>
        <v>538650</v>
      </c>
      <c r="U83" s="274" t="s">
        <v>166</v>
      </c>
      <c r="V83" s="271"/>
      <c r="W83" s="278">
        <f ca="1">IF(Table1[[#This Row],[Item Description]]="","",IF(Table1[[#This Row],[//]]="",INDIRECT(ADDRESS(ROW()-1,COLUMN())),Table1[[#This Row],[//]]))</f>
        <v>83</v>
      </c>
      <c r="X83" s="278">
        <f ca="1">IF(Table1[[#This Row],[h_id]]="","",COUNTIF(Table1[h_id],Table1[[#This Row],[h_id]]))</f>
        <v>5</v>
      </c>
      <c r="Y83" s="274">
        <f>IF(Table1[Item Description]="","",Table1[[#This Row],[Qty]]*Table1[[#This Row],[Unit Price]])</f>
        <v>630000</v>
      </c>
      <c r="Z83" s="274">
        <f>IF(Table1[[#This Row],[h_hargasebelumdiskon]]="","",IF(Table1[[#This Row],[Disc 1]]="",0,Table1[[#This Row],[h_hargasebelumdiskon]]*Table1[[#This Row],[Disc 1]]))</f>
        <v>91350</v>
      </c>
      <c r="AA83" s="274">
        <f>IF(Table1[[#This Row],[h_hargasebelumdiskon]]="","",IF(Table1[[#This Row],[Disc 2]]="",0,(Table1[[#This Row],[h_hargasebelumdiskon]]-Table1[[#This Row],[h_disc 1]])*Table1[[#This Row],[Disc 2]]))</f>
        <v>0</v>
      </c>
      <c r="AB83" s="274">
        <f>IF(Table1[Item Description]="","",Table1[[#This Row],[h_disc 1]]+Table1[[#This Row],[h_disc 2]])</f>
        <v>91350</v>
      </c>
      <c r="AC83" s="274">
        <f>IF(Table1[Item Description]="","",Table1[[#This Row],[h_hargasebelumdiskon]]-Table1[[#This Row],[h_diskon]])</f>
        <v>538650</v>
      </c>
      <c r="AD83" s="274">
        <f ca="1">IF(Table1[//]="","",SUMIF(Table1[h_id],Table1[h_id],Table1[h_hargasetelahdiskon]))</f>
        <v>6535620</v>
      </c>
      <c r="AF83" s="274" t="str">
        <f>Table1[[#This Row],[Item Description]]&amp;Table1[[#This Row],[Unit]]&amp;Table1[[#This Row],[Unit Price]]</f>
        <v>JANGKA (COMPASS SET) KENKO C-168 / MS-75PC7500</v>
      </c>
      <c r="AG83" s="3"/>
      <c r="AH83" s="3"/>
      <c r="AI83" s="3"/>
    </row>
    <row r="84" spans="1:35" x14ac:dyDescent="0.25">
      <c r="A84" s="278" t="str">
        <f ca="1">IF(Table1[[#This Row],[No. Invoice :]]="","",ROW())</f>
        <v/>
      </c>
      <c r="B84" s="278" t="str">
        <f ca="1">IF(Table1[Column3]="","",B$1+COUNT(INDIRECT("B$2:B"&amp;ROW()-1)))</f>
        <v/>
      </c>
      <c r="C84" s="272" t="str">
        <f>IF(Table1[[#This Row],[Column2]]="","",Table1[[#This Row],[Column2]]+C$1-1)</f>
        <v/>
      </c>
      <c r="E84" s="273"/>
      <c r="F84" s="271"/>
      <c r="G84" s="278" t="str">
        <f ca="1">IF(Table1[[#This Row],[h_No. Invoice :]]="","",CONCATENATE("AM"," ",Table1[[#This Row],[h_No. Invoice :]]))</f>
        <v/>
      </c>
      <c r="H84" s="271" t="str">
        <f>IF(Table1[[#This Row],[Column5]]="","",INDEX(Table2[Column1],MATCH(Table1[[#This Row],[Column5]],Table2[a],0)))</f>
        <v/>
      </c>
      <c r="I84" s="279" t="str">
        <f>IF(Table1[[#This Row],[Column3]]=0,"",CONCATENATE(UPPER(Table1[[#This Row],[Column3]])," ",Table1[[#This Row],[Column4]]))</f>
        <v xml:space="preserve"> </v>
      </c>
      <c r="J84" s="278" t="str">
        <f>IF(Table1[[#This Row],[Column5]]="","",INDEX(Table2[e],IF(Table1[[#This Row],[Column5]]="","",MATCH(Table1[[#This Row],[Column5]],Table2[a],0)),))</f>
        <v/>
      </c>
      <c r="K84" s="271">
        <v>24</v>
      </c>
      <c r="L84" s="271" t="s">
        <v>284</v>
      </c>
      <c r="O84" s="278" t="str">
        <f>IF(Table1[[#This Row],[h_Item Description]]="","",INDEX([1]!db[NB PAJAK],MATCH(Table1[[#This Row],[h_Item Description]],[1]!db[kode],0)))</f>
        <v/>
      </c>
      <c r="P84" s="271" t="s">
        <v>312</v>
      </c>
      <c r="Q84" s="274">
        <v>7500</v>
      </c>
      <c r="R84" s="275">
        <v>0.14499999999999999</v>
      </c>
      <c r="S84" s="275"/>
      <c r="T84" s="274">
        <f>Table1[[#This Row],[h_hargasetelahdiskon]]</f>
        <v>153900</v>
      </c>
      <c r="V84" s="271"/>
      <c r="W84" s="278">
        <f ca="1">IF(Table1[[#This Row],[Item Description]]="","",IF(Table1[[#This Row],[//]]="",INDIRECT(ADDRESS(ROW()-1,COLUMN())),Table1[[#This Row],[//]]))</f>
        <v>83</v>
      </c>
      <c r="X84" s="278">
        <f ca="1">IF(Table1[[#This Row],[h_id]]="","",COUNTIF(Table1[h_id],Table1[[#This Row],[h_id]]))</f>
        <v>5</v>
      </c>
      <c r="Y84" s="274">
        <f>IF(Table1[Item Description]="","",Table1[[#This Row],[Qty]]*Table1[[#This Row],[Unit Price]])</f>
        <v>180000</v>
      </c>
      <c r="Z84" s="274">
        <f>IF(Table1[[#This Row],[h_hargasebelumdiskon]]="","",IF(Table1[[#This Row],[Disc 1]]="",0,Table1[[#This Row],[h_hargasebelumdiskon]]*Table1[[#This Row],[Disc 1]]))</f>
        <v>26100</v>
      </c>
      <c r="AA84" s="274">
        <f>IF(Table1[[#This Row],[h_hargasebelumdiskon]]="","",IF(Table1[[#This Row],[Disc 2]]="",0,(Table1[[#This Row],[h_hargasebelumdiskon]]-Table1[[#This Row],[h_disc 1]])*Table1[[#This Row],[Disc 2]]))</f>
        <v>0</v>
      </c>
      <c r="AB84" s="274">
        <f>IF(Table1[Item Description]="","",Table1[[#This Row],[h_disc 1]]+Table1[[#This Row],[h_disc 2]])</f>
        <v>26100</v>
      </c>
      <c r="AC84" s="274">
        <f>IF(Table1[Item Description]="","",Table1[[#This Row],[h_hargasebelumdiskon]]-Table1[[#This Row],[h_diskon]])</f>
        <v>153900</v>
      </c>
      <c r="AD84" s="274" t="str">
        <f ca="1">IF(Table1[//]="","",SUMIF(Table1[h_id],Table1[h_id],Table1[h_hargasetelahdiskon]))</f>
        <v/>
      </c>
      <c r="AF84" s="274" t="str">
        <f>Table1[[#This Row],[Item Description]]&amp;Table1[[#This Row],[Unit]]&amp;Table1[[#This Row],[Unit Price]]</f>
        <v>JANGKA (COMPASS SET) KENKO C-528 / MS-55PC7500</v>
      </c>
      <c r="AG84" s="3"/>
      <c r="AH84" s="3"/>
      <c r="AI84" s="3"/>
    </row>
    <row r="85" spans="1:35" x14ac:dyDescent="0.25">
      <c r="A85" s="278" t="str">
        <f ca="1">IF(Table1[[#This Row],[No. Invoice :]]="","",ROW())</f>
        <v/>
      </c>
      <c r="B85" s="278" t="str">
        <f ca="1">IF(Table1[Column3]="","",B$1+COUNT(INDIRECT("B$2:B"&amp;ROW()-1)))</f>
        <v/>
      </c>
      <c r="C85" s="272" t="str">
        <f>IF(Table1[[#This Row],[Column2]]="","",Table1[[#This Row],[Column2]]+C$1-1)</f>
        <v/>
      </c>
      <c r="E85" s="273"/>
      <c r="F85" s="271"/>
      <c r="G85" s="278" t="str">
        <f ca="1">IF(Table1[[#This Row],[h_No. Invoice :]]="","",CONCATENATE("AM"," ",Table1[[#This Row],[h_No. Invoice :]]))</f>
        <v/>
      </c>
      <c r="H85" s="271" t="str">
        <f>IF(Table1[[#This Row],[Column5]]="","",INDEX(Table2[Column1],MATCH(Table1[[#This Row],[Column5]],Table2[a],0)))</f>
        <v/>
      </c>
      <c r="I85" s="279" t="str">
        <f>IF(Table1[[#This Row],[Column3]]=0,"",CONCATENATE(UPPER(Table1[[#This Row],[Column3]])," ",Table1[[#This Row],[Column4]]))</f>
        <v xml:space="preserve"> </v>
      </c>
      <c r="J85" s="278" t="str">
        <f>IF(Table1[[#This Row],[Column5]]="","",INDEX(Table2[e],IF(Table1[[#This Row],[Column5]]="","",MATCH(Table1[[#This Row],[Column5]],Table2[a],0)),))</f>
        <v/>
      </c>
      <c r="K85" s="271">
        <v>120</v>
      </c>
      <c r="L85" s="271" t="s">
        <v>284</v>
      </c>
      <c r="O85" s="278" t="str">
        <f>IF(Table1[[#This Row],[h_Item Description]]="","",INDEX([1]!db[NB PAJAK],MATCH(Table1[[#This Row],[h_Item Description]],[1]!db[kode],0)))</f>
        <v/>
      </c>
      <c r="P85" s="271" t="s">
        <v>313</v>
      </c>
      <c r="Q85" s="274">
        <v>43500</v>
      </c>
      <c r="R85" s="275">
        <v>0.14499999999999999</v>
      </c>
      <c r="S85" s="275"/>
      <c r="T85" s="274">
        <f>Table1[[#This Row],[h_hargasetelahdiskon]]</f>
        <v>4463100</v>
      </c>
      <c r="V85" s="271"/>
      <c r="W85" s="278">
        <f ca="1">IF(Table1[[#This Row],[Item Description]]="","",IF(Table1[[#This Row],[//]]="",INDIRECT(ADDRESS(ROW()-1,COLUMN())),Table1[[#This Row],[//]]))</f>
        <v>83</v>
      </c>
      <c r="X85" s="278">
        <f ca="1">IF(Table1[[#This Row],[h_id]]="","",COUNTIF(Table1[h_id],Table1[[#This Row],[h_id]]))</f>
        <v>5</v>
      </c>
      <c r="Y85" s="274">
        <f>IF(Table1[Item Description]="","",Table1[[#This Row],[Qty]]*Table1[[#This Row],[Unit Price]])</f>
        <v>5220000</v>
      </c>
      <c r="Z85" s="274">
        <f>IF(Table1[[#This Row],[h_hargasebelumdiskon]]="","",IF(Table1[[#This Row],[Disc 1]]="",0,Table1[[#This Row],[h_hargasebelumdiskon]]*Table1[[#This Row],[Disc 1]]))</f>
        <v>756900</v>
      </c>
      <c r="AA85" s="274">
        <f>IF(Table1[[#This Row],[h_hargasebelumdiskon]]="","",IF(Table1[[#This Row],[Disc 2]]="",0,(Table1[[#This Row],[h_hargasebelumdiskon]]-Table1[[#This Row],[h_disc 1]])*Table1[[#This Row],[Disc 2]]))</f>
        <v>0</v>
      </c>
      <c r="AB85" s="274">
        <f>IF(Table1[Item Description]="","",Table1[[#This Row],[h_disc 1]]+Table1[[#This Row],[h_disc 2]])</f>
        <v>756900</v>
      </c>
      <c r="AC85" s="274">
        <f>IF(Table1[Item Description]="","",Table1[[#This Row],[h_hargasebelumdiskon]]-Table1[[#This Row],[h_diskon]])</f>
        <v>4463100</v>
      </c>
      <c r="AD85" s="274" t="str">
        <f ca="1">IF(Table1[//]="","",SUMIF(Table1[h_id],Table1[h_id],Table1[h_hargasetelahdiskon]))</f>
        <v/>
      </c>
      <c r="AF85" s="274" t="str">
        <f>Table1[[#This Row],[Item Description]]&amp;Table1[[#This Row],[Unit]]&amp;Table1[[#This Row],[Unit Price]]</f>
        <v>GARISAN BESI (STAINLESS STEEL) KENKO 100 CM / 1 MPC43500</v>
      </c>
      <c r="AG85" s="3"/>
      <c r="AH85" s="3"/>
      <c r="AI85" s="3"/>
    </row>
    <row r="86" spans="1:35" x14ac:dyDescent="0.25">
      <c r="A86" s="278" t="str">
        <f ca="1">IF(Table1[[#This Row],[No. Invoice :]]="","",ROW())</f>
        <v/>
      </c>
      <c r="B86" s="278" t="str">
        <f ca="1">IF(Table1[Column3]="","",B$1+COUNT(INDIRECT("B$2:B"&amp;ROW()-1)))</f>
        <v/>
      </c>
      <c r="C86" s="272" t="str">
        <f>IF(Table1[[#This Row],[Column2]]="","",Table1[[#This Row],[Column2]]+C$1-1)</f>
        <v/>
      </c>
      <c r="E86" s="273"/>
      <c r="F86" s="271"/>
      <c r="G86" s="278" t="str">
        <f ca="1">IF(Table1[[#This Row],[h_No. Invoice :]]="","",CONCATENATE("AM"," ",Table1[[#This Row],[h_No. Invoice :]]))</f>
        <v/>
      </c>
      <c r="H86" s="271" t="str">
        <f>IF(Table1[[#This Row],[Column5]]="","",INDEX(Table2[Column1],MATCH(Table1[[#This Row],[Column5]],Table2[a],0)))</f>
        <v/>
      </c>
      <c r="I86" s="279" t="str">
        <f>IF(Table1[[#This Row],[Column3]]=0,"",CONCATENATE(UPPER(Table1[[#This Row],[Column3]])," ",Table1[[#This Row],[Column4]]))</f>
        <v xml:space="preserve"> </v>
      </c>
      <c r="J86" s="278" t="str">
        <f>IF(Table1[[#This Row],[Column5]]="","",INDEX(Table2[e],IF(Table1[[#This Row],[Column5]]="","",MATCH(Table1[[#This Row],[Column5]],Table2[a],0)),))</f>
        <v/>
      </c>
      <c r="K86" s="271">
        <v>120</v>
      </c>
      <c r="L86" s="271" t="s">
        <v>284</v>
      </c>
      <c r="O86" s="278" t="str">
        <f>IF(Table1[[#This Row],[h_Item Description]]="","",INDEX([1]!db[NB PAJAK],MATCH(Table1[[#This Row],[h_Item Description]],[1]!db[kode],0)))</f>
        <v/>
      </c>
      <c r="P86" s="271" t="s">
        <v>314</v>
      </c>
      <c r="Q86" s="274">
        <v>7000</v>
      </c>
      <c r="R86" s="275">
        <v>0.14499999999999999</v>
      </c>
      <c r="S86" s="275"/>
      <c r="T86" s="274">
        <f>Table1[[#This Row],[h_hargasetelahdiskon]]</f>
        <v>718200</v>
      </c>
      <c r="V86" s="271"/>
      <c r="W86" s="278">
        <f ca="1">IF(Table1[[#This Row],[Item Description]]="","",IF(Table1[[#This Row],[//]]="",INDIRECT(ADDRESS(ROW()-1,COLUMN())),Table1[[#This Row],[//]]))</f>
        <v>83</v>
      </c>
      <c r="X86" s="278">
        <f ca="1">IF(Table1[[#This Row],[h_id]]="","",COUNTIF(Table1[h_id],Table1[[#This Row],[h_id]]))</f>
        <v>5</v>
      </c>
      <c r="Y86" s="274">
        <f>IF(Table1[Item Description]="","",Table1[[#This Row],[Qty]]*Table1[[#This Row],[Unit Price]])</f>
        <v>840000</v>
      </c>
      <c r="Z86" s="274">
        <f>IF(Table1[[#This Row],[h_hargasebelumdiskon]]="","",IF(Table1[[#This Row],[Disc 1]]="",0,Table1[[#This Row],[h_hargasebelumdiskon]]*Table1[[#This Row],[Disc 1]]))</f>
        <v>121799.99999999999</v>
      </c>
      <c r="AA86" s="274">
        <f>IF(Table1[[#This Row],[h_hargasebelumdiskon]]="","",IF(Table1[[#This Row],[Disc 2]]="",0,(Table1[[#This Row],[h_hargasebelumdiskon]]-Table1[[#This Row],[h_disc 1]])*Table1[[#This Row],[Disc 2]]))</f>
        <v>0</v>
      </c>
      <c r="AB86" s="274">
        <f>IF(Table1[Item Description]="","",Table1[[#This Row],[h_disc 1]]+Table1[[#This Row],[h_disc 2]])</f>
        <v>121799.99999999999</v>
      </c>
      <c r="AC86" s="274">
        <f>IF(Table1[Item Description]="","",Table1[[#This Row],[h_hargasebelumdiskon]]-Table1[[#This Row],[h_diskon]])</f>
        <v>718200</v>
      </c>
      <c r="AD86" s="274" t="str">
        <f ca="1">IF(Table1[//]="","",SUMIF(Table1[h_id],Table1[h_id],Table1[h_hargasetelahdiskon]))</f>
        <v/>
      </c>
      <c r="AF86" s="274" t="str">
        <f>Table1[[#This Row],[Item Description]]&amp;Table1[[#This Row],[Unit]]&amp;Table1[[#This Row],[Unit Price]]</f>
        <v>STAMP PLATE NUMBER KENKO N-38 (Cap Nomer)PC7000</v>
      </c>
      <c r="AG86" s="3"/>
      <c r="AH86" s="3"/>
      <c r="AI86" s="3"/>
    </row>
    <row r="87" spans="1:35" x14ac:dyDescent="0.25">
      <c r="A87" s="278" t="str">
        <f ca="1">IF(Table1[[#This Row],[No. Invoice :]]="","",ROW())</f>
        <v/>
      </c>
      <c r="B87" s="278" t="str">
        <f ca="1">IF(Table1[Column3]="","",B$1+COUNT(INDIRECT("B$2:B"&amp;ROW()-1)))</f>
        <v/>
      </c>
      <c r="C87" s="272" t="str">
        <f>IF(Table1[[#This Row],[Column2]]="","",Table1[[#This Row],[Column2]]+C$1-1)</f>
        <v/>
      </c>
      <c r="E87" s="273"/>
      <c r="F87" s="271"/>
      <c r="G87" s="278" t="str">
        <f ca="1">IF(Table1[[#This Row],[h_No. Invoice :]]="","",CONCATENATE("AM"," ",Table1[[#This Row],[h_No. Invoice :]]))</f>
        <v/>
      </c>
      <c r="H87" s="271" t="str">
        <f>IF(Table1[[#This Row],[Column5]]="","",INDEX(Table2[Column1],MATCH(Table1[[#This Row],[Column5]],Table2[a],0)))</f>
        <v/>
      </c>
      <c r="I87" s="279" t="str">
        <f>IF(Table1[[#This Row],[Column3]]=0,"",CONCATENATE(UPPER(Table1[[#This Row],[Column3]])," ",Table1[[#This Row],[Column4]]))</f>
        <v xml:space="preserve"> </v>
      </c>
      <c r="J87" s="278" t="str">
        <f>IF(Table1[[#This Row],[Column5]]="","",INDEX(Table2[e],IF(Table1[[#This Row],[Column5]]="","",MATCH(Table1[[#This Row],[Column5]],Table2[a],0)),))</f>
        <v/>
      </c>
      <c r="K87" s="271">
        <v>120</v>
      </c>
      <c r="L87" s="271" t="s">
        <v>284</v>
      </c>
      <c r="O87" s="278" t="str">
        <f>IF(Table1[[#This Row],[h_Item Description]]="","",INDEX([1]!db[NB PAJAK],MATCH(Table1[[#This Row],[h_Item Description]],[1]!db[kode],0)))</f>
        <v/>
      </c>
      <c r="P87" s="271" t="s">
        <v>315</v>
      </c>
      <c r="Q87" s="274">
        <v>6450</v>
      </c>
      <c r="R87" s="275">
        <v>0.14499999999999999</v>
      </c>
      <c r="S87" s="275"/>
      <c r="T87" s="274">
        <f>Table1[[#This Row],[h_hargasetelahdiskon]]</f>
        <v>661770</v>
      </c>
      <c r="V87" s="271"/>
      <c r="W87" s="278">
        <f ca="1">IF(Table1[[#This Row],[Item Description]]="","",IF(Table1[[#This Row],[//]]="",INDIRECT(ADDRESS(ROW()-1,COLUMN())),Table1[[#This Row],[//]]))</f>
        <v>83</v>
      </c>
      <c r="X87" s="278">
        <f ca="1">IF(Table1[[#This Row],[h_id]]="","",COUNTIF(Table1[h_id],Table1[[#This Row],[h_id]]))</f>
        <v>5</v>
      </c>
      <c r="Y87" s="274">
        <f>IF(Table1[Item Description]="","",Table1[[#This Row],[Qty]]*Table1[[#This Row],[Unit Price]])</f>
        <v>774000</v>
      </c>
      <c r="Z87" s="274">
        <f>IF(Table1[[#This Row],[h_hargasebelumdiskon]]="","",IF(Table1[[#This Row],[Disc 1]]="",0,Table1[[#This Row],[h_hargasebelumdiskon]]*Table1[[#This Row],[Disc 1]]))</f>
        <v>112229.99999999999</v>
      </c>
      <c r="AA87" s="274">
        <f>IF(Table1[[#This Row],[h_hargasebelumdiskon]]="","",IF(Table1[[#This Row],[Disc 2]]="",0,(Table1[[#This Row],[h_hargasebelumdiskon]]-Table1[[#This Row],[h_disc 1]])*Table1[[#This Row],[Disc 2]]))</f>
        <v>0</v>
      </c>
      <c r="AB87" s="274">
        <f>IF(Table1[Item Description]="","",Table1[[#This Row],[h_disc 1]]+Table1[[#This Row],[h_disc 2]])</f>
        <v>112229.99999999999</v>
      </c>
      <c r="AC87" s="274">
        <f>IF(Table1[Item Description]="","",Table1[[#This Row],[h_hargasebelumdiskon]]-Table1[[#This Row],[h_diskon]])</f>
        <v>661770</v>
      </c>
      <c r="AD87" s="274" t="str">
        <f ca="1">IF(Table1[//]="","",SUMIF(Table1[h_id],Table1[h_id],Table1[h_hargasetelahdiskon]))</f>
        <v/>
      </c>
      <c r="AF87" s="274" t="str">
        <f>Table1[[#This Row],[Item Description]]&amp;Table1[[#This Row],[Unit]]&amp;Table1[[#This Row],[Unit Price]]</f>
        <v>DATE STAMP KENKO D-3 (Cap Tanggal 5 Mm)PC6450</v>
      </c>
      <c r="AG87" s="3"/>
      <c r="AH87" s="3"/>
      <c r="AI87" s="3"/>
    </row>
    <row r="88" spans="1:35" x14ac:dyDescent="0.25">
      <c r="A88" s="278" t="str">
        <f ca="1">IF(Table1[[#This Row],[No. Invoice :]]="","",ROW())</f>
        <v/>
      </c>
      <c r="B88" s="278" t="str">
        <f ca="1">IF(Table1[Column3]="","",B$1+COUNT(INDIRECT("B$2:B"&amp;ROW()-1)))</f>
        <v/>
      </c>
      <c r="C88" s="272" t="str">
        <f>IF(Table1[[#This Row],[Column2]]="","",Table1[[#This Row],[Column2]]+C$1-1)</f>
        <v/>
      </c>
      <c r="E88" s="273"/>
      <c r="F88" s="271"/>
      <c r="G88" s="278" t="str">
        <f ca="1">IF(Table1[[#This Row],[h_No. Invoice :]]="","",CONCATENATE("AM"," ",Table1[[#This Row],[h_No. Invoice :]]))</f>
        <v/>
      </c>
      <c r="H88" s="271" t="str">
        <f>IF(Table1[[#This Row],[Column5]]="","",INDEX(Table2[Column1],MATCH(Table1[[#This Row],[Column5]],Table2[a],0)))</f>
        <v/>
      </c>
      <c r="I88" s="279" t="str">
        <f>IF(Table1[[#This Row],[Column3]]=0,"",CONCATENATE(UPPER(Table1[[#This Row],[Column3]])," ",Table1[[#This Row],[Column4]]))</f>
        <v xml:space="preserve"> </v>
      </c>
      <c r="J88" s="278" t="str">
        <f>IF(Table1[[#This Row],[Column5]]="","",INDEX(Table2[e],IF(Table1[[#This Row],[Column5]]="","",MATCH(Table1[[#This Row],[Column5]],Table2[a],0)),))</f>
        <v/>
      </c>
      <c r="K88" s="271"/>
      <c r="L88" s="271"/>
      <c r="O88" s="278" t="str">
        <f>IF(Table1[[#This Row],[h_Item Description]]="","",INDEX([1]!db[NB PAJAK],MATCH(Table1[[#This Row],[h_Item Description]],[1]!db[kode],0)))</f>
        <v/>
      </c>
      <c r="Q88" s="274"/>
      <c r="R88" s="275"/>
      <c r="S88" s="275"/>
      <c r="T88" s="274" t="str">
        <f>Table1[[#This Row],[h_hargasetelahdiskon]]</f>
        <v/>
      </c>
      <c r="V88" s="271"/>
      <c r="W88" s="278" t="str">
        <f ca="1">IF(Table1[[#This Row],[Item Description]]="","",IF(Table1[[#This Row],[//]]="",INDIRECT(ADDRESS(ROW()-1,COLUMN())),Table1[[#This Row],[//]]))</f>
        <v/>
      </c>
      <c r="X88" s="278" t="str">
        <f ca="1">IF(Table1[[#This Row],[h_id]]="","",COUNTIF(Table1[h_id],Table1[[#This Row],[h_id]]))</f>
        <v/>
      </c>
      <c r="Y88" s="274" t="str">
        <f>IF(Table1[Item Description]="","",Table1[[#This Row],[Qty]]*Table1[[#This Row],[Unit Price]])</f>
        <v/>
      </c>
      <c r="Z88" s="274" t="str">
        <f>IF(Table1[[#This Row],[h_hargasebelumdiskon]]="","",IF(Table1[[#This Row],[Disc 1]]="",0,Table1[[#This Row],[h_hargasebelumdiskon]]*Table1[[#This Row],[Disc 1]]))</f>
        <v/>
      </c>
      <c r="AA88" s="274" t="str">
        <f>IF(Table1[[#This Row],[h_hargasebelumdiskon]]="","",IF(Table1[[#This Row],[Disc 2]]="",0,(Table1[[#This Row],[h_hargasebelumdiskon]]-Table1[[#This Row],[h_disc 1]])*Table1[[#This Row],[Disc 2]]))</f>
        <v/>
      </c>
      <c r="AB88" s="274" t="str">
        <f>IF(Table1[Item Description]="","",Table1[[#This Row],[h_disc 1]]+Table1[[#This Row],[h_disc 2]])</f>
        <v/>
      </c>
      <c r="AC88" s="274" t="str">
        <f>IF(Table1[Item Description]="","",Table1[[#This Row],[h_hargasebelumdiskon]]-Table1[[#This Row],[h_diskon]])</f>
        <v/>
      </c>
      <c r="AD88" s="274" t="str">
        <f ca="1">IF(Table1[//]="","",SUMIF(Table1[h_id],Table1[h_id],Table1[h_hargasetelahdiskon]))</f>
        <v/>
      </c>
      <c r="AF88" s="274" t="str">
        <f>Table1[[#This Row],[Item Description]]&amp;Table1[[#This Row],[Unit]]&amp;Table1[[#This Row],[Unit Price]]</f>
        <v/>
      </c>
      <c r="AG88" s="3"/>
      <c r="AH88" s="3"/>
      <c r="AI88" s="3"/>
    </row>
    <row r="89" spans="1:35" x14ac:dyDescent="0.25">
      <c r="A89" s="278">
        <f ca="1">IF(Table1[[#This Row],[No. Invoice :]]="","",ROW())</f>
        <v>89</v>
      </c>
      <c r="B89" s="278">
        <f ca="1">IF(Table1[Column3]="","",B$1+COUNT(INDIRECT("B$2:B"&amp;ROW()-1)))</f>
        <v>24020018</v>
      </c>
      <c r="C89" s="272">
        <f>IF(Table1[[#This Row],[Column2]]="","",Table1[[#This Row],[Column2]]+C$1-1)</f>
        <v>45342</v>
      </c>
      <c r="D89" s="281">
        <v>20</v>
      </c>
      <c r="E89" s="273" t="s">
        <v>316</v>
      </c>
      <c r="F89" s="271" t="s">
        <v>308</v>
      </c>
      <c r="G89" s="278" t="str">
        <f ca="1">IF(Table1[[#This Row],[h_No. Invoice :]]="","",CONCATENATE("AM"," ",Table1[[#This Row],[h_No. Invoice :]]))</f>
        <v>AM 24020018</v>
      </c>
      <c r="H89" s="271" t="str">
        <f>IF(Table1[[#This Row],[Column5]]="","",INDEX(Table2[Column1],MATCH(Table1[[#This Row],[Column5]],Table2[a],0)))</f>
        <v>KO</v>
      </c>
      <c r="I89" s="279" t="str">
        <f>IF(Table1[[#This Row],[Column3]]=0,"",CONCATENATE(UPPER(Table1[[#This Row],[Column3]])," ",Table1[[#This Row],[Column4]]))</f>
        <v>KO 4995</v>
      </c>
      <c r="J89" s="278" t="str">
        <f>IF(Table1[[#This Row],[Column5]]="","",INDEX(Table2[e],IF(Table1[[#This Row],[Column5]]="","",MATCH(Table1[[#This Row],[Column5]],Table2[a],0)),))</f>
        <v>CV RAINBOW NUSANTARA ( PELANGI ) SIDOARJO</v>
      </c>
      <c r="K89" s="271">
        <v>24</v>
      </c>
      <c r="L89" s="271" t="s">
        <v>284</v>
      </c>
      <c r="O89" s="278" t="str">
        <f>IF(Table1[[#This Row],[h_Item Description]]="","",INDEX([1]!db[NB PAJAK],MATCH(Table1[[#This Row],[h_Item Description]],[1]!db[kode],0)))</f>
        <v/>
      </c>
      <c r="P89" s="271" t="s">
        <v>311</v>
      </c>
      <c r="Q89" s="274">
        <v>7500</v>
      </c>
      <c r="R89" s="275">
        <v>0.14499999999999999</v>
      </c>
      <c r="S89" s="275"/>
      <c r="T89" s="274">
        <f>Table1[[#This Row],[h_hargasetelahdiskon]]</f>
        <v>153900</v>
      </c>
      <c r="U89" s="274" t="s">
        <v>166</v>
      </c>
      <c r="V89" s="271"/>
      <c r="W89" s="278">
        <f ca="1">IF(Table1[[#This Row],[Item Description]]="","",IF(Table1[[#This Row],[//]]="",INDIRECT(ADDRESS(ROW()-1,COLUMN())),Table1[[#This Row],[//]]))</f>
        <v>89</v>
      </c>
      <c r="X89" s="278">
        <f ca="1">IF(Table1[[#This Row],[h_id]]="","",COUNTIF(Table1[h_id],Table1[[#This Row],[h_id]]))</f>
        <v>7</v>
      </c>
      <c r="Y89" s="274">
        <f>IF(Table1[Item Description]="","",Table1[[#This Row],[Qty]]*Table1[[#This Row],[Unit Price]])</f>
        <v>180000</v>
      </c>
      <c r="Z89" s="274">
        <f>IF(Table1[[#This Row],[h_hargasebelumdiskon]]="","",IF(Table1[[#This Row],[Disc 1]]="",0,Table1[[#This Row],[h_hargasebelumdiskon]]*Table1[[#This Row],[Disc 1]]))</f>
        <v>26100</v>
      </c>
      <c r="AA89" s="274">
        <f>IF(Table1[[#This Row],[h_hargasebelumdiskon]]="","",IF(Table1[[#This Row],[Disc 2]]="",0,(Table1[[#This Row],[h_hargasebelumdiskon]]-Table1[[#This Row],[h_disc 1]])*Table1[[#This Row],[Disc 2]]))</f>
        <v>0</v>
      </c>
      <c r="AB89" s="274">
        <f>IF(Table1[Item Description]="","",Table1[[#This Row],[h_disc 1]]+Table1[[#This Row],[h_disc 2]])</f>
        <v>26100</v>
      </c>
      <c r="AC89" s="274">
        <f>IF(Table1[Item Description]="","",Table1[[#This Row],[h_hargasebelumdiskon]]-Table1[[#This Row],[h_diskon]])</f>
        <v>153900</v>
      </c>
      <c r="AD89" s="274">
        <f ca="1">IF(Table1[//]="","",SUMIF(Table1[h_id],Table1[h_id],Table1[h_hargasetelahdiskon]))</f>
        <v>4716522</v>
      </c>
      <c r="AF89" s="274" t="str">
        <f>Table1[[#This Row],[Item Description]]&amp;Table1[[#This Row],[Unit]]&amp;Table1[[#This Row],[Unit Price]]</f>
        <v>JANGKA (COMPASS SET) KENKO C-168 / MS-75PC7500</v>
      </c>
      <c r="AG89" s="3"/>
      <c r="AH89" s="3"/>
      <c r="AI89" s="3"/>
    </row>
    <row r="90" spans="1:35" x14ac:dyDescent="0.25">
      <c r="A90" s="278" t="str">
        <f ca="1">IF(Table1[[#This Row],[No. Invoice :]]="","",ROW())</f>
        <v/>
      </c>
      <c r="B90" s="278" t="str">
        <f ca="1">IF(Table1[Column3]="","",B$1+COUNT(INDIRECT("B$2:B"&amp;ROW()-1)))</f>
        <v/>
      </c>
      <c r="C90" s="272" t="str">
        <f>IF(Table1[[#This Row],[Column2]]="","",Table1[[#This Row],[Column2]]+C$1-1)</f>
        <v/>
      </c>
      <c r="E90" s="273"/>
      <c r="F90" s="271"/>
      <c r="G90" s="278" t="str">
        <f ca="1">IF(Table1[[#This Row],[h_No. Invoice :]]="","",CONCATENATE("AM"," ",Table1[[#This Row],[h_No. Invoice :]]))</f>
        <v/>
      </c>
      <c r="H90" s="271" t="str">
        <f>IF(Table1[[#This Row],[Column5]]="","",INDEX(Table2[Column1],MATCH(Table1[[#This Row],[Column5]],Table2[a],0)))</f>
        <v/>
      </c>
      <c r="I90" s="279" t="str">
        <f>IF(Table1[[#This Row],[Column3]]=0,"",CONCATENATE(UPPER(Table1[[#This Row],[Column3]])," ",Table1[[#This Row],[Column4]]))</f>
        <v xml:space="preserve"> </v>
      </c>
      <c r="J90" s="278" t="str">
        <f>IF(Table1[[#This Row],[Column5]]="","",INDEX(Table2[e],IF(Table1[[#This Row],[Column5]]="","",MATCH(Table1[[#This Row],[Column5]],Table2[a],0)),))</f>
        <v/>
      </c>
      <c r="K90" s="271">
        <v>72</v>
      </c>
      <c r="L90" s="271" t="s">
        <v>284</v>
      </c>
      <c r="O90" s="278" t="str">
        <f>IF(Table1[[#This Row],[h_Item Description]]="","",INDEX([1]!db[NB PAJAK],MATCH(Table1[[#This Row],[h_Item Description]],[1]!db[kode],0)))</f>
        <v/>
      </c>
      <c r="P90" s="271" t="s">
        <v>312</v>
      </c>
      <c r="Q90" s="274">
        <v>7500</v>
      </c>
      <c r="R90" s="275">
        <v>0.14499999999999999</v>
      </c>
      <c r="S90" s="275"/>
      <c r="T90" s="274">
        <f>Table1[[#This Row],[h_hargasetelahdiskon]]</f>
        <v>461700</v>
      </c>
      <c r="V90" s="271"/>
      <c r="W90" s="278">
        <f ca="1">IF(Table1[[#This Row],[Item Description]]="","",IF(Table1[[#This Row],[//]]="",INDIRECT(ADDRESS(ROW()-1,COLUMN())),Table1[[#This Row],[//]]))</f>
        <v>89</v>
      </c>
      <c r="X90" s="278">
        <f ca="1">IF(Table1[[#This Row],[h_id]]="","",COUNTIF(Table1[h_id],Table1[[#This Row],[h_id]]))</f>
        <v>7</v>
      </c>
      <c r="Y90" s="274">
        <f>IF(Table1[Item Description]="","",Table1[[#This Row],[Qty]]*Table1[[#This Row],[Unit Price]])</f>
        <v>540000</v>
      </c>
      <c r="Z90" s="274">
        <f>IF(Table1[[#This Row],[h_hargasebelumdiskon]]="","",IF(Table1[[#This Row],[Disc 1]]="",0,Table1[[#This Row],[h_hargasebelumdiskon]]*Table1[[#This Row],[Disc 1]]))</f>
        <v>78300</v>
      </c>
      <c r="AA90" s="274">
        <f>IF(Table1[[#This Row],[h_hargasebelumdiskon]]="","",IF(Table1[[#This Row],[Disc 2]]="",0,(Table1[[#This Row],[h_hargasebelumdiskon]]-Table1[[#This Row],[h_disc 1]])*Table1[[#This Row],[Disc 2]]))</f>
        <v>0</v>
      </c>
      <c r="AB90" s="274">
        <f>IF(Table1[Item Description]="","",Table1[[#This Row],[h_disc 1]]+Table1[[#This Row],[h_disc 2]])</f>
        <v>78300</v>
      </c>
      <c r="AC90" s="274">
        <f>IF(Table1[Item Description]="","",Table1[[#This Row],[h_hargasebelumdiskon]]-Table1[[#This Row],[h_diskon]])</f>
        <v>461700</v>
      </c>
      <c r="AD90" s="274" t="str">
        <f ca="1">IF(Table1[//]="","",SUMIF(Table1[h_id],Table1[h_id],Table1[h_hargasetelahdiskon]))</f>
        <v/>
      </c>
      <c r="AF90" s="274" t="str">
        <f>Table1[[#This Row],[Item Description]]&amp;Table1[[#This Row],[Unit]]&amp;Table1[[#This Row],[Unit Price]]</f>
        <v>JANGKA (COMPASS SET) KENKO C-528 / MS-55PC7500</v>
      </c>
      <c r="AG90" s="3"/>
      <c r="AH90" s="3"/>
      <c r="AI90" s="3"/>
    </row>
    <row r="91" spans="1:35" x14ac:dyDescent="0.25">
      <c r="A91" s="278" t="str">
        <f ca="1">IF(Table1[[#This Row],[No. Invoice :]]="","",ROW())</f>
        <v/>
      </c>
      <c r="B91" s="278" t="str">
        <f ca="1">IF(Table1[Column3]="","",B$1+COUNT(INDIRECT("B$2:B"&amp;ROW()-1)))</f>
        <v/>
      </c>
      <c r="C91" s="272" t="str">
        <f>IF(Table1[[#This Row],[Column2]]="","",Table1[[#This Row],[Column2]]+C$1-1)</f>
        <v/>
      </c>
      <c r="E91" s="273"/>
      <c r="F91" s="271"/>
      <c r="G91" s="278" t="str">
        <f ca="1">IF(Table1[[#This Row],[h_No. Invoice :]]="","",CONCATENATE("AM"," ",Table1[[#This Row],[h_No. Invoice :]]))</f>
        <v/>
      </c>
      <c r="H91" s="271" t="str">
        <f>IF(Table1[[#This Row],[Column5]]="","",INDEX(Table2[Column1],MATCH(Table1[[#This Row],[Column5]],Table2[a],0)))</f>
        <v/>
      </c>
      <c r="I91" s="279" t="str">
        <f>IF(Table1[[#This Row],[Column3]]=0,"",CONCATENATE(UPPER(Table1[[#This Row],[Column3]])," ",Table1[[#This Row],[Column4]]))</f>
        <v xml:space="preserve"> </v>
      </c>
      <c r="J91" s="278" t="str">
        <f>IF(Table1[[#This Row],[Column5]]="","",INDEX(Table2[e],IF(Table1[[#This Row],[Column5]]="","",MATCH(Table1[[#This Row],[Column5]],Table2[a],0)),))</f>
        <v/>
      </c>
      <c r="K91" s="271">
        <v>576</v>
      </c>
      <c r="L91" s="271" t="s">
        <v>284</v>
      </c>
      <c r="O91" s="278" t="str">
        <f>IF(Table1[[#This Row],[h_Item Description]]="","",INDEX([1]!db[NB PAJAK],MATCH(Table1[[#This Row],[h_Item Description]],[1]!db[kode],0)))</f>
        <v/>
      </c>
      <c r="P91" s="271" t="s">
        <v>317</v>
      </c>
      <c r="Q91" s="274">
        <v>4300</v>
      </c>
      <c r="R91" s="275">
        <v>0.14499999999999999</v>
      </c>
      <c r="S91" s="275"/>
      <c r="T91" s="274">
        <f>Table1[[#This Row],[h_hargasetelahdiskon]]</f>
        <v>2117664</v>
      </c>
      <c r="V91" s="271"/>
      <c r="W91" s="278">
        <f ca="1">IF(Table1[[#This Row],[Item Description]]="","",IF(Table1[[#This Row],[//]]="",INDIRECT(ADDRESS(ROW()-1,COLUMN())),Table1[[#This Row],[//]]))</f>
        <v>89</v>
      </c>
      <c r="X91" s="278">
        <f ca="1">IF(Table1[[#This Row],[h_id]]="","",COUNTIF(Table1[h_id],Table1[[#This Row],[h_id]]))</f>
        <v>7</v>
      </c>
      <c r="Y91" s="274">
        <f>IF(Table1[Item Description]="","",Table1[[#This Row],[Qty]]*Table1[[#This Row],[Unit Price]])</f>
        <v>2476800</v>
      </c>
      <c r="Z91" s="274">
        <f>IF(Table1[[#This Row],[h_hargasebelumdiskon]]="","",IF(Table1[[#This Row],[Disc 1]]="",0,Table1[[#This Row],[h_hargasebelumdiskon]]*Table1[[#This Row],[Disc 1]]))</f>
        <v>359136</v>
      </c>
      <c r="AA91" s="274">
        <f>IF(Table1[[#This Row],[h_hargasebelumdiskon]]="","",IF(Table1[[#This Row],[Disc 2]]="",0,(Table1[[#This Row],[h_hargasebelumdiskon]]-Table1[[#This Row],[h_disc 1]])*Table1[[#This Row],[Disc 2]]))</f>
        <v>0</v>
      </c>
      <c r="AB91" s="274">
        <f>IF(Table1[Item Description]="","",Table1[[#This Row],[h_disc 1]]+Table1[[#This Row],[h_disc 2]])</f>
        <v>359136</v>
      </c>
      <c r="AC91" s="274">
        <f>IF(Table1[Item Description]="","",Table1[[#This Row],[h_hargasebelumdiskon]]-Table1[[#This Row],[h_diskon]])</f>
        <v>2117664</v>
      </c>
      <c r="AD91" s="274" t="str">
        <f ca="1">IF(Table1[//]="","",SUMIF(Table1[h_id],Table1[h_id],Table1[h_hargasetelahdiskon]))</f>
        <v/>
      </c>
      <c r="AF91" s="274" t="str">
        <f>Table1[[#This Row],[Item Description]]&amp;Table1[[#This Row],[Unit]]&amp;Table1[[#This Row],[Unit Price]]</f>
        <v>MECHANICAL PENCIL 0.5 MM KENKO MP-01PC4300</v>
      </c>
      <c r="AG91" s="3"/>
      <c r="AH91" s="3"/>
      <c r="AI91" s="3"/>
    </row>
    <row r="92" spans="1:35" x14ac:dyDescent="0.25">
      <c r="A92" s="278" t="str">
        <f ca="1">IF(Table1[[#This Row],[No. Invoice :]]="","",ROW())</f>
        <v/>
      </c>
      <c r="B92" s="278" t="str">
        <f ca="1">IF(Table1[Column3]="","",B$1+COUNT(INDIRECT("B$2:B"&amp;ROW()-1)))</f>
        <v/>
      </c>
      <c r="C92" s="272" t="str">
        <f>IF(Table1[[#This Row],[Column2]]="","",Table1[[#This Row],[Column2]]+C$1-1)</f>
        <v/>
      </c>
      <c r="E92" s="273"/>
      <c r="F92" s="271"/>
      <c r="G92" s="278" t="str">
        <f ca="1">IF(Table1[[#This Row],[h_No. Invoice :]]="","",CONCATENATE("AM"," ",Table1[[#This Row],[h_No. Invoice :]]))</f>
        <v/>
      </c>
      <c r="H92" s="271" t="str">
        <f>IF(Table1[[#This Row],[Column5]]="","",INDEX(Table2[Column1],MATCH(Table1[[#This Row],[Column5]],Table2[a],0)))</f>
        <v/>
      </c>
      <c r="I92" s="279" t="str">
        <f>IF(Table1[[#This Row],[Column3]]=0,"",CONCATENATE(UPPER(Table1[[#This Row],[Column3]])," ",Table1[[#This Row],[Column4]]))</f>
        <v xml:space="preserve"> </v>
      </c>
      <c r="J92" s="278" t="str">
        <f>IF(Table1[[#This Row],[Column5]]="","",INDEX(Table2[e],IF(Table1[[#This Row],[Column5]]="","",MATCH(Table1[[#This Row],[Column5]],Table2[a],0)),))</f>
        <v/>
      </c>
      <c r="K92" s="271">
        <v>180</v>
      </c>
      <c r="L92" s="271" t="s">
        <v>284</v>
      </c>
      <c r="O92" s="278" t="str">
        <f>IF(Table1[[#This Row],[h_Item Description]]="","",INDEX([1]!db[NB PAJAK],MATCH(Table1[[#This Row],[h_Item Description]],[1]!db[kode],0)))</f>
        <v/>
      </c>
      <c r="P92" s="271" t="s">
        <v>318</v>
      </c>
      <c r="Q92" s="274">
        <v>6600</v>
      </c>
      <c r="R92" s="275">
        <v>0.14499999999999999</v>
      </c>
      <c r="S92" s="275"/>
      <c r="T92" s="274">
        <f>Table1[[#This Row],[h_hargasetelahdiskon]]</f>
        <v>1015740</v>
      </c>
      <c r="V92" s="271"/>
      <c r="W92" s="278">
        <f ca="1">IF(Table1[[#This Row],[Item Description]]="","",IF(Table1[[#This Row],[//]]="",INDIRECT(ADDRESS(ROW()-1,COLUMN())),Table1[[#This Row],[//]]))</f>
        <v>89</v>
      </c>
      <c r="X92" s="278">
        <f ca="1">IF(Table1[[#This Row],[h_id]]="","",COUNTIF(Table1[h_id],Table1[[#This Row],[h_id]]))</f>
        <v>7</v>
      </c>
      <c r="Y92" s="274">
        <f>IF(Table1[Item Description]="","",Table1[[#This Row],[Qty]]*Table1[[#This Row],[Unit Price]])</f>
        <v>1188000</v>
      </c>
      <c r="Z92" s="274">
        <f>IF(Table1[[#This Row],[h_hargasebelumdiskon]]="","",IF(Table1[[#This Row],[Disc 1]]="",0,Table1[[#This Row],[h_hargasebelumdiskon]]*Table1[[#This Row],[Disc 1]]))</f>
        <v>172260</v>
      </c>
      <c r="AA92" s="274">
        <f>IF(Table1[[#This Row],[h_hargasebelumdiskon]]="","",IF(Table1[[#This Row],[Disc 2]]="",0,(Table1[[#This Row],[h_hargasebelumdiskon]]-Table1[[#This Row],[h_disc 1]])*Table1[[#This Row],[Disc 2]]))</f>
        <v>0</v>
      </c>
      <c r="AB92" s="274">
        <f>IF(Table1[Item Description]="","",Table1[[#This Row],[h_disc 1]]+Table1[[#This Row],[h_disc 2]])</f>
        <v>172260</v>
      </c>
      <c r="AC92" s="274">
        <f>IF(Table1[Item Description]="","",Table1[[#This Row],[h_hargasebelumdiskon]]-Table1[[#This Row],[h_diskon]])</f>
        <v>1015740</v>
      </c>
      <c r="AD92" s="274" t="str">
        <f ca="1">IF(Table1[//]="","",SUMIF(Table1[h_id],Table1[h_id],Table1[h_hargasetelahdiskon]))</f>
        <v/>
      </c>
      <c r="AF92" s="274" t="str">
        <f>Table1[[#This Row],[Item Description]]&amp;Table1[[#This Row],[Unit]]&amp;Table1[[#This Row],[Unit Price]]</f>
        <v>PENSIL WARNA KENKO CP-12HALF (PENDEK)PC6600</v>
      </c>
      <c r="AG92" s="3"/>
      <c r="AH92" s="3"/>
      <c r="AI92" s="3"/>
    </row>
    <row r="93" spans="1:35" x14ac:dyDescent="0.25">
      <c r="A93" s="278" t="str">
        <f ca="1">IF(Table1[[#This Row],[No. Invoice :]]="","",ROW())</f>
        <v/>
      </c>
      <c r="B93" s="278" t="str">
        <f ca="1">IF(Table1[Column3]="","",B$1+COUNT(INDIRECT("B$2:B"&amp;ROW()-1)))</f>
        <v/>
      </c>
      <c r="C93" s="272" t="str">
        <f>IF(Table1[[#This Row],[Column2]]="","",Table1[[#This Row],[Column2]]+C$1-1)</f>
        <v/>
      </c>
      <c r="E93" s="273"/>
      <c r="F93" s="271"/>
      <c r="G93" s="278" t="str">
        <f ca="1">IF(Table1[[#This Row],[h_No. Invoice :]]="","",CONCATENATE("AM"," ",Table1[[#This Row],[h_No. Invoice :]]))</f>
        <v/>
      </c>
      <c r="H93" s="271" t="str">
        <f>IF(Table1[[#This Row],[Column5]]="","",INDEX(Table2[Column1],MATCH(Table1[[#This Row],[Column5]],Table2[a],0)))</f>
        <v/>
      </c>
      <c r="I93" s="279" t="str">
        <f>IF(Table1[[#This Row],[Column3]]=0,"",CONCATENATE(UPPER(Table1[[#This Row],[Column3]])," ",Table1[[#This Row],[Column4]]))</f>
        <v xml:space="preserve"> </v>
      </c>
      <c r="J93" s="278" t="str">
        <f>IF(Table1[[#This Row],[Column5]]="","",INDEX(Table2[e],IF(Table1[[#This Row],[Column5]]="","",MATCH(Table1[[#This Row],[Column5]],Table2[a],0)),))</f>
        <v/>
      </c>
      <c r="K93" s="271">
        <v>96</v>
      </c>
      <c r="L93" s="271" t="s">
        <v>284</v>
      </c>
      <c r="O93" s="278" t="str">
        <f>IF(Table1[[#This Row],[h_Item Description]]="","",INDEX([1]!db[NB PAJAK],MATCH(Table1[[#This Row],[h_Item Description]],[1]!db[kode],0)))</f>
        <v/>
      </c>
      <c r="P93" s="271" t="s">
        <v>319</v>
      </c>
      <c r="Q93" s="274">
        <v>5900</v>
      </c>
      <c r="R93" s="275">
        <v>0.14499999999999999</v>
      </c>
      <c r="S93" s="275"/>
      <c r="T93" s="274">
        <f>Table1[[#This Row],[h_hargasetelahdiskon]]</f>
        <v>484272</v>
      </c>
      <c r="V93" s="271"/>
      <c r="W93" s="278">
        <f ca="1">IF(Table1[[#This Row],[Item Description]]="","",IF(Table1[[#This Row],[//]]="",INDIRECT(ADDRESS(ROW()-1,COLUMN())),Table1[[#This Row],[//]]))</f>
        <v>89</v>
      </c>
      <c r="X93" s="278">
        <f ca="1">IF(Table1[[#This Row],[h_id]]="","",COUNTIF(Table1[h_id],Table1[[#This Row],[h_id]]))</f>
        <v>7</v>
      </c>
      <c r="Y93" s="274">
        <f>IF(Table1[Item Description]="","",Table1[[#This Row],[Qty]]*Table1[[#This Row],[Unit Price]])</f>
        <v>566400</v>
      </c>
      <c r="Z93" s="274">
        <f>IF(Table1[[#This Row],[h_hargasebelumdiskon]]="","",IF(Table1[[#This Row],[Disc 1]]="",0,Table1[[#This Row],[h_hargasebelumdiskon]]*Table1[[#This Row],[Disc 1]]))</f>
        <v>82128</v>
      </c>
      <c r="AA93" s="274">
        <f>IF(Table1[[#This Row],[h_hargasebelumdiskon]]="","",IF(Table1[[#This Row],[Disc 2]]="",0,(Table1[[#This Row],[h_hargasebelumdiskon]]-Table1[[#This Row],[h_disc 1]])*Table1[[#This Row],[Disc 2]]))</f>
        <v>0</v>
      </c>
      <c r="AB93" s="274">
        <f>IF(Table1[Item Description]="","",Table1[[#This Row],[h_disc 1]]+Table1[[#This Row],[h_disc 2]])</f>
        <v>82128</v>
      </c>
      <c r="AC93" s="274">
        <f>IF(Table1[Item Description]="","",Table1[[#This Row],[h_hargasebelumdiskon]]-Table1[[#This Row],[h_diskon]])</f>
        <v>484272</v>
      </c>
      <c r="AD93" s="274" t="str">
        <f ca="1">IF(Table1[//]="","",SUMIF(Table1[h_id],Table1[h_id],Table1[h_hargasetelahdiskon]))</f>
        <v/>
      </c>
      <c r="AF93" s="274" t="str">
        <f>Table1[[#This Row],[Item Description]]&amp;Table1[[#This Row],[Unit]]&amp;Table1[[#This Row],[Unit Price]]</f>
        <v>STAMP PAD KENKO NO. 1PC5900</v>
      </c>
      <c r="AG93" s="3"/>
      <c r="AH93" s="3"/>
      <c r="AI93" s="3"/>
    </row>
    <row r="94" spans="1:35" x14ac:dyDescent="0.25">
      <c r="A94" s="278" t="str">
        <f ca="1">IF(Table1[[#This Row],[No. Invoice :]]="","",ROW())</f>
        <v/>
      </c>
      <c r="B94" s="278" t="str">
        <f ca="1">IF(Table1[Column3]="","",B$1+COUNT(INDIRECT("B$2:B"&amp;ROW()-1)))</f>
        <v/>
      </c>
      <c r="C94" s="272" t="str">
        <f>IF(Table1[[#This Row],[Column2]]="","",Table1[[#This Row],[Column2]]+C$1-1)</f>
        <v/>
      </c>
      <c r="E94" s="273"/>
      <c r="F94" s="271"/>
      <c r="G94" s="278" t="str">
        <f ca="1">IF(Table1[[#This Row],[h_No. Invoice :]]="","",CONCATENATE("AM"," ",Table1[[#This Row],[h_No. Invoice :]]))</f>
        <v/>
      </c>
      <c r="H94" s="271" t="str">
        <f>IF(Table1[[#This Row],[Column5]]="","",INDEX(Table2[Column1],MATCH(Table1[[#This Row],[Column5]],Table2[a],0)))</f>
        <v/>
      </c>
      <c r="I94" s="279" t="str">
        <f>IF(Table1[[#This Row],[Column3]]=0,"",CONCATENATE(UPPER(Table1[[#This Row],[Column3]])," ",Table1[[#This Row],[Column4]]))</f>
        <v xml:space="preserve"> </v>
      </c>
      <c r="J94" s="278" t="str">
        <f>IF(Table1[[#This Row],[Column5]]="","",INDEX(Table2[e],IF(Table1[[#This Row],[Column5]]="","",MATCH(Table1[[#This Row],[Column5]],Table2[a],0)),))</f>
        <v/>
      </c>
      <c r="K94" s="271">
        <v>72</v>
      </c>
      <c r="L94" s="271" t="s">
        <v>284</v>
      </c>
      <c r="O94" s="278" t="str">
        <f>IF(Table1[[#This Row],[h_Item Description]]="","",INDEX([1]!db[NB PAJAK],MATCH(Table1[[#This Row],[h_Item Description]],[1]!db[kode],0)))</f>
        <v/>
      </c>
      <c r="P94" s="271" t="s">
        <v>320</v>
      </c>
      <c r="Q94" s="274">
        <v>6200</v>
      </c>
      <c r="R94" s="275">
        <v>0.14499999999999999</v>
      </c>
      <c r="S94" s="275"/>
      <c r="T94" s="274">
        <f>Table1[[#This Row],[h_hargasetelahdiskon]]</f>
        <v>381672</v>
      </c>
      <c r="V94" s="271"/>
      <c r="W94" s="278">
        <f ca="1">IF(Table1[[#This Row],[Item Description]]="","",IF(Table1[[#This Row],[//]]="",INDIRECT(ADDRESS(ROW()-1,COLUMN())),Table1[[#This Row],[//]]))</f>
        <v>89</v>
      </c>
      <c r="X94" s="278">
        <f ca="1">IF(Table1[[#This Row],[h_id]]="","",COUNTIF(Table1[h_id],Table1[[#This Row],[h_id]]))</f>
        <v>7</v>
      </c>
      <c r="Y94" s="274">
        <f>IF(Table1[Item Description]="","",Table1[[#This Row],[Qty]]*Table1[[#This Row],[Unit Price]])</f>
        <v>446400</v>
      </c>
      <c r="Z94" s="274">
        <f>IF(Table1[[#This Row],[h_hargasebelumdiskon]]="","",IF(Table1[[#This Row],[Disc 1]]="",0,Table1[[#This Row],[h_hargasebelumdiskon]]*Table1[[#This Row],[Disc 1]]))</f>
        <v>64727.999999999993</v>
      </c>
      <c r="AA94" s="274">
        <f>IF(Table1[[#This Row],[h_hargasebelumdiskon]]="","",IF(Table1[[#This Row],[Disc 2]]="",0,(Table1[[#This Row],[h_hargasebelumdiskon]]-Table1[[#This Row],[h_disc 1]])*Table1[[#This Row],[Disc 2]]))</f>
        <v>0</v>
      </c>
      <c r="AB94" s="274">
        <f>IF(Table1[Item Description]="","",Table1[[#This Row],[h_disc 1]]+Table1[[#This Row],[h_disc 2]])</f>
        <v>64727.999999999993</v>
      </c>
      <c r="AC94" s="274">
        <f>IF(Table1[Item Description]="","",Table1[[#This Row],[h_hargasebelumdiskon]]-Table1[[#This Row],[h_diskon]])</f>
        <v>381672</v>
      </c>
      <c r="AD94" s="274" t="str">
        <f ca="1">IF(Table1[//]="","",SUMIF(Table1[h_id],Table1[h_id],Table1[h_hargasetelahdiskon]))</f>
        <v/>
      </c>
      <c r="AF94" s="274" t="str">
        <f>Table1[[#This Row],[Item Description]]&amp;Table1[[#This Row],[Unit]]&amp;Table1[[#This Row],[Unit Price]]</f>
        <v>DATE STAMP KENKO D-4 (Cap Tanggal 4 Mm)PC6200</v>
      </c>
      <c r="AG94" s="3"/>
      <c r="AH94" s="3"/>
      <c r="AI94" s="3"/>
    </row>
    <row r="95" spans="1:35" x14ac:dyDescent="0.25">
      <c r="A95" s="278" t="str">
        <f ca="1">IF(Table1[[#This Row],[No. Invoice :]]="","",ROW())</f>
        <v/>
      </c>
      <c r="B95" s="278" t="str">
        <f ca="1">IF(Table1[Column3]="","",B$1+COUNT(INDIRECT("B$2:B"&amp;ROW()-1)))</f>
        <v/>
      </c>
      <c r="C95" s="272" t="str">
        <f>IF(Table1[[#This Row],[Column2]]="","",Table1[[#This Row],[Column2]]+C$1-1)</f>
        <v/>
      </c>
      <c r="E95" s="273"/>
      <c r="F95" s="271"/>
      <c r="G95" s="278" t="str">
        <f ca="1">IF(Table1[[#This Row],[h_No. Invoice :]]="","",CONCATENATE("AM"," ",Table1[[#This Row],[h_No. Invoice :]]))</f>
        <v/>
      </c>
      <c r="H95" s="271" t="str">
        <f>IF(Table1[[#This Row],[Column5]]="","",INDEX(Table2[Column1],MATCH(Table1[[#This Row],[Column5]],Table2[a],0)))</f>
        <v/>
      </c>
      <c r="I95" s="279" t="str">
        <f>IF(Table1[[#This Row],[Column3]]=0,"",CONCATENATE(UPPER(Table1[[#This Row],[Column3]])," ",Table1[[#This Row],[Column4]]))</f>
        <v xml:space="preserve"> </v>
      </c>
      <c r="J95" s="278" t="str">
        <f>IF(Table1[[#This Row],[Column5]]="","",INDEX(Table2[e],IF(Table1[[#This Row],[Column5]]="","",MATCH(Table1[[#This Row],[Column5]],Table2[a],0)),))</f>
        <v/>
      </c>
      <c r="K95" s="271">
        <v>24</v>
      </c>
      <c r="L95" s="271" t="s">
        <v>284</v>
      </c>
      <c r="O95" s="278" t="str">
        <f>IF(Table1[[#This Row],[h_Item Description]]="","",INDEX([1]!db[NB PAJAK],MATCH(Table1[[#This Row],[h_Item Description]],[1]!db[kode],0)))</f>
        <v/>
      </c>
      <c r="P95" s="271" t="s">
        <v>321</v>
      </c>
      <c r="Q95" s="274">
        <v>4950</v>
      </c>
      <c r="R95" s="275">
        <v>0.14499999999999999</v>
      </c>
      <c r="S95" s="275"/>
      <c r="T95" s="274">
        <f>Table1[[#This Row],[h_hargasetelahdiskon]]</f>
        <v>101574</v>
      </c>
      <c r="V95" s="271"/>
      <c r="W95" s="278">
        <f ca="1">IF(Table1[[#This Row],[Item Description]]="","",IF(Table1[[#This Row],[//]]="",INDIRECT(ADDRESS(ROW()-1,COLUMN())),Table1[[#This Row],[//]]))</f>
        <v>89</v>
      </c>
      <c r="X95" s="278">
        <f ca="1">IF(Table1[[#This Row],[h_id]]="","",COUNTIF(Table1[h_id],Table1[[#This Row],[h_id]]))</f>
        <v>7</v>
      </c>
      <c r="Y95" s="274">
        <f>IF(Table1[Item Description]="","",Table1[[#This Row],[Qty]]*Table1[[#This Row],[Unit Price]])</f>
        <v>118800</v>
      </c>
      <c r="Z95" s="274">
        <f>IF(Table1[[#This Row],[h_hargasebelumdiskon]]="","",IF(Table1[[#This Row],[Disc 1]]="",0,Table1[[#This Row],[h_hargasebelumdiskon]]*Table1[[#This Row],[Disc 1]]))</f>
        <v>17226</v>
      </c>
      <c r="AA95" s="274">
        <f>IF(Table1[[#This Row],[h_hargasebelumdiskon]]="","",IF(Table1[[#This Row],[Disc 2]]="",0,(Table1[[#This Row],[h_hargasebelumdiskon]]-Table1[[#This Row],[h_disc 1]])*Table1[[#This Row],[Disc 2]]))</f>
        <v>0</v>
      </c>
      <c r="AB95" s="274">
        <f>IF(Table1[Item Description]="","",Table1[[#This Row],[h_disc 1]]+Table1[[#This Row],[h_disc 2]])</f>
        <v>17226</v>
      </c>
      <c r="AC95" s="274">
        <f>IF(Table1[Item Description]="","",Table1[[#This Row],[h_hargasebelumdiskon]]-Table1[[#This Row],[h_diskon]])</f>
        <v>101574</v>
      </c>
      <c r="AD95" s="274" t="str">
        <f ca="1">IF(Table1[//]="","",SUMIF(Table1[h_id],Table1[h_id],Table1[h_hargasetelahdiskon]))</f>
        <v/>
      </c>
      <c r="AF95" s="274" t="str">
        <f>Table1[[#This Row],[Item Description]]&amp;Table1[[#This Row],[Unit]]&amp;Table1[[#This Row],[Unit Price]]</f>
        <v>STAMP PAD KENKO NO. 0PC4950</v>
      </c>
      <c r="AG95" s="3"/>
      <c r="AH95" s="3"/>
      <c r="AI95" s="3"/>
    </row>
    <row r="96" spans="1:35" x14ac:dyDescent="0.25">
      <c r="A96" s="278" t="str">
        <f ca="1">IF(Table1[[#This Row],[No. Invoice :]]="","",ROW())</f>
        <v/>
      </c>
      <c r="B96" s="278" t="str">
        <f ca="1">IF(Table1[Column3]="","",B$1+COUNT(INDIRECT("B$2:B"&amp;ROW()-1)))</f>
        <v/>
      </c>
      <c r="C96" s="272" t="str">
        <f>IF(Table1[[#This Row],[Column2]]="","",Table1[[#This Row],[Column2]]+C$1-1)</f>
        <v/>
      </c>
      <c r="E96" s="273"/>
      <c r="F96" s="271"/>
      <c r="G96" s="278" t="str">
        <f ca="1">IF(Table1[[#This Row],[h_No. Invoice :]]="","",CONCATENATE("AM"," ",Table1[[#This Row],[h_No. Invoice :]]))</f>
        <v/>
      </c>
      <c r="H96" s="271" t="str">
        <f>IF(Table1[[#This Row],[Column5]]="","",INDEX(Table2[Column1],MATCH(Table1[[#This Row],[Column5]],Table2[a],0)))</f>
        <v/>
      </c>
      <c r="I96" s="279" t="str">
        <f>IF(Table1[[#This Row],[Column3]]=0,"",CONCATENATE(UPPER(Table1[[#This Row],[Column3]])," ",Table1[[#This Row],[Column4]]))</f>
        <v xml:space="preserve"> </v>
      </c>
      <c r="J96" s="278" t="str">
        <f>IF(Table1[[#This Row],[Column5]]="","",INDEX(Table2[e],IF(Table1[[#This Row],[Column5]]="","",MATCH(Table1[[#This Row],[Column5]],Table2[a],0)),))</f>
        <v/>
      </c>
      <c r="K96" s="271"/>
      <c r="L96" s="271"/>
      <c r="O96" s="278" t="str">
        <f>IF(Table1[[#This Row],[h_Item Description]]="","",INDEX([1]!db[NB PAJAK],MATCH(Table1[[#This Row],[h_Item Description]],[1]!db[kode],0)))</f>
        <v/>
      </c>
      <c r="Q96" s="274"/>
      <c r="R96" s="275"/>
      <c r="S96" s="275"/>
      <c r="T96" s="274" t="str">
        <f>Table1[[#This Row],[h_hargasetelahdiskon]]</f>
        <v/>
      </c>
      <c r="V96" s="271"/>
      <c r="W96" s="278" t="str">
        <f ca="1">IF(Table1[[#This Row],[Item Description]]="","",IF(Table1[[#This Row],[//]]="",INDIRECT(ADDRESS(ROW()-1,COLUMN())),Table1[[#This Row],[//]]))</f>
        <v/>
      </c>
      <c r="X96" s="278" t="str">
        <f ca="1">IF(Table1[[#This Row],[h_id]]="","",COUNTIF(Table1[h_id],Table1[[#This Row],[h_id]]))</f>
        <v/>
      </c>
      <c r="Y96" s="274" t="str">
        <f>IF(Table1[Item Description]="","",Table1[[#This Row],[Qty]]*Table1[[#This Row],[Unit Price]])</f>
        <v/>
      </c>
      <c r="Z96" s="274" t="str">
        <f>IF(Table1[[#This Row],[h_hargasebelumdiskon]]="","",IF(Table1[[#This Row],[Disc 1]]="",0,Table1[[#This Row],[h_hargasebelumdiskon]]*Table1[[#This Row],[Disc 1]]))</f>
        <v/>
      </c>
      <c r="AA96" s="274" t="str">
        <f>IF(Table1[[#This Row],[h_hargasebelumdiskon]]="","",IF(Table1[[#This Row],[Disc 2]]="",0,(Table1[[#This Row],[h_hargasebelumdiskon]]-Table1[[#This Row],[h_disc 1]])*Table1[[#This Row],[Disc 2]]))</f>
        <v/>
      </c>
      <c r="AB96" s="274" t="str">
        <f>IF(Table1[Item Description]="","",Table1[[#This Row],[h_disc 1]]+Table1[[#This Row],[h_disc 2]])</f>
        <v/>
      </c>
      <c r="AC96" s="274" t="str">
        <f>IF(Table1[Item Description]="","",Table1[[#This Row],[h_hargasebelumdiskon]]-Table1[[#This Row],[h_diskon]])</f>
        <v/>
      </c>
      <c r="AD96" s="274" t="str">
        <f ca="1">IF(Table1[//]="","",SUMIF(Table1[h_id],Table1[h_id],Table1[h_hargasetelahdiskon]))</f>
        <v/>
      </c>
      <c r="AF96" s="274" t="str">
        <f>Table1[[#This Row],[Item Description]]&amp;Table1[[#This Row],[Unit]]&amp;Table1[[#This Row],[Unit Price]]</f>
        <v/>
      </c>
      <c r="AG96" s="3"/>
      <c r="AH96" s="3"/>
      <c r="AI96" s="3"/>
    </row>
    <row r="97" spans="1:35" x14ac:dyDescent="0.25">
      <c r="A97" s="278">
        <f ca="1">IF(Table1[[#This Row],[No. Invoice :]]="","",ROW())</f>
        <v>97</v>
      </c>
      <c r="B97" s="278">
        <f ca="1">IF(Table1[Column3]="","",B$1+COUNT(INDIRECT("B$2:B"&amp;ROW()-1)))</f>
        <v>24020019</v>
      </c>
      <c r="C97" s="272">
        <f>IF(Table1[[#This Row],[Column2]]="","",Table1[[#This Row],[Column2]]+C$1-1)</f>
        <v>45343</v>
      </c>
      <c r="D97" s="281">
        <v>21</v>
      </c>
      <c r="E97" s="273" t="s">
        <v>268</v>
      </c>
      <c r="F97" s="271" t="s">
        <v>269</v>
      </c>
      <c r="G97" s="278" t="str">
        <f ca="1">IF(Table1[[#This Row],[h_No. Invoice :]]="","",CONCATENATE("AM"," ",Table1[[#This Row],[h_No. Invoice :]]))</f>
        <v>AM 24020019</v>
      </c>
      <c r="H97" s="271" t="str">
        <f>IF(Table1[[#This Row],[Column5]]="","",INDEX(Table2[Column1],MATCH(Table1[[#This Row],[Column5]],Table2[a],0)))</f>
        <v>KO</v>
      </c>
      <c r="I97" s="279" t="str">
        <f>IF(Table1[[#This Row],[Column3]]=0,"",CONCATENATE(UPPER(Table1[[#This Row],[Column3]])," ",Table1[[#This Row],[Column4]]))</f>
        <v>KO 2743</v>
      </c>
      <c r="J97" s="278" t="str">
        <f>IF(Table1[[#This Row],[Column5]]="","",INDEX(Table2[e],IF(Table1[[#This Row],[Column5]]="","",MATCH(Table1[[#This Row],[Column5]],Table2[a],0)),))</f>
        <v>CV DWI JAYA YOGYAKARTA</v>
      </c>
      <c r="K97" s="271">
        <v>12</v>
      </c>
      <c r="L97" s="271" t="s">
        <v>136</v>
      </c>
      <c r="N97" s="271" t="s">
        <v>270</v>
      </c>
      <c r="O97" s="278" t="str">
        <f>IF(Table1[[#This Row],[h_Item Description]]="","",INDEX([1]!db[NB PAJAK],MATCH(Table1[[#This Row],[h_Item Description]],[1]!db[kode],0)))</f>
        <v>GEL PEN KENKO K-1 HITAM</v>
      </c>
      <c r="P97" s="271" t="s">
        <v>272</v>
      </c>
      <c r="Q97" s="274">
        <v>39600</v>
      </c>
      <c r="R97" s="275">
        <v>0.1</v>
      </c>
      <c r="S97" s="275"/>
      <c r="T97" s="274">
        <f>Table1[[#This Row],[h_hargasetelahdiskon]]</f>
        <v>427680</v>
      </c>
      <c r="U97" s="274" t="s">
        <v>129</v>
      </c>
      <c r="V97" s="271"/>
      <c r="W97" s="278">
        <f ca="1">IF(Table1[[#This Row],[Item Description]]="","",IF(Table1[[#This Row],[//]]="",INDIRECT(ADDRESS(ROW()-1,COLUMN())),Table1[[#This Row],[//]]))</f>
        <v>97</v>
      </c>
      <c r="X97" s="278">
        <f ca="1">IF(Table1[[#This Row],[h_id]]="","",COUNTIF(Table1[h_id],Table1[[#This Row],[h_id]]))</f>
        <v>4</v>
      </c>
      <c r="Y97" s="274">
        <f>IF(Table1[Item Description]="","",Table1[[#This Row],[Qty]]*Table1[[#This Row],[Unit Price]])</f>
        <v>475200</v>
      </c>
      <c r="Z97" s="274">
        <f>IF(Table1[[#This Row],[h_hargasebelumdiskon]]="","",IF(Table1[[#This Row],[Disc 1]]="",0,Table1[[#This Row],[h_hargasebelumdiskon]]*Table1[[#This Row],[Disc 1]]))</f>
        <v>47520</v>
      </c>
      <c r="AA97" s="274">
        <f>IF(Table1[[#This Row],[h_hargasebelumdiskon]]="","",IF(Table1[[#This Row],[Disc 2]]="",0,(Table1[[#This Row],[h_hargasebelumdiskon]]-Table1[[#This Row],[h_disc 1]])*Table1[[#This Row],[Disc 2]]))</f>
        <v>0</v>
      </c>
      <c r="AB97" s="274">
        <f>IF(Table1[Item Description]="","",Table1[[#This Row],[h_disc 1]]+Table1[[#This Row],[h_disc 2]])</f>
        <v>47520</v>
      </c>
      <c r="AC97" s="274">
        <f>IF(Table1[Item Description]="","",Table1[[#This Row],[h_hargasebelumdiskon]]-Table1[[#This Row],[h_diskon]])</f>
        <v>427680</v>
      </c>
      <c r="AD97" s="274">
        <f ca="1">IF(Table1[//]="","",SUMIF(Table1[h_id],Table1[h_id],Table1[h_hargasetelahdiskon]))</f>
        <v>1516860</v>
      </c>
      <c r="AF97" s="274" t="str">
        <f>Table1[[#This Row],[Item Description]]&amp;Table1[[#This Row],[Unit]]&amp;Table1[[#This Row],[Unit Price]]</f>
        <v>GEL PEN KENKO K-1 HITAMLSN39600</v>
      </c>
      <c r="AG97" s="3"/>
      <c r="AH97" s="3"/>
      <c r="AI97" s="3"/>
    </row>
    <row r="98" spans="1:35" x14ac:dyDescent="0.25">
      <c r="A98" s="278" t="str">
        <f ca="1">IF(Table1[[#This Row],[No. Invoice :]]="","",ROW())</f>
        <v/>
      </c>
      <c r="B98" s="278" t="str">
        <f ca="1">IF(Table1[Column3]="","",B$1+COUNT(INDIRECT("B$2:B"&amp;ROW()-1)))</f>
        <v/>
      </c>
      <c r="C98" s="272" t="str">
        <f>IF(Table1[[#This Row],[Column2]]="","",Table1[[#This Row],[Column2]]+C$1-1)</f>
        <v/>
      </c>
      <c r="E98" s="273"/>
      <c r="F98" s="271"/>
      <c r="G98" s="278" t="str">
        <f ca="1">IF(Table1[[#This Row],[h_No. Invoice :]]="","",CONCATENATE("AM"," ",Table1[[#This Row],[h_No. Invoice :]]))</f>
        <v/>
      </c>
      <c r="H98" s="271" t="str">
        <f>IF(Table1[[#This Row],[Column5]]="","",INDEX(Table2[Column1],MATCH(Table1[[#This Row],[Column5]],Table2[a],0)))</f>
        <v/>
      </c>
      <c r="I98" s="279" t="str">
        <f>IF(Table1[[#This Row],[Column3]]=0,"",CONCATENATE(UPPER(Table1[[#This Row],[Column3]])," ",Table1[[#This Row],[Column4]]))</f>
        <v xml:space="preserve"> </v>
      </c>
      <c r="J98" s="278" t="str">
        <f>IF(Table1[[#This Row],[Column5]]="","",INDEX(Table2[e],IF(Table1[[#This Row],[Column5]]="","",MATCH(Table1[[#This Row],[Column5]],Table2[a],0)),))</f>
        <v/>
      </c>
      <c r="K98" s="271">
        <v>1</v>
      </c>
      <c r="L98" s="271" t="s">
        <v>136</v>
      </c>
      <c r="N98" s="271" t="s">
        <v>264</v>
      </c>
      <c r="O98" s="278" t="str">
        <f>IF(Table1[[#This Row],[h_Item Description]]="","",INDEX([1]!db[NB PAJAK],MATCH(Table1[[#This Row],[h_Item Description]],[1]!db[kode],0)))</f>
        <v>CUTTER 18 MM KENKO L-500 (BESAR)</v>
      </c>
      <c r="P98" s="271" t="s">
        <v>266</v>
      </c>
      <c r="Q98" s="274">
        <v>147600</v>
      </c>
      <c r="R98" s="275">
        <v>0.1</v>
      </c>
      <c r="S98" s="275"/>
      <c r="T98" s="274">
        <f>Table1[[#This Row],[h_hargasetelahdiskon]]</f>
        <v>132840</v>
      </c>
      <c r="V98" s="271"/>
      <c r="W98" s="278">
        <f ca="1">IF(Table1[[#This Row],[Item Description]]="","",IF(Table1[[#This Row],[//]]="",INDIRECT(ADDRESS(ROW()-1,COLUMN())),Table1[[#This Row],[//]]))</f>
        <v>97</v>
      </c>
      <c r="X98" s="278">
        <f ca="1">IF(Table1[[#This Row],[h_id]]="","",COUNTIF(Table1[h_id],Table1[[#This Row],[h_id]]))</f>
        <v>4</v>
      </c>
      <c r="Y98" s="274">
        <f>IF(Table1[Item Description]="","",Table1[[#This Row],[Qty]]*Table1[[#This Row],[Unit Price]])</f>
        <v>147600</v>
      </c>
      <c r="Z98" s="274">
        <f>IF(Table1[[#This Row],[h_hargasebelumdiskon]]="","",IF(Table1[[#This Row],[Disc 1]]="",0,Table1[[#This Row],[h_hargasebelumdiskon]]*Table1[[#This Row],[Disc 1]]))</f>
        <v>14760</v>
      </c>
      <c r="AA98" s="274">
        <f>IF(Table1[[#This Row],[h_hargasebelumdiskon]]="","",IF(Table1[[#This Row],[Disc 2]]="",0,(Table1[[#This Row],[h_hargasebelumdiskon]]-Table1[[#This Row],[h_disc 1]])*Table1[[#This Row],[Disc 2]]))</f>
        <v>0</v>
      </c>
      <c r="AB98" s="274">
        <f>IF(Table1[Item Description]="","",Table1[[#This Row],[h_disc 1]]+Table1[[#This Row],[h_disc 2]])</f>
        <v>14760</v>
      </c>
      <c r="AC98" s="274">
        <f>IF(Table1[Item Description]="","",Table1[[#This Row],[h_hargasebelumdiskon]]-Table1[[#This Row],[h_diskon]])</f>
        <v>132840</v>
      </c>
      <c r="AD98" s="274" t="str">
        <f ca="1">IF(Table1[//]="","",SUMIF(Table1[h_id],Table1[h_id],Table1[h_hargasetelahdiskon]))</f>
        <v/>
      </c>
      <c r="AF98" s="274" t="str">
        <f>Table1[[#This Row],[Item Description]]&amp;Table1[[#This Row],[Unit]]&amp;Table1[[#This Row],[Unit Price]]</f>
        <v>CUTTER 18 MM KENKO L-500 (BESAR)LSN147600</v>
      </c>
      <c r="AG98" s="3"/>
      <c r="AH98" s="3"/>
      <c r="AI98" s="3"/>
    </row>
    <row r="99" spans="1:35" x14ac:dyDescent="0.25">
      <c r="A99" s="278" t="str">
        <f ca="1">IF(Table1[[#This Row],[No. Invoice :]]="","",ROW())</f>
        <v/>
      </c>
      <c r="B99" s="278" t="str">
        <f ca="1">IF(Table1[Column3]="","",B$1+COUNT(INDIRECT("B$2:B"&amp;ROW()-1)))</f>
        <v/>
      </c>
      <c r="C99" s="272" t="str">
        <f>IF(Table1[[#This Row],[Column2]]="","",Table1[[#This Row],[Column2]]+C$1-1)</f>
        <v/>
      </c>
      <c r="E99" s="273"/>
      <c r="F99" s="271"/>
      <c r="G99" s="278" t="str">
        <f ca="1">IF(Table1[[#This Row],[h_No. Invoice :]]="","",CONCATENATE("AM"," ",Table1[[#This Row],[h_No. Invoice :]]))</f>
        <v/>
      </c>
      <c r="H99" s="271" t="str">
        <f>IF(Table1[[#This Row],[Column5]]="","",INDEX(Table2[Column1],MATCH(Table1[[#This Row],[Column5]],Table2[a],0)))</f>
        <v/>
      </c>
      <c r="I99" s="279" t="str">
        <f>IF(Table1[[#This Row],[Column3]]=0,"",CONCATENATE(UPPER(Table1[[#This Row],[Column3]])," ",Table1[[#This Row],[Column4]]))</f>
        <v xml:space="preserve"> </v>
      </c>
      <c r="J99" s="278" t="str">
        <f>IF(Table1[[#This Row],[Column5]]="","",INDEX(Table2[e],IF(Table1[[#This Row],[Column5]]="","",MATCH(Table1[[#This Row],[Column5]],Table2[a],0)),))</f>
        <v/>
      </c>
      <c r="K99" s="271">
        <v>5</v>
      </c>
      <c r="L99" s="271" t="s">
        <v>136</v>
      </c>
      <c r="N99" s="271" t="s">
        <v>196</v>
      </c>
      <c r="O99" s="278" t="str">
        <f>IF(Table1[[#This Row],[h_Item Description]]="","",INDEX([1]!db[NB PAJAK],MATCH(Table1[[#This Row],[h_Item Description]],[1]!db[kode],0)))</f>
        <v>CUTTER 9 MM KENKO A-300 (KECIL)</v>
      </c>
      <c r="P99" s="271" t="s">
        <v>197</v>
      </c>
      <c r="Q99" s="274">
        <v>57000</v>
      </c>
      <c r="R99" s="275">
        <v>0.1</v>
      </c>
      <c r="S99" s="275"/>
      <c r="T99" s="274">
        <f>Table1[[#This Row],[h_hargasetelahdiskon]]</f>
        <v>256500</v>
      </c>
      <c r="V99" s="271"/>
      <c r="W99" s="278">
        <f ca="1">IF(Table1[[#This Row],[Item Description]]="","",IF(Table1[[#This Row],[//]]="",INDIRECT(ADDRESS(ROW()-1,COLUMN())),Table1[[#This Row],[//]]))</f>
        <v>97</v>
      </c>
      <c r="X99" s="278">
        <f ca="1">IF(Table1[[#This Row],[h_id]]="","",COUNTIF(Table1[h_id],Table1[[#This Row],[h_id]]))</f>
        <v>4</v>
      </c>
      <c r="Y99" s="274">
        <f>IF(Table1[Item Description]="","",Table1[[#This Row],[Qty]]*Table1[[#This Row],[Unit Price]])</f>
        <v>285000</v>
      </c>
      <c r="Z99" s="274">
        <f>IF(Table1[[#This Row],[h_hargasebelumdiskon]]="","",IF(Table1[[#This Row],[Disc 1]]="",0,Table1[[#This Row],[h_hargasebelumdiskon]]*Table1[[#This Row],[Disc 1]]))</f>
        <v>28500</v>
      </c>
      <c r="AA99" s="274">
        <f>IF(Table1[[#This Row],[h_hargasebelumdiskon]]="","",IF(Table1[[#This Row],[Disc 2]]="",0,(Table1[[#This Row],[h_hargasebelumdiskon]]-Table1[[#This Row],[h_disc 1]])*Table1[[#This Row],[Disc 2]]))</f>
        <v>0</v>
      </c>
      <c r="AB99" s="274">
        <f>IF(Table1[Item Description]="","",Table1[[#This Row],[h_disc 1]]+Table1[[#This Row],[h_disc 2]])</f>
        <v>28500</v>
      </c>
      <c r="AC99" s="274">
        <f>IF(Table1[Item Description]="","",Table1[[#This Row],[h_hargasebelumdiskon]]-Table1[[#This Row],[h_diskon]])</f>
        <v>256500</v>
      </c>
      <c r="AD99" s="274" t="str">
        <f ca="1">IF(Table1[//]="","",SUMIF(Table1[h_id],Table1[h_id],Table1[h_hargasetelahdiskon]))</f>
        <v/>
      </c>
      <c r="AF99" s="274" t="str">
        <f>Table1[[#This Row],[Item Description]]&amp;Table1[[#This Row],[Unit]]&amp;Table1[[#This Row],[Unit Price]]</f>
        <v>CUTTER 9 MM KENKO A-300 (KECIL)LSN57000</v>
      </c>
      <c r="AG99" s="3"/>
      <c r="AH99" s="3"/>
      <c r="AI99" s="3"/>
    </row>
    <row r="100" spans="1:35" x14ac:dyDescent="0.25">
      <c r="A100" s="278" t="str">
        <f ca="1">IF(Table1[[#This Row],[No. Invoice :]]="","",ROW())</f>
        <v/>
      </c>
      <c r="B100" s="278" t="str">
        <f ca="1">IF(Table1[Column3]="","",B$1+COUNT(INDIRECT("B$2:B"&amp;ROW()-1)))</f>
        <v/>
      </c>
      <c r="C100" s="272" t="str">
        <f>IF(Table1[[#This Row],[Column2]]="","",Table1[[#This Row],[Column2]]+C$1-1)</f>
        <v/>
      </c>
      <c r="E100" s="273"/>
      <c r="F100" s="271"/>
      <c r="G100" s="278" t="str">
        <f ca="1">IF(Table1[[#This Row],[h_No. Invoice :]]="","",CONCATENATE("AM"," ",Table1[[#This Row],[h_No. Invoice :]]))</f>
        <v/>
      </c>
      <c r="H100" s="271" t="str">
        <f>IF(Table1[[#This Row],[Column5]]="","",INDEX(Table2[Column1],MATCH(Table1[[#This Row],[Column5]],Table2[a],0)))</f>
        <v/>
      </c>
      <c r="I100" s="279" t="str">
        <f>IF(Table1[[#This Row],[Column3]]=0,"",CONCATENATE(UPPER(Table1[[#This Row],[Column3]])," ",Table1[[#This Row],[Column4]]))</f>
        <v xml:space="preserve"> </v>
      </c>
      <c r="J100" s="278" t="str">
        <f>IF(Table1[[#This Row],[Column5]]="","",INDEX(Table2[e],IF(Table1[[#This Row],[Column5]]="","",MATCH(Table1[[#This Row],[Column5]],Table2[a],0)),))</f>
        <v/>
      </c>
      <c r="K100" s="271">
        <v>12</v>
      </c>
      <c r="L100" s="271" t="s">
        <v>136</v>
      </c>
      <c r="N100" s="271" t="s">
        <v>271</v>
      </c>
      <c r="O100" s="278" t="str">
        <f>IF(Table1[[#This Row],[h_Item Description]]="","",INDEX([1]!db[NB PAJAK],MATCH(Table1[[#This Row],[h_Item Description]],[1]!db[kode],0)))</f>
        <v>ISI CUTTER 18 MM KENKO L-150 (BESAR)</v>
      </c>
      <c r="P100" s="271" t="s">
        <v>246</v>
      </c>
      <c r="Q100" s="274">
        <v>64800</v>
      </c>
      <c r="R100" s="275">
        <v>0.1</v>
      </c>
      <c r="S100" s="275"/>
      <c r="T100" s="274">
        <f>Table1[[#This Row],[h_hargasetelahdiskon]]</f>
        <v>699840</v>
      </c>
      <c r="V100" s="271"/>
      <c r="W100" s="278">
        <f ca="1">IF(Table1[[#This Row],[Item Description]]="","",IF(Table1[[#This Row],[//]]="",INDIRECT(ADDRESS(ROW()-1,COLUMN())),Table1[[#This Row],[//]]))</f>
        <v>97</v>
      </c>
      <c r="X100" s="278">
        <f ca="1">IF(Table1[[#This Row],[h_id]]="","",COUNTIF(Table1[h_id],Table1[[#This Row],[h_id]]))</f>
        <v>4</v>
      </c>
      <c r="Y100" s="274">
        <f>IF(Table1[Item Description]="","",Table1[[#This Row],[Qty]]*Table1[[#This Row],[Unit Price]])</f>
        <v>777600</v>
      </c>
      <c r="Z100" s="274">
        <f>IF(Table1[[#This Row],[h_hargasebelumdiskon]]="","",IF(Table1[[#This Row],[Disc 1]]="",0,Table1[[#This Row],[h_hargasebelumdiskon]]*Table1[[#This Row],[Disc 1]]))</f>
        <v>77760</v>
      </c>
      <c r="AA100" s="274">
        <f>IF(Table1[[#This Row],[h_hargasebelumdiskon]]="","",IF(Table1[[#This Row],[Disc 2]]="",0,(Table1[[#This Row],[h_hargasebelumdiskon]]-Table1[[#This Row],[h_disc 1]])*Table1[[#This Row],[Disc 2]]))</f>
        <v>0</v>
      </c>
      <c r="AB100" s="274">
        <f>IF(Table1[Item Description]="","",Table1[[#This Row],[h_disc 1]]+Table1[[#This Row],[h_disc 2]])</f>
        <v>77760</v>
      </c>
      <c r="AC100" s="274">
        <f>IF(Table1[Item Description]="","",Table1[[#This Row],[h_hargasebelumdiskon]]-Table1[[#This Row],[h_diskon]])</f>
        <v>699840</v>
      </c>
      <c r="AD100" s="274" t="str">
        <f ca="1">IF(Table1[//]="","",SUMIF(Table1[h_id],Table1[h_id],Table1[h_hargasetelahdiskon]))</f>
        <v/>
      </c>
      <c r="AF100" s="274" t="str">
        <f>Table1[[#This Row],[Item Description]]&amp;Table1[[#This Row],[Unit]]&amp;Table1[[#This Row],[Unit Price]]</f>
        <v>ISI CUTTER 18 MM KENKO L-150 (BESAR)LSN64800</v>
      </c>
      <c r="AG100" s="3"/>
      <c r="AH100" s="3"/>
      <c r="AI100" s="3"/>
    </row>
    <row r="101" spans="1:35" x14ac:dyDescent="0.25">
      <c r="A101" s="278" t="str">
        <f ca="1">IF(Table1[[#This Row],[No. Invoice :]]="","",ROW())</f>
        <v/>
      </c>
      <c r="B101" s="278" t="str">
        <f ca="1">IF(Table1[Column3]="","",B$1+COUNT(INDIRECT("B$2:B"&amp;ROW()-1)))</f>
        <v/>
      </c>
      <c r="C101" s="272" t="str">
        <f>IF(Table1[[#This Row],[Column2]]="","",Table1[[#This Row],[Column2]]+C$1-1)</f>
        <v/>
      </c>
      <c r="E101" s="273"/>
      <c r="F101" s="271"/>
      <c r="G101" s="278" t="str">
        <f ca="1">IF(Table1[[#This Row],[h_No. Invoice :]]="","",CONCATENATE("AM"," ",Table1[[#This Row],[h_No. Invoice :]]))</f>
        <v/>
      </c>
      <c r="H101" s="271" t="str">
        <f>IF(Table1[[#This Row],[Column5]]="","",INDEX(Table2[Column1],MATCH(Table1[[#This Row],[Column5]],Table2[a],0)))</f>
        <v/>
      </c>
      <c r="I101" s="279" t="str">
        <f>IF(Table1[[#This Row],[Column3]]=0,"",CONCATENATE(UPPER(Table1[[#This Row],[Column3]])," ",Table1[[#This Row],[Column4]]))</f>
        <v xml:space="preserve"> </v>
      </c>
      <c r="J101" s="278" t="str">
        <f>IF(Table1[[#This Row],[Column5]]="","",INDEX(Table2[e],IF(Table1[[#This Row],[Column5]]="","",MATCH(Table1[[#This Row],[Column5]],Table2[a],0)),))</f>
        <v/>
      </c>
      <c r="K101" s="271"/>
      <c r="L101" s="271"/>
      <c r="O101" s="278" t="str">
        <f>IF(Table1[[#This Row],[h_Item Description]]="","",INDEX([1]!db[NB PAJAK],MATCH(Table1[[#This Row],[h_Item Description]],[1]!db[kode],0)))</f>
        <v/>
      </c>
      <c r="Q101" s="274"/>
      <c r="R101" s="275"/>
      <c r="S101" s="275"/>
      <c r="T101" s="274" t="str">
        <f>Table1[[#This Row],[h_hargasetelahdiskon]]</f>
        <v/>
      </c>
      <c r="V101" s="271"/>
      <c r="W101" s="278" t="str">
        <f ca="1">IF(Table1[[#This Row],[Item Description]]="","",IF(Table1[[#This Row],[//]]="",INDIRECT(ADDRESS(ROW()-1,COLUMN())),Table1[[#This Row],[//]]))</f>
        <v/>
      </c>
      <c r="X101" s="278" t="str">
        <f ca="1">IF(Table1[[#This Row],[h_id]]="","",COUNTIF(Table1[h_id],Table1[[#This Row],[h_id]]))</f>
        <v/>
      </c>
      <c r="Y101" s="274" t="str">
        <f>IF(Table1[Item Description]="","",Table1[[#This Row],[Qty]]*Table1[[#This Row],[Unit Price]])</f>
        <v/>
      </c>
      <c r="Z101" s="274" t="str">
        <f>IF(Table1[[#This Row],[h_hargasebelumdiskon]]="","",IF(Table1[[#This Row],[Disc 1]]="",0,Table1[[#This Row],[h_hargasebelumdiskon]]*Table1[[#This Row],[Disc 1]]))</f>
        <v/>
      </c>
      <c r="AA101" s="274" t="str">
        <f>IF(Table1[[#This Row],[h_hargasebelumdiskon]]="","",IF(Table1[[#This Row],[Disc 2]]="",0,(Table1[[#This Row],[h_hargasebelumdiskon]]-Table1[[#This Row],[h_disc 1]])*Table1[[#This Row],[Disc 2]]))</f>
        <v/>
      </c>
      <c r="AB101" s="274" t="str">
        <f>IF(Table1[Item Description]="","",Table1[[#This Row],[h_disc 1]]+Table1[[#This Row],[h_disc 2]])</f>
        <v/>
      </c>
      <c r="AC101" s="274" t="str">
        <f>IF(Table1[Item Description]="","",Table1[[#This Row],[h_hargasebelumdiskon]]-Table1[[#This Row],[h_diskon]])</f>
        <v/>
      </c>
      <c r="AD101" s="274" t="str">
        <f ca="1">IF(Table1[//]="","",SUMIF(Table1[h_id],Table1[h_id],Table1[h_hargasetelahdiskon]))</f>
        <v/>
      </c>
      <c r="AF101" s="274" t="str">
        <f>Table1[[#This Row],[Item Description]]&amp;Table1[[#This Row],[Unit]]&amp;Table1[[#This Row],[Unit Price]]</f>
        <v/>
      </c>
      <c r="AG101" s="3"/>
      <c r="AH101" s="3"/>
      <c r="AI101" s="3"/>
    </row>
    <row r="102" spans="1:35" x14ac:dyDescent="0.25">
      <c r="A102" s="278">
        <f ca="1">IF(Table1[[#This Row],[No. Invoice :]]="","",ROW())</f>
        <v>102</v>
      </c>
      <c r="B102" s="278">
        <f ca="1">IF(Table1[Column3]="","",B$1+COUNT(INDIRECT("B$2:B"&amp;ROW()-1)))</f>
        <v>24020020</v>
      </c>
      <c r="C102" s="272">
        <f>IF(Table1[[#This Row],[Column2]]="","",Table1[[#This Row],[Column2]]+C$1-1)</f>
        <v>45343</v>
      </c>
      <c r="D102" s="281">
        <v>21</v>
      </c>
      <c r="E102" s="273" t="s">
        <v>273</v>
      </c>
      <c r="F102" s="271" t="s">
        <v>88</v>
      </c>
      <c r="G102" s="278" t="str">
        <f ca="1">IF(Table1[[#This Row],[h_No. Invoice :]]="","",CONCATENATE("AM"," ",Table1[[#This Row],[h_No. Invoice :]]))</f>
        <v>AM 24020020</v>
      </c>
      <c r="H102" s="271" t="str">
        <f>IF(Table1[[#This Row],[Column5]]="","",INDEX(Table2[Column1],MATCH(Table1[[#This Row],[Column5]],Table2[a],0)))</f>
        <v>G</v>
      </c>
      <c r="I102" s="279" t="str">
        <f>IF(Table1[[#This Row],[Column3]]=0,"",CONCATENATE(UPPER(Table1[[#This Row],[Column3]])," ",Table1[[#This Row],[Column4]]))</f>
        <v>G 2720</v>
      </c>
      <c r="J102" s="278" t="str">
        <f>IF(Table1[[#This Row],[Column5]]="","",INDEX(Table2[e],IF(Table1[[#This Row],[Column5]]="","",MATCH(Table1[[#This Row],[Column5]],Table2[a],0)),))</f>
        <v>CV UTAMA PUTRA TULUNG AGUNG</v>
      </c>
      <c r="K102" s="271">
        <v>144</v>
      </c>
      <c r="L102" s="271" t="s">
        <v>136</v>
      </c>
      <c r="M102" s="271">
        <v>1</v>
      </c>
      <c r="N102" s="271" t="s">
        <v>274</v>
      </c>
      <c r="O102" s="278" t="str">
        <f>IF(Table1[[#This Row],[h_Item Description]]="","",INDEX([1]!db[NB PAJAK],MATCH(Table1[[#This Row],[h_Item Description]],[1]!db[kode],0)))</f>
        <v>GEL PEN TRIFELLO HI-TECH TF-1190 HITAM</v>
      </c>
      <c r="P102" s="271" t="s">
        <v>275</v>
      </c>
      <c r="Q102" s="274">
        <v>28500</v>
      </c>
      <c r="R102" s="275"/>
      <c r="S102" s="275"/>
      <c r="T102" s="274">
        <f>Table1[[#This Row],[h_hargasetelahdiskon]]</f>
        <v>4104000</v>
      </c>
      <c r="U102" s="274" t="s">
        <v>129</v>
      </c>
      <c r="V102" s="271"/>
      <c r="W102" s="278">
        <f ca="1">IF(Table1[[#This Row],[Item Description]]="","",IF(Table1[[#This Row],[//]]="",INDIRECT(ADDRESS(ROW()-1,COLUMN())),Table1[[#This Row],[//]]))</f>
        <v>102</v>
      </c>
      <c r="X102" s="278">
        <f ca="1">IF(Table1[[#This Row],[h_id]]="","",COUNTIF(Table1[h_id],Table1[[#This Row],[h_id]]))</f>
        <v>6</v>
      </c>
      <c r="Y102" s="274">
        <f>IF(Table1[Item Description]="","",Table1[[#This Row],[Qty]]*Table1[[#This Row],[Unit Price]])</f>
        <v>4104000</v>
      </c>
      <c r="Z102" s="274">
        <f>IF(Table1[[#This Row],[h_hargasebelumdiskon]]="","",IF(Table1[[#This Row],[Disc 1]]="",0,Table1[[#This Row],[h_hargasebelumdiskon]]*Table1[[#This Row],[Disc 1]]))</f>
        <v>0</v>
      </c>
      <c r="AA102" s="274">
        <f>IF(Table1[[#This Row],[h_hargasebelumdiskon]]="","",IF(Table1[[#This Row],[Disc 2]]="",0,(Table1[[#This Row],[h_hargasebelumdiskon]]-Table1[[#This Row],[h_disc 1]])*Table1[[#This Row],[Disc 2]]))</f>
        <v>0</v>
      </c>
      <c r="AB102" s="274">
        <f>IF(Table1[Item Description]="","",Table1[[#This Row],[h_disc 1]]+Table1[[#This Row],[h_disc 2]])</f>
        <v>0</v>
      </c>
      <c r="AC102" s="274">
        <f>IF(Table1[Item Description]="","",Table1[[#This Row],[h_hargasebelumdiskon]]-Table1[[#This Row],[h_diskon]])</f>
        <v>4104000</v>
      </c>
      <c r="AD102" s="274">
        <f ca="1">IF(Table1[//]="","",SUMIF(Table1[h_id],Table1[h_id],Table1[h_hargasetelahdiskon]))</f>
        <v>13724000</v>
      </c>
      <c r="AF102" s="274" t="str">
        <f>Table1[[#This Row],[Item Description]]&amp;Table1[[#This Row],[Unit]]&amp;Table1[[#This Row],[Unit Price]]</f>
        <v>GEL PEN TRIFELLO HI-TECH TF-1190 HITAMLSN28500</v>
      </c>
      <c r="AG102" s="3"/>
      <c r="AH102" s="3"/>
      <c r="AI102" s="3"/>
    </row>
    <row r="103" spans="1:35" ht="16.5" x14ac:dyDescent="0.25">
      <c r="A103" s="278" t="str">
        <f ca="1">IF(Table1[[#This Row],[No. Invoice :]]="","",ROW())</f>
        <v/>
      </c>
      <c r="B103" s="278" t="str">
        <f ca="1">IF(Table1[Column3]="","",B$1+COUNT(INDIRECT("B$2:B"&amp;ROW()-1)))</f>
        <v/>
      </c>
      <c r="C103" s="272" t="str">
        <f>IF(Table1[[#This Row],[Column2]]="","",Table1[[#This Row],[Column2]]+C$1-1)</f>
        <v/>
      </c>
      <c r="E103" s="273"/>
      <c r="F103" s="271"/>
      <c r="G103" s="278" t="str">
        <f ca="1">IF(Table1[[#This Row],[h_No. Invoice :]]="","",CONCATENATE("AM"," ",Table1[[#This Row],[h_No. Invoice :]]))</f>
        <v/>
      </c>
      <c r="H103" s="271" t="str">
        <f>IF(Table1[[#This Row],[Column5]]="","",INDEX(Table2[Column1],MATCH(Table1[[#This Row],[Column5]],Table2[a],0)))</f>
        <v/>
      </c>
      <c r="I103" s="279" t="str">
        <f>IF(Table1[[#This Row],[Column3]]=0,"",CONCATENATE(UPPER(Table1[[#This Row],[Column3]])," ",Table1[[#This Row],[Column4]]))</f>
        <v xml:space="preserve"> </v>
      </c>
      <c r="J103" s="278" t="str">
        <f>IF(Table1[[#This Row],[Column5]]="","",INDEX(Table2[e],IF(Table1[[#This Row],[Column5]]="","",MATCH(Table1[[#This Row],[Column5]],Table2[a],0)),))</f>
        <v/>
      </c>
      <c r="K103" s="271">
        <v>144</v>
      </c>
      <c r="L103" s="271" t="s">
        <v>136</v>
      </c>
      <c r="M103" s="271">
        <v>1</v>
      </c>
      <c r="N103" s="271" t="s">
        <v>276</v>
      </c>
      <c r="O103" s="278" t="e">
        <f>IF(Table1[[#This Row],[h_Item Description]]="","",INDEX([1]!db[NB PAJAK],MATCH(Table1[[#This Row],[h_Item Description]],[1]!db[kode],0)))</f>
        <v>#N/A</v>
      </c>
      <c r="P103" s="491" t="s">
        <v>280</v>
      </c>
      <c r="Q103" s="274">
        <v>29500</v>
      </c>
      <c r="R103" s="275"/>
      <c r="S103" s="275"/>
      <c r="T103" s="274">
        <f>Table1[[#This Row],[h_hargasetelahdiskon]]</f>
        <v>4248000</v>
      </c>
      <c r="V103" s="271"/>
      <c r="W103" s="278">
        <f ca="1">IF(Table1[[#This Row],[Item Description]]="","",IF(Table1[[#This Row],[//]]="",INDIRECT(ADDRESS(ROW()-1,COLUMN())),Table1[[#This Row],[//]]))</f>
        <v>102</v>
      </c>
      <c r="X103" s="278">
        <f ca="1">IF(Table1[[#This Row],[h_id]]="","",COUNTIF(Table1[h_id],Table1[[#This Row],[h_id]]))</f>
        <v>6</v>
      </c>
      <c r="Y103" s="274">
        <f>IF(Table1[Item Description]="","",Table1[[#This Row],[Qty]]*Table1[[#This Row],[Unit Price]])</f>
        <v>4248000</v>
      </c>
      <c r="Z103" s="274">
        <f>IF(Table1[[#This Row],[h_hargasebelumdiskon]]="","",IF(Table1[[#This Row],[Disc 1]]="",0,Table1[[#This Row],[h_hargasebelumdiskon]]*Table1[[#This Row],[Disc 1]]))</f>
        <v>0</v>
      </c>
      <c r="AA103" s="274">
        <f>IF(Table1[[#This Row],[h_hargasebelumdiskon]]="","",IF(Table1[[#This Row],[Disc 2]]="",0,(Table1[[#This Row],[h_hargasebelumdiskon]]-Table1[[#This Row],[h_disc 1]])*Table1[[#This Row],[Disc 2]]))</f>
        <v>0</v>
      </c>
      <c r="AB103" s="274">
        <f>IF(Table1[Item Description]="","",Table1[[#This Row],[h_disc 1]]+Table1[[#This Row],[h_disc 2]])</f>
        <v>0</v>
      </c>
      <c r="AC103" s="274">
        <f>IF(Table1[Item Description]="","",Table1[[#This Row],[h_hargasebelumdiskon]]-Table1[[#This Row],[h_diskon]])</f>
        <v>4248000</v>
      </c>
      <c r="AD103" s="274" t="str">
        <f ca="1">IF(Table1[//]="","",SUMIF(Table1[h_id],Table1[h_id],Table1[h_hargasetelahdiskon]))</f>
        <v/>
      </c>
      <c r="AF103" s="274" t="str">
        <f>Table1[[#This Row],[Item Description]]&amp;Table1[[#This Row],[Unit]]&amp;Table1[[#This Row],[Unit Price]]</f>
        <v>GEL TECHJOB WRITE TG322-BLSN29500</v>
      </c>
      <c r="AG103" s="3"/>
      <c r="AH103" s="3"/>
      <c r="AI103" s="3"/>
    </row>
    <row r="104" spans="1:35" x14ac:dyDescent="0.25">
      <c r="A104" s="278" t="str">
        <f ca="1">IF(Table1[[#This Row],[No. Invoice :]]="","",ROW())</f>
        <v/>
      </c>
      <c r="B104" s="278" t="str">
        <f ca="1">IF(Table1[Column3]="","",B$1+COUNT(INDIRECT("B$2:B"&amp;ROW()-1)))</f>
        <v/>
      </c>
      <c r="C104" s="272" t="str">
        <f>IF(Table1[[#This Row],[Column2]]="","",Table1[[#This Row],[Column2]]+C$1-1)</f>
        <v/>
      </c>
      <c r="E104" s="273"/>
      <c r="F104" s="271"/>
      <c r="G104" s="278" t="str">
        <f ca="1">IF(Table1[[#This Row],[h_No. Invoice :]]="","",CONCATENATE("AM"," ",Table1[[#This Row],[h_No. Invoice :]]))</f>
        <v/>
      </c>
      <c r="H104" s="271" t="str">
        <f>IF(Table1[[#This Row],[Column5]]="","",INDEX(Table2[Column1],MATCH(Table1[[#This Row],[Column5]],Table2[a],0)))</f>
        <v/>
      </c>
      <c r="I104" s="279" t="str">
        <f>IF(Table1[[#This Row],[Column3]]=0,"",CONCATENATE(UPPER(Table1[[#This Row],[Column3]])," ",Table1[[#This Row],[Column4]]))</f>
        <v xml:space="preserve"> </v>
      </c>
      <c r="J104" s="278" t="str">
        <f>IF(Table1[[#This Row],[Column5]]="","",INDEX(Table2[e],IF(Table1[[#This Row],[Column5]]="","",MATCH(Table1[[#This Row],[Column5]],Table2[a],0)),))</f>
        <v/>
      </c>
      <c r="K104" s="271">
        <v>60</v>
      </c>
      <c r="L104" s="271" t="s">
        <v>136</v>
      </c>
      <c r="N104" s="271" t="s">
        <v>277</v>
      </c>
      <c r="O104" s="278" t="e">
        <f>IF(Table1[[#This Row],[h_Item Description]]="","",INDEX([1]!db[NB PAJAK],MATCH(Table1[[#This Row],[h_Item Description]],[1]!db[kode],0)))</f>
        <v>#N/A</v>
      </c>
      <c r="P104" s="271" t="s">
        <v>281</v>
      </c>
      <c r="Q104" s="274">
        <v>12500</v>
      </c>
      <c r="R104" s="275"/>
      <c r="S104" s="275"/>
      <c r="T104" s="274">
        <f>Table1[[#This Row],[h_hargasetelahdiskon]]</f>
        <v>750000</v>
      </c>
      <c r="V104" s="271"/>
      <c r="W104" s="278">
        <f ca="1">IF(Table1[[#This Row],[Item Description]]="","",IF(Table1[[#This Row],[//]]="",INDIRECT(ADDRESS(ROW()-1,COLUMN())),Table1[[#This Row],[//]]))</f>
        <v>102</v>
      </c>
      <c r="X104" s="278">
        <f ca="1">IF(Table1[[#This Row],[h_id]]="","",COUNTIF(Table1[h_id],Table1[[#This Row],[h_id]]))</f>
        <v>6</v>
      </c>
      <c r="Y104" s="274">
        <f>IF(Table1[Item Description]="","",Table1[[#This Row],[Qty]]*Table1[[#This Row],[Unit Price]])</f>
        <v>750000</v>
      </c>
      <c r="Z104" s="274">
        <f>IF(Table1[[#This Row],[h_hargasebelumdiskon]]="","",IF(Table1[[#This Row],[Disc 1]]="",0,Table1[[#This Row],[h_hargasebelumdiskon]]*Table1[[#This Row],[Disc 1]]))</f>
        <v>0</v>
      </c>
      <c r="AA104" s="274">
        <f>IF(Table1[[#This Row],[h_hargasebelumdiskon]]="","",IF(Table1[[#This Row],[Disc 2]]="",0,(Table1[[#This Row],[h_hargasebelumdiskon]]-Table1[[#This Row],[h_disc 1]])*Table1[[#This Row],[Disc 2]]))</f>
        <v>0</v>
      </c>
      <c r="AB104" s="274">
        <f>IF(Table1[Item Description]="","",Table1[[#This Row],[h_disc 1]]+Table1[[#This Row],[h_disc 2]])</f>
        <v>0</v>
      </c>
      <c r="AC104" s="274">
        <f>IF(Table1[Item Description]="","",Table1[[#This Row],[h_hargasebelumdiskon]]-Table1[[#This Row],[h_diskon]])</f>
        <v>750000</v>
      </c>
      <c r="AD104" s="274" t="str">
        <f ca="1">IF(Table1[//]="","",SUMIF(Table1[h_id],Table1[h_id],Table1[h_hargasetelahdiskon]))</f>
        <v/>
      </c>
      <c r="AF104" s="274" t="str">
        <f>Table1[[#This Row],[Item Description]]&amp;Table1[[#This Row],[Unit]]&amp;Table1[[#This Row],[Unit Price]]</f>
        <v>ISI GEL 1.0 HITAMLSN12500</v>
      </c>
      <c r="AG104" s="3"/>
      <c r="AH104" s="3"/>
      <c r="AI104" s="3"/>
    </row>
    <row r="105" spans="1:35" x14ac:dyDescent="0.25">
      <c r="A105" s="278" t="str">
        <f ca="1">IF(Table1[[#This Row],[No. Invoice :]]="","",ROW())</f>
        <v/>
      </c>
      <c r="B105" s="278" t="str">
        <f ca="1">IF(Table1[Column3]="","",B$1+COUNT(INDIRECT("B$2:B"&amp;ROW()-1)))</f>
        <v/>
      </c>
      <c r="C105" s="272" t="str">
        <f>IF(Table1[[#This Row],[Column2]]="","",Table1[[#This Row],[Column2]]+C$1-1)</f>
        <v/>
      </c>
      <c r="E105" s="273"/>
      <c r="F105" s="271"/>
      <c r="G105" s="278" t="str">
        <f ca="1">IF(Table1[[#This Row],[h_No. Invoice :]]="","",CONCATENATE("AM"," ",Table1[[#This Row],[h_No. Invoice :]]))</f>
        <v/>
      </c>
      <c r="H105" s="271" t="str">
        <f>IF(Table1[[#This Row],[Column5]]="","",INDEX(Table2[Column1],MATCH(Table1[[#This Row],[Column5]],Table2[a],0)))</f>
        <v/>
      </c>
      <c r="I105" s="279" t="str">
        <f>IF(Table1[[#This Row],[Column3]]=0,"",CONCATENATE(UPPER(Table1[[#This Row],[Column3]])," ",Table1[[#This Row],[Column4]]))</f>
        <v xml:space="preserve"> </v>
      </c>
      <c r="J105" s="278" t="str">
        <f>IF(Table1[[#This Row],[Column5]]="","",INDEX(Table2[e],IF(Table1[[#This Row],[Column5]]="","",MATCH(Table1[[#This Row],[Column5]],Table2[a],0)),))</f>
        <v/>
      </c>
      <c r="K105" s="271">
        <v>48</v>
      </c>
      <c r="L105" s="271" t="s">
        <v>136</v>
      </c>
      <c r="O105" s="278" t="str">
        <f>IF(Table1[[#This Row],[h_Item Description]]="","",INDEX([1]!db[NB PAJAK],MATCH(Table1[[#This Row],[h_Item Description]],[1]!db[kode],0)))</f>
        <v/>
      </c>
      <c r="P105" s="271" t="s">
        <v>278</v>
      </c>
      <c r="Q105" s="274">
        <v>39500</v>
      </c>
      <c r="R105" s="275"/>
      <c r="S105" s="275"/>
      <c r="T105" s="274">
        <f>Table1[[#This Row],[h_hargasetelahdiskon]]</f>
        <v>1896000</v>
      </c>
      <c r="V105" s="271"/>
      <c r="W105" s="278">
        <f ca="1">IF(Table1[[#This Row],[Item Description]]="","",IF(Table1[[#This Row],[//]]="",INDIRECT(ADDRESS(ROW()-1,COLUMN())),Table1[[#This Row],[//]]))</f>
        <v>102</v>
      </c>
      <c r="X105" s="278">
        <f ca="1">IF(Table1[[#This Row],[h_id]]="","",COUNTIF(Table1[h_id],Table1[[#This Row],[h_id]]))</f>
        <v>6</v>
      </c>
      <c r="Y105" s="274">
        <f>IF(Table1[Item Description]="","",Table1[[#This Row],[Qty]]*Table1[[#This Row],[Unit Price]])</f>
        <v>1896000</v>
      </c>
      <c r="Z105" s="274">
        <f>IF(Table1[[#This Row],[h_hargasebelumdiskon]]="","",IF(Table1[[#This Row],[Disc 1]]="",0,Table1[[#This Row],[h_hargasebelumdiskon]]*Table1[[#This Row],[Disc 1]]))</f>
        <v>0</v>
      </c>
      <c r="AA105" s="274">
        <f>IF(Table1[[#This Row],[h_hargasebelumdiskon]]="","",IF(Table1[[#This Row],[Disc 2]]="",0,(Table1[[#This Row],[h_hargasebelumdiskon]]-Table1[[#This Row],[h_disc 1]])*Table1[[#This Row],[Disc 2]]))</f>
        <v>0</v>
      </c>
      <c r="AB105" s="274">
        <f>IF(Table1[Item Description]="","",Table1[[#This Row],[h_disc 1]]+Table1[[#This Row],[h_disc 2]])</f>
        <v>0</v>
      </c>
      <c r="AC105" s="274">
        <f>IF(Table1[Item Description]="","",Table1[[#This Row],[h_hargasebelumdiskon]]-Table1[[#This Row],[h_diskon]])</f>
        <v>1896000</v>
      </c>
      <c r="AD105" s="274" t="str">
        <f ca="1">IF(Table1[//]="","",SUMIF(Table1[h_id],Table1[h_id],Table1[h_hargasetelahdiskon]))</f>
        <v/>
      </c>
      <c r="AF105" s="274" t="str">
        <f>Table1[[#This Row],[Item Description]]&amp;Table1[[#This Row],[Unit]]&amp;Table1[[#This Row],[Unit Price]]</f>
        <v>GEL PEN WEIYADA E-681 HITAMLSN39500</v>
      </c>
      <c r="AG105" s="3"/>
      <c r="AH105" s="3"/>
      <c r="AI105" s="3"/>
    </row>
    <row r="106" spans="1:35" x14ac:dyDescent="0.25">
      <c r="A106" s="278" t="str">
        <f ca="1">IF(Table1[[#This Row],[No. Invoice :]]="","",ROW())</f>
        <v/>
      </c>
      <c r="B106" s="278" t="str">
        <f ca="1">IF(Table1[Column3]="","",B$1+COUNT(INDIRECT("B$2:B"&amp;ROW()-1)))</f>
        <v/>
      </c>
      <c r="C106" s="272" t="str">
        <f>IF(Table1[[#This Row],[Column2]]="","",Table1[[#This Row],[Column2]]+C$1-1)</f>
        <v/>
      </c>
      <c r="E106" s="273"/>
      <c r="F106" s="271"/>
      <c r="G106" s="278" t="str">
        <f ca="1">IF(Table1[[#This Row],[h_No. Invoice :]]="","",CONCATENATE("AM"," ",Table1[[#This Row],[h_No. Invoice :]]))</f>
        <v/>
      </c>
      <c r="H106" s="271" t="str">
        <f>IF(Table1[[#This Row],[Column5]]="","",INDEX(Table2[Column1],MATCH(Table1[[#This Row],[Column5]],Table2[a],0)))</f>
        <v/>
      </c>
      <c r="I106" s="279" t="str">
        <f>IF(Table1[[#This Row],[Column3]]=0,"",CONCATENATE(UPPER(Table1[[#This Row],[Column3]])," ",Table1[[#This Row],[Column4]]))</f>
        <v xml:space="preserve"> </v>
      </c>
      <c r="J106" s="278" t="str">
        <f>IF(Table1[[#This Row],[Column5]]="","",INDEX(Table2[e],IF(Table1[[#This Row],[Column5]]="","",MATCH(Table1[[#This Row],[Column5]],Table2[a],0)),))</f>
        <v/>
      </c>
      <c r="K106" s="271">
        <v>48</v>
      </c>
      <c r="L106" s="271" t="s">
        <v>136</v>
      </c>
      <c r="O106" s="278" t="str">
        <f>IF(Table1[[#This Row],[h_Item Description]]="","",INDEX([1]!db[NB PAJAK],MATCH(Table1[[#This Row],[h_Item Description]],[1]!db[kode],0)))</f>
        <v/>
      </c>
      <c r="P106" s="271" t="s">
        <v>279</v>
      </c>
      <c r="Q106" s="274">
        <v>39500</v>
      </c>
      <c r="R106" s="275"/>
      <c r="S106" s="275"/>
      <c r="T106" s="274">
        <f>Table1[[#This Row],[h_hargasetelahdiskon]]</f>
        <v>1896000</v>
      </c>
      <c r="V106" s="271"/>
      <c r="W106" s="278">
        <f ca="1">IF(Table1[[#This Row],[Item Description]]="","",IF(Table1[[#This Row],[//]]="",INDIRECT(ADDRESS(ROW()-1,COLUMN())),Table1[[#This Row],[//]]))</f>
        <v>102</v>
      </c>
      <c r="X106" s="278">
        <f ca="1">IF(Table1[[#This Row],[h_id]]="","",COUNTIF(Table1[h_id],Table1[[#This Row],[h_id]]))</f>
        <v>6</v>
      </c>
      <c r="Y106" s="274">
        <f>IF(Table1[Item Description]="","",Table1[[#This Row],[Qty]]*Table1[[#This Row],[Unit Price]])</f>
        <v>1896000</v>
      </c>
      <c r="Z106" s="274">
        <f>IF(Table1[[#This Row],[h_hargasebelumdiskon]]="","",IF(Table1[[#This Row],[Disc 1]]="",0,Table1[[#This Row],[h_hargasebelumdiskon]]*Table1[[#This Row],[Disc 1]]))</f>
        <v>0</v>
      </c>
      <c r="AA106" s="274">
        <f>IF(Table1[[#This Row],[h_hargasebelumdiskon]]="","",IF(Table1[[#This Row],[Disc 2]]="",0,(Table1[[#This Row],[h_hargasebelumdiskon]]-Table1[[#This Row],[h_disc 1]])*Table1[[#This Row],[Disc 2]]))</f>
        <v>0</v>
      </c>
      <c r="AB106" s="274">
        <f>IF(Table1[Item Description]="","",Table1[[#This Row],[h_disc 1]]+Table1[[#This Row],[h_disc 2]])</f>
        <v>0</v>
      </c>
      <c r="AC106" s="274">
        <f>IF(Table1[Item Description]="","",Table1[[#This Row],[h_hargasebelumdiskon]]-Table1[[#This Row],[h_diskon]])</f>
        <v>1896000</v>
      </c>
      <c r="AD106" s="274" t="str">
        <f ca="1">IF(Table1[//]="","",SUMIF(Table1[h_id],Table1[h_id],Table1[h_hargasetelahdiskon]))</f>
        <v/>
      </c>
      <c r="AF106" s="274" t="str">
        <f>Table1[[#This Row],[Item Description]]&amp;Table1[[#This Row],[Unit]]&amp;Table1[[#This Row],[Unit Price]]</f>
        <v>GEL PEN WEIYADA E-681 BIRULSN39500</v>
      </c>
      <c r="AG106" s="3"/>
      <c r="AH106" s="3"/>
      <c r="AI106" s="3"/>
    </row>
    <row r="107" spans="1:35" ht="16.5" x14ac:dyDescent="0.25">
      <c r="A107" s="278" t="str">
        <f ca="1">IF(Table1[[#This Row],[No. Invoice :]]="","",ROW())</f>
        <v/>
      </c>
      <c r="B107" s="278" t="str">
        <f ca="1">IF(Table1[Column3]="","",B$1+COUNT(INDIRECT("B$2:B"&amp;ROW()-1)))</f>
        <v/>
      </c>
      <c r="C107" s="272" t="str">
        <f>IF(Table1[[#This Row],[Column2]]="","",Table1[[#This Row],[Column2]]+C$1-1)</f>
        <v/>
      </c>
      <c r="E107" s="273"/>
      <c r="F107" s="271"/>
      <c r="G107" s="278" t="str">
        <f ca="1">IF(Table1[[#This Row],[h_No. Invoice :]]="","",CONCATENATE("AM"," ",Table1[[#This Row],[h_No. Invoice :]]))</f>
        <v/>
      </c>
      <c r="H107" s="271" t="str">
        <f>IF(Table1[[#This Row],[Column5]]="","",INDEX(Table2[Column1],MATCH(Table1[[#This Row],[Column5]],Table2[a],0)))</f>
        <v/>
      </c>
      <c r="I107" s="279" t="str">
        <f>IF(Table1[[#This Row],[Column3]]=0,"",CONCATENATE(UPPER(Table1[[#This Row],[Column3]])," ",Table1[[#This Row],[Column4]]))</f>
        <v xml:space="preserve"> </v>
      </c>
      <c r="J107" s="278" t="str">
        <f>IF(Table1[[#This Row],[Column5]]="","",INDEX(Table2[e],IF(Table1[[#This Row],[Column5]]="","",MATCH(Table1[[#This Row],[Column5]],Table2[a],0)),))</f>
        <v/>
      </c>
      <c r="K107" s="271">
        <v>20</v>
      </c>
      <c r="L107" s="271" t="s">
        <v>157</v>
      </c>
      <c r="O107" s="278" t="str">
        <f>IF(Table1[[#This Row],[h_Item Description]]="","",INDEX([1]!db[NB PAJAK],MATCH(Table1[[#This Row],[h_Item Description]],[1]!db[kode],0)))</f>
        <v/>
      </c>
      <c r="P107" s="480" t="s">
        <v>282</v>
      </c>
      <c r="Q107" s="274">
        <v>41500</v>
      </c>
      <c r="R107" s="275"/>
      <c r="S107" s="275"/>
      <c r="T107" s="274">
        <f>Table1[[#This Row],[h_hargasetelahdiskon]]</f>
        <v>830000</v>
      </c>
      <c r="V107" s="271"/>
      <c r="W107" s="278">
        <f ca="1">IF(Table1[[#This Row],[Item Description]]="","",IF(Table1[[#This Row],[//]]="",INDIRECT(ADDRESS(ROW()-1,COLUMN())),Table1[[#This Row],[//]]))</f>
        <v>102</v>
      </c>
      <c r="X107" s="278">
        <f ca="1">IF(Table1[[#This Row],[h_id]]="","",COUNTIF(Table1[h_id],Table1[[#This Row],[h_id]]))</f>
        <v>6</v>
      </c>
      <c r="Y107" s="274">
        <f>IF(Table1[Item Description]="","",Table1[[#This Row],[Qty]]*Table1[[#This Row],[Unit Price]])</f>
        <v>830000</v>
      </c>
      <c r="Z107" s="274">
        <f>IF(Table1[[#This Row],[h_hargasebelumdiskon]]="","",IF(Table1[[#This Row],[Disc 1]]="",0,Table1[[#This Row],[h_hargasebelumdiskon]]*Table1[[#This Row],[Disc 1]]))</f>
        <v>0</v>
      </c>
      <c r="AA107" s="274">
        <f>IF(Table1[[#This Row],[h_hargasebelumdiskon]]="","",IF(Table1[[#This Row],[Disc 2]]="",0,(Table1[[#This Row],[h_hargasebelumdiskon]]-Table1[[#This Row],[h_disc 1]])*Table1[[#This Row],[Disc 2]]))</f>
        <v>0</v>
      </c>
      <c r="AB107" s="274">
        <f>IF(Table1[Item Description]="","",Table1[[#This Row],[h_disc 1]]+Table1[[#This Row],[h_disc 2]])</f>
        <v>0</v>
      </c>
      <c r="AC107" s="274">
        <f>IF(Table1[Item Description]="","",Table1[[#This Row],[h_hargasebelumdiskon]]-Table1[[#This Row],[h_diskon]])</f>
        <v>830000</v>
      </c>
      <c r="AD107" s="274" t="str">
        <f ca="1">IF(Table1[//]="","",SUMIF(Table1[h_id],Table1[h_id],Table1[h_hargasetelahdiskon]))</f>
        <v/>
      </c>
      <c r="AF107" s="274" t="str">
        <f>Table1[[#This Row],[Item Description]]&amp;Table1[[#This Row],[Unit]]&amp;Table1[[#This Row],[Unit Price]]</f>
        <v>ISI GEL WEIYADA E-681R HITAM BOX41500</v>
      </c>
      <c r="AG107" s="3"/>
      <c r="AH107" s="3"/>
      <c r="AI107" s="3"/>
    </row>
    <row r="108" spans="1:35" s="280" customFormat="1" x14ac:dyDescent="0.25">
      <c r="A108" s="278" t="str">
        <f ca="1">IF(Table1[[#This Row],[No. Invoice :]]="","",ROW())</f>
        <v/>
      </c>
      <c r="B108" s="278" t="str">
        <f ca="1">IF(Table1[Column3]="","",B$1+COUNT(INDIRECT("B$2:B"&amp;ROW()-1)))</f>
        <v/>
      </c>
      <c r="C108" s="272" t="str">
        <f>IF(Table1[[#This Row],[Column2]]="","",Table1[[#This Row],[Column2]]+C$1-1)</f>
        <v/>
      </c>
      <c r="D108" s="281"/>
      <c r="E108" s="273"/>
      <c r="F108" s="271"/>
      <c r="G108" s="278" t="str">
        <f ca="1">IF(Table1[[#This Row],[h_No. Invoice :]]="","",CONCATENATE("AM"," ",Table1[[#This Row],[h_No. Invoice :]]))</f>
        <v/>
      </c>
      <c r="H108" s="271" t="str">
        <f>IF(Table1[[#This Row],[Column5]]="","",INDEX(Table2[Column1],MATCH(Table1[[#This Row],[Column5]],Table2[a],0)))</f>
        <v/>
      </c>
      <c r="I108" s="279" t="str">
        <f>IF(Table1[[#This Row],[Column3]]=0,"",CONCATENATE(UPPER(Table1[[#This Row],[Column3]])," ",Table1[[#This Row],[Column4]]))</f>
        <v xml:space="preserve"> </v>
      </c>
      <c r="J108" s="278" t="str">
        <f>IF(Table1[[#This Row],[Column5]]="","",INDEX(Table2[e],IF(Table1[[#This Row],[Column5]]="","",MATCH(Table1[[#This Row],[Column5]],Table2[a],0)),))</f>
        <v/>
      </c>
      <c r="K108" s="271"/>
      <c r="L108" s="271"/>
      <c r="M108" s="271"/>
      <c r="N108" s="271"/>
      <c r="O108" s="278" t="str">
        <f>IF(Table1[[#This Row],[h_Item Description]]="","",INDEX([1]!db[NB PAJAK],MATCH(Table1[[#This Row],[h_Item Description]],[1]!db[kode],0)))</f>
        <v/>
      </c>
      <c r="P108" s="271"/>
      <c r="Q108" s="274"/>
      <c r="R108" s="275"/>
      <c r="S108" s="275"/>
      <c r="T108" s="274" t="str">
        <f>Table1[[#This Row],[h_hargasetelahdiskon]]</f>
        <v/>
      </c>
      <c r="U108" s="274"/>
      <c r="V108" s="271"/>
      <c r="W108" s="278" t="str">
        <f ca="1">IF(Table1[[#This Row],[Item Description]]="","",IF(Table1[[#This Row],[//]]="",INDIRECT(ADDRESS(ROW()-1,COLUMN())),Table1[[#This Row],[//]]))</f>
        <v/>
      </c>
      <c r="X108" s="278" t="str">
        <f ca="1">IF(Table1[[#This Row],[h_id]]="","",COUNTIF(Table1[h_id],Table1[[#This Row],[h_id]]))</f>
        <v/>
      </c>
      <c r="Y108" s="274" t="str">
        <f>IF(Table1[Item Description]="","",Table1[[#This Row],[Qty]]*Table1[[#This Row],[Unit Price]])</f>
        <v/>
      </c>
      <c r="Z108" s="274" t="str">
        <f>IF(Table1[[#This Row],[h_hargasebelumdiskon]]="","",IF(Table1[[#This Row],[Disc 1]]="",0,Table1[[#This Row],[h_hargasebelumdiskon]]*Table1[[#This Row],[Disc 1]]))</f>
        <v/>
      </c>
      <c r="AA108" s="274" t="str">
        <f>IF(Table1[[#This Row],[h_hargasebelumdiskon]]="","",IF(Table1[[#This Row],[Disc 2]]="",0,(Table1[[#This Row],[h_hargasebelumdiskon]]-Table1[[#This Row],[h_disc 1]])*Table1[[#This Row],[Disc 2]]))</f>
        <v/>
      </c>
      <c r="AB108" s="274" t="str">
        <f>IF(Table1[Item Description]="","",Table1[[#This Row],[h_disc 1]]+Table1[[#This Row],[h_disc 2]])</f>
        <v/>
      </c>
      <c r="AC108" s="274" t="str">
        <f>IF(Table1[Item Description]="","",Table1[[#This Row],[h_hargasebelumdiskon]]-Table1[[#This Row],[h_diskon]])</f>
        <v/>
      </c>
      <c r="AD108" s="274" t="str">
        <f ca="1">IF(Table1[//]="","",SUMIF(Table1[h_id],Table1[h_id],Table1[h_hargasetelahdiskon]))</f>
        <v/>
      </c>
      <c r="AE108" s="274"/>
      <c r="AF108" s="274" t="str">
        <f>Table1[[#This Row],[Item Description]]&amp;Table1[[#This Row],[Unit]]&amp;Table1[[#This Row],[Unit Price]]</f>
        <v/>
      </c>
    </row>
    <row r="109" spans="1:35" s="280" customFormat="1" x14ac:dyDescent="0.25">
      <c r="A109" s="278">
        <f ca="1">IF(Table1[[#This Row],[No. Invoice :]]="","",ROW())</f>
        <v>109</v>
      </c>
      <c r="B109" s="278">
        <f ca="1">IF(Table1[Column3]="","",B$1+COUNT(INDIRECT("B$2:B"&amp;ROW()-1)))</f>
        <v>24020021</v>
      </c>
      <c r="C109" s="272">
        <f>IF(Table1[[#This Row],[Column2]]="","",Table1[[#This Row],[Column2]]+C$1-1)</f>
        <v>45344</v>
      </c>
      <c r="D109" s="281">
        <v>22</v>
      </c>
      <c r="E109" s="273" t="s">
        <v>322</v>
      </c>
      <c r="F109" s="271" t="s">
        <v>323</v>
      </c>
      <c r="G109" s="278" t="str">
        <f ca="1">IF(Table1[[#This Row],[h_No. Invoice :]]="","",CONCATENATE("AM"," ",Table1[[#This Row],[h_No. Invoice :]]))</f>
        <v>AM 24020021</v>
      </c>
      <c r="H109" s="271" t="str">
        <f>IF(Table1[[#This Row],[Column5]]="","",INDEX(Table2[Column1],MATCH(Table1[[#This Row],[Column5]],Table2[a],0)))</f>
        <v>KO</v>
      </c>
      <c r="I109" s="279" t="str">
        <f>IF(Table1[[#This Row],[Column3]]=0,"",CONCATENATE(UPPER(Table1[[#This Row],[Column3]])," ",Table1[[#This Row],[Column4]]))</f>
        <v>KO 0943</v>
      </c>
      <c r="J109" s="278" t="str">
        <f>IF(Table1[[#This Row],[Column5]]="","",INDEX(Table2[e],IF(Table1[[#This Row],[Column5]]="","",MATCH(Table1[[#This Row],[Column5]],Table2[a],0)),))</f>
        <v>CV GANESHA WONOSOBO</v>
      </c>
      <c r="K109" s="271">
        <v>500</v>
      </c>
      <c r="L109" s="271" t="s">
        <v>149</v>
      </c>
      <c r="M109" s="271">
        <v>1</v>
      </c>
      <c r="N109" s="271" t="s">
        <v>324</v>
      </c>
      <c r="O109" s="278" t="str">
        <f>IF(Table1[[#This Row],[h_Item Description]]="","",INDEX([1]!db[NB PAJAK],MATCH(Table1[[#This Row],[h_Item Description]],[1]!db[kode],0)))</f>
        <v>PAPER TRIGONAL CLIP KENKO NO. 3</v>
      </c>
      <c r="P109" s="271" t="s">
        <v>325</v>
      </c>
      <c r="Q109" s="274">
        <v>1600</v>
      </c>
      <c r="R109" s="275">
        <v>0.1</v>
      </c>
      <c r="S109" s="275"/>
      <c r="T109" s="274">
        <f>Table1[[#This Row],[h_hargasetelahdiskon]]</f>
        <v>720000</v>
      </c>
      <c r="U109" s="274" t="s">
        <v>129</v>
      </c>
      <c r="V109" s="271"/>
      <c r="W109" s="278">
        <f ca="1">IF(Table1[[#This Row],[Item Description]]="","",IF(Table1[[#This Row],[//]]="",INDIRECT(ADDRESS(ROW()-1,COLUMN())),Table1[[#This Row],[//]]))</f>
        <v>109</v>
      </c>
      <c r="X109" s="278">
        <f ca="1">IF(Table1[[#This Row],[h_id]]="","",COUNTIF(Table1[h_id],Table1[[#This Row],[h_id]]))</f>
        <v>5</v>
      </c>
      <c r="Y109" s="274">
        <f>IF(Table1[Item Description]="","",Table1[[#This Row],[Qty]]*Table1[[#This Row],[Unit Price]])</f>
        <v>800000</v>
      </c>
      <c r="Z109" s="274">
        <f>IF(Table1[[#This Row],[h_hargasebelumdiskon]]="","",IF(Table1[[#This Row],[Disc 1]]="",0,Table1[[#This Row],[h_hargasebelumdiskon]]*Table1[[#This Row],[Disc 1]]))</f>
        <v>80000</v>
      </c>
      <c r="AA109" s="274">
        <f>IF(Table1[[#This Row],[h_hargasebelumdiskon]]="","",IF(Table1[[#This Row],[Disc 2]]="",0,(Table1[[#This Row],[h_hargasebelumdiskon]]-Table1[[#This Row],[h_disc 1]])*Table1[[#This Row],[Disc 2]]))</f>
        <v>0</v>
      </c>
      <c r="AB109" s="274">
        <f>IF(Table1[Item Description]="","",Table1[[#This Row],[h_disc 1]]+Table1[[#This Row],[h_disc 2]])</f>
        <v>80000</v>
      </c>
      <c r="AC109" s="274">
        <f>IF(Table1[Item Description]="","",Table1[[#This Row],[h_hargasebelumdiskon]]-Table1[[#This Row],[h_diskon]])</f>
        <v>720000</v>
      </c>
      <c r="AD109" s="274">
        <f ca="1">IF(Table1[//]="","",SUMIF(Table1[h_id],Table1[h_id],Table1[h_hargasetelahdiskon]))</f>
        <v>1587780</v>
      </c>
      <c r="AE109" s="274"/>
      <c r="AF109" s="274" t="str">
        <f>Table1[[#This Row],[Item Description]]&amp;Table1[[#This Row],[Unit]]&amp;Table1[[#This Row],[Unit Price]]</f>
        <v>PAPER TRIGONAL CLIP KENKO NO. 3PCS1600</v>
      </c>
    </row>
    <row r="110" spans="1:35" s="280" customFormat="1" x14ac:dyDescent="0.25">
      <c r="A110" s="278" t="str">
        <f ca="1">IF(Table1[[#This Row],[No. Invoice :]]="","",ROW())</f>
        <v/>
      </c>
      <c r="B110" s="278" t="str">
        <f ca="1">IF(Table1[Column3]="","",B$1+COUNT(INDIRECT("B$2:B"&amp;ROW()-1)))</f>
        <v/>
      </c>
      <c r="C110" s="272" t="str">
        <f>IF(Table1[[#This Row],[Column2]]="","",Table1[[#This Row],[Column2]]+C$1-1)</f>
        <v/>
      </c>
      <c r="D110" s="281"/>
      <c r="E110" s="273"/>
      <c r="F110" s="271"/>
      <c r="G110" s="278" t="str">
        <f ca="1">IF(Table1[[#This Row],[h_No. Invoice :]]="","",CONCATENATE("AM"," ",Table1[[#This Row],[h_No. Invoice :]]))</f>
        <v/>
      </c>
      <c r="H110" s="271" t="str">
        <f>IF(Table1[[#This Row],[Column5]]="","",INDEX(Table2[Column1],MATCH(Table1[[#This Row],[Column5]],Table2[a],0)))</f>
        <v/>
      </c>
      <c r="I110" s="279" t="str">
        <f>IF(Table1[[#This Row],[Column3]]=0,"",CONCATENATE(UPPER(Table1[[#This Row],[Column3]])," ",Table1[[#This Row],[Column4]]))</f>
        <v xml:space="preserve"> </v>
      </c>
      <c r="J110" s="278" t="str">
        <f>IF(Table1[[#This Row],[Column5]]="","",INDEX(Table2[e],IF(Table1[[#This Row],[Column5]]="","",MATCH(Table1[[#This Row],[Column5]],Table2[a],0)),))</f>
        <v/>
      </c>
      <c r="K110" s="271">
        <v>10</v>
      </c>
      <c r="L110" s="271" t="s">
        <v>258</v>
      </c>
      <c r="M110" s="271"/>
      <c r="N110" s="271" t="s">
        <v>326</v>
      </c>
      <c r="O110" s="278" t="str">
        <f>IF(Table1[[#This Row],[h_Item Description]]="","",INDEX([1]!db[NB PAJAK],MATCH(Table1[[#This Row],[h_Item Description]],[1]!db[kode],0)))</f>
        <v>BINDER CLIP JOYKO 107</v>
      </c>
      <c r="P110" s="271" t="s">
        <v>327</v>
      </c>
      <c r="Q110" s="274">
        <v>31200</v>
      </c>
      <c r="R110" s="275">
        <v>0.1</v>
      </c>
      <c r="S110" s="275"/>
      <c r="T110" s="274">
        <f>Table1[[#This Row],[h_hargasetelahdiskon]]</f>
        <v>280800</v>
      </c>
      <c r="U110" s="274"/>
      <c r="V110" s="271"/>
      <c r="W110" s="278">
        <f ca="1">IF(Table1[[#This Row],[Item Description]]="","",IF(Table1[[#This Row],[//]]="",INDIRECT(ADDRESS(ROW()-1,COLUMN())),Table1[[#This Row],[//]]))</f>
        <v>109</v>
      </c>
      <c r="X110" s="278">
        <f ca="1">IF(Table1[[#This Row],[h_id]]="","",COUNTIF(Table1[h_id],Table1[[#This Row],[h_id]]))</f>
        <v>5</v>
      </c>
      <c r="Y110" s="274">
        <f>IF(Table1[Item Description]="","",Table1[[#This Row],[Qty]]*Table1[[#This Row],[Unit Price]])</f>
        <v>312000</v>
      </c>
      <c r="Z110" s="274">
        <f>IF(Table1[[#This Row],[h_hargasebelumdiskon]]="","",IF(Table1[[#This Row],[Disc 1]]="",0,Table1[[#This Row],[h_hargasebelumdiskon]]*Table1[[#This Row],[Disc 1]]))</f>
        <v>31200</v>
      </c>
      <c r="AA110" s="274">
        <f>IF(Table1[[#This Row],[h_hargasebelumdiskon]]="","",IF(Table1[[#This Row],[Disc 2]]="",0,(Table1[[#This Row],[h_hargasebelumdiskon]]-Table1[[#This Row],[h_disc 1]])*Table1[[#This Row],[Disc 2]]))</f>
        <v>0</v>
      </c>
      <c r="AB110" s="274">
        <f>IF(Table1[Item Description]="","",Table1[[#This Row],[h_disc 1]]+Table1[[#This Row],[h_disc 2]])</f>
        <v>31200</v>
      </c>
      <c r="AC110" s="274">
        <f>IF(Table1[Item Description]="","",Table1[[#This Row],[h_hargasebelumdiskon]]-Table1[[#This Row],[h_diskon]])</f>
        <v>280800</v>
      </c>
      <c r="AD110" s="274" t="str">
        <f ca="1">IF(Table1[//]="","",SUMIF(Table1[h_id],Table1[h_id],Table1[h_hargasetelahdiskon]))</f>
        <v/>
      </c>
      <c r="AE110" s="274"/>
      <c r="AF110" s="274" t="str">
        <f>Table1[[#This Row],[Item Description]]&amp;Table1[[#This Row],[Unit]]&amp;Table1[[#This Row],[Unit Price]]</f>
        <v>BINDER CLIP JOYKO 107GRS31200</v>
      </c>
    </row>
    <row r="111" spans="1:35" s="280" customFormat="1" x14ac:dyDescent="0.25">
      <c r="A111" s="278" t="str">
        <f ca="1">IF(Table1[[#This Row],[No. Invoice :]]="","",ROW())</f>
        <v/>
      </c>
      <c r="B111" s="278" t="str">
        <f ca="1">IF(Table1[Column3]="","",B$1+COUNT(INDIRECT("B$2:B"&amp;ROW()-1)))</f>
        <v/>
      </c>
      <c r="C111" s="272" t="str">
        <f>IF(Table1[[#This Row],[Column2]]="","",Table1[[#This Row],[Column2]]+C$1-1)</f>
        <v/>
      </c>
      <c r="D111" s="281"/>
      <c r="E111" s="273"/>
      <c r="F111" s="271"/>
      <c r="G111" s="278" t="str">
        <f ca="1">IF(Table1[[#This Row],[h_No. Invoice :]]="","",CONCATENATE("AM"," ",Table1[[#This Row],[h_No. Invoice :]]))</f>
        <v/>
      </c>
      <c r="H111" s="271" t="str">
        <f>IF(Table1[[#This Row],[Column5]]="","",INDEX(Table2[Column1],MATCH(Table1[[#This Row],[Column5]],Table2[a],0)))</f>
        <v/>
      </c>
      <c r="I111" s="279" t="str">
        <f>IF(Table1[[#This Row],[Column3]]=0,"",CONCATENATE(UPPER(Table1[[#This Row],[Column3]])," ",Table1[[#This Row],[Column4]]))</f>
        <v xml:space="preserve"> </v>
      </c>
      <c r="J111" s="278" t="str">
        <f>IF(Table1[[#This Row],[Column5]]="","",INDEX(Table2[e],IF(Table1[[#This Row],[Column5]]="","",MATCH(Table1[[#This Row],[Column5]],Table2[a],0)),))</f>
        <v/>
      </c>
      <c r="K111" s="271">
        <v>5</v>
      </c>
      <c r="L111" s="271" t="s">
        <v>136</v>
      </c>
      <c r="M111" s="271"/>
      <c r="N111" s="271" t="s">
        <v>196</v>
      </c>
      <c r="O111" s="278" t="str">
        <f>IF(Table1[[#This Row],[h_Item Description]]="","",INDEX([1]!db[NB PAJAK],MATCH(Table1[[#This Row],[h_Item Description]],[1]!db[kode],0)))</f>
        <v>CUTTER 9 MM KENKO A-300 (KECIL)</v>
      </c>
      <c r="P111" s="271" t="s">
        <v>197</v>
      </c>
      <c r="Q111" s="274">
        <v>57000</v>
      </c>
      <c r="R111" s="275">
        <v>0.1</v>
      </c>
      <c r="S111" s="275"/>
      <c r="T111" s="274">
        <f>Table1[[#This Row],[h_hargasetelahdiskon]]</f>
        <v>256500</v>
      </c>
      <c r="U111" s="274"/>
      <c r="V111" s="271"/>
      <c r="W111" s="278">
        <f ca="1">IF(Table1[[#This Row],[Item Description]]="","",IF(Table1[[#This Row],[//]]="",INDIRECT(ADDRESS(ROW()-1,COLUMN())),Table1[[#This Row],[//]]))</f>
        <v>109</v>
      </c>
      <c r="X111" s="278">
        <f ca="1">IF(Table1[[#This Row],[h_id]]="","",COUNTIF(Table1[h_id],Table1[[#This Row],[h_id]]))</f>
        <v>5</v>
      </c>
      <c r="Y111" s="274">
        <f>IF(Table1[Item Description]="","",Table1[[#This Row],[Qty]]*Table1[[#This Row],[Unit Price]])</f>
        <v>285000</v>
      </c>
      <c r="Z111" s="274">
        <f>IF(Table1[[#This Row],[h_hargasebelumdiskon]]="","",IF(Table1[[#This Row],[Disc 1]]="",0,Table1[[#This Row],[h_hargasebelumdiskon]]*Table1[[#This Row],[Disc 1]]))</f>
        <v>28500</v>
      </c>
      <c r="AA111" s="274">
        <f>IF(Table1[[#This Row],[h_hargasebelumdiskon]]="","",IF(Table1[[#This Row],[Disc 2]]="",0,(Table1[[#This Row],[h_hargasebelumdiskon]]-Table1[[#This Row],[h_disc 1]])*Table1[[#This Row],[Disc 2]]))</f>
        <v>0</v>
      </c>
      <c r="AB111" s="274">
        <f>IF(Table1[Item Description]="","",Table1[[#This Row],[h_disc 1]]+Table1[[#This Row],[h_disc 2]])</f>
        <v>28500</v>
      </c>
      <c r="AC111" s="274">
        <f>IF(Table1[Item Description]="","",Table1[[#This Row],[h_hargasebelumdiskon]]-Table1[[#This Row],[h_diskon]])</f>
        <v>256500</v>
      </c>
      <c r="AD111" s="274" t="str">
        <f ca="1">IF(Table1[//]="","",SUMIF(Table1[h_id],Table1[h_id],Table1[h_hargasetelahdiskon]))</f>
        <v/>
      </c>
      <c r="AE111" s="274"/>
      <c r="AF111" s="274" t="str">
        <f>Table1[[#This Row],[Item Description]]&amp;Table1[[#This Row],[Unit]]&amp;Table1[[#This Row],[Unit Price]]</f>
        <v>CUTTER 9 MM KENKO A-300 (KECIL)LSN57000</v>
      </c>
    </row>
    <row r="112" spans="1:35" s="280" customFormat="1" x14ac:dyDescent="0.25">
      <c r="A112" s="278" t="str">
        <f ca="1">IF(Table1[[#This Row],[No. Invoice :]]="","",ROW())</f>
        <v/>
      </c>
      <c r="B112" s="278" t="str">
        <f ca="1">IF(Table1[Column3]="","",B$1+COUNT(INDIRECT("B$2:B"&amp;ROW()-1)))</f>
        <v/>
      </c>
      <c r="C112" s="272" t="str">
        <f>IF(Table1[[#This Row],[Column2]]="","",Table1[[#This Row],[Column2]]+C$1-1)</f>
        <v/>
      </c>
      <c r="D112" s="281"/>
      <c r="E112" s="273"/>
      <c r="F112" s="271"/>
      <c r="G112" s="278" t="str">
        <f ca="1">IF(Table1[[#This Row],[h_No. Invoice :]]="","",CONCATENATE("AM"," ",Table1[[#This Row],[h_No. Invoice :]]))</f>
        <v/>
      </c>
      <c r="H112" s="271" t="str">
        <f>IF(Table1[[#This Row],[Column5]]="","",INDEX(Table2[Column1],MATCH(Table1[[#This Row],[Column5]],Table2[a],0)))</f>
        <v/>
      </c>
      <c r="I112" s="279" t="str">
        <f>IF(Table1[[#This Row],[Column3]]=0,"",CONCATENATE(UPPER(Table1[[#This Row],[Column3]])," ",Table1[[#This Row],[Column4]]))</f>
        <v xml:space="preserve"> </v>
      </c>
      <c r="J112" s="278" t="str">
        <f>IF(Table1[[#This Row],[Column5]]="","",INDEX(Table2[e],IF(Table1[[#This Row],[Column5]]="","",MATCH(Table1[[#This Row],[Column5]],Table2[a],0)),))</f>
        <v/>
      </c>
      <c r="K112" s="271">
        <v>4</v>
      </c>
      <c r="L112" s="271" t="s">
        <v>258</v>
      </c>
      <c r="M112" s="271"/>
      <c r="N112" s="271" t="s">
        <v>347</v>
      </c>
      <c r="O112" s="278" t="str">
        <f>IF(Table1[[#This Row],[h_Item Description]]="","",INDEX([1]!db[NB PAJAK],MATCH(Table1[[#This Row],[h_Item Description]],[1]!db[kode],0)))</f>
        <v>BINDER CLIP KENKO NO. 105</v>
      </c>
      <c r="P112" s="271" t="s">
        <v>349</v>
      </c>
      <c r="Q112" s="274">
        <v>28800</v>
      </c>
      <c r="R112" s="275">
        <v>0.1</v>
      </c>
      <c r="S112" s="275"/>
      <c r="T112" s="274">
        <f>Table1[[#This Row],[h_hargasetelahdiskon]]</f>
        <v>103680</v>
      </c>
      <c r="U112" s="274"/>
      <c r="V112" s="271"/>
      <c r="W112" s="278">
        <f ca="1">IF(Table1[[#This Row],[Item Description]]="","",IF(Table1[[#This Row],[//]]="",INDIRECT(ADDRESS(ROW()-1,COLUMN())),Table1[[#This Row],[//]]))</f>
        <v>109</v>
      </c>
      <c r="X112" s="278">
        <f ca="1">IF(Table1[[#This Row],[h_id]]="","",COUNTIF(Table1[h_id],Table1[[#This Row],[h_id]]))</f>
        <v>5</v>
      </c>
      <c r="Y112" s="274">
        <f>IF(Table1[Item Description]="","",Table1[[#This Row],[Qty]]*Table1[[#This Row],[Unit Price]])</f>
        <v>115200</v>
      </c>
      <c r="Z112" s="274">
        <f>IF(Table1[[#This Row],[h_hargasebelumdiskon]]="","",IF(Table1[[#This Row],[Disc 1]]="",0,Table1[[#This Row],[h_hargasebelumdiskon]]*Table1[[#This Row],[Disc 1]]))</f>
        <v>11520</v>
      </c>
      <c r="AA112" s="274">
        <f>IF(Table1[[#This Row],[h_hargasebelumdiskon]]="","",IF(Table1[[#This Row],[Disc 2]]="",0,(Table1[[#This Row],[h_hargasebelumdiskon]]-Table1[[#This Row],[h_disc 1]])*Table1[[#This Row],[Disc 2]]))</f>
        <v>0</v>
      </c>
      <c r="AB112" s="274">
        <f>IF(Table1[Item Description]="","",Table1[[#This Row],[h_disc 1]]+Table1[[#This Row],[h_disc 2]])</f>
        <v>11520</v>
      </c>
      <c r="AC112" s="274">
        <f>IF(Table1[Item Description]="","",Table1[[#This Row],[h_hargasebelumdiskon]]-Table1[[#This Row],[h_diskon]])</f>
        <v>103680</v>
      </c>
      <c r="AD112" s="274" t="str">
        <f ca="1">IF(Table1[//]="","",SUMIF(Table1[h_id],Table1[h_id],Table1[h_hargasetelahdiskon]))</f>
        <v/>
      </c>
      <c r="AE112" s="274"/>
      <c r="AF112" s="274" t="str">
        <f>Table1[[#This Row],[Item Description]]&amp;Table1[[#This Row],[Unit]]&amp;Table1[[#This Row],[Unit Price]]</f>
        <v>BINDER CLIP KENKO NO. 105GRS28800</v>
      </c>
    </row>
    <row r="113" spans="1:35" s="280" customFormat="1" x14ac:dyDescent="0.25">
      <c r="A113" s="278" t="str">
        <f ca="1">IF(Table1[[#This Row],[No. Invoice :]]="","",ROW())</f>
        <v/>
      </c>
      <c r="B113" s="278" t="str">
        <f ca="1">IF(Table1[Column3]="","",B$1+COUNT(INDIRECT("B$2:B"&amp;ROW()-1)))</f>
        <v/>
      </c>
      <c r="C113" s="272" t="str">
        <f>IF(Table1[[#This Row],[Column2]]="","",Table1[[#This Row],[Column2]]+C$1-1)</f>
        <v/>
      </c>
      <c r="D113" s="281"/>
      <c r="E113" s="273"/>
      <c r="F113" s="271"/>
      <c r="G113" s="278" t="str">
        <f ca="1">IF(Table1[[#This Row],[h_No. Invoice :]]="","",CONCATENATE("AM"," ",Table1[[#This Row],[h_No. Invoice :]]))</f>
        <v/>
      </c>
      <c r="H113" s="271" t="str">
        <f>IF(Table1[[#This Row],[Column5]]="","",INDEX(Table2[Column1],MATCH(Table1[[#This Row],[Column5]],Table2[a],0)))</f>
        <v/>
      </c>
      <c r="I113" s="279" t="str">
        <f>IF(Table1[[#This Row],[Column3]]=0,"",CONCATENATE(UPPER(Table1[[#This Row],[Column3]])," ",Table1[[#This Row],[Column4]]))</f>
        <v xml:space="preserve"> </v>
      </c>
      <c r="J113" s="278" t="str">
        <f>IF(Table1[[#This Row],[Column5]]="","",INDEX(Table2[e],IF(Table1[[#This Row],[Column5]]="","",MATCH(Table1[[#This Row],[Column5]],Table2[a],0)),))</f>
        <v/>
      </c>
      <c r="K113" s="271">
        <v>10</v>
      </c>
      <c r="L113" s="271" t="s">
        <v>136</v>
      </c>
      <c r="M113" s="271"/>
      <c r="N113" s="271" t="s">
        <v>348</v>
      </c>
      <c r="O113" s="278" t="str">
        <f>IF(Table1[[#This Row],[h_Item Description]]="","",INDEX([1]!db[NB PAJAK],MATCH(Table1[[#This Row],[h_Item Description]],[1]!db[kode],0)))</f>
        <v>LEM CAIR 50 ML KENKO LG-50</v>
      </c>
      <c r="P113" s="271" t="s">
        <v>350</v>
      </c>
      <c r="Q113" s="274">
        <v>25200</v>
      </c>
      <c r="R113" s="275">
        <v>0.1</v>
      </c>
      <c r="S113" s="275"/>
      <c r="T113" s="274">
        <f>Table1[[#This Row],[h_hargasetelahdiskon]]</f>
        <v>226800</v>
      </c>
      <c r="U113" s="274"/>
      <c r="V113" s="271"/>
      <c r="W113" s="278">
        <f ca="1">IF(Table1[[#This Row],[Item Description]]="","",IF(Table1[[#This Row],[//]]="",INDIRECT(ADDRESS(ROW()-1,COLUMN())),Table1[[#This Row],[//]]))</f>
        <v>109</v>
      </c>
      <c r="X113" s="278">
        <f ca="1">IF(Table1[[#This Row],[h_id]]="","",COUNTIF(Table1[h_id],Table1[[#This Row],[h_id]]))</f>
        <v>5</v>
      </c>
      <c r="Y113" s="274">
        <f>IF(Table1[Item Description]="","",Table1[[#This Row],[Qty]]*Table1[[#This Row],[Unit Price]])</f>
        <v>252000</v>
      </c>
      <c r="Z113" s="274">
        <f>IF(Table1[[#This Row],[h_hargasebelumdiskon]]="","",IF(Table1[[#This Row],[Disc 1]]="",0,Table1[[#This Row],[h_hargasebelumdiskon]]*Table1[[#This Row],[Disc 1]]))</f>
        <v>25200</v>
      </c>
      <c r="AA113" s="274">
        <f>IF(Table1[[#This Row],[h_hargasebelumdiskon]]="","",IF(Table1[[#This Row],[Disc 2]]="",0,(Table1[[#This Row],[h_hargasebelumdiskon]]-Table1[[#This Row],[h_disc 1]])*Table1[[#This Row],[Disc 2]]))</f>
        <v>0</v>
      </c>
      <c r="AB113" s="274">
        <f>IF(Table1[Item Description]="","",Table1[[#This Row],[h_disc 1]]+Table1[[#This Row],[h_disc 2]])</f>
        <v>25200</v>
      </c>
      <c r="AC113" s="274">
        <f>IF(Table1[Item Description]="","",Table1[[#This Row],[h_hargasebelumdiskon]]-Table1[[#This Row],[h_diskon]])</f>
        <v>226800</v>
      </c>
      <c r="AD113" s="274" t="str">
        <f ca="1">IF(Table1[//]="","",SUMIF(Table1[h_id],Table1[h_id],Table1[h_hargasetelahdiskon]))</f>
        <v/>
      </c>
      <c r="AE113" s="274"/>
      <c r="AF113" s="274" t="str">
        <f>Table1[[#This Row],[Item Description]]&amp;Table1[[#This Row],[Unit]]&amp;Table1[[#This Row],[Unit Price]]</f>
        <v>LEM CAIR 50 ML KENKO LG-50LSN25200</v>
      </c>
    </row>
    <row r="114" spans="1:35" s="280" customFormat="1" x14ac:dyDescent="0.25">
      <c r="A114" s="278" t="str">
        <f ca="1">IF(Table1[[#This Row],[No. Invoice :]]="","",ROW())</f>
        <v/>
      </c>
      <c r="B114" s="278" t="str">
        <f ca="1">IF(Table1[Column3]="","",B$1+COUNT(INDIRECT("B$2:B"&amp;ROW()-1)))</f>
        <v/>
      </c>
      <c r="C114" s="272" t="str">
        <f>IF(Table1[[#This Row],[Column2]]="","",Table1[[#This Row],[Column2]]+C$1-1)</f>
        <v/>
      </c>
      <c r="D114" s="281"/>
      <c r="E114" s="273"/>
      <c r="F114" s="271"/>
      <c r="G114" s="278" t="str">
        <f ca="1">IF(Table1[[#This Row],[h_No. Invoice :]]="","",CONCATENATE("AM"," ",Table1[[#This Row],[h_No. Invoice :]]))</f>
        <v/>
      </c>
      <c r="H114" s="271" t="str">
        <f>IF(Table1[[#This Row],[Column5]]="","",INDEX(Table2[Column1],MATCH(Table1[[#This Row],[Column5]],Table2[a],0)))</f>
        <v/>
      </c>
      <c r="I114" s="279" t="str">
        <f>IF(Table1[[#This Row],[Column3]]=0,"",CONCATENATE(UPPER(Table1[[#This Row],[Column3]])," ",Table1[[#This Row],[Column4]]))</f>
        <v xml:space="preserve"> </v>
      </c>
      <c r="J114" s="278" t="str">
        <f>IF(Table1[[#This Row],[Column5]]="","",INDEX(Table2[e],IF(Table1[[#This Row],[Column5]]="","",MATCH(Table1[[#This Row],[Column5]],Table2[a],0)),))</f>
        <v/>
      </c>
      <c r="K114" s="271"/>
      <c r="L114" s="271"/>
      <c r="M114" s="271"/>
      <c r="N114" s="271"/>
      <c r="O114" s="278" t="str">
        <f>IF(Table1[[#This Row],[h_Item Description]]="","",INDEX([1]!db[NB PAJAK],MATCH(Table1[[#This Row],[h_Item Description]],[1]!db[kode],0)))</f>
        <v/>
      </c>
      <c r="P114" s="271"/>
      <c r="Q114" s="274"/>
      <c r="R114" s="275"/>
      <c r="S114" s="275"/>
      <c r="T114" s="274" t="str">
        <f>Table1[[#This Row],[h_hargasetelahdiskon]]</f>
        <v/>
      </c>
      <c r="U114" s="274"/>
      <c r="V114" s="271"/>
      <c r="W114" s="278" t="str">
        <f ca="1">IF(Table1[[#This Row],[Item Description]]="","",IF(Table1[[#This Row],[//]]="",INDIRECT(ADDRESS(ROW()-1,COLUMN())),Table1[[#This Row],[//]]))</f>
        <v/>
      </c>
      <c r="X114" s="278" t="str">
        <f ca="1">IF(Table1[[#This Row],[h_id]]="","",COUNTIF(Table1[h_id],Table1[[#This Row],[h_id]]))</f>
        <v/>
      </c>
      <c r="Y114" s="274" t="str">
        <f>IF(Table1[Item Description]="","",Table1[[#This Row],[Qty]]*Table1[[#This Row],[Unit Price]])</f>
        <v/>
      </c>
      <c r="Z114" s="274" t="str">
        <f>IF(Table1[[#This Row],[h_hargasebelumdiskon]]="","",IF(Table1[[#This Row],[Disc 1]]="",0,Table1[[#This Row],[h_hargasebelumdiskon]]*Table1[[#This Row],[Disc 1]]))</f>
        <v/>
      </c>
      <c r="AA114" s="274" t="str">
        <f>IF(Table1[[#This Row],[h_hargasebelumdiskon]]="","",IF(Table1[[#This Row],[Disc 2]]="",0,(Table1[[#This Row],[h_hargasebelumdiskon]]-Table1[[#This Row],[h_disc 1]])*Table1[[#This Row],[Disc 2]]))</f>
        <v/>
      </c>
      <c r="AB114" s="274" t="str">
        <f>IF(Table1[Item Description]="","",Table1[[#This Row],[h_disc 1]]+Table1[[#This Row],[h_disc 2]])</f>
        <v/>
      </c>
      <c r="AC114" s="274" t="str">
        <f>IF(Table1[Item Description]="","",Table1[[#This Row],[h_hargasebelumdiskon]]-Table1[[#This Row],[h_diskon]])</f>
        <v/>
      </c>
      <c r="AD114" s="274" t="str">
        <f ca="1">IF(Table1[//]="","",SUMIF(Table1[h_id],Table1[h_id],Table1[h_hargasetelahdiskon]))</f>
        <v/>
      </c>
      <c r="AE114" s="274"/>
      <c r="AF114" s="274" t="str">
        <f>Table1[[#This Row],[Item Description]]&amp;Table1[[#This Row],[Unit]]&amp;Table1[[#This Row],[Unit Price]]</f>
        <v/>
      </c>
    </row>
    <row r="115" spans="1:35" x14ac:dyDescent="0.25">
      <c r="A115" s="278">
        <f ca="1">IF(Table1[[#This Row],[No. Invoice :]]="","",ROW())</f>
        <v>115</v>
      </c>
      <c r="B115" s="278">
        <f ca="1">IF(Table1[Column3]="","",B$1+COUNT(INDIRECT("B$2:B"&amp;ROW()-1)))</f>
        <v>24020022</v>
      </c>
      <c r="C115" s="272">
        <f>IF(Table1[[#This Row],[Column2]]="","",Table1[[#This Row],[Column2]]+C$1-1)</f>
        <v>45344</v>
      </c>
      <c r="D115" s="281">
        <v>22</v>
      </c>
      <c r="E115" s="273" t="s">
        <v>328</v>
      </c>
      <c r="F115" s="271" t="s">
        <v>71</v>
      </c>
      <c r="G115" s="278" t="str">
        <f ca="1">IF(Table1[[#This Row],[h_No. Invoice :]]="","",CONCATENATE("AM"," ",Table1[[#This Row],[h_No. Invoice :]]))</f>
        <v>AM 24020022</v>
      </c>
      <c r="H115" s="271" t="str">
        <f>IF(Table1[[#This Row],[Column5]]="","",INDEX(Table2[Column1],MATCH(Table1[[#This Row],[Column5]],Table2[a],0)))</f>
        <v>KO</v>
      </c>
      <c r="I115" s="279" t="str">
        <f>IF(Table1[[#This Row],[Column3]]=0,"",CONCATENATE(UPPER(Table1[[#This Row],[Column3]])," ",Table1[[#This Row],[Column4]]))</f>
        <v>KO 0944</v>
      </c>
      <c r="J115" s="278" t="str">
        <f>IF(Table1[[#This Row],[Column5]]="","",INDEX(Table2[e],IF(Table1[[#This Row],[Column5]]="","",MATCH(Table1[[#This Row],[Column5]],Table2[a],0)),))</f>
        <v>CV SINAR CAHAYA NIRMALA BREBES</v>
      </c>
      <c r="K115" s="271">
        <v>25</v>
      </c>
      <c r="L115" s="271" t="s">
        <v>135</v>
      </c>
      <c r="O115" s="278" t="str">
        <f>IF(Table1[[#This Row],[h_Item Description]]="","",INDEX([1]!db[NB PAJAK],MATCH(Table1[[#This Row],[h_Item Description]],[1]!db[kode],0)))</f>
        <v/>
      </c>
      <c r="P115" s="271" t="s">
        <v>329</v>
      </c>
      <c r="Q115" s="274">
        <v>3500</v>
      </c>
      <c r="R115" s="275"/>
      <c r="S115" s="275"/>
      <c r="T115" s="274">
        <f>Table1[[#This Row],[h_hargasetelahdiskon]]</f>
        <v>87500</v>
      </c>
      <c r="U115" s="274" t="s">
        <v>343</v>
      </c>
      <c r="V115" s="271"/>
      <c r="W115" s="278">
        <f ca="1">IF(Table1[[#This Row],[Item Description]]="","",IF(Table1[[#This Row],[//]]="",INDIRECT(ADDRESS(ROW()-1,COLUMN())),Table1[[#This Row],[//]]))</f>
        <v>115</v>
      </c>
      <c r="X115" s="278">
        <f ca="1">IF(Table1[[#This Row],[h_id]]="","",COUNTIF(Table1[h_id],Table1[[#This Row],[h_id]]))</f>
        <v>10</v>
      </c>
      <c r="Y115" s="274">
        <f>IF(Table1[Item Description]="","",Table1[[#This Row],[Qty]]*Table1[[#This Row],[Unit Price]])</f>
        <v>87500</v>
      </c>
      <c r="Z115" s="274">
        <f>IF(Table1[[#This Row],[h_hargasebelumdiskon]]="","",IF(Table1[[#This Row],[Disc 1]]="",0,Table1[[#This Row],[h_hargasebelumdiskon]]*Table1[[#This Row],[Disc 1]]))</f>
        <v>0</v>
      </c>
      <c r="AA115" s="274">
        <f>IF(Table1[[#This Row],[h_hargasebelumdiskon]]="","",IF(Table1[[#This Row],[Disc 2]]="",0,(Table1[[#This Row],[h_hargasebelumdiskon]]-Table1[[#This Row],[h_disc 1]])*Table1[[#This Row],[Disc 2]]))</f>
        <v>0</v>
      </c>
      <c r="AB115" s="274">
        <f>IF(Table1[Item Description]="","",Table1[[#This Row],[h_disc 1]]+Table1[[#This Row],[h_disc 2]])</f>
        <v>0</v>
      </c>
      <c r="AC115" s="274">
        <f>IF(Table1[Item Description]="","",Table1[[#This Row],[h_hargasebelumdiskon]]-Table1[[#This Row],[h_diskon]])</f>
        <v>87500</v>
      </c>
      <c r="AD115" s="274">
        <f ca="1">IF(Table1[//]="","",SUMIF(Table1[h_id],Table1[h_id],Table1[h_hargasetelahdiskon]))</f>
        <v>1368616</v>
      </c>
      <c r="AF115" s="274" t="str">
        <f>Table1[[#This Row],[Item Description]]&amp;Table1[[#This Row],[Unit]]&amp;Table1[[#This Row],[Unit Price]]</f>
        <v>LOOSE LEAF A5/ 40 POLOSPAK3500</v>
      </c>
      <c r="AG115" s="3"/>
      <c r="AH115" s="3"/>
      <c r="AI115" s="3"/>
    </row>
    <row r="116" spans="1:35" x14ac:dyDescent="0.25">
      <c r="A116" s="278" t="str">
        <f ca="1">IF(Table1[[#This Row],[No. Invoice :]]="","",ROW())</f>
        <v/>
      </c>
      <c r="B116" s="278" t="str">
        <f ca="1">IF(Table1[Column3]="","",B$1+COUNT(INDIRECT("B$2:B"&amp;ROW()-1)))</f>
        <v/>
      </c>
      <c r="C116" s="272" t="str">
        <f>IF(Table1[[#This Row],[Column2]]="","",Table1[[#This Row],[Column2]]+C$1-1)</f>
        <v/>
      </c>
      <c r="E116" s="273"/>
      <c r="F116" s="271"/>
      <c r="G116" s="278" t="str">
        <f ca="1">IF(Table1[[#This Row],[h_No. Invoice :]]="","",CONCATENATE("AM"," ",Table1[[#This Row],[h_No. Invoice :]]))</f>
        <v/>
      </c>
      <c r="H116" s="271" t="str">
        <f>IF(Table1[[#This Row],[Column5]]="","",INDEX(Table2[Column1],MATCH(Table1[[#This Row],[Column5]],Table2[a],0)))</f>
        <v/>
      </c>
      <c r="I116" s="279" t="str">
        <f>IF(Table1[[#This Row],[Column3]]=0,"",CONCATENATE(UPPER(Table1[[#This Row],[Column3]])," ",Table1[[#This Row],[Column4]]))</f>
        <v xml:space="preserve"> </v>
      </c>
      <c r="J116" s="278" t="str">
        <f>IF(Table1[[#This Row],[Column5]]="","",INDEX(Table2[e],IF(Table1[[#This Row],[Column5]]="","",MATCH(Table1[[#This Row],[Column5]],Table2[a],0)),))</f>
        <v/>
      </c>
      <c r="K116" s="271">
        <v>2</v>
      </c>
      <c r="L116" s="271" t="s">
        <v>136</v>
      </c>
      <c r="O116" s="278" t="str">
        <f>IF(Table1[[#This Row],[h_Item Description]]="","",INDEX([1]!db[NB PAJAK],MATCH(Table1[[#This Row],[h_Item Description]],[1]!db[kode],0)))</f>
        <v/>
      </c>
      <c r="P116" s="271" t="s">
        <v>330</v>
      </c>
      <c r="Q116" s="274">
        <v>25000</v>
      </c>
      <c r="R116" s="275"/>
      <c r="S116" s="275"/>
      <c r="T116" s="274">
        <f>Table1[[#This Row],[h_hargasetelahdiskon]]</f>
        <v>50000</v>
      </c>
      <c r="V116" s="271"/>
      <c r="W116" s="278">
        <f ca="1">IF(Table1[[#This Row],[Item Description]]="","",IF(Table1[[#This Row],[//]]="",INDIRECT(ADDRESS(ROW()-1,COLUMN())),Table1[[#This Row],[//]]))</f>
        <v>115</v>
      </c>
      <c r="X116" s="278">
        <f ca="1">IF(Table1[[#This Row],[h_id]]="","",COUNTIF(Table1[h_id],Table1[[#This Row],[h_id]]))</f>
        <v>10</v>
      </c>
      <c r="Y116" s="274">
        <f>IF(Table1[Item Description]="","",Table1[[#This Row],[Qty]]*Table1[[#This Row],[Unit Price]])</f>
        <v>50000</v>
      </c>
      <c r="Z116" s="274">
        <f>IF(Table1[[#This Row],[h_hargasebelumdiskon]]="","",IF(Table1[[#This Row],[Disc 1]]="",0,Table1[[#This Row],[h_hargasebelumdiskon]]*Table1[[#This Row],[Disc 1]]))</f>
        <v>0</v>
      </c>
      <c r="AA116" s="274">
        <f>IF(Table1[[#This Row],[h_hargasebelumdiskon]]="","",IF(Table1[[#This Row],[Disc 2]]="",0,(Table1[[#This Row],[h_hargasebelumdiskon]]-Table1[[#This Row],[h_disc 1]])*Table1[[#This Row],[Disc 2]]))</f>
        <v>0</v>
      </c>
      <c r="AB116" s="274">
        <f>IF(Table1[Item Description]="","",Table1[[#This Row],[h_disc 1]]+Table1[[#This Row],[h_disc 2]])</f>
        <v>0</v>
      </c>
      <c r="AC116" s="274">
        <f>IF(Table1[Item Description]="","",Table1[[#This Row],[h_hargasebelumdiskon]]-Table1[[#This Row],[h_diskon]])</f>
        <v>50000</v>
      </c>
      <c r="AD116" s="274" t="str">
        <f ca="1">IF(Table1[//]="","",SUMIF(Table1[h_id],Table1[h_id],Table1[h_hargasetelahdiskon]))</f>
        <v/>
      </c>
      <c r="AF116" s="274" t="str">
        <f>Table1[[#This Row],[Item Description]]&amp;Table1[[#This Row],[Unit]]&amp;Table1[[#This Row],[Unit Price]]</f>
        <v>TAS KERTAS ALFA IF KECILLSN25000</v>
      </c>
      <c r="AG116" s="3"/>
      <c r="AH116" s="3"/>
      <c r="AI116" s="3"/>
    </row>
    <row r="117" spans="1:35" x14ac:dyDescent="0.25">
      <c r="A117" s="278" t="str">
        <f ca="1">IF(Table1[[#This Row],[No. Invoice :]]="","",ROW())</f>
        <v/>
      </c>
      <c r="B117" s="278" t="str">
        <f ca="1">IF(Table1[Column3]="","",B$1+COUNT(INDIRECT("B$2:B"&amp;ROW()-1)))</f>
        <v/>
      </c>
      <c r="C117" s="272" t="str">
        <f>IF(Table1[[#This Row],[Column2]]="","",Table1[[#This Row],[Column2]]+C$1-1)</f>
        <v/>
      </c>
      <c r="E117" s="273"/>
      <c r="F117" s="271"/>
      <c r="G117" s="278" t="str">
        <f ca="1">IF(Table1[[#This Row],[h_No. Invoice :]]="","",CONCATENATE("AM"," ",Table1[[#This Row],[h_No. Invoice :]]))</f>
        <v/>
      </c>
      <c r="H117" s="271" t="str">
        <f>IF(Table1[[#This Row],[Column5]]="","",INDEX(Table2[Column1],MATCH(Table1[[#This Row],[Column5]],Table2[a],0)))</f>
        <v/>
      </c>
      <c r="I117" s="279" t="str">
        <f>IF(Table1[[#This Row],[Column3]]=0,"",CONCATENATE(UPPER(Table1[[#This Row],[Column3]])," ",Table1[[#This Row],[Column4]]))</f>
        <v xml:space="preserve"> </v>
      </c>
      <c r="J117" s="278" t="str">
        <f>IF(Table1[[#This Row],[Column5]]="","",INDEX(Table2[e],IF(Table1[[#This Row],[Column5]]="","",MATCH(Table1[[#This Row],[Column5]],Table2[a],0)),))</f>
        <v/>
      </c>
      <c r="K117" s="271">
        <v>2</v>
      </c>
      <c r="L117" s="271" t="s">
        <v>136</v>
      </c>
      <c r="O117" s="278" t="str">
        <f>IF(Table1[[#This Row],[h_Item Description]]="","",INDEX([1]!db[NB PAJAK],MATCH(Table1[[#This Row],[h_Item Description]],[1]!db[kode],0)))</f>
        <v/>
      </c>
      <c r="P117" s="271" t="s">
        <v>331</v>
      </c>
      <c r="Q117" s="274">
        <v>30000</v>
      </c>
      <c r="R117" s="275"/>
      <c r="S117" s="275"/>
      <c r="T117" s="274">
        <f>Table1[[#This Row],[h_hargasetelahdiskon]]</f>
        <v>60000</v>
      </c>
      <c r="V117" s="271"/>
      <c r="W117" s="278">
        <f ca="1">IF(Table1[[#This Row],[Item Description]]="","",IF(Table1[[#This Row],[//]]="",INDIRECT(ADDRESS(ROW()-1,COLUMN())),Table1[[#This Row],[//]]))</f>
        <v>115</v>
      </c>
      <c r="X117" s="278">
        <f ca="1">IF(Table1[[#This Row],[h_id]]="","",COUNTIF(Table1[h_id],Table1[[#This Row],[h_id]]))</f>
        <v>10</v>
      </c>
      <c r="Y117" s="274">
        <f>IF(Table1[Item Description]="","",Table1[[#This Row],[Qty]]*Table1[[#This Row],[Unit Price]])</f>
        <v>60000</v>
      </c>
      <c r="Z117" s="274">
        <f>IF(Table1[[#This Row],[h_hargasebelumdiskon]]="","",IF(Table1[[#This Row],[Disc 1]]="",0,Table1[[#This Row],[h_hargasebelumdiskon]]*Table1[[#This Row],[Disc 1]]))</f>
        <v>0</v>
      </c>
      <c r="AA117" s="274">
        <f>IF(Table1[[#This Row],[h_hargasebelumdiskon]]="","",IF(Table1[[#This Row],[Disc 2]]="",0,(Table1[[#This Row],[h_hargasebelumdiskon]]-Table1[[#This Row],[h_disc 1]])*Table1[[#This Row],[Disc 2]]))</f>
        <v>0</v>
      </c>
      <c r="AB117" s="274">
        <f>IF(Table1[Item Description]="","",Table1[[#This Row],[h_disc 1]]+Table1[[#This Row],[h_disc 2]])</f>
        <v>0</v>
      </c>
      <c r="AC117" s="274">
        <f>IF(Table1[Item Description]="","",Table1[[#This Row],[h_hargasebelumdiskon]]-Table1[[#This Row],[h_diskon]])</f>
        <v>60000</v>
      </c>
      <c r="AD117" s="274" t="str">
        <f ca="1">IF(Table1[//]="","",SUMIF(Table1[h_id],Table1[h_id],Table1[h_hargasetelahdiskon]))</f>
        <v/>
      </c>
      <c r="AF117" s="274" t="str">
        <f>Table1[[#This Row],[Item Description]]&amp;Table1[[#This Row],[Unit]]&amp;Table1[[#This Row],[Unit Price]]</f>
        <v>TAS KERTAS ALFA IF TANGGUNGLSN30000</v>
      </c>
      <c r="AG117" s="3"/>
      <c r="AH117" s="3"/>
      <c r="AI117" s="3"/>
    </row>
    <row r="118" spans="1:35" x14ac:dyDescent="0.25">
      <c r="A118" s="278" t="str">
        <f ca="1">IF(Table1[[#This Row],[No. Invoice :]]="","",ROW())</f>
        <v/>
      </c>
      <c r="B118" s="278" t="str">
        <f ca="1">IF(Table1[Column3]="","",B$1+COUNT(INDIRECT("B$2:B"&amp;ROW()-1)))</f>
        <v/>
      </c>
      <c r="C118" s="272" t="str">
        <f>IF(Table1[[#This Row],[Column2]]="","",Table1[[#This Row],[Column2]]+C$1-1)</f>
        <v/>
      </c>
      <c r="E118" s="273"/>
      <c r="F118" s="271"/>
      <c r="G118" s="278" t="str">
        <f ca="1">IF(Table1[[#This Row],[h_No. Invoice :]]="","",CONCATENATE("AM"," ",Table1[[#This Row],[h_No. Invoice :]]))</f>
        <v/>
      </c>
      <c r="H118" s="271" t="str">
        <f>IF(Table1[[#This Row],[Column5]]="","",INDEX(Table2[Column1],MATCH(Table1[[#This Row],[Column5]],Table2[a],0)))</f>
        <v/>
      </c>
      <c r="I118" s="279" t="str">
        <f>IF(Table1[[#This Row],[Column3]]=0,"",CONCATENATE(UPPER(Table1[[#This Row],[Column3]])," ",Table1[[#This Row],[Column4]]))</f>
        <v xml:space="preserve"> </v>
      </c>
      <c r="J118" s="278" t="str">
        <f>IF(Table1[[#This Row],[Column5]]="","",INDEX(Table2[e],IF(Table1[[#This Row],[Column5]]="","",MATCH(Table1[[#This Row],[Column5]],Table2[a],0)),))</f>
        <v/>
      </c>
      <c r="K118" s="271">
        <v>1</v>
      </c>
      <c r="L118" s="271" t="s">
        <v>136</v>
      </c>
      <c r="O118" s="278" t="str">
        <f>IF(Table1[[#This Row],[h_Item Description]]="","",INDEX([1]!db[NB PAJAK],MATCH(Table1[[#This Row],[h_Item Description]],[1]!db[kode],0)))</f>
        <v/>
      </c>
      <c r="P118" s="271" t="s">
        <v>332</v>
      </c>
      <c r="Q118" s="274">
        <v>234000</v>
      </c>
      <c r="R118" s="275"/>
      <c r="S118" s="275"/>
      <c r="T118" s="274">
        <f>Table1[[#This Row],[h_hargasetelahdiskon]]</f>
        <v>234000</v>
      </c>
      <c r="V118" s="271"/>
      <c r="W118" s="278">
        <f ca="1">IF(Table1[[#This Row],[Item Description]]="","",IF(Table1[[#This Row],[//]]="",INDIRECT(ADDRESS(ROW()-1,COLUMN())),Table1[[#This Row],[//]]))</f>
        <v>115</v>
      </c>
      <c r="X118" s="278">
        <f ca="1">IF(Table1[[#This Row],[h_id]]="","",COUNTIF(Table1[h_id],Table1[[#This Row],[h_id]]))</f>
        <v>10</v>
      </c>
      <c r="Y118" s="274">
        <f>IF(Table1[Item Description]="","",Table1[[#This Row],[Qty]]*Table1[[#This Row],[Unit Price]])</f>
        <v>234000</v>
      </c>
      <c r="Z118" s="274">
        <f>IF(Table1[[#This Row],[h_hargasebelumdiskon]]="","",IF(Table1[[#This Row],[Disc 1]]="",0,Table1[[#This Row],[h_hargasebelumdiskon]]*Table1[[#This Row],[Disc 1]]))</f>
        <v>0</v>
      </c>
      <c r="AA118" s="274">
        <f>IF(Table1[[#This Row],[h_hargasebelumdiskon]]="","",IF(Table1[[#This Row],[Disc 2]]="",0,(Table1[[#This Row],[h_hargasebelumdiskon]]-Table1[[#This Row],[h_disc 1]])*Table1[[#This Row],[Disc 2]]))</f>
        <v>0</v>
      </c>
      <c r="AB118" s="274">
        <f>IF(Table1[Item Description]="","",Table1[[#This Row],[h_disc 1]]+Table1[[#This Row],[h_disc 2]])</f>
        <v>0</v>
      </c>
      <c r="AC118" s="274">
        <f>IF(Table1[Item Description]="","",Table1[[#This Row],[h_hargasebelumdiskon]]-Table1[[#This Row],[h_diskon]])</f>
        <v>234000</v>
      </c>
      <c r="AD118" s="274" t="str">
        <f ca="1">IF(Table1[//]="","",SUMIF(Table1[h_id],Table1[h_id],Table1[h_hargasetelahdiskon]))</f>
        <v/>
      </c>
      <c r="AF118" s="274" t="str">
        <f>Table1[[#This Row],[Item Description]]&amp;Table1[[#This Row],[Unit]]&amp;Table1[[#This Row],[Unit Price]]</f>
        <v>STAPLER SDI 1104LSN234000</v>
      </c>
      <c r="AG118" s="3"/>
      <c r="AH118" s="3"/>
      <c r="AI118" s="3"/>
    </row>
    <row r="119" spans="1:35" x14ac:dyDescent="0.25">
      <c r="A119" s="278" t="str">
        <f ca="1">IF(Table1[[#This Row],[No. Invoice :]]="","",ROW())</f>
        <v/>
      </c>
      <c r="B119" s="278" t="str">
        <f ca="1">IF(Table1[Column3]="","",B$1+COUNT(INDIRECT("B$2:B"&amp;ROW()-1)))</f>
        <v/>
      </c>
      <c r="C119" s="272" t="str">
        <f>IF(Table1[[#This Row],[Column2]]="","",Table1[[#This Row],[Column2]]+C$1-1)</f>
        <v/>
      </c>
      <c r="E119" s="273"/>
      <c r="F119" s="271"/>
      <c r="G119" s="278" t="str">
        <f ca="1">IF(Table1[[#This Row],[h_No. Invoice :]]="","",CONCATENATE("AM"," ",Table1[[#This Row],[h_No. Invoice :]]))</f>
        <v/>
      </c>
      <c r="H119" s="271" t="str">
        <f>IF(Table1[[#This Row],[Column5]]="","",INDEX(Table2[Column1],MATCH(Table1[[#This Row],[Column5]],Table2[a],0)))</f>
        <v/>
      </c>
      <c r="I119" s="279" t="str">
        <f>IF(Table1[[#This Row],[Column3]]=0,"",CONCATENATE(UPPER(Table1[[#This Row],[Column3]])," ",Table1[[#This Row],[Column4]]))</f>
        <v xml:space="preserve"> </v>
      </c>
      <c r="J119" s="278" t="str">
        <f>IF(Table1[[#This Row],[Column5]]="","",INDEX(Table2[e],IF(Table1[[#This Row],[Column5]]="","",MATCH(Table1[[#This Row],[Column5]],Table2[a],0)),))</f>
        <v/>
      </c>
      <c r="K119" s="271">
        <v>12</v>
      </c>
      <c r="L119" s="271" t="s">
        <v>136</v>
      </c>
      <c r="N119" s="271" t="s">
        <v>333</v>
      </c>
      <c r="O119" s="278" t="str">
        <f>IF(Table1[[#This Row],[h_Item Description]]="","",INDEX([1]!db[NB PAJAK],MATCH(Table1[[#This Row],[h_Item Description]],[1]!db[kode],0)))</f>
        <v>BALLPEN JOYKO BP-349-12 VOKUS TRANS HITAM (BONUS)</v>
      </c>
      <c r="P119" s="271" t="s">
        <v>334</v>
      </c>
      <c r="Q119" s="274">
        <v>13200</v>
      </c>
      <c r="R119" s="275">
        <v>0.1</v>
      </c>
      <c r="S119" s="275"/>
      <c r="T119" s="274">
        <f>Table1[[#This Row],[h_hargasetelahdiskon]]</f>
        <v>142560</v>
      </c>
      <c r="V119" s="271"/>
      <c r="W119" s="278">
        <f ca="1">IF(Table1[[#This Row],[Item Description]]="","",IF(Table1[[#This Row],[//]]="",INDIRECT(ADDRESS(ROW()-1,COLUMN())),Table1[[#This Row],[//]]))</f>
        <v>115</v>
      </c>
      <c r="X119" s="278">
        <f ca="1">IF(Table1[[#This Row],[h_id]]="","",COUNTIF(Table1[h_id],Table1[[#This Row],[h_id]]))</f>
        <v>10</v>
      </c>
      <c r="Y119" s="274">
        <f>IF(Table1[Item Description]="","",Table1[[#This Row],[Qty]]*Table1[[#This Row],[Unit Price]])</f>
        <v>158400</v>
      </c>
      <c r="Z119" s="274">
        <f>IF(Table1[[#This Row],[h_hargasebelumdiskon]]="","",IF(Table1[[#This Row],[Disc 1]]="",0,Table1[[#This Row],[h_hargasebelumdiskon]]*Table1[[#This Row],[Disc 1]]))</f>
        <v>15840</v>
      </c>
      <c r="AA119" s="274">
        <f>IF(Table1[[#This Row],[h_hargasebelumdiskon]]="","",IF(Table1[[#This Row],[Disc 2]]="",0,(Table1[[#This Row],[h_hargasebelumdiskon]]-Table1[[#This Row],[h_disc 1]])*Table1[[#This Row],[Disc 2]]))</f>
        <v>0</v>
      </c>
      <c r="AB119" s="274">
        <f>IF(Table1[Item Description]="","",Table1[[#This Row],[h_disc 1]]+Table1[[#This Row],[h_disc 2]])</f>
        <v>15840</v>
      </c>
      <c r="AC119" s="274">
        <f>IF(Table1[Item Description]="","",Table1[[#This Row],[h_hargasebelumdiskon]]-Table1[[#This Row],[h_diskon]])</f>
        <v>142560</v>
      </c>
      <c r="AD119" s="274" t="str">
        <f ca="1">IF(Table1[//]="","",SUMIF(Table1[h_id],Table1[h_id],Table1[h_hargasetelahdiskon]))</f>
        <v/>
      </c>
      <c r="AF119" s="274" t="str">
        <f>Table1[[#This Row],[Item Description]]&amp;Table1[[#This Row],[Unit]]&amp;Table1[[#This Row],[Unit Price]]</f>
        <v>BALLPEN JOYKO BP-349-12 VOKUS TRANS HITAMLSN13200</v>
      </c>
      <c r="AG119" s="3"/>
      <c r="AH119" s="3"/>
      <c r="AI119" s="3"/>
    </row>
    <row r="120" spans="1:35" x14ac:dyDescent="0.25">
      <c r="A120" s="278" t="str">
        <f ca="1">IF(Table1[[#This Row],[No. Invoice :]]="","",ROW())</f>
        <v/>
      </c>
      <c r="B120" s="278" t="str">
        <f ca="1">IF(Table1[Column3]="","",B$1+COUNT(INDIRECT("B$2:B"&amp;ROW()-1)))</f>
        <v/>
      </c>
      <c r="C120" s="272" t="str">
        <f>IF(Table1[[#This Row],[Column2]]="","",Table1[[#This Row],[Column2]]+C$1-1)</f>
        <v/>
      </c>
      <c r="E120" s="273"/>
      <c r="F120" s="271"/>
      <c r="G120" s="278" t="str">
        <f ca="1">IF(Table1[[#This Row],[h_No. Invoice :]]="","",CONCATENATE("AM"," ",Table1[[#This Row],[h_No. Invoice :]]))</f>
        <v/>
      </c>
      <c r="H120" s="271" t="str">
        <f>IF(Table1[[#This Row],[Column5]]="","",INDEX(Table2[Column1],MATCH(Table1[[#This Row],[Column5]],Table2[a],0)))</f>
        <v/>
      </c>
      <c r="I120" s="279" t="str">
        <f>IF(Table1[[#This Row],[Column3]]=0,"",CONCATENATE(UPPER(Table1[[#This Row],[Column3]])," ",Table1[[#This Row],[Column4]]))</f>
        <v xml:space="preserve"> </v>
      </c>
      <c r="J120" s="278" t="str">
        <f>IF(Table1[[#This Row],[Column5]]="","",INDEX(Table2[e],IF(Table1[[#This Row],[Column5]]="","",MATCH(Table1[[#This Row],[Column5]],Table2[a],0)),))</f>
        <v/>
      </c>
      <c r="K120" s="271">
        <v>12</v>
      </c>
      <c r="L120" s="271" t="s">
        <v>136</v>
      </c>
      <c r="N120" s="271" t="s">
        <v>335</v>
      </c>
      <c r="O120" s="278" t="str">
        <f>IF(Table1[[#This Row],[h_Item Description]]="","",INDEX([1]!db[NB PAJAK],MATCH(Table1[[#This Row],[h_Item Description]],[1]!db[kode],0)))</f>
        <v>BALLPEN JOYKO BP-250 BRIZ HITAM</v>
      </c>
      <c r="P120" s="271" t="s">
        <v>336</v>
      </c>
      <c r="Q120" s="274">
        <v>7020</v>
      </c>
      <c r="R120" s="275">
        <v>0.1</v>
      </c>
      <c r="S120" s="275"/>
      <c r="T120" s="274">
        <f>Table1[[#This Row],[h_hargasetelahdiskon]]</f>
        <v>75816</v>
      </c>
      <c r="V120" s="271"/>
      <c r="W120" s="278">
        <f ca="1">IF(Table1[[#This Row],[Item Description]]="","",IF(Table1[[#This Row],[//]]="",INDIRECT(ADDRESS(ROW()-1,COLUMN())),Table1[[#This Row],[//]]))</f>
        <v>115</v>
      </c>
      <c r="X120" s="278">
        <f ca="1">IF(Table1[[#This Row],[h_id]]="","",COUNTIF(Table1[h_id],Table1[[#This Row],[h_id]]))</f>
        <v>10</v>
      </c>
      <c r="Y120" s="274">
        <f>IF(Table1[Item Description]="","",Table1[[#This Row],[Qty]]*Table1[[#This Row],[Unit Price]])</f>
        <v>84240</v>
      </c>
      <c r="Z120" s="274">
        <f>IF(Table1[[#This Row],[h_hargasebelumdiskon]]="","",IF(Table1[[#This Row],[Disc 1]]="",0,Table1[[#This Row],[h_hargasebelumdiskon]]*Table1[[#This Row],[Disc 1]]))</f>
        <v>8424</v>
      </c>
      <c r="AA120" s="274">
        <f>IF(Table1[[#This Row],[h_hargasebelumdiskon]]="","",IF(Table1[[#This Row],[Disc 2]]="",0,(Table1[[#This Row],[h_hargasebelumdiskon]]-Table1[[#This Row],[h_disc 1]])*Table1[[#This Row],[Disc 2]]))</f>
        <v>0</v>
      </c>
      <c r="AB120" s="274">
        <f>IF(Table1[Item Description]="","",Table1[[#This Row],[h_disc 1]]+Table1[[#This Row],[h_disc 2]])</f>
        <v>8424</v>
      </c>
      <c r="AC120" s="274">
        <f>IF(Table1[Item Description]="","",Table1[[#This Row],[h_hargasebelumdiskon]]-Table1[[#This Row],[h_diskon]])</f>
        <v>75816</v>
      </c>
      <c r="AD120" s="274" t="str">
        <f ca="1">IF(Table1[//]="","",SUMIF(Table1[h_id],Table1[h_id],Table1[h_hargasetelahdiskon]))</f>
        <v/>
      </c>
      <c r="AF120" s="274" t="str">
        <f>Table1[[#This Row],[Item Description]]&amp;Table1[[#This Row],[Unit]]&amp;Table1[[#This Row],[Unit Price]]</f>
        <v>BALLPEN JOYKO BP-250 BRIZ HITAMLSN7020</v>
      </c>
      <c r="AG120" s="3"/>
      <c r="AH120" s="3"/>
      <c r="AI120" s="3"/>
    </row>
    <row r="121" spans="1:35" x14ac:dyDescent="0.25">
      <c r="A121" s="278" t="str">
        <f ca="1">IF(Table1[[#This Row],[No. Invoice :]]="","",ROW())</f>
        <v/>
      </c>
      <c r="B121" s="278" t="str">
        <f ca="1">IF(Table1[Column3]="","",B$1+COUNT(INDIRECT("B$2:B"&amp;ROW()-1)))</f>
        <v/>
      </c>
      <c r="C121" s="272" t="str">
        <f>IF(Table1[[#This Row],[Column2]]="","",Table1[[#This Row],[Column2]]+C$1-1)</f>
        <v/>
      </c>
      <c r="E121" s="273"/>
      <c r="F121" s="271"/>
      <c r="G121" s="278" t="str">
        <f ca="1">IF(Table1[[#This Row],[h_No. Invoice :]]="","",CONCATENATE("AM"," ",Table1[[#This Row],[h_No. Invoice :]]))</f>
        <v/>
      </c>
      <c r="H121" s="271" t="str">
        <f>IF(Table1[[#This Row],[Column5]]="","",INDEX(Table2[Column1],MATCH(Table1[[#This Row],[Column5]],Table2[a],0)))</f>
        <v/>
      </c>
      <c r="I121" s="279" t="str">
        <f>IF(Table1[[#This Row],[Column3]]=0,"",CONCATENATE(UPPER(Table1[[#This Row],[Column3]])," ",Table1[[#This Row],[Column4]]))</f>
        <v xml:space="preserve"> </v>
      </c>
      <c r="J121" s="278" t="str">
        <f>IF(Table1[[#This Row],[Column5]]="","",INDEX(Table2[e],IF(Table1[[#This Row],[Column5]]="","",MATCH(Table1[[#This Row],[Column5]],Table2[a],0)),))</f>
        <v/>
      </c>
      <c r="K121" s="271">
        <v>6</v>
      </c>
      <c r="L121" s="271" t="s">
        <v>136</v>
      </c>
      <c r="N121" s="271" t="s">
        <v>150</v>
      </c>
      <c r="O121" s="278" t="str">
        <f>IF(Table1[[#This Row],[h_Item Description]]="","",INDEX([1]!db[NB PAJAK],MATCH(Table1[[#This Row],[h_Item Description]],[1]!db[kode],0)))</f>
        <v>CORRECTION FLUID KENKO KE-01</v>
      </c>
      <c r="P121" s="271" t="s">
        <v>151</v>
      </c>
      <c r="Q121" s="274">
        <v>54300</v>
      </c>
      <c r="R121" s="275">
        <v>0.1</v>
      </c>
      <c r="S121" s="275"/>
      <c r="T121" s="274">
        <f>Table1[[#This Row],[h_hargasetelahdiskon]]</f>
        <v>293220</v>
      </c>
      <c r="V121" s="271"/>
      <c r="W121" s="278">
        <f ca="1">IF(Table1[[#This Row],[Item Description]]="","",IF(Table1[[#This Row],[//]]="",INDIRECT(ADDRESS(ROW()-1,COLUMN())),Table1[[#This Row],[//]]))</f>
        <v>115</v>
      </c>
      <c r="X121" s="278">
        <f ca="1">IF(Table1[[#This Row],[h_id]]="","",COUNTIF(Table1[h_id],Table1[[#This Row],[h_id]]))</f>
        <v>10</v>
      </c>
      <c r="Y121" s="274">
        <f>IF(Table1[Item Description]="","",Table1[[#This Row],[Qty]]*Table1[[#This Row],[Unit Price]])</f>
        <v>325800</v>
      </c>
      <c r="Z121" s="274">
        <f>IF(Table1[[#This Row],[h_hargasebelumdiskon]]="","",IF(Table1[[#This Row],[Disc 1]]="",0,Table1[[#This Row],[h_hargasebelumdiskon]]*Table1[[#This Row],[Disc 1]]))</f>
        <v>32580</v>
      </c>
      <c r="AA121" s="274">
        <f>IF(Table1[[#This Row],[h_hargasebelumdiskon]]="","",IF(Table1[[#This Row],[Disc 2]]="",0,(Table1[[#This Row],[h_hargasebelumdiskon]]-Table1[[#This Row],[h_disc 1]])*Table1[[#This Row],[Disc 2]]))</f>
        <v>0</v>
      </c>
      <c r="AB121" s="274">
        <f>IF(Table1[Item Description]="","",Table1[[#This Row],[h_disc 1]]+Table1[[#This Row],[h_disc 2]])</f>
        <v>32580</v>
      </c>
      <c r="AC121" s="274">
        <f>IF(Table1[Item Description]="","",Table1[[#This Row],[h_hargasebelumdiskon]]-Table1[[#This Row],[h_diskon]])</f>
        <v>293220</v>
      </c>
      <c r="AD121" s="274" t="str">
        <f ca="1">IF(Table1[//]="","",SUMIF(Table1[h_id],Table1[h_id],Table1[h_hargasetelahdiskon]))</f>
        <v/>
      </c>
      <c r="AF121" s="274" t="str">
        <f>Table1[[#This Row],[Item Description]]&amp;Table1[[#This Row],[Unit]]&amp;Table1[[#This Row],[Unit Price]]</f>
        <v>CORRECTION FLUID KENKO KE-01LSN54300</v>
      </c>
      <c r="AG121" s="3"/>
      <c r="AH121" s="3"/>
      <c r="AI121" s="3"/>
    </row>
    <row r="122" spans="1:35" x14ac:dyDescent="0.25">
      <c r="A122" s="278" t="str">
        <f ca="1">IF(Table1[[#This Row],[No. Invoice :]]="","",ROW())</f>
        <v/>
      </c>
      <c r="B122" s="278" t="str">
        <f ca="1">IF(Table1[Column3]="","",B$1+COUNT(INDIRECT("B$2:B"&amp;ROW()-1)))</f>
        <v/>
      </c>
      <c r="C122" s="272" t="str">
        <f>IF(Table1[[#This Row],[Column2]]="","",Table1[[#This Row],[Column2]]+C$1-1)</f>
        <v/>
      </c>
      <c r="E122" s="273"/>
      <c r="F122" s="271"/>
      <c r="G122" s="278" t="str">
        <f ca="1">IF(Table1[[#This Row],[h_No. Invoice :]]="","",CONCATENATE("AM"," ",Table1[[#This Row],[h_No. Invoice :]]))</f>
        <v/>
      </c>
      <c r="H122" s="271" t="str">
        <f>IF(Table1[[#This Row],[Column5]]="","",INDEX(Table2[Column1],MATCH(Table1[[#This Row],[Column5]],Table2[a],0)))</f>
        <v/>
      </c>
      <c r="I122" s="279" t="str">
        <f>IF(Table1[[#This Row],[Column3]]=0,"",CONCATENATE(UPPER(Table1[[#This Row],[Column3]])," ",Table1[[#This Row],[Column4]]))</f>
        <v xml:space="preserve"> </v>
      </c>
      <c r="J122" s="278" t="str">
        <f>IF(Table1[[#This Row],[Column5]]="","",INDEX(Table2[e],IF(Table1[[#This Row],[Column5]]="","",MATCH(Table1[[#This Row],[Column5]],Table2[a],0)),))</f>
        <v/>
      </c>
      <c r="K122" s="271">
        <v>1</v>
      </c>
      <c r="L122" s="271" t="s">
        <v>136</v>
      </c>
      <c r="N122" s="271" t="s">
        <v>337</v>
      </c>
      <c r="O122" s="278" t="str">
        <f>IF(Table1[[#This Row],[h_Item Description]]="","",INDEX([1]!db[NB PAJAK],MATCH(Table1[[#This Row],[h_Item Description]],[1]!db[kode],0)))</f>
        <v>STAPLER KENKO HD-10D</v>
      </c>
      <c r="P122" s="271" t="s">
        <v>338</v>
      </c>
      <c r="Q122" s="274">
        <v>117600</v>
      </c>
      <c r="R122" s="275">
        <v>0.1</v>
      </c>
      <c r="S122" s="275"/>
      <c r="T122" s="274">
        <f>Table1[[#This Row],[h_hargasetelahdiskon]]</f>
        <v>105840</v>
      </c>
      <c r="V122" s="271"/>
      <c r="W122" s="278">
        <f ca="1">IF(Table1[[#This Row],[Item Description]]="","",IF(Table1[[#This Row],[//]]="",INDIRECT(ADDRESS(ROW()-1,COLUMN())),Table1[[#This Row],[//]]))</f>
        <v>115</v>
      </c>
      <c r="X122" s="278">
        <f ca="1">IF(Table1[[#This Row],[h_id]]="","",COUNTIF(Table1[h_id],Table1[[#This Row],[h_id]]))</f>
        <v>10</v>
      </c>
      <c r="Y122" s="274">
        <f>IF(Table1[Item Description]="","",Table1[[#This Row],[Qty]]*Table1[[#This Row],[Unit Price]])</f>
        <v>117600</v>
      </c>
      <c r="Z122" s="274">
        <f>IF(Table1[[#This Row],[h_hargasebelumdiskon]]="","",IF(Table1[[#This Row],[Disc 1]]="",0,Table1[[#This Row],[h_hargasebelumdiskon]]*Table1[[#This Row],[Disc 1]]))</f>
        <v>11760</v>
      </c>
      <c r="AA122" s="274">
        <f>IF(Table1[[#This Row],[h_hargasebelumdiskon]]="","",IF(Table1[[#This Row],[Disc 2]]="",0,(Table1[[#This Row],[h_hargasebelumdiskon]]-Table1[[#This Row],[h_disc 1]])*Table1[[#This Row],[Disc 2]]))</f>
        <v>0</v>
      </c>
      <c r="AB122" s="274">
        <f>IF(Table1[Item Description]="","",Table1[[#This Row],[h_disc 1]]+Table1[[#This Row],[h_disc 2]])</f>
        <v>11760</v>
      </c>
      <c r="AC122" s="274">
        <f>IF(Table1[Item Description]="","",Table1[[#This Row],[h_hargasebelumdiskon]]-Table1[[#This Row],[h_diskon]])</f>
        <v>105840</v>
      </c>
      <c r="AD122" s="274" t="str">
        <f ca="1">IF(Table1[//]="","",SUMIF(Table1[h_id],Table1[h_id],Table1[h_hargasetelahdiskon]))</f>
        <v/>
      </c>
      <c r="AF122" s="274" t="str">
        <f>Table1[[#This Row],[Item Description]]&amp;Table1[[#This Row],[Unit]]&amp;Table1[[#This Row],[Unit Price]]</f>
        <v>STAPLER KENKO HD-10DLSN117600</v>
      </c>
      <c r="AG122" s="3"/>
      <c r="AH122" s="3"/>
      <c r="AI122" s="3"/>
    </row>
    <row r="123" spans="1:35" x14ac:dyDescent="0.25">
      <c r="A123" s="278" t="str">
        <f ca="1">IF(Table1[[#This Row],[No. Invoice :]]="","",ROW())</f>
        <v/>
      </c>
      <c r="B123" s="278" t="str">
        <f ca="1">IF(Table1[Column3]="","",B$1+COUNT(INDIRECT("B$2:B"&amp;ROW()-1)))</f>
        <v/>
      </c>
      <c r="C123" s="272" t="str">
        <f>IF(Table1[[#This Row],[Column2]]="","",Table1[[#This Row],[Column2]]+C$1-1)</f>
        <v/>
      </c>
      <c r="E123" s="273"/>
      <c r="F123" s="271"/>
      <c r="G123" s="278" t="str">
        <f ca="1">IF(Table1[[#This Row],[h_No. Invoice :]]="","",CONCATENATE("AM"," ",Table1[[#This Row],[h_No. Invoice :]]))</f>
        <v/>
      </c>
      <c r="H123" s="271" t="str">
        <f>IF(Table1[[#This Row],[Column5]]="","",INDEX(Table2[Column1],MATCH(Table1[[#This Row],[Column5]],Table2[a],0)))</f>
        <v/>
      </c>
      <c r="I123" s="279" t="str">
        <f>IF(Table1[[#This Row],[Column3]]=0,"",CONCATENATE(UPPER(Table1[[#This Row],[Column3]])," ",Table1[[#This Row],[Column4]]))</f>
        <v xml:space="preserve"> </v>
      </c>
      <c r="J123" s="278" t="str">
        <f>IF(Table1[[#This Row],[Column5]]="","",INDEX(Table2[e],IF(Table1[[#This Row],[Column5]]="","",MATCH(Table1[[#This Row],[Column5]],Table2[a],0)),))</f>
        <v/>
      </c>
      <c r="K123" s="271">
        <v>1</v>
      </c>
      <c r="L123" s="271" t="s">
        <v>136</v>
      </c>
      <c r="N123" s="271" t="s">
        <v>339</v>
      </c>
      <c r="O123" s="278" t="e">
        <f>IF(Table1[[#This Row],[h_Item Description]]="","",INDEX([1]!db[NB PAJAK],MATCH(Table1[[#This Row],[h_Item Description]],[1]!db[kode],0)))</f>
        <v>#N/A</v>
      </c>
      <c r="P123" s="271" t="s">
        <v>340</v>
      </c>
      <c r="Q123" s="274">
        <v>69600</v>
      </c>
      <c r="R123" s="275">
        <v>0.1</v>
      </c>
      <c r="S123" s="275"/>
      <c r="T123" s="274">
        <f>Table1[[#This Row],[h_hargasetelahdiskon]]</f>
        <v>62640</v>
      </c>
      <c r="V123" s="271"/>
      <c r="W123" s="278">
        <f ca="1">IF(Table1[[#This Row],[Item Description]]="","",IF(Table1[[#This Row],[//]]="",INDIRECT(ADDRESS(ROW()-1,COLUMN())),Table1[[#This Row],[//]]))</f>
        <v>115</v>
      </c>
      <c r="X123" s="278">
        <f ca="1">IF(Table1[[#This Row],[h_id]]="","",COUNTIF(Table1[h_id],Table1[[#This Row],[h_id]]))</f>
        <v>10</v>
      </c>
      <c r="Y123" s="274">
        <f>IF(Table1[Item Description]="","",Table1[[#This Row],[Qty]]*Table1[[#This Row],[Unit Price]])</f>
        <v>69600</v>
      </c>
      <c r="Z123" s="274">
        <f>IF(Table1[[#This Row],[h_hargasebelumdiskon]]="","",IF(Table1[[#This Row],[Disc 1]]="",0,Table1[[#This Row],[h_hargasebelumdiskon]]*Table1[[#This Row],[Disc 1]]))</f>
        <v>6960</v>
      </c>
      <c r="AA123" s="274">
        <f>IF(Table1[[#This Row],[h_hargasebelumdiskon]]="","",IF(Table1[[#This Row],[Disc 2]]="",0,(Table1[[#This Row],[h_hargasebelumdiskon]]-Table1[[#This Row],[h_disc 1]])*Table1[[#This Row],[Disc 2]]))</f>
        <v>0</v>
      </c>
      <c r="AB123" s="274">
        <f>IF(Table1[Item Description]="","",Table1[[#This Row],[h_disc 1]]+Table1[[#This Row],[h_disc 2]])</f>
        <v>6960</v>
      </c>
      <c r="AC123" s="274">
        <f>IF(Table1[Item Description]="","",Table1[[#This Row],[h_hargasebelumdiskon]]-Table1[[#This Row],[h_diskon]])</f>
        <v>62640</v>
      </c>
      <c r="AD123" s="274" t="str">
        <f ca="1">IF(Table1[//]="","",SUMIF(Table1[h_id],Table1[h_id],Table1[h_hargasetelahdiskon]))</f>
        <v/>
      </c>
      <c r="AF123" s="274" t="str">
        <f>Table1[[#This Row],[Item Description]]&amp;Table1[[#This Row],[Unit]]&amp;Table1[[#This Row],[Unit Price]]</f>
        <v>STAPLER KENKO HD-10SLSN69600</v>
      </c>
      <c r="AG123" s="3"/>
      <c r="AH123" s="3"/>
      <c r="AI123" s="3"/>
    </row>
    <row r="124" spans="1:35" x14ac:dyDescent="0.25">
      <c r="A124" s="278" t="str">
        <f ca="1">IF(Table1[[#This Row],[No. Invoice :]]="","",ROW())</f>
        <v/>
      </c>
      <c r="B124" s="278" t="str">
        <f ca="1">IF(Table1[Column3]="","",B$1+COUNT(INDIRECT("B$2:B"&amp;ROW()-1)))</f>
        <v/>
      </c>
      <c r="C124" s="272" t="str">
        <f>IF(Table1[[#This Row],[Column2]]="","",Table1[[#This Row],[Column2]]+C$1-1)</f>
        <v/>
      </c>
      <c r="E124" s="273"/>
      <c r="F124" s="271"/>
      <c r="G124" s="278" t="str">
        <f ca="1">IF(Table1[[#This Row],[h_No. Invoice :]]="","",CONCATENATE("AM"," ",Table1[[#This Row],[h_No. Invoice :]]))</f>
        <v/>
      </c>
      <c r="H124" s="271" t="str">
        <f>IF(Table1[[#This Row],[Column5]]="","",INDEX(Table2[Column1],MATCH(Table1[[#This Row],[Column5]],Table2[a],0)))</f>
        <v/>
      </c>
      <c r="I124" s="279" t="str">
        <f>IF(Table1[[#This Row],[Column3]]=0,"",CONCATENATE(UPPER(Table1[[#This Row],[Column3]])," ",Table1[[#This Row],[Column4]]))</f>
        <v xml:space="preserve"> </v>
      </c>
      <c r="J124" s="278" t="str">
        <f>IF(Table1[[#This Row],[Column5]]="","",INDEX(Table2[e],IF(Table1[[#This Row],[Column5]]="","",MATCH(Table1[[#This Row],[Column5]],Table2[a],0)),))</f>
        <v/>
      </c>
      <c r="K124" s="271">
        <v>2</v>
      </c>
      <c r="L124" s="271" t="s">
        <v>136</v>
      </c>
      <c r="N124" s="271" t="s">
        <v>341</v>
      </c>
      <c r="O124" s="278" t="str">
        <f>IF(Table1[[#This Row],[h_Item Description]]="","",INDEX([1]!db[NB PAJAK],MATCH(Table1[[#This Row],[h_Item Description]],[1]!db[kode],0)))</f>
        <v>CRAYON / OIL PASTEL JOYKO OP-12S PP CASE SEA WORLD</v>
      </c>
      <c r="P124" s="271" t="s">
        <v>342</v>
      </c>
      <c r="Q124" s="274">
        <v>142800</v>
      </c>
      <c r="R124" s="275">
        <v>0.1</v>
      </c>
      <c r="S124" s="275"/>
      <c r="T124" s="274">
        <f>Table1[[#This Row],[h_hargasetelahdiskon]]</f>
        <v>257040</v>
      </c>
      <c r="V124" s="271"/>
      <c r="W124" s="278">
        <f ca="1">IF(Table1[[#This Row],[Item Description]]="","",IF(Table1[[#This Row],[//]]="",INDIRECT(ADDRESS(ROW()-1,COLUMN())),Table1[[#This Row],[//]]))</f>
        <v>115</v>
      </c>
      <c r="X124" s="278">
        <f ca="1">IF(Table1[[#This Row],[h_id]]="","",COUNTIF(Table1[h_id],Table1[[#This Row],[h_id]]))</f>
        <v>10</v>
      </c>
      <c r="Y124" s="274">
        <f>IF(Table1[Item Description]="","",Table1[[#This Row],[Qty]]*Table1[[#This Row],[Unit Price]])</f>
        <v>285600</v>
      </c>
      <c r="Z124" s="274">
        <f>IF(Table1[[#This Row],[h_hargasebelumdiskon]]="","",IF(Table1[[#This Row],[Disc 1]]="",0,Table1[[#This Row],[h_hargasebelumdiskon]]*Table1[[#This Row],[Disc 1]]))</f>
        <v>28560</v>
      </c>
      <c r="AA124" s="274">
        <f>IF(Table1[[#This Row],[h_hargasebelumdiskon]]="","",IF(Table1[[#This Row],[Disc 2]]="",0,(Table1[[#This Row],[h_hargasebelumdiskon]]-Table1[[#This Row],[h_disc 1]])*Table1[[#This Row],[Disc 2]]))</f>
        <v>0</v>
      </c>
      <c r="AB124" s="274">
        <f>IF(Table1[Item Description]="","",Table1[[#This Row],[h_disc 1]]+Table1[[#This Row],[h_disc 2]])</f>
        <v>28560</v>
      </c>
      <c r="AC124" s="274">
        <f>IF(Table1[Item Description]="","",Table1[[#This Row],[h_hargasebelumdiskon]]-Table1[[#This Row],[h_diskon]])</f>
        <v>257040</v>
      </c>
      <c r="AD124" s="274" t="str">
        <f ca="1">IF(Table1[//]="","",SUMIF(Table1[h_id],Table1[h_id],Table1[h_hargasetelahdiskon]))</f>
        <v/>
      </c>
      <c r="AF124" s="274" t="str">
        <f>Table1[[#This Row],[Item Description]]&amp;Table1[[#This Row],[Unit]]&amp;Table1[[#This Row],[Unit Price]]</f>
        <v>CRAYON / OIL PASTEL JOYKO OP-12S PP CASE SEA WORLDLSN142800</v>
      </c>
      <c r="AG124" s="3"/>
      <c r="AH124" s="3"/>
      <c r="AI124" s="3"/>
    </row>
    <row r="125" spans="1:35" x14ac:dyDescent="0.25">
      <c r="A125" s="278" t="str">
        <f ca="1">IF(Table1[[#This Row],[No. Invoice :]]="","",ROW())</f>
        <v/>
      </c>
      <c r="B125" s="278" t="str">
        <f ca="1">IF(Table1[Column3]="","",B$1+COUNT(INDIRECT("B$2:B"&amp;ROW()-1)))</f>
        <v/>
      </c>
      <c r="C125" s="272" t="str">
        <f>IF(Table1[[#This Row],[Column2]]="","",Table1[[#This Row],[Column2]]+C$1-1)</f>
        <v/>
      </c>
      <c r="E125" s="273"/>
      <c r="F125" s="271"/>
      <c r="G125" s="278" t="str">
        <f ca="1">IF(Table1[[#This Row],[h_No. Invoice :]]="","",CONCATENATE("AM"," ",Table1[[#This Row],[h_No. Invoice :]]))</f>
        <v/>
      </c>
      <c r="H125" s="271" t="str">
        <f>IF(Table1[[#This Row],[Column5]]="","",INDEX(Table2[Column1],MATCH(Table1[[#This Row],[Column5]],Table2[a],0)))</f>
        <v/>
      </c>
      <c r="I125" s="279" t="str">
        <f>IF(Table1[[#This Row],[Column3]]=0,"",CONCATENATE(UPPER(Table1[[#This Row],[Column3]])," ",Table1[[#This Row],[Column4]]))</f>
        <v xml:space="preserve"> </v>
      </c>
      <c r="J125" s="278" t="str">
        <f>IF(Table1[[#This Row],[Column5]]="","",INDEX(Table2[e],IF(Table1[[#This Row],[Column5]]="","",MATCH(Table1[[#This Row],[Column5]],Table2[a],0)),))</f>
        <v/>
      </c>
      <c r="K125" s="271"/>
      <c r="L125" s="271"/>
      <c r="O125" s="278" t="str">
        <f>IF(Table1[[#This Row],[h_Item Description]]="","",INDEX([1]!db[NB PAJAK],MATCH(Table1[[#This Row],[h_Item Description]],[1]!db[kode],0)))</f>
        <v/>
      </c>
      <c r="Q125" s="274"/>
      <c r="R125" s="275"/>
      <c r="S125" s="275"/>
      <c r="T125" s="274" t="str">
        <f>Table1[[#This Row],[h_hargasetelahdiskon]]</f>
        <v/>
      </c>
      <c r="V125" s="271"/>
      <c r="W125" s="278" t="str">
        <f ca="1">IF(Table1[[#This Row],[Item Description]]="","",IF(Table1[[#This Row],[//]]="",INDIRECT(ADDRESS(ROW()-1,COLUMN())),Table1[[#This Row],[//]]))</f>
        <v/>
      </c>
      <c r="X125" s="278" t="str">
        <f ca="1">IF(Table1[[#This Row],[h_id]]="","",COUNTIF(Table1[h_id],Table1[[#This Row],[h_id]]))</f>
        <v/>
      </c>
      <c r="Y125" s="274" t="str">
        <f>IF(Table1[Item Description]="","",Table1[[#This Row],[Qty]]*Table1[[#This Row],[Unit Price]])</f>
        <v/>
      </c>
      <c r="Z125" s="274" t="str">
        <f>IF(Table1[[#This Row],[h_hargasebelumdiskon]]="","",IF(Table1[[#This Row],[Disc 1]]="",0,Table1[[#This Row],[h_hargasebelumdiskon]]*Table1[[#This Row],[Disc 1]]))</f>
        <v/>
      </c>
      <c r="AA125" s="274" t="str">
        <f>IF(Table1[[#This Row],[h_hargasebelumdiskon]]="","",IF(Table1[[#This Row],[Disc 2]]="",0,(Table1[[#This Row],[h_hargasebelumdiskon]]-Table1[[#This Row],[h_disc 1]])*Table1[[#This Row],[Disc 2]]))</f>
        <v/>
      </c>
      <c r="AB125" s="274" t="str">
        <f>IF(Table1[Item Description]="","",Table1[[#This Row],[h_disc 1]]+Table1[[#This Row],[h_disc 2]])</f>
        <v/>
      </c>
      <c r="AC125" s="274" t="str">
        <f>IF(Table1[Item Description]="","",Table1[[#This Row],[h_hargasebelumdiskon]]-Table1[[#This Row],[h_diskon]])</f>
        <v/>
      </c>
      <c r="AD125" s="274" t="str">
        <f ca="1">IF(Table1[//]="","",SUMIF(Table1[h_id],Table1[h_id],Table1[h_hargasetelahdiskon]))</f>
        <v/>
      </c>
      <c r="AF125" s="274" t="str">
        <f>Table1[[#This Row],[Item Description]]&amp;Table1[[#This Row],[Unit]]&amp;Table1[[#This Row],[Unit Price]]</f>
        <v/>
      </c>
      <c r="AG125" s="3"/>
      <c r="AH125" s="3"/>
      <c r="AI125" s="3"/>
    </row>
    <row r="126" spans="1:35" x14ac:dyDescent="0.25">
      <c r="A126" s="278">
        <f ca="1">IF(Table1[[#This Row],[No. Invoice :]]="","",ROW())</f>
        <v>126</v>
      </c>
      <c r="B126" s="278">
        <f ca="1">IF(Table1[Column3]="","",B$1+COUNT(INDIRECT("B$2:B"&amp;ROW()-1)))</f>
        <v>24020023</v>
      </c>
      <c r="C126" s="272">
        <f>IF(Table1[[#This Row],[Column2]]="","",Table1[[#This Row],[Column2]]+C$1-1)</f>
        <v>45344</v>
      </c>
      <c r="D126" s="281">
        <v>22</v>
      </c>
      <c r="E126" s="273" t="s">
        <v>344</v>
      </c>
      <c r="F126" s="271" t="s">
        <v>228</v>
      </c>
      <c r="G126" s="278" t="str">
        <f ca="1">IF(Table1[[#This Row],[h_No. Invoice :]]="","",CONCATENATE("AM"," ",Table1[[#This Row],[h_No. Invoice :]]))</f>
        <v>AM 24020023</v>
      </c>
      <c r="H126" s="271" t="str">
        <f>IF(Table1[[#This Row],[Column5]]="","",INDEX(Table2[Column1],MATCH(Table1[[#This Row],[Column5]],Table2[a],0)))</f>
        <v>KO</v>
      </c>
      <c r="I126" s="279" t="str">
        <f>IF(Table1[[#This Row],[Column3]]=0,"",CONCATENATE(UPPER(Table1[[#This Row],[Column3]])," ",Table1[[#This Row],[Column4]]))</f>
        <v>KO 2756</v>
      </c>
      <c r="J126" s="278" t="str">
        <f>IF(Table1[[#This Row],[Column5]]="","",INDEX(Table2[e],IF(Table1[[#This Row],[Column5]]="","",MATCH(Table1[[#This Row],[Column5]],Table2[a],0)),))</f>
        <v>HARNOYO (BENDAN) PEKALONGAN</v>
      </c>
      <c r="K126" s="271">
        <v>36</v>
      </c>
      <c r="L126" s="271" t="s">
        <v>136</v>
      </c>
      <c r="N126" s="271" t="s">
        <v>150</v>
      </c>
      <c r="O126" s="278" t="str">
        <f>IF(Table1[[#This Row],[h_Item Description]]="","",INDEX([1]!db[NB PAJAK],MATCH(Table1[[#This Row],[h_Item Description]],[1]!db[kode],0)))</f>
        <v>CORRECTION FLUID KENKO KE-01</v>
      </c>
      <c r="P126" s="271" t="s">
        <v>151</v>
      </c>
      <c r="Q126" s="274">
        <v>54300</v>
      </c>
      <c r="R126" s="275">
        <v>0.14000000000000001</v>
      </c>
      <c r="S126" s="275"/>
      <c r="T126" s="274">
        <f>Table1[[#This Row],[h_hargasetelahdiskon]]</f>
        <v>1681128</v>
      </c>
      <c r="U126" s="274" t="s">
        <v>129</v>
      </c>
      <c r="V126" s="271"/>
      <c r="W126" s="278">
        <f ca="1">IF(Table1[[#This Row],[Item Description]]="","",IF(Table1[[#This Row],[//]]="",INDIRECT(ADDRESS(ROW()-1,COLUMN())),Table1[[#This Row],[//]]))</f>
        <v>126</v>
      </c>
      <c r="X126" s="278">
        <f ca="1">IF(Table1[[#This Row],[h_id]]="","",COUNTIF(Table1[h_id],Table1[[#This Row],[h_id]]))</f>
        <v>2</v>
      </c>
      <c r="Y126" s="274">
        <f>IF(Table1[Item Description]="","",Table1[[#This Row],[Qty]]*Table1[[#This Row],[Unit Price]])</f>
        <v>1954800</v>
      </c>
      <c r="Z126" s="274">
        <f>IF(Table1[[#This Row],[h_hargasebelumdiskon]]="","",IF(Table1[[#This Row],[Disc 1]]="",0,Table1[[#This Row],[h_hargasebelumdiskon]]*Table1[[#This Row],[Disc 1]]))</f>
        <v>273672</v>
      </c>
      <c r="AA126" s="274">
        <f>IF(Table1[[#This Row],[h_hargasebelumdiskon]]="","",IF(Table1[[#This Row],[Disc 2]]="",0,(Table1[[#This Row],[h_hargasebelumdiskon]]-Table1[[#This Row],[h_disc 1]])*Table1[[#This Row],[Disc 2]]))</f>
        <v>0</v>
      </c>
      <c r="AB126" s="274">
        <f>IF(Table1[Item Description]="","",Table1[[#This Row],[h_disc 1]]+Table1[[#This Row],[h_disc 2]])</f>
        <v>273672</v>
      </c>
      <c r="AC126" s="274">
        <f>IF(Table1[Item Description]="","",Table1[[#This Row],[h_hargasebelumdiskon]]-Table1[[#This Row],[h_diskon]])</f>
        <v>1681128</v>
      </c>
      <c r="AD126" s="274">
        <f ca="1">IF(Table1[//]="","",SUMIF(Table1[h_id],Table1[h_id],Table1[h_hargasetelahdiskon]))</f>
        <v>3396828</v>
      </c>
      <c r="AF126" s="274" t="str">
        <f>Table1[[#This Row],[Item Description]]&amp;Table1[[#This Row],[Unit]]&amp;Table1[[#This Row],[Unit Price]]</f>
        <v>CORRECTION FLUID KENKO KE-01LSN54300</v>
      </c>
      <c r="AG126" s="3"/>
      <c r="AH126" s="3"/>
      <c r="AI126" s="3"/>
    </row>
    <row r="127" spans="1:35" x14ac:dyDescent="0.25">
      <c r="A127" s="278" t="str">
        <f ca="1">IF(Table1[[#This Row],[No. Invoice :]]="","",ROW())</f>
        <v/>
      </c>
      <c r="B127" s="278" t="str">
        <f ca="1">IF(Table1[Column3]="","",B$1+COUNT(INDIRECT("B$2:B"&amp;ROW()-1)))</f>
        <v/>
      </c>
      <c r="C127" s="272" t="str">
        <f>IF(Table1[[#This Row],[Column2]]="","",Table1[[#This Row],[Column2]]+C$1-1)</f>
        <v/>
      </c>
      <c r="E127" s="273"/>
      <c r="F127" s="271"/>
      <c r="G127" s="278" t="str">
        <f ca="1">IF(Table1[[#This Row],[h_No. Invoice :]]="","",CONCATENATE("AM"," ",Table1[[#This Row],[h_No. Invoice :]]))</f>
        <v/>
      </c>
      <c r="H127" s="271" t="str">
        <f>IF(Table1[[#This Row],[Column5]]="","",INDEX(Table2[Column1],MATCH(Table1[[#This Row],[Column5]],Table2[a],0)))</f>
        <v/>
      </c>
      <c r="I127" s="279" t="str">
        <f>IF(Table1[[#This Row],[Column3]]=0,"",CONCATENATE(UPPER(Table1[[#This Row],[Column3]])," ",Table1[[#This Row],[Column4]]))</f>
        <v xml:space="preserve"> </v>
      </c>
      <c r="J127" s="278" t="str">
        <f>IF(Table1[[#This Row],[Column5]]="","",INDEX(Table2[e],IF(Table1[[#This Row],[Column5]]="","",MATCH(Table1[[#This Row],[Column5]],Table2[a],0)),))</f>
        <v/>
      </c>
      <c r="K127" s="271">
        <v>25</v>
      </c>
      <c r="L127" s="271" t="s">
        <v>136</v>
      </c>
      <c r="M127" s="271">
        <v>1</v>
      </c>
      <c r="N127" s="271" t="s">
        <v>345</v>
      </c>
      <c r="O127" s="278" t="str">
        <f>IF(Table1[[#This Row],[h_Item Description]]="","",INDEX([1]!db[NB PAJAK],MATCH(Table1[[#This Row],[h_Item Description]],[1]!db[kode],0)))</f>
        <v>GUNTING KENKO SC-838N</v>
      </c>
      <c r="P127" s="271" t="s">
        <v>346</v>
      </c>
      <c r="Q127" s="274">
        <v>79800</v>
      </c>
      <c r="R127" s="275">
        <v>0.14000000000000001</v>
      </c>
      <c r="S127" s="275"/>
      <c r="T127" s="274">
        <f>Table1[[#This Row],[h_hargasetelahdiskon]]</f>
        <v>1715700</v>
      </c>
      <c r="V127" s="271"/>
      <c r="W127" s="278">
        <f ca="1">IF(Table1[[#This Row],[Item Description]]="","",IF(Table1[[#This Row],[//]]="",INDIRECT(ADDRESS(ROW()-1,COLUMN())),Table1[[#This Row],[//]]))</f>
        <v>126</v>
      </c>
      <c r="X127" s="278">
        <f ca="1">IF(Table1[[#This Row],[h_id]]="","",COUNTIF(Table1[h_id],Table1[[#This Row],[h_id]]))</f>
        <v>2</v>
      </c>
      <c r="Y127" s="274">
        <f>IF(Table1[Item Description]="","",Table1[[#This Row],[Qty]]*Table1[[#This Row],[Unit Price]])</f>
        <v>1995000</v>
      </c>
      <c r="Z127" s="274">
        <f>IF(Table1[[#This Row],[h_hargasebelumdiskon]]="","",IF(Table1[[#This Row],[Disc 1]]="",0,Table1[[#This Row],[h_hargasebelumdiskon]]*Table1[[#This Row],[Disc 1]]))</f>
        <v>279300</v>
      </c>
      <c r="AA127" s="274">
        <f>IF(Table1[[#This Row],[h_hargasebelumdiskon]]="","",IF(Table1[[#This Row],[Disc 2]]="",0,(Table1[[#This Row],[h_hargasebelumdiskon]]-Table1[[#This Row],[h_disc 1]])*Table1[[#This Row],[Disc 2]]))</f>
        <v>0</v>
      </c>
      <c r="AB127" s="274">
        <f>IF(Table1[Item Description]="","",Table1[[#This Row],[h_disc 1]]+Table1[[#This Row],[h_disc 2]])</f>
        <v>279300</v>
      </c>
      <c r="AC127" s="274">
        <f>IF(Table1[Item Description]="","",Table1[[#This Row],[h_hargasebelumdiskon]]-Table1[[#This Row],[h_diskon]])</f>
        <v>1715700</v>
      </c>
      <c r="AD127" s="274" t="str">
        <f ca="1">IF(Table1[//]="","",SUMIF(Table1[h_id],Table1[h_id],Table1[h_hargasetelahdiskon]))</f>
        <v/>
      </c>
      <c r="AF127" s="274" t="str">
        <f>Table1[[#This Row],[Item Description]]&amp;Table1[[#This Row],[Unit]]&amp;Table1[[#This Row],[Unit Price]]</f>
        <v>GUNTING KENKO SC-838NLSN79800</v>
      </c>
      <c r="AG127" s="3"/>
      <c r="AH127" s="3"/>
      <c r="AI127" s="3"/>
    </row>
    <row r="128" spans="1:35" x14ac:dyDescent="0.25">
      <c r="A128" s="278" t="str">
        <f ca="1">IF(Table1[[#This Row],[No. Invoice :]]="","",ROW())</f>
        <v/>
      </c>
      <c r="B128" s="278" t="str">
        <f ca="1">IF(Table1[Column3]="","",B$1+COUNT(INDIRECT("B$2:B"&amp;ROW()-1)))</f>
        <v/>
      </c>
      <c r="C128" s="272" t="str">
        <f>IF(Table1[[#This Row],[Column2]]="","",Table1[[#This Row],[Column2]]+C$1-1)</f>
        <v/>
      </c>
      <c r="E128" s="273"/>
      <c r="F128" s="271"/>
      <c r="G128" s="278" t="str">
        <f ca="1">IF(Table1[[#This Row],[h_No. Invoice :]]="","",CONCATENATE("AM"," ",Table1[[#This Row],[h_No. Invoice :]]))</f>
        <v/>
      </c>
      <c r="H128" s="271" t="str">
        <f>IF(Table1[[#This Row],[Column5]]="","",INDEX(Table2[Column1],MATCH(Table1[[#This Row],[Column5]],Table2[a],0)))</f>
        <v/>
      </c>
      <c r="I128" s="279" t="str">
        <f>IF(Table1[[#This Row],[Column3]]=0,"",CONCATENATE(UPPER(Table1[[#This Row],[Column3]])," ",Table1[[#This Row],[Column4]]))</f>
        <v xml:space="preserve"> </v>
      </c>
      <c r="J128" s="278" t="str">
        <f>IF(Table1[[#This Row],[Column5]]="","",INDEX(Table2[e],IF(Table1[[#This Row],[Column5]]="","",MATCH(Table1[[#This Row],[Column5]],Table2[a],0)),))</f>
        <v/>
      </c>
      <c r="K128" s="271"/>
      <c r="L128" s="271"/>
      <c r="O128" s="278" t="str">
        <f>IF(Table1[[#This Row],[h_Item Description]]="","",INDEX([1]!db[NB PAJAK],MATCH(Table1[[#This Row],[h_Item Description]],[1]!db[kode],0)))</f>
        <v/>
      </c>
      <c r="Q128" s="274"/>
      <c r="R128" s="275"/>
      <c r="S128" s="275"/>
      <c r="T128" s="274" t="str">
        <f>Table1[[#This Row],[h_hargasetelahdiskon]]</f>
        <v/>
      </c>
      <c r="V128" s="271"/>
      <c r="W128" s="278" t="str">
        <f ca="1">IF(Table1[[#This Row],[Item Description]]="","",IF(Table1[[#This Row],[//]]="",INDIRECT(ADDRESS(ROW()-1,COLUMN())),Table1[[#This Row],[//]]))</f>
        <v/>
      </c>
      <c r="X128" s="278" t="str">
        <f ca="1">IF(Table1[[#This Row],[h_id]]="","",COUNTIF(Table1[h_id],Table1[[#This Row],[h_id]]))</f>
        <v/>
      </c>
      <c r="Y128" s="274" t="str">
        <f>IF(Table1[Item Description]="","",Table1[[#This Row],[Qty]]*Table1[[#This Row],[Unit Price]])</f>
        <v/>
      </c>
      <c r="Z128" s="274" t="str">
        <f>IF(Table1[[#This Row],[h_hargasebelumdiskon]]="","",IF(Table1[[#This Row],[Disc 1]]="",0,Table1[[#This Row],[h_hargasebelumdiskon]]*Table1[[#This Row],[Disc 1]]))</f>
        <v/>
      </c>
      <c r="AA128" s="274" t="str">
        <f>IF(Table1[[#This Row],[h_hargasebelumdiskon]]="","",IF(Table1[[#This Row],[Disc 2]]="",0,(Table1[[#This Row],[h_hargasebelumdiskon]]-Table1[[#This Row],[h_disc 1]])*Table1[[#This Row],[Disc 2]]))</f>
        <v/>
      </c>
      <c r="AB128" s="274" t="str">
        <f>IF(Table1[Item Description]="","",Table1[[#This Row],[h_disc 1]]+Table1[[#This Row],[h_disc 2]])</f>
        <v/>
      </c>
      <c r="AC128" s="274" t="str">
        <f>IF(Table1[Item Description]="","",Table1[[#This Row],[h_hargasebelumdiskon]]-Table1[[#This Row],[h_diskon]])</f>
        <v/>
      </c>
      <c r="AD128" s="274" t="str">
        <f ca="1">IF(Table1[//]="","",SUMIF(Table1[h_id],Table1[h_id],Table1[h_hargasetelahdiskon]))</f>
        <v/>
      </c>
      <c r="AF128" s="274" t="str">
        <f>Table1[[#This Row],[Item Description]]&amp;Table1[[#This Row],[Unit]]&amp;Table1[[#This Row],[Unit Price]]</f>
        <v/>
      </c>
      <c r="AG128" s="3"/>
      <c r="AH128" s="3"/>
      <c r="AI128" s="3"/>
    </row>
    <row r="129" spans="1:35" x14ac:dyDescent="0.25">
      <c r="A129" s="278">
        <f ca="1">IF(Table1[[#This Row],[No. Invoice :]]="","",ROW())</f>
        <v>129</v>
      </c>
      <c r="B129" s="278">
        <f ca="1">IF(Table1[Column3]="","",B$1+COUNT(INDIRECT("B$2:B"&amp;ROW()-1)))</f>
        <v>24020024</v>
      </c>
      <c r="C129" s="272">
        <f>IF(Table1[[#This Row],[Column2]]="","",Table1[[#This Row],[Column2]]+C$1-1)</f>
        <v>45346</v>
      </c>
      <c r="D129" s="281">
        <v>24</v>
      </c>
      <c r="E129" s="273" t="s">
        <v>351</v>
      </c>
      <c r="F129" s="271" t="s">
        <v>352</v>
      </c>
      <c r="G129" s="278" t="str">
        <f ca="1">IF(Table1[[#This Row],[h_No. Invoice :]]="","",CONCATENATE("AM"," ",Table1[[#This Row],[h_No. Invoice :]]))</f>
        <v>AM 24020024</v>
      </c>
      <c r="H129" s="271" t="str">
        <f>IF(Table1[[#This Row],[Column5]]="","",INDEX(Table2[Column1],MATCH(Table1[[#This Row],[Column5]],Table2[a],0)))</f>
        <v>A</v>
      </c>
      <c r="I129" s="279" t="str">
        <f>IF(Table1[[#This Row],[Column3]]=0,"",CONCATENATE(UPPER(Table1[[#This Row],[Column3]])," ",Table1[[#This Row],[Column4]]))</f>
        <v>A 2772</v>
      </c>
      <c r="J129" s="278" t="str">
        <f>IF(Table1[[#This Row],[Column5]]="","",INDEX(Table2[e],IF(Table1[[#This Row],[Column5]]="","",MATCH(Table1[[#This Row],[Column5]],Table2[a],0)),))</f>
        <v>CV FM 90 KEBUMEN</v>
      </c>
      <c r="K129" s="271">
        <v>144</v>
      </c>
      <c r="L129" s="271" t="s">
        <v>136</v>
      </c>
      <c r="M129" s="271">
        <v>1</v>
      </c>
      <c r="N129" s="271" t="s">
        <v>353</v>
      </c>
      <c r="O129" s="278" t="str">
        <f>IF(Table1[[#This Row],[h_Item Description]]="","",INDEX([1]!db[NB PAJAK],MATCH(Table1[[#This Row],[h_Item Description]],[1]!db[kode],0)))</f>
        <v>GEL PEN TRIFELLO HI-TECH TF-1191 WARNA</v>
      </c>
      <c r="P129" s="271" t="s">
        <v>354</v>
      </c>
      <c r="Q129" s="274">
        <v>28500</v>
      </c>
      <c r="R129" s="275"/>
      <c r="S129" s="275"/>
      <c r="T129" s="274">
        <f>Table1[[#This Row],[h_hargasetelahdiskon]]</f>
        <v>4104000</v>
      </c>
      <c r="U129" s="274" t="s">
        <v>129</v>
      </c>
      <c r="V129" s="271"/>
      <c r="W129" s="278">
        <f ca="1">IF(Table1[[#This Row],[Item Description]]="","",IF(Table1[[#This Row],[//]]="",INDIRECT(ADDRESS(ROW()-1,COLUMN())),Table1[[#This Row],[//]]))</f>
        <v>129</v>
      </c>
      <c r="X129" s="278">
        <f ca="1">IF(Table1[[#This Row],[h_id]]="","",COUNTIF(Table1[h_id],Table1[[#This Row],[h_id]]))</f>
        <v>2</v>
      </c>
      <c r="Y129" s="274">
        <f>IF(Table1[Item Description]="","",Table1[[#This Row],[Qty]]*Table1[[#This Row],[Unit Price]])</f>
        <v>4104000</v>
      </c>
      <c r="Z129" s="274">
        <f>IF(Table1[[#This Row],[h_hargasebelumdiskon]]="","",IF(Table1[[#This Row],[Disc 1]]="",0,Table1[[#This Row],[h_hargasebelumdiskon]]*Table1[[#This Row],[Disc 1]]))</f>
        <v>0</v>
      </c>
      <c r="AA129" s="274">
        <f>IF(Table1[[#This Row],[h_hargasebelumdiskon]]="","",IF(Table1[[#This Row],[Disc 2]]="",0,(Table1[[#This Row],[h_hargasebelumdiskon]]-Table1[[#This Row],[h_disc 1]])*Table1[[#This Row],[Disc 2]]))</f>
        <v>0</v>
      </c>
      <c r="AB129" s="274">
        <f>IF(Table1[Item Description]="","",Table1[[#This Row],[h_disc 1]]+Table1[[#This Row],[h_disc 2]])</f>
        <v>0</v>
      </c>
      <c r="AC129" s="274">
        <f>IF(Table1[Item Description]="","",Table1[[#This Row],[h_hargasebelumdiskon]]-Table1[[#This Row],[h_diskon]])</f>
        <v>4104000</v>
      </c>
      <c r="AD129" s="274">
        <f ca="1">IF(Table1[//]="","",SUMIF(Table1[h_id],Table1[h_id],Table1[h_hargasetelahdiskon]))</f>
        <v>12312000</v>
      </c>
      <c r="AF129" s="274" t="str">
        <f>Table1[[#This Row],[Item Description]]&amp;Table1[[#This Row],[Unit]]&amp;Table1[[#This Row],[Unit Price]]</f>
        <v>GEL PEN TRIFELLO HI-TECH TF-1191 WARNALSN28500</v>
      </c>
      <c r="AG129" s="3"/>
      <c r="AH129" s="3"/>
      <c r="AI129" s="3"/>
    </row>
    <row r="130" spans="1:35" x14ac:dyDescent="0.25">
      <c r="A130" s="278" t="str">
        <f ca="1">IF(Table1[[#This Row],[No. Invoice :]]="","",ROW())</f>
        <v/>
      </c>
      <c r="B130" s="278" t="str">
        <f ca="1">IF(Table1[Column3]="","",B$1+COUNT(INDIRECT("B$2:B"&amp;ROW()-1)))</f>
        <v/>
      </c>
      <c r="C130" s="272" t="str">
        <f>IF(Table1[[#This Row],[Column2]]="","",Table1[[#This Row],[Column2]]+C$1-1)</f>
        <v/>
      </c>
      <c r="E130" s="273"/>
      <c r="F130" s="271"/>
      <c r="G130" s="278" t="str">
        <f ca="1">IF(Table1[[#This Row],[h_No. Invoice :]]="","",CONCATENATE("AM"," ",Table1[[#This Row],[h_No. Invoice :]]))</f>
        <v/>
      </c>
      <c r="H130" s="271" t="str">
        <f>IF(Table1[[#This Row],[Column5]]="","",INDEX(Table2[Column1],MATCH(Table1[[#This Row],[Column5]],Table2[a],0)))</f>
        <v/>
      </c>
      <c r="I130" s="279" t="str">
        <f>IF(Table1[[#This Row],[Column3]]=0,"",CONCATENATE(UPPER(Table1[[#This Row],[Column3]])," ",Table1[[#This Row],[Column4]]))</f>
        <v xml:space="preserve"> </v>
      </c>
      <c r="J130" s="278" t="str">
        <f>IF(Table1[[#This Row],[Column5]]="","",INDEX(Table2[e],IF(Table1[[#This Row],[Column5]]="","",MATCH(Table1[[#This Row],[Column5]],Table2[a],0)),))</f>
        <v/>
      </c>
      <c r="K130" s="271">
        <v>288</v>
      </c>
      <c r="L130" s="271" t="s">
        <v>136</v>
      </c>
      <c r="M130" s="271">
        <v>2</v>
      </c>
      <c r="N130" s="271" t="s">
        <v>274</v>
      </c>
      <c r="O130" s="278" t="str">
        <f>IF(Table1[[#This Row],[h_Item Description]]="","",INDEX([1]!db[NB PAJAK],MATCH(Table1[[#This Row],[h_Item Description]],[1]!db[kode],0)))</f>
        <v>GEL PEN TRIFELLO HI-TECH TF-1190 HITAM</v>
      </c>
      <c r="P130" s="271" t="s">
        <v>275</v>
      </c>
      <c r="Q130" s="274">
        <v>28500</v>
      </c>
      <c r="R130" s="275"/>
      <c r="S130" s="275"/>
      <c r="T130" s="274">
        <f>Table1[[#This Row],[h_hargasetelahdiskon]]</f>
        <v>8208000</v>
      </c>
      <c r="V130" s="271"/>
      <c r="W130" s="278">
        <f ca="1">IF(Table1[[#This Row],[Item Description]]="","",IF(Table1[[#This Row],[//]]="",INDIRECT(ADDRESS(ROW()-1,COLUMN())),Table1[[#This Row],[//]]))</f>
        <v>129</v>
      </c>
      <c r="X130" s="278">
        <f ca="1">IF(Table1[[#This Row],[h_id]]="","",COUNTIF(Table1[h_id],Table1[[#This Row],[h_id]]))</f>
        <v>2</v>
      </c>
      <c r="Y130" s="274">
        <f>IF(Table1[Item Description]="","",Table1[[#This Row],[Qty]]*Table1[[#This Row],[Unit Price]])</f>
        <v>8208000</v>
      </c>
      <c r="Z130" s="274">
        <f>IF(Table1[[#This Row],[h_hargasebelumdiskon]]="","",IF(Table1[[#This Row],[Disc 1]]="",0,Table1[[#This Row],[h_hargasebelumdiskon]]*Table1[[#This Row],[Disc 1]]))</f>
        <v>0</v>
      </c>
      <c r="AA130" s="274">
        <f>IF(Table1[[#This Row],[h_hargasebelumdiskon]]="","",IF(Table1[[#This Row],[Disc 2]]="",0,(Table1[[#This Row],[h_hargasebelumdiskon]]-Table1[[#This Row],[h_disc 1]])*Table1[[#This Row],[Disc 2]]))</f>
        <v>0</v>
      </c>
      <c r="AB130" s="274">
        <f>IF(Table1[Item Description]="","",Table1[[#This Row],[h_disc 1]]+Table1[[#This Row],[h_disc 2]])</f>
        <v>0</v>
      </c>
      <c r="AC130" s="274">
        <f>IF(Table1[Item Description]="","",Table1[[#This Row],[h_hargasebelumdiskon]]-Table1[[#This Row],[h_diskon]])</f>
        <v>8208000</v>
      </c>
      <c r="AD130" s="274" t="str">
        <f ca="1">IF(Table1[//]="","",SUMIF(Table1[h_id],Table1[h_id],Table1[h_hargasetelahdiskon]))</f>
        <v/>
      </c>
      <c r="AF130" s="274" t="str">
        <f>Table1[[#This Row],[Item Description]]&amp;Table1[[#This Row],[Unit]]&amp;Table1[[#This Row],[Unit Price]]</f>
        <v>GEL PEN TRIFELLO HI-TECH TF-1190 HITAMLSN28500</v>
      </c>
      <c r="AG130" s="3"/>
      <c r="AH130" s="3"/>
      <c r="AI130" s="3"/>
    </row>
    <row r="131" spans="1:35" x14ac:dyDescent="0.25">
      <c r="A131" s="278" t="str">
        <f ca="1">IF(Table1[[#This Row],[No. Invoice :]]="","",ROW())</f>
        <v/>
      </c>
      <c r="B131" s="278" t="str">
        <f ca="1">IF(Table1[Column3]="","",B$1+COUNT(INDIRECT("B$2:B"&amp;ROW()-1)))</f>
        <v/>
      </c>
      <c r="C131" s="272" t="str">
        <f>IF(Table1[[#This Row],[Column2]]="","",Table1[[#This Row],[Column2]]+C$1-1)</f>
        <v/>
      </c>
      <c r="E131" s="273"/>
      <c r="F131" s="271"/>
      <c r="G131" s="278" t="str">
        <f ca="1">IF(Table1[[#This Row],[h_No. Invoice :]]="","",CONCATENATE("AM"," ",Table1[[#This Row],[h_No. Invoice :]]))</f>
        <v/>
      </c>
      <c r="H131" s="271" t="str">
        <f>IF(Table1[[#This Row],[Column5]]="","",INDEX(Table2[Column1],MATCH(Table1[[#This Row],[Column5]],Table2[a],0)))</f>
        <v/>
      </c>
      <c r="I131" s="279" t="str">
        <f>IF(Table1[[#This Row],[Column3]]=0,"",CONCATENATE(UPPER(Table1[[#This Row],[Column3]])," ",Table1[[#This Row],[Column4]]))</f>
        <v xml:space="preserve"> </v>
      </c>
      <c r="J131" s="278" t="str">
        <f>IF(Table1[[#This Row],[Column5]]="","",INDEX(Table2[e],IF(Table1[[#This Row],[Column5]]="","",MATCH(Table1[[#This Row],[Column5]],Table2[a],0)),))</f>
        <v/>
      </c>
      <c r="K131" s="271"/>
      <c r="L131" s="271"/>
      <c r="O131" s="278" t="str">
        <f>IF(Table1[[#This Row],[h_Item Description]]="","",INDEX([1]!db[NB PAJAK],MATCH(Table1[[#This Row],[h_Item Description]],[1]!db[kode],0)))</f>
        <v/>
      </c>
      <c r="Q131" s="274"/>
      <c r="R131" s="275"/>
      <c r="S131" s="275"/>
      <c r="T131" s="274" t="str">
        <f>Table1[[#This Row],[h_hargasetelahdiskon]]</f>
        <v/>
      </c>
      <c r="V131" s="271"/>
      <c r="W131" s="278" t="str">
        <f ca="1">IF(Table1[[#This Row],[Item Description]]="","",IF(Table1[[#This Row],[//]]="",INDIRECT(ADDRESS(ROW()-1,COLUMN())),Table1[[#This Row],[//]]))</f>
        <v/>
      </c>
      <c r="X131" s="278" t="str">
        <f ca="1">IF(Table1[[#This Row],[h_id]]="","",COUNTIF(Table1[h_id],Table1[[#This Row],[h_id]]))</f>
        <v/>
      </c>
      <c r="Y131" s="274" t="str">
        <f>IF(Table1[Item Description]="","",Table1[[#This Row],[Qty]]*Table1[[#This Row],[Unit Price]])</f>
        <v/>
      </c>
      <c r="Z131" s="274" t="str">
        <f>IF(Table1[[#This Row],[h_hargasebelumdiskon]]="","",IF(Table1[[#This Row],[Disc 1]]="",0,Table1[[#This Row],[h_hargasebelumdiskon]]*Table1[[#This Row],[Disc 1]]))</f>
        <v/>
      </c>
      <c r="AA131" s="274" t="str">
        <f>IF(Table1[[#This Row],[h_hargasebelumdiskon]]="","",IF(Table1[[#This Row],[Disc 2]]="",0,(Table1[[#This Row],[h_hargasebelumdiskon]]-Table1[[#This Row],[h_disc 1]])*Table1[[#This Row],[Disc 2]]))</f>
        <v/>
      </c>
      <c r="AB131" s="274" t="str">
        <f>IF(Table1[Item Description]="","",Table1[[#This Row],[h_disc 1]]+Table1[[#This Row],[h_disc 2]])</f>
        <v/>
      </c>
      <c r="AC131" s="274" t="str">
        <f>IF(Table1[Item Description]="","",Table1[[#This Row],[h_hargasebelumdiskon]]-Table1[[#This Row],[h_diskon]])</f>
        <v/>
      </c>
      <c r="AD131" s="274" t="str">
        <f ca="1">IF(Table1[//]="","",SUMIF(Table1[h_id],Table1[h_id],Table1[h_hargasetelahdiskon]))</f>
        <v/>
      </c>
      <c r="AF131" s="274" t="str">
        <f>Table1[[#This Row],[Item Description]]&amp;Table1[[#This Row],[Unit]]&amp;Table1[[#This Row],[Unit Price]]</f>
        <v/>
      </c>
      <c r="AG131" s="3"/>
      <c r="AH131" s="3"/>
      <c r="AI131" s="3"/>
    </row>
    <row r="132" spans="1:35" x14ac:dyDescent="0.25">
      <c r="A132" s="278">
        <f ca="1">IF(Table1[[#This Row],[No. Invoice :]]="","",ROW())</f>
        <v>132</v>
      </c>
      <c r="B132" s="278">
        <f ca="1">IF(Table1[Column3]="","",B$1+COUNT(INDIRECT("B$2:B"&amp;ROW()-1)))</f>
        <v>24020025</v>
      </c>
      <c r="C132" s="272">
        <f>IF(Table1[[#This Row],[Column2]]="","",Table1[[#This Row],[Column2]]+C$1-1)</f>
        <v>45346</v>
      </c>
      <c r="D132" s="281">
        <v>24</v>
      </c>
      <c r="E132" s="273" t="s">
        <v>356</v>
      </c>
      <c r="F132" s="271" t="s">
        <v>228</v>
      </c>
      <c r="G132" s="278" t="str">
        <f ca="1">IF(Table1[[#This Row],[h_No. Invoice :]]="","",CONCATENATE("AM"," ",Table1[[#This Row],[h_No. Invoice :]]))</f>
        <v>AM 24020025</v>
      </c>
      <c r="H132" s="271" t="str">
        <f>IF(Table1[[#This Row],[Column5]]="","",INDEX(Table2[Column1],MATCH(Table1[[#This Row],[Column5]],Table2[a],0)))</f>
        <v>KO</v>
      </c>
      <c r="I132" s="279" t="str">
        <f>IF(Table1[[#This Row],[Column3]]=0,"",CONCATENATE(UPPER(Table1[[#This Row],[Column3]])," ",Table1[[#This Row],[Column4]]))</f>
        <v>KO 2777</v>
      </c>
      <c r="J132" s="278" t="str">
        <f>IF(Table1[[#This Row],[Column5]]="","",INDEX(Table2[e],IF(Table1[[#This Row],[Column5]]="","",MATCH(Table1[[#This Row],[Column5]],Table2[a],0)),))</f>
        <v>HARNOYO (BENDAN) PEKALONGAN</v>
      </c>
      <c r="K132" s="271">
        <v>3</v>
      </c>
      <c r="L132" s="271" t="s">
        <v>149</v>
      </c>
      <c r="N132" s="271" t="s">
        <v>217</v>
      </c>
      <c r="O132" s="278" t="str">
        <f>IF(Table1[[#This Row],[h_Item Description]]="","",INDEX([1]!db[NB PAJAK],MATCH(Table1[[#This Row],[h_Item Description]],[1]!db[kode],0)))</f>
        <v>STAPLER HEAVY DUTY KENKO HD-12N/13</v>
      </c>
      <c r="P132" s="271" t="s">
        <v>218</v>
      </c>
      <c r="Q132" s="274">
        <v>84000</v>
      </c>
      <c r="R132" s="275">
        <v>0.125</v>
      </c>
      <c r="S132" s="275"/>
      <c r="T132" s="274">
        <f>Table1[[#This Row],[h_hargasetelahdiskon]]</f>
        <v>220500</v>
      </c>
      <c r="U132" s="274" t="s">
        <v>129</v>
      </c>
      <c r="V132" s="271"/>
      <c r="W132" s="278">
        <f ca="1">IF(Table1[[#This Row],[Item Description]]="","",IF(Table1[[#This Row],[//]]="",INDIRECT(ADDRESS(ROW()-1,COLUMN())),Table1[[#This Row],[//]]))</f>
        <v>132</v>
      </c>
      <c r="X132" s="278">
        <f ca="1">IF(Table1[[#This Row],[h_id]]="","",COUNTIF(Table1[h_id],Table1[[#This Row],[h_id]]))</f>
        <v>1</v>
      </c>
      <c r="Y132" s="274">
        <f>IF(Table1[Item Description]="","",Table1[[#This Row],[Qty]]*Table1[[#This Row],[Unit Price]])</f>
        <v>252000</v>
      </c>
      <c r="Z132" s="274">
        <f>IF(Table1[[#This Row],[h_hargasebelumdiskon]]="","",IF(Table1[[#This Row],[Disc 1]]="",0,Table1[[#This Row],[h_hargasebelumdiskon]]*Table1[[#This Row],[Disc 1]]))</f>
        <v>31500</v>
      </c>
      <c r="AA132" s="274">
        <f>IF(Table1[[#This Row],[h_hargasebelumdiskon]]="","",IF(Table1[[#This Row],[Disc 2]]="",0,(Table1[[#This Row],[h_hargasebelumdiskon]]-Table1[[#This Row],[h_disc 1]])*Table1[[#This Row],[Disc 2]]))</f>
        <v>0</v>
      </c>
      <c r="AB132" s="274">
        <f>IF(Table1[Item Description]="","",Table1[[#This Row],[h_disc 1]]+Table1[[#This Row],[h_disc 2]])</f>
        <v>31500</v>
      </c>
      <c r="AC132" s="274">
        <f>IF(Table1[Item Description]="","",Table1[[#This Row],[h_hargasebelumdiskon]]-Table1[[#This Row],[h_diskon]])</f>
        <v>220500</v>
      </c>
      <c r="AD132" s="274">
        <f ca="1">IF(Table1[//]="","",SUMIF(Table1[h_id],Table1[h_id],Table1[h_hargasetelahdiskon]))</f>
        <v>220500</v>
      </c>
      <c r="AF132" s="274" t="str">
        <f>Table1[[#This Row],[Item Description]]&amp;Table1[[#This Row],[Unit]]&amp;Table1[[#This Row],[Unit Price]]</f>
        <v>STAPLER HEAVY DUTY KENKO HD-12N/13PCS84000</v>
      </c>
      <c r="AG132" s="3"/>
      <c r="AH132" s="3"/>
      <c r="AI132" s="3"/>
    </row>
    <row r="133" spans="1:35" x14ac:dyDescent="0.25">
      <c r="A133" s="278" t="str">
        <f ca="1">IF(Table1[[#This Row],[No. Invoice :]]="","",ROW())</f>
        <v/>
      </c>
      <c r="B133" s="278" t="str">
        <f ca="1">IF(Table1[Column3]="","",B$1+COUNT(INDIRECT("B$2:B"&amp;ROW()-1)))</f>
        <v/>
      </c>
      <c r="C133" s="272" t="str">
        <f>IF(Table1[[#This Row],[Column2]]="","",Table1[[#This Row],[Column2]]+C$1-1)</f>
        <v/>
      </c>
      <c r="E133" s="273"/>
      <c r="F133" s="271"/>
      <c r="G133" s="278" t="str">
        <f ca="1">IF(Table1[[#This Row],[h_No. Invoice :]]="","",CONCATENATE("AM"," ",Table1[[#This Row],[h_No. Invoice :]]))</f>
        <v/>
      </c>
      <c r="H133" s="271" t="str">
        <f>IF(Table1[[#This Row],[Column5]]="","",INDEX(Table2[Column1],MATCH(Table1[[#This Row],[Column5]],Table2[a],0)))</f>
        <v/>
      </c>
      <c r="I133" s="279" t="str">
        <f>IF(Table1[[#This Row],[Column3]]=0,"",CONCATENATE(UPPER(Table1[[#This Row],[Column3]])," ",Table1[[#This Row],[Column4]]))</f>
        <v xml:space="preserve"> </v>
      </c>
      <c r="J133" s="278" t="str">
        <f>IF(Table1[[#This Row],[Column5]]="","",INDEX(Table2[e],IF(Table1[[#This Row],[Column5]]="","",MATCH(Table1[[#This Row],[Column5]],Table2[a],0)),))</f>
        <v/>
      </c>
      <c r="K133" s="271"/>
      <c r="L133" s="271"/>
      <c r="O133" s="278" t="str">
        <f>IF(Table1[[#This Row],[h_Item Description]]="","",INDEX([1]!db[NB PAJAK],MATCH(Table1[[#This Row],[h_Item Description]],[1]!db[kode],0)))</f>
        <v/>
      </c>
      <c r="Q133" s="274"/>
      <c r="R133" s="275"/>
      <c r="S133" s="275"/>
      <c r="T133" s="274" t="str">
        <f>Table1[[#This Row],[h_hargasetelahdiskon]]</f>
        <v/>
      </c>
      <c r="V133" s="271"/>
      <c r="W133" s="278" t="str">
        <f ca="1">IF(Table1[[#This Row],[Item Description]]="","",IF(Table1[[#This Row],[//]]="",INDIRECT(ADDRESS(ROW()-1,COLUMN())),Table1[[#This Row],[//]]))</f>
        <v/>
      </c>
      <c r="X133" s="278" t="str">
        <f ca="1">IF(Table1[[#This Row],[h_id]]="","",COUNTIF(Table1[h_id],Table1[[#This Row],[h_id]]))</f>
        <v/>
      </c>
      <c r="Y133" s="274" t="str">
        <f>IF(Table1[Item Description]="","",Table1[[#This Row],[Qty]]*Table1[[#This Row],[Unit Price]])</f>
        <v/>
      </c>
      <c r="Z133" s="274" t="str">
        <f>IF(Table1[[#This Row],[h_hargasebelumdiskon]]="","",IF(Table1[[#This Row],[Disc 1]]="",0,Table1[[#This Row],[h_hargasebelumdiskon]]*Table1[[#This Row],[Disc 1]]))</f>
        <v/>
      </c>
      <c r="AA133" s="274" t="str">
        <f>IF(Table1[[#This Row],[h_hargasebelumdiskon]]="","",IF(Table1[[#This Row],[Disc 2]]="",0,(Table1[[#This Row],[h_hargasebelumdiskon]]-Table1[[#This Row],[h_disc 1]])*Table1[[#This Row],[Disc 2]]))</f>
        <v/>
      </c>
      <c r="AB133" s="274" t="str">
        <f>IF(Table1[Item Description]="","",Table1[[#This Row],[h_disc 1]]+Table1[[#This Row],[h_disc 2]])</f>
        <v/>
      </c>
      <c r="AC133" s="274" t="str">
        <f>IF(Table1[Item Description]="","",Table1[[#This Row],[h_hargasebelumdiskon]]-Table1[[#This Row],[h_diskon]])</f>
        <v/>
      </c>
      <c r="AD133" s="274" t="str">
        <f ca="1">IF(Table1[//]="","",SUMIF(Table1[h_id],Table1[h_id],Table1[h_hargasetelahdiskon]))</f>
        <v/>
      </c>
      <c r="AF133" s="274" t="str">
        <f>Table1[[#This Row],[Item Description]]&amp;Table1[[#This Row],[Unit]]&amp;Table1[[#This Row],[Unit Price]]</f>
        <v/>
      </c>
      <c r="AG133" s="3"/>
      <c r="AH133" s="3"/>
      <c r="AI133" s="3"/>
    </row>
    <row r="134" spans="1:35" x14ac:dyDescent="0.25">
      <c r="A134" s="278">
        <f ca="1">IF(Table1[[#This Row],[No. Invoice :]]="","",ROW())</f>
        <v>134</v>
      </c>
      <c r="B134" s="278">
        <f ca="1">IF(Table1[Column3]="","",B$1+COUNT(INDIRECT("B$2:B"&amp;ROW()-1)))</f>
        <v>24020026</v>
      </c>
      <c r="C134" s="272">
        <f>IF(Table1[[#This Row],[Column2]]="","",Table1[[#This Row],[Column2]]+C$1-1)</f>
        <v>45346</v>
      </c>
      <c r="D134" s="281">
        <v>24</v>
      </c>
      <c r="E134" s="273" t="s">
        <v>357</v>
      </c>
      <c r="F134" s="271" t="s">
        <v>228</v>
      </c>
      <c r="G134" s="278" t="str">
        <f ca="1">IF(Table1[[#This Row],[h_No. Invoice :]]="","",CONCATENATE("AM"," ",Table1[[#This Row],[h_No. Invoice :]]))</f>
        <v>AM 24020026</v>
      </c>
      <c r="H134" s="271" t="str">
        <f>IF(Table1[[#This Row],[Column5]]="","",INDEX(Table2[Column1],MATCH(Table1[[#This Row],[Column5]],Table2[a],0)))</f>
        <v>KO</v>
      </c>
      <c r="I134" s="279" t="str">
        <f>IF(Table1[[#This Row],[Column3]]=0,"",CONCATENATE(UPPER(Table1[[#This Row],[Column3]])," ",Table1[[#This Row],[Column4]]))</f>
        <v>KO 2778</v>
      </c>
      <c r="J134" s="278" t="str">
        <f>IF(Table1[[#This Row],[Column5]]="","",INDEX(Table2[e],IF(Table1[[#This Row],[Column5]]="","",MATCH(Table1[[#This Row],[Column5]],Table2[a],0)),))</f>
        <v>HARNOYO (BENDAN) PEKALONGAN</v>
      </c>
      <c r="K134" s="271">
        <v>144</v>
      </c>
      <c r="L134" s="271" t="s">
        <v>136</v>
      </c>
      <c r="M134" s="271">
        <v>1</v>
      </c>
      <c r="N134" s="271" t="s">
        <v>270</v>
      </c>
      <c r="O134" s="278" t="str">
        <f>IF(Table1[[#This Row],[h_Item Description]]="","",INDEX([1]!db[NB PAJAK],MATCH(Table1[[#This Row],[h_Item Description]],[1]!db[kode],0)))</f>
        <v>GEL PEN KENKO K-1 HITAM</v>
      </c>
      <c r="P134" s="271" t="s">
        <v>272</v>
      </c>
      <c r="Q134" s="274">
        <v>39600</v>
      </c>
      <c r="R134" s="275">
        <v>0.14000000000000001</v>
      </c>
      <c r="S134" s="275"/>
      <c r="T134" s="274">
        <f>Table1[[#This Row],[h_hargasetelahdiskon]]</f>
        <v>4904064</v>
      </c>
      <c r="U134" s="274" t="s">
        <v>129</v>
      </c>
      <c r="V134" s="271"/>
      <c r="W134" s="278">
        <f ca="1">IF(Table1[[#This Row],[Item Description]]="","",IF(Table1[[#This Row],[//]]="",INDIRECT(ADDRESS(ROW()-1,COLUMN())),Table1[[#This Row],[//]]))</f>
        <v>134</v>
      </c>
      <c r="X134" s="278">
        <f ca="1">IF(Table1[[#This Row],[h_id]]="","",COUNTIF(Table1[h_id],Table1[[#This Row],[h_id]]))</f>
        <v>3</v>
      </c>
      <c r="Y134" s="274">
        <f>IF(Table1[Item Description]="","",Table1[[#This Row],[Qty]]*Table1[[#This Row],[Unit Price]])</f>
        <v>5702400</v>
      </c>
      <c r="Z134" s="274">
        <f>IF(Table1[[#This Row],[h_hargasebelumdiskon]]="","",IF(Table1[[#This Row],[Disc 1]]="",0,Table1[[#This Row],[h_hargasebelumdiskon]]*Table1[[#This Row],[Disc 1]]))</f>
        <v>798336.00000000012</v>
      </c>
      <c r="AA134" s="274">
        <f>IF(Table1[[#This Row],[h_hargasebelumdiskon]]="","",IF(Table1[[#This Row],[Disc 2]]="",0,(Table1[[#This Row],[h_hargasebelumdiskon]]-Table1[[#This Row],[h_disc 1]])*Table1[[#This Row],[Disc 2]]))</f>
        <v>0</v>
      </c>
      <c r="AB134" s="274">
        <f>IF(Table1[Item Description]="","",Table1[[#This Row],[h_disc 1]]+Table1[[#This Row],[h_disc 2]])</f>
        <v>798336.00000000012</v>
      </c>
      <c r="AC134" s="274">
        <f>IF(Table1[Item Description]="","",Table1[[#This Row],[h_hargasebelumdiskon]]-Table1[[#This Row],[h_diskon]])</f>
        <v>4904064</v>
      </c>
      <c r="AD134" s="274">
        <f ca="1">IF(Table1[//]="","",SUMIF(Table1[h_id],Table1[h_id],Table1[h_hargasetelahdiskon]))</f>
        <v>8108424</v>
      </c>
      <c r="AF134" s="274" t="str">
        <f>Table1[[#This Row],[Item Description]]&amp;Table1[[#This Row],[Unit]]&amp;Table1[[#This Row],[Unit Price]]</f>
        <v>GEL PEN KENKO K-1 HITAMLSN39600</v>
      </c>
      <c r="AG134" s="3"/>
      <c r="AH134" s="3"/>
      <c r="AI134" s="3"/>
    </row>
    <row r="135" spans="1:35" x14ac:dyDescent="0.25">
      <c r="A135" s="278" t="str">
        <f ca="1">IF(Table1[[#This Row],[No. Invoice :]]="","",ROW())</f>
        <v/>
      </c>
      <c r="B135" s="278" t="str">
        <f ca="1">IF(Table1[Column3]="","",B$1+COUNT(INDIRECT("B$2:B"&amp;ROW()-1)))</f>
        <v/>
      </c>
      <c r="C135" s="272" t="str">
        <f>IF(Table1[[#This Row],[Column2]]="","",Table1[[#This Row],[Column2]]+C$1-1)</f>
        <v/>
      </c>
      <c r="E135" s="273"/>
      <c r="F135" s="271"/>
      <c r="G135" s="278" t="str">
        <f ca="1">IF(Table1[[#This Row],[h_No. Invoice :]]="","",CONCATENATE("AM"," ",Table1[[#This Row],[h_No. Invoice :]]))</f>
        <v/>
      </c>
      <c r="H135" s="271" t="str">
        <f>IF(Table1[[#This Row],[Column5]]="","",INDEX(Table2[Column1],MATCH(Table1[[#This Row],[Column5]],Table2[a],0)))</f>
        <v/>
      </c>
      <c r="I135" s="279" t="str">
        <f>IF(Table1[[#This Row],[Column3]]=0,"",CONCATENATE(UPPER(Table1[[#This Row],[Column3]])," ",Table1[[#This Row],[Column4]]))</f>
        <v xml:space="preserve"> </v>
      </c>
      <c r="J135" s="278" t="str">
        <f>IF(Table1[[#This Row],[Column5]]="","",INDEX(Table2[e],IF(Table1[[#This Row],[Column5]]="","",MATCH(Table1[[#This Row],[Column5]],Table2[a],0)),))</f>
        <v/>
      </c>
      <c r="K135" s="271">
        <v>30</v>
      </c>
      <c r="L135" s="271" t="s">
        <v>136</v>
      </c>
      <c r="M135" s="271">
        <v>1</v>
      </c>
      <c r="N135" s="271" t="s">
        <v>358</v>
      </c>
      <c r="O135" s="278" t="str">
        <f>IF(Table1[[#This Row],[h_Item Description]]="","",INDEX([1]!db[NB PAJAK],MATCH(Table1[[#This Row],[h_Item Description]],[1]!db[kode],0)))</f>
        <v>CUTTER 9 MM KENKO K-200 (KECIL)</v>
      </c>
      <c r="P135" s="271" t="s">
        <v>359</v>
      </c>
      <c r="Q135" s="274">
        <v>52200</v>
      </c>
      <c r="R135" s="275">
        <v>0.14000000000000001</v>
      </c>
      <c r="S135" s="275"/>
      <c r="T135" s="274">
        <f>Table1[[#This Row],[h_hargasetelahdiskon]]</f>
        <v>1346760</v>
      </c>
      <c r="V135" s="271"/>
      <c r="W135" s="278">
        <f ca="1">IF(Table1[[#This Row],[Item Description]]="","",IF(Table1[[#This Row],[//]]="",INDIRECT(ADDRESS(ROW()-1,COLUMN())),Table1[[#This Row],[//]]))</f>
        <v>134</v>
      </c>
      <c r="X135" s="278">
        <f ca="1">IF(Table1[[#This Row],[h_id]]="","",COUNTIF(Table1[h_id],Table1[[#This Row],[h_id]]))</f>
        <v>3</v>
      </c>
      <c r="Y135" s="274">
        <f>IF(Table1[Item Description]="","",Table1[[#This Row],[Qty]]*Table1[[#This Row],[Unit Price]])</f>
        <v>1566000</v>
      </c>
      <c r="Z135" s="274">
        <f>IF(Table1[[#This Row],[h_hargasebelumdiskon]]="","",IF(Table1[[#This Row],[Disc 1]]="",0,Table1[[#This Row],[h_hargasebelumdiskon]]*Table1[[#This Row],[Disc 1]]))</f>
        <v>219240.00000000003</v>
      </c>
      <c r="AA135" s="274">
        <f>IF(Table1[[#This Row],[h_hargasebelumdiskon]]="","",IF(Table1[[#This Row],[Disc 2]]="",0,(Table1[[#This Row],[h_hargasebelumdiskon]]-Table1[[#This Row],[h_disc 1]])*Table1[[#This Row],[Disc 2]]))</f>
        <v>0</v>
      </c>
      <c r="AB135" s="274">
        <f>IF(Table1[Item Description]="","",Table1[[#This Row],[h_disc 1]]+Table1[[#This Row],[h_disc 2]])</f>
        <v>219240.00000000003</v>
      </c>
      <c r="AC135" s="274">
        <f>IF(Table1[Item Description]="","",Table1[[#This Row],[h_hargasebelumdiskon]]-Table1[[#This Row],[h_diskon]])</f>
        <v>1346760</v>
      </c>
      <c r="AD135" s="274" t="str">
        <f ca="1">IF(Table1[//]="","",SUMIF(Table1[h_id],Table1[h_id],Table1[h_hargasetelahdiskon]))</f>
        <v/>
      </c>
      <c r="AF135" s="274" t="str">
        <f>Table1[[#This Row],[Item Description]]&amp;Table1[[#This Row],[Unit]]&amp;Table1[[#This Row],[Unit Price]]</f>
        <v>CUTTER 9 MM KENKO K-200 (KECIL)LSN52200</v>
      </c>
      <c r="AG135" s="3"/>
      <c r="AH135" s="3"/>
      <c r="AI135" s="3"/>
    </row>
    <row r="136" spans="1:35" x14ac:dyDescent="0.25">
      <c r="A136" s="278" t="str">
        <f ca="1">IF(Table1[[#This Row],[No. Invoice :]]="","",ROW())</f>
        <v/>
      </c>
      <c r="B136" s="278" t="str">
        <f ca="1">IF(Table1[Column3]="","",B$1+COUNT(INDIRECT("B$2:B"&amp;ROW()-1)))</f>
        <v/>
      </c>
      <c r="C136" s="272" t="str">
        <f>IF(Table1[[#This Row],[Column2]]="","",Table1[[#This Row],[Column2]]+C$1-1)</f>
        <v/>
      </c>
      <c r="E136" s="273"/>
      <c r="F136" s="271"/>
      <c r="G136" s="278" t="str">
        <f ca="1">IF(Table1[[#This Row],[h_No. Invoice :]]="","",CONCATENATE("AM"," ",Table1[[#This Row],[h_No. Invoice :]]))</f>
        <v/>
      </c>
      <c r="H136" s="271" t="str">
        <f>IF(Table1[[#This Row],[Column5]]="","",INDEX(Table2[Column1],MATCH(Table1[[#This Row],[Column5]],Table2[a],0)))</f>
        <v/>
      </c>
      <c r="I136" s="279" t="str">
        <f>IF(Table1[[#This Row],[Column3]]=0,"",CONCATENATE(UPPER(Table1[[#This Row],[Column3]])," ",Table1[[#This Row],[Column4]]))</f>
        <v xml:space="preserve"> </v>
      </c>
      <c r="J136" s="278" t="str">
        <f>IF(Table1[[#This Row],[Column5]]="","",INDEX(Table2[e],IF(Table1[[#This Row],[Column5]]="","",MATCH(Table1[[#This Row],[Column5]],Table2[a],0)),))</f>
        <v/>
      </c>
      <c r="K136" s="271">
        <v>36</v>
      </c>
      <c r="L136" s="271" t="s">
        <v>157</v>
      </c>
      <c r="M136" s="271">
        <v>1</v>
      </c>
      <c r="N136" s="271" t="s">
        <v>360</v>
      </c>
      <c r="O136" s="278" t="str">
        <f>IF(Table1[[#This Row],[h_Item Description]]="","",INDEX([1]!db[NB PAJAK],MATCH(Table1[[#This Row],[h_Item Description]],[1]!db[kode],0)))</f>
        <v>LEM STICK KENKO 25 GR (BESAR) isi 12 pc</v>
      </c>
      <c r="P136" s="271" t="s">
        <v>361</v>
      </c>
      <c r="Q136" s="274">
        <v>60000</v>
      </c>
      <c r="R136" s="275">
        <v>0.14000000000000001</v>
      </c>
      <c r="S136" s="275"/>
      <c r="T136" s="274">
        <f>Table1[[#This Row],[h_hargasetelahdiskon]]</f>
        <v>1857600</v>
      </c>
      <c r="V136" s="271"/>
      <c r="W136" s="278">
        <f ca="1">IF(Table1[[#This Row],[Item Description]]="","",IF(Table1[[#This Row],[//]]="",INDIRECT(ADDRESS(ROW()-1,COLUMN())),Table1[[#This Row],[//]]))</f>
        <v>134</v>
      </c>
      <c r="X136" s="278">
        <f ca="1">IF(Table1[[#This Row],[h_id]]="","",COUNTIF(Table1[h_id],Table1[[#This Row],[h_id]]))</f>
        <v>3</v>
      </c>
      <c r="Y136" s="274">
        <f>IF(Table1[Item Description]="","",Table1[[#This Row],[Qty]]*Table1[[#This Row],[Unit Price]])</f>
        <v>2160000</v>
      </c>
      <c r="Z136" s="274">
        <f>IF(Table1[[#This Row],[h_hargasebelumdiskon]]="","",IF(Table1[[#This Row],[Disc 1]]="",0,Table1[[#This Row],[h_hargasebelumdiskon]]*Table1[[#This Row],[Disc 1]]))</f>
        <v>302400</v>
      </c>
      <c r="AA136" s="274">
        <f>IF(Table1[[#This Row],[h_hargasebelumdiskon]]="","",IF(Table1[[#This Row],[Disc 2]]="",0,(Table1[[#This Row],[h_hargasebelumdiskon]]-Table1[[#This Row],[h_disc 1]])*Table1[[#This Row],[Disc 2]]))</f>
        <v>0</v>
      </c>
      <c r="AB136" s="274">
        <f>IF(Table1[Item Description]="","",Table1[[#This Row],[h_disc 1]]+Table1[[#This Row],[h_disc 2]])</f>
        <v>302400</v>
      </c>
      <c r="AC136" s="274">
        <f>IF(Table1[Item Description]="","",Table1[[#This Row],[h_hargasebelumdiskon]]-Table1[[#This Row],[h_diskon]])</f>
        <v>1857600</v>
      </c>
      <c r="AD136" s="274" t="str">
        <f ca="1">IF(Table1[//]="","",SUMIF(Table1[h_id],Table1[h_id],Table1[h_hargasetelahdiskon]))</f>
        <v/>
      </c>
      <c r="AF136" s="274" t="str">
        <f>Table1[[#This Row],[Item Description]]&amp;Table1[[#This Row],[Unit]]&amp;Table1[[#This Row],[Unit Price]]</f>
        <v>LEM STICK KENKO 25 GR (BESAR) isi 12 pcBOX60000</v>
      </c>
      <c r="AG136" s="3"/>
      <c r="AH136" s="3"/>
      <c r="AI136" s="3"/>
    </row>
    <row r="137" spans="1:35" x14ac:dyDescent="0.25">
      <c r="A137" s="278" t="str">
        <f ca="1">IF(Table1[[#This Row],[No. Invoice :]]="","",ROW())</f>
        <v/>
      </c>
      <c r="B137" s="278" t="str">
        <f ca="1">IF(Table1[Column3]="","",B$1+COUNT(INDIRECT("B$2:B"&amp;ROW()-1)))</f>
        <v/>
      </c>
      <c r="C137" s="272" t="str">
        <f>IF(Table1[[#This Row],[Column2]]="","",Table1[[#This Row],[Column2]]+C$1-1)</f>
        <v/>
      </c>
      <c r="E137" s="273"/>
      <c r="F137" s="271"/>
      <c r="G137" s="278" t="str">
        <f ca="1">IF(Table1[[#This Row],[h_No. Invoice :]]="","",CONCATENATE("AM"," ",Table1[[#This Row],[h_No. Invoice :]]))</f>
        <v/>
      </c>
      <c r="H137" s="271" t="str">
        <f>IF(Table1[[#This Row],[Column5]]="","",INDEX(Table2[Column1],MATCH(Table1[[#This Row],[Column5]],Table2[a],0)))</f>
        <v/>
      </c>
      <c r="I137" s="279" t="str">
        <f>IF(Table1[[#This Row],[Column3]]=0,"",CONCATENATE(UPPER(Table1[[#This Row],[Column3]])," ",Table1[[#This Row],[Column4]]))</f>
        <v xml:space="preserve"> </v>
      </c>
      <c r="J137" s="278" t="str">
        <f>IF(Table1[[#This Row],[Column5]]="","",INDEX(Table2[e],IF(Table1[[#This Row],[Column5]]="","",MATCH(Table1[[#This Row],[Column5]],Table2[a],0)),))</f>
        <v/>
      </c>
      <c r="K137" s="271"/>
      <c r="L137" s="271"/>
      <c r="O137" s="278" t="str">
        <f>IF(Table1[[#This Row],[h_Item Description]]="","",INDEX([1]!db[NB PAJAK],MATCH(Table1[[#This Row],[h_Item Description]],[1]!db[kode],0)))</f>
        <v/>
      </c>
      <c r="Q137" s="274"/>
      <c r="R137" s="275"/>
      <c r="S137" s="275"/>
      <c r="T137" s="274" t="str">
        <f>Table1[[#This Row],[h_hargasetelahdiskon]]</f>
        <v/>
      </c>
      <c r="V137" s="271"/>
      <c r="W137" s="278" t="str">
        <f ca="1">IF(Table1[[#This Row],[Item Description]]="","",IF(Table1[[#This Row],[//]]="",INDIRECT(ADDRESS(ROW()-1,COLUMN())),Table1[[#This Row],[//]]))</f>
        <v/>
      </c>
      <c r="X137" s="278" t="str">
        <f ca="1">IF(Table1[[#This Row],[h_id]]="","",COUNTIF(Table1[h_id],Table1[[#This Row],[h_id]]))</f>
        <v/>
      </c>
      <c r="Y137" s="274" t="str">
        <f>IF(Table1[Item Description]="","",Table1[[#This Row],[Qty]]*Table1[[#This Row],[Unit Price]])</f>
        <v/>
      </c>
      <c r="Z137" s="274" t="str">
        <f>IF(Table1[[#This Row],[h_hargasebelumdiskon]]="","",IF(Table1[[#This Row],[Disc 1]]="",0,Table1[[#This Row],[h_hargasebelumdiskon]]*Table1[[#This Row],[Disc 1]]))</f>
        <v/>
      </c>
      <c r="AA137" s="274" t="str">
        <f>IF(Table1[[#This Row],[h_hargasebelumdiskon]]="","",IF(Table1[[#This Row],[Disc 2]]="",0,(Table1[[#This Row],[h_hargasebelumdiskon]]-Table1[[#This Row],[h_disc 1]])*Table1[[#This Row],[Disc 2]]))</f>
        <v/>
      </c>
      <c r="AB137" s="274" t="str">
        <f>IF(Table1[Item Description]="","",Table1[[#This Row],[h_disc 1]]+Table1[[#This Row],[h_disc 2]])</f>
        <v/>
      </c>
      <c r="AC137" s="274" t="str">
        <f>IF(Table1[Item Description]="","",Table1[[#This Row],[h_hargasebelumdiskon]]-Table1[[#This Row],[h_diskon]])</f>
        <v/>
      </c>
      <c r="AD137" s="274" t="str">
        <f ca="1">IF(Table1[//]="","",SUMIF(Table1[h_id],Table1[h_id],Table1[h_hargasetelahdiskon]))</f>
        <v/>
      </c>
      <c r="AF137" s="274" t="str">
        <f>Table1[[#This Row],[Item Description]]&amp;Table1[[#This Row],[Unit]]&amp;Table1[[#This Row],[Unit Price]]</f>
        <v/>
      </c>
      <c r="AG137" s="3"/>
      <c r="AH137" s="3"/>
      <c r="AI137" s="3"/>
    </row>
    <row r="138" spans="1:35" x14ac:dyDescent="0.25">
      <c r="A138" s="278">
        <f ca="1">IF(Table1[[#This Row],[No. Invoice :]]="","",ROW())</f>
        <v>138</v>
      </c>
      <c r="B138" s="278">
        <f ca="1">IF(Table1[Column3]="","",B$1+COUNT(INDIRECT("B$2:B"&amp;ROW()-1)))</f>
        <v>24020027</v>
      </c>
      <c r="C138" s="272">
        <f>IF(Table1[[#This Row],[Column2]]="","",Table1[[#This Row],[Column2]]+C$1-1)</f>
        <v>45346</v>
      </c>
      <c r="D138" s="281">
        <v>24</v>
      </c>
      <c r="E138" s="273" t="s">
        <v>362</v>
      </c>
      <c r="F138" s="271" t="s">
        <v>182</v>
      </c>
      <c r="G138" s="278" t="str">
        <f ca="1">IF(Table1[[#This Row],[h_No. Invoice :]]="","",CONCATENATE("AM"," ",Table1[[#This Row],[h_No. Invoice :]]))</f>
        <v>AM 24020027</v>
      </c>
      <c r="H138" s="271" t="str">
        <f>IF(Table1[[#This Row],[Column5]]="","",INDEX(Table2[Column1],MATCH(Table1[[#This Row],[Column5]],Table2[a],0)))</f>
        <v>KO</v>
      </c>
      <c r="I138" s="279" t="str">
        <f>IF(Table1[[#This Row],[Column3]]=0,"",CONCATENATE(UPPER(Table1[[#This Row],[Column3]])," ",Table1[[#This Row],[Column4]]))</f>
        <v>KO 2626</v>
      </c>
      <c r="J138" s="278" t="str">
        <f>IF(Table1[[#This Row],[Column5]]="","",INDEX(Table2[e],IF(Table1[[#This Row],[Column5]]="","",MATCH(Table1[[#This Row],[Column5]],Table2[a],0)),))</f>
        <v>CV LANCAR JAYA SENTOSA MALANG</v>
      </c>
      <c r="K138" s="271">
        <v>50</v>
      </c>
      <c r="L138" s="271" t="s">
        <v>157</v>
      </c>
      <c r="M138" s="271">
        <v>1</v>
      </c>
      <c r="N138" s="271" t="s">
        <v>363</v>
      </c>
      <c r="O138" s="278" t="str">
        <f>IF(Table1[[#This Row],[h_Item Description]]="","",INDEX([1]!db[NB PAJAK],MATCH(Table1[[#This Row],[h_Item Description]],[1]!db[kode],0)))</f>
        <v>STIP / PENGHAPUS JOYKO ER-30W PUTIH</v>
      </c>
      <c r="P138" s="271" t="s">
        <v>364</v>
      </c>
      <c r="Q138" s="274">
        <v>32000</v>
      </c>
      <c r="R138" s="275">
        <v>0.125</v>
      </c>
      <c r="S138" s="275"/>
      <c r="T138" s="274">
        <f>Table1[[#This Row],[h_hargasetelahdiskon]]</f>
        <v>1400000</v>
      </c>
      <c r="U138" s="274" t="s">
        <v>129</v>
      </c>
      <c r="V138" s="271"/>
      <c r="W138" s="278">
        <f ca="1">IF(Table1[[#This Row],[Item Description]]="","",IF(Table1[[#This Row],[//]]="",INDIRECT(ADDRESS(ROW()-1,COLUMN())),Table1[[#This Row],[//]]))</f>
        <v>138</v>
      </c>
      <c r="X138" s="278">
        <f ca="1">IF(Table1[[#This Row],[h_id]]="","",COUNTIF(Table1[h_id],Table1[[#This Row],[h_id]]))</f>
        <v>4</v>
      </c>
      <c r="Y138" s="274">
        <f>IF(Table1[Item Description]="","",Table1[[#This Row],[Qty]]*Table1[[#This Row],[Unit Price]])</f>
        <v>1600000</v>
      </c>
      <c r="Z138" s="274">
        <f>IF(Table1[[#This Row],[h_hargasebelumdiskon]]="","",IF(Table1[[#This Row],[Disc 1]]="",0,Table1[[#This Row],[h_hargasebelumdiskon]]*Table1[[#This Row],[Disc 1]]))</f>
        <v>200000</v>
      </c>
      <c r="AA138" s="274">
        <f>IF(Table1[[#This Row],[h_hargasebelumdiskon]]="","",IF(Table1[[#This Row],[Disc 2]]="",0,(Table1[[#This Row],[h_hargasebelumdiskon]]-Table1[[#This Row],[h_disc 1]])*Table1[[#This Row],[Disc 2]]))</f>
        <v>0</v>
      </c>
      <c r="AB138" s="274">
        <f>IF(Table1[Item Description]="","",Table1[[#This Row],[h_disc 1]]+Table1[[#This Row],[h_disc 2]])</f>
        <v>200000</v>
      </c>
      <c r="AC138" s="274">
        <f>IF(Table1[Item Description]="","",Table1[[#This Row],[h_hargasebelumdiskon]]-Table1[[#This Row],[h_diskon]])</f>
        <v>1400000</v>
      </c>
      <c r="AD138" s="274">
        <f ca="1">IF(Table1[//]="","",SUMIF(Table1[h_id],Table1[h_id],Table1[h_hargasetelahdiskon]))</f>
        <v>7979625</v>
      </c>
      <c r="AF138" s="274" t="str">
        <f>Table1[[#This Row],[Item Description]]&amp;Table1[[#This Row],[Unit]]&amp;Table1[[#This Row],[Unit Price]]</f>
        <v>STIP / PENGHAPUS JOYKO ER-30W PUTIHBOX32000</v>
      </c>
      <c r="AG138" s="3"/>
      <c r="AH138" s="3"/>
      <c r="AI138" s="3"/>
    </row>
    <row r="139" spans="1:35" x14ac:dyDescent="0.25">
      <c r="A139" s="278" t="str">
        <f ca="1">IF(Table1[[#This Row],[No. Invoice :]]="","",ROW())</f>
        <v/>
      </c>
      <c r="B139" s="278" t="str">
        <f ca="1">IF(Table1[Column3]="","",B$1+COUNT(INDIRECT("B$2:B"&amp;ROW()-1)))</f>
        <v/>
      </c>
      <c r="C139" s="272" t="str">
        <f>IF(Table1[[#This Row],[Column2]]="","",Table1[[#This Row],[Column2]]+C$1-1)</f>
        <v/>
      </c>
      <c r="E139" s="273"/>
      <c r="F139" s="271"/>
      <c r="G139" s="278" t="str">
        <f ca="1">IF(Table1[[#This Row],[h_No. Invoice :]]="","",CONCATENATE("AM"," ",Table1[[#This Row],[h_No. Invoice :]]))</f>
        <v/>
      </c>
      <c r="H139" s="271" t="str">
        <f>IF(Table1[[#This Row],[Column5]]="","",INDEX(Table2[Column1],MATCH(Table1[[#This Row],[Column5]],Table2[a],0)))</f>
        <v/>
      </c>
      <c r="I139" s="279" t="str">
        <f>IF(Table1[[#This Row],[Column3]]=0,"",CONCATENATE(UPPER(Table1[[#This Row],[Column3]])," ",Table1[[#This Row],[Column4]]))</f>
        <v xml:space="preserve"> </v>
      </c>
      <c r="J139" s="278" t="str">
        <f>IF(Table1[[#This Row],[Column5]]="","",INDEX(Table2[e],IF(Table1[[#This Row],[Column5]]="","",MATCH(Table1[[#This Row],[Column5]],Table2[a],0)),))</f>
        <v/>
      </c>
      <c r="K139" s="271">
        <v>50</v>
      </c>
      <c r="L139" s="271" t="s">
        <v>135</v>
      </c>
      <c r="M139" s="271">
        <v>1</v>
      </c>
      <c r="N139" s="271" t="s">
        <v>365</v>
      </c>
      <c r="O139" s="278" t="str">
        <f>IF(Table1[[#This Row],[h_Item Description]]="","",INDEX([1]!db[NB PAJAK],MATCH(Table1[[#This Row],[h_Item Description]],[1]!db[kode],0)))</f>
        <v>ISI STAPLER (STAPLES) GREATWALL GW-369 (BESAR)</v>
      </c>
      <c r="P139" s="271" t="s">
        <v>210</v>
      </c>
      <c r="Q139" s="274">
        <v>25000</v>
      </c>
      <c r="R139" s="275"/>
      <c r="S139" s="275"/>
      <c r="T139" s="274">
        <f>Table1[[#This Row],[h_hargasetelahdiskon]]</f>
        <v>1250000</v>
      </c>
      <c r="V139" s="271"/>
      <c r="W139" s="278">
        <f ca="1">IF(Table1[[#This Row],[Item Description]]="","",IF(Table1[[#This Row],[//]]="",INDIRECT(ADDRESS(ROW()-1,COLUMN())),Table1[[#This Row],[//]]))</f>
        <v>138</v>
      </c>
      <c r="X139" s="278">
        <f ca="1">IF(Table1[[#This Row],[h_id]]="","",COUNTIF(Table1[h_id],Table1[[#This Row],[h_id]]))</f>
        <v>4</v>
      </c>
      <c r="Y139" s="274">
        <f>IF(Table1[Item Description]="","",Table1[[#This Row],[Qty]]*Table1[[#This Row],[Unit Price]])</f>
        <v>1250000</v>
      </c>
      <c r="Z139" s="274">
        <f>IF(Table1[[#This Row],[h_hargasebelumdiskon]]="","",IF(Table1[[#This Row],[Disc 1]]="",0,Table1[[#This Row],[h_hargasebelumdiskon]]*Table1[[#This Row],[Disc 1]]))</f>
        <v>0</v>
      </c>
      <c r="AA139" s="274">
        <f>IF(Table1[[#This Row],[h_hargasebelumdiskon]]="","",IF(Table1[[#This Row],[Disc 2]]="",0,(Table1[[#This Row],[h_hargasebelumdiskon]]-Table1[[#This Row],[h_disc 1]])*Table1[[#This Row],[Disc 2]]))</f>
        <v>0</v>
      </c>
      <c r="AB139" s="274">
        <f>IF(Table1[Item Description]="","",Table1[[#This Row],[h_disc 1]]+Table1[[#This Row],[h_disc 2]])</f>
        <v>0</v>
      </c>
      <c r="AC139" s="274">
        <f>IF(Table1[Item Description]="","",Table1[[#This Row],[h_hargasebelumdiskon]]-Table1[[#This Row],[h_diskon]])</f>
        <v>1250000</v>
      </c>
      <c r="AD139" s="274" t="str">
        <f ca="1">IF(Table1[//]="","",SUMIF(Table1[h_id],Table1[h_id],Table1[h_hargasetelahdiskon]))</f>
        <v/>
      </c>
      <c r="AF139" s="274" t="str">
        <f>Table1[[#This Row],[Item Description]]&amp;Table1[[#This Row],[Unit]]&amp;Table1[[#This Row],[Unit Price]]</f>
        <v>ISI STAPLER (STAPLES) GREATWALL GW-369 (BESAR)PAK25000</v>
      </c>
      <c r="AG139" s="3"/>
      <c r="AH139" s="3"/>
      <c r="AI139" s="3"/>
    </row>
    <row r="140" spans="1:35" x14ac:dyDescent="0.25">
      <c r="A140" s="278" t="str">
        <f ca="1">IF(Table1[[#This Row],[No. Invoice :]]="","",ROW())</f>
        <v/>
      </c>
      <c r="B140" s="278" t="str">
        <f ca="1">IF(Table1[Column3]="","",B$1+COUNT(INDIRECT("B$2:B"&amp;ROW()-1)))</f>
        <v/>
      </c>
      <c r="C140" s="272" t="str">
        <f>IF(Table1[[#This Row],[Column2]]="","",Table1[[#This Row],[Column2]]+C$1-1)</f>
        <v/>
      </c>
      <c r="E140" s="273"/>
      <c r="F140" s="271"/>
      <c r="G140" s="278" t="str">
        <f ca="1">IF(Table1[[#This Row],[h_No. Invoice :]]="","",CONCATENATE("AM"," ",Table1[[#This Row],[h_No. Invoice :]]))</f>
        <v/>
      </c>
      <c r="H140" s="271" t="str">
        <f>IF(Table1[[#This Row],[Column5]]="","",INDEX(Table2[Column1],MATCH(Table1[[#This Row],[Column5]],Table2[a],0)))</f>
        <v/>
      </c>
      <c r="I140" s="279" t="str">
        <f>IF(Table1[[#This Row],[Column3]]=0,"",CONCATENATE(UPPER(Table1[[#This Row],[Column3]])," ",Table1[[#This Row],[Column4]]))</f>
        <v xml:space="preserve"> </v>
      </c>
      <c r="J140" s="278" t="str">
        <f>IF(Table1[[#This Row],[Column5]]="","",INDEX(Table2[e],IF(Table1[[#This Row],[Column5]]="","",MATCH(Table1[[#This Row],[Column5]],Table2[a],0)),))</f>
        <v/>
      </c>
      <c r="K140" s="271">
        <v>25</v>
      </c>
      <c r="L140" s="271" t="s">
        <v>149</v>
      </c>
      <c r="N140" s="271" t="s">
        <v>366</v>
      </c>
      <c r="O140" s="278" t="str">
        <f>IF(Table1[[#This Row],[h_Item Description]]="","",INDEX([1]!db[NB PAJAK],MATCH(Table1[[#This Row],[h_Item Description]],[1]!db[kode],0)))</f>
        <v>HAND TALLY COUNTER KENKO HT-302</v>
      </c>
      <c r="P140" s="271" t="s">
        <v>367</v>
      </c>
      <c r="Q140" s="274">
        <v>19000</v>
      </c>
      <c r="R140" s="275">
        <v>0.125</v>
      </c>
      <c r="S140" s="275"/>
      <c r="T140" s="274">
        <f>Table1[[#This Row],[h_hargasetelahdiskon]]</f>
        <v>415625</v>
      </c>
      <c r="V140" s="271"/>
      <c r="W140" s="278">
        <f ca="1">IF(Table1[[#This Row],[Item Description]]="","",IF(Table1[[#This Row],[//]]="",INDIRECT(ADDRESS(ROW()-1,COLUMN())),Table1[[#This Row],[//]]))</f>
        <v>138</v>
      </c>
      <c r="X140" s="278">
        <f ca="1">IF(Table1[[#This Row],[h_id]]="","",COUNTIF(Table1[h_id],Table1[[#This Row],[h_id]]))</f>
        <v>4</v>
      </c>
      <c r="Y140" s="274">
        <f>IF(Table1[Item Description]="","",Table1[[#This Row],[Qty]]*Table1[[#This Row],[Unit Price]])</f>
        <v>475000</v>
      </c>
      <c r="Z140" s="274">
        <f>IF(Table1[[#This Row],[h_hargasebelumdiskon]]="","",IF(Table1[[#This Row],[Disc 1]]="",0,Table1[[#This Row],[h_hargasebelumdiskon]]*Table1[[#This Row],[Disc 1]]))</f>
        <v>59375</v>
      </c>
      <c r="AA140" s="274">
        <f>IF(Table1[[#This Row],[h_hargasebelumdiskon]]="","",IF(Table1[[#This Row],[Disc 2]]="",0,(Table1[[#This Row],[h_hargasebelumdiskon]]-Table1[[#This Row],[h_disc 1]])*Table1[[#This Row],[Disc 2]]))</f>
        <v>0</v>
      </c>
      <c r="AB140" s="274">
        <f>IF(Table1[Item Description]="","",Table1[[#This Row],[h_disc 1]]+Table1[[#This Row],[h_disc 2]])</f>
        <v>59375</v>
      </c>
      <c r="AC140" s="274">
        <f>IF(Table1[Item Description]="","",Table1[[#This Row],[h_hargasebelumdiskon]]-Table1[[#This Row],[h_diskon]])</f>
        <v>415625</v>
      </c>
      <c r="AD140" s="274" t="str">
        <f ca="1">IF(Table1[//]="","",SUMIF(Table1[h_id],Table1[h_id],Table1[h_hargasetelahdiskon]))</f>
        <v/>
      </c>
      <c r="AF140" s="274" t="str">
        <f>Table1[[#This Row],[Item Description]]&amp;Table1[[#This Row],[Unit]]&amp;Table1[[#This Row],[Unit Price]]</f>
        <v>HAND TALLY COUNTER KENKO HT-302PCS19000</v>
      </c>
      <c r="AG140" s="3"/>
      <c r="AH140" s="3"/>
      <c r="AI140" s="3"/>
    </row>
    <row r="141" spans="1:35" x14ac:dyDescent="0.25">
      <c r="A141" s="278" t="str">
        <f ca="1">IF(Table1[[#This Row],[No. Invoice :]]="","",ROW())</f>
        <v/>
      </c>
      <c r="B141" s="278" t="str">
        <f ca="1">IF(Table1[Column3]="","",B$1+COUNT(INDIRECT("B$2:B"&amp;ROW()-1)))</f>
        <v/>
      </c>
      <c r="C141" s="272" t="str">
        <f>IF(Table1[[#This Row],[Column2]]="","",Table1[[#This Row],[Column2]]+C$1-1)</f>
        <v/>
      </c>
      <c r="E141" s="273"/>
      <c r="F141" s="271"/>
      <c r="G141" s="278" t="str">
        <f ca="1">IF(Table1[[#This Row],[h_No. Invoice :]]="","",CONCATENATE("AM"," ",Table1[[#This Row],[h_No. Invoice :]]))</f>
        <v/>
      </c>
      <c r="H141" s="271" t="str">
        <f>IF(Table1[[#This Row],[Column5]]="","",INDEX(Table2[Column1],MATCH(Table1[[#This Row],[Column5]],Table2[a],0)))</f>
        <v/>
      </c>
      <c r="I141" s="279" t="str">
        <f>IF(Table1[[#This Row],[Column3]]=0,"",CONCATENATE(UPPER(Table1[[#This Row],[Column3]])," ",Table1[[#This Row],[Column4]]))</f>
        <v xml:space="preserve"> </v>
      </c>
      <c r="J141" s="278" t="str">
        <f>IF(Table1[[#This Row],[Column5]]="","",INDEX(Table2[e],IF(Table1[[#This Row],[Column5]]="","",MATCH(Table1[[#This Row],[Column5]],Table2[a],0)),))</f>
        <v/>
      </c>
      <c r="K141" s="271">
        <v>144</v>
      </c>
      <c r="L141" s="271" t="s">
        <v>136</v>
      </c>
      <c r="M141" s="271">
        <v>1</v>
      </c>
      <c r="N141" s="271" t="s">
        <v>183</v>
      </c>
      <c r="O141" s="278" t="str">
        <f>IF(Table1[[#This Row],[h_Item Description]]="","",INDEX([1]!db[NB PAJAK],MATCH(Table1[[#This Row],[h_Item Description]],[1]!db[kode],0)))</f>
        <v>GEL PEN KENKO HI-TECH-H 0.28 MM HITAM</v>
      </c>
      <c r="P141" s="271" t="s">
        <v>184</v>
      </c>
      <c r="Q141" s="274">
        <v>39000</v>
      </c>
      <c r="R141" s="275">
        <v>0.125</v>
      </c>
      <c r="S141" s="275"/>
      <c r="T141" s="274">
        <f>Table1[[#This Row],[h_hargasetelahdiskon]]</f>
        <v>4914000</v>
      </c>
      <c r="V141" s="271"/>
      <c r="W141" s="278">
        <f ca="1">IF(Table1[[#This Row],[Item Description]]="","",IF(Table1[[#This Row],[//]]="",INDIRECT(ADDRESS(ROW()-1,COLUMN())),Table1[[#This Row],[//]]))</f>
        <v>138</v>
      </c>
      <c r="X141" s="278">
        <f ca="1">IF(Table1[[#This Row],[h_id]]="","",COUNTIF(Table1[h_id],Table1[[#This Row],[h_id]]))</f>
        <v>4</v>
      </c>
      <c r="Y141" s="274">
        <f>IF(Table1[Item Description]="","",Table1[[#This Row],[Qty]]*Table1[[#This Row],[Unit Price]])</f>
        <v>5616000</v>
      </c>
      <c r="Z141" s="274">
        <f>IF(Table1[[#This Row],[h_hargasebelumdiskon]]="","",IF(Table1[[#This Row],[Disc 1]]="",0,Table1[[#This Row],[h_hargasebelumdiskon]]*Table1[[#This Row],[Disc 1]]))</f>
        <v>702000</v>
      </c>
      <c r="AA141" s="274">
        <f>IF(Table1[[#This Row],[h_hargasebelumdiskon]]="","",IF(Table1[[#This Row],[Disc 2]]="",0,(Table1[[#This Row],[h_hargasebelumdiskon]]-Table1[[#This Row],[h_disc 1]])*Table1[[#This Row],[Disc 2]]))</f>
        <v>0</v>
      </c>
      <c r="AB141" s="274">
        <f>IF(Table1[Item Description]="","",Table1[[#This Row],[h_disc 1]]+Table1[[#This Row],[h_disc 2]])</f>
        <v>702000</v>
      </c>
      <c r="AC141" s="274">
        <f>IF(Table1[Item Description]="","",Table1[[#This Row],[h_hargasebelumdiskon]]-Table1[[#This Row],[h_diskon]])</f>
        <v>4914000</v>
      </c>
      <c r="AD141" s="274" t="str">
        <f ca="1">IF(Table1[//]="","",SUMIF(Table1[h_id],Table1[h_id],Table1[h_hargasetelahdiskon]))</f>
        <v/>
      </c>
      <c r="AF141" s="274" t="str">
        <f>Table1[[#This Row],[Item Description]]&amp;Table1[[#This Row],[Unit]]&amp;Table1[[#This Row],[Unit Price]]</f>
        <v>GEL PEN KENKO HI-TECH-H 0.28 MM HITAMLSN39000</v>
      </c>
      <c r="AG141" s="3"/>
      <c r="AH141" s="3"/>
      <c r="AI141" s="3"/>
    </row>
    <row r="142" spans="1:35" x14ac:dyDescent="0.25">
      <c r="A142" s="278" t="str">
        <f ca="1">IF(Table1[[#This Row],[No. Invoice :]]="","",ROW())</f>
        <v/>
      </c>
      <c r="B142" s="278" t="str">
        <f ca="1">IF(Table1[Column3]="","",B$1+COUNT(INDIRECT("B$2:B"&amp;ROW()-1)))</f>
        <v/>
      </c>
      <c r="C142" s="272" t="str">
        <f>IF(Table1[[#This Row],[Column2]]="","",Table1[[#This Row],[Column2]]+C$1-1)</f>
        <v/>
      </c>
      <c r="E142" s="273"/>
      <c r="F142" s="271"/>
      <c r="G142" s="278" t="str">
        <f ca="1">IF(Table1[[#This Row],[h_No. Invoice :]]="","",CONCATENATE("AM"," ",Table1[[#This Row],[h_No. Invoice :]]))</f>
        <v/>
      </c>
      <c r="H142" s="271" t="str">
        <f>IF(Table1[[#This Row],[Column5]]="","",INDEX(Table2[Column1],MATCH(Table1[[#This Row],[Column5]],Table2[a],0)))</f>
        <v/>
      </c>
      <c r="I142" s="279" t="str">
        <f>IF(Table1[[#This Row],[Column3]]=0,"",CONCATENATE(UPPER(Table1[[#This Row],[Column3]])," ",Table1[[#This Row],[Column4]]))</f>
        <v xml:space="preserve"> </v>
      </c>
      <c r="J142" s="278" t="str">
        <f>IF(Table1[[#This Row],[Column5]]="","",INDEX(Table2[e],IF(Table1[[#This Row],[Column5]]="","",MATCH(Table1[[#This Row],[Column5]],Table2[a],0)),))</f>
        <v/>
      </c>
      <c r="K142" s="271"/>
      <c r="L142" s="271"/>
      <c r="O142" s="278" t="str">
        <f>IF(Table1[[#This Row],[h_Item Description]]="","",INDEX([1]!db[NB PAJAK],MATCH(Table1[[#This Row],[h_Item Description]],[1]!db[kode],0)))</f>
        <v/>
      </c>
      <c r="Q142" s="274"/>
      <c r="R142" s="275"/>
      <c r="S142" s="275"/>
      <c r="T142" s="274" t="str">
        <f>Table1[[#This Row],[h_hargasetelahdiskon]]</f>
        <v/>
      </c>
      <c r="V142" s="271"/>
      <c r="W142" s="278" t="str">
        <f ca="1">IF(Table1[[#This Row],[Item Description]]="","",IF(Table1[[#This Row],[//]]="",INDIRECT(ADDRESS(ROW()-1,COLUMN())),Table1[[#This Row],[//]]))</f>
        <v/>
      </c>
      <c r="X142" s="278" t="str">
        <f ca="1">IF(Table1[[#This Row],[h_id]]="","",COUNTIF(Table1[h_id],Table1[[#This Row],[h_id]]))</f>
        <v/>
      </c>
      <c r="Y142" s="274" t="str">
        <f>IF(Table1[Item Description]="","",Table1[[#This Row],[Qty]]*Table1[[#This Row],[Unit Price]])</f>
        <v/>
      </c>
      <c r="Z142" s="274" t="str">
        <f>IF(Table1[[#This Row],[h_hargasebelumdiskon]]="","",IF(Table1[[#This Row],[Disc 1]]="",0,Table1[[#This Row],[h_hargasebelumdiskon]]*Table1[[#This Row],[Disc 1]]))</f>
        <v/>
      </c>
      <c r="AA142" s="274" t="str">
        <f>IF(Table1[[#This Row],[h_hargasebelumdiskon]]="","",IF(Table1[[#This Row],[Disc 2]]="",0,(Table1[[#This Row],[h_hargasebelumdiskon]]-Table1[[#This Row],[h_disc 1]])*Table1[[#This Row],[Disc 2]]))</f>
        <v/>
      </c>
      <c r="AB142" s="274" t="str">
        <f>IF(Table1[Item Description]="","",Table1[[#This Row],[h_disc 1]]+Table1[[#This Row],[h_disc 2]])</f>
        <v/>
      </c>
      <c r="AC142" s="274" t="str">
        <f>IF(Table1[Item Description]="","",Table1[[#This Row],[h_hargasebelumdiskon]]-Table1[[#This Row],[h_diskon]])</f>
        <v/>
      </c>
      <c r="AD142" s="274" t="str">
        <f ca="1">IF(Table1[//]="","",SUMIF(Table1[h_id],Table1[h_id],Table1[h_hargasetelahdiskon]))</f>
        <v/>
      </c>
      <c r="AF142" s="274" t="str">
        <f>Table1[[#This Row],[Item Description]]&amp;Table1[[#This Row],[Unit]]&amp;Table1[[#This Row],[Unit Price]]</f>
        <v/>
      </c>
      <c r="AG142" s="3"/>
      <c r="AH142" s="3"/>
      <c r="AI142" s="3"/>
    </row>
    <row r="143" spans="1:35" x14ac:dyDescent="0.25">
      <c r="A143" s="278">
        <f ca="1">IF(Table1[[#This Row],[No. Invoice :]]="","",ROW())</f>
        <v>143</v>
      </c>
      <c r="B143" s="278">
        <f ca="1">IF(Table1[Column3]="","",B$1+COUNT(INDIRECT("B$2:B"&amp;ROW()-1)))</f>
        <v>24020028</v>
      </c>
      <c r="C143" s="272">
        <f>IF(Table1[[#This Row],[Column2]]="","",Table1[[#This Row],[Column2]]+C$1-1)</f>
        <v>45346</v>
      </c>
      <c r="D143" s="281">
        <v>24</v>
      </c>
      <c r="E143" s="273" t="s">
        <v>368</v>
      </c>
      <c r="F143" s="271" t="s">
        <v>80</v>
      </c>
      <c r="G143" s="278" t="str">
        <f ca="1">IF(Table1[[#This Row],[h_No. Invoice :]]="","",CONCATENATE("AM"," ",Table1[[#This Row],[h_No. Invoice :]]))</f>
        <v>AM 24020028</v>
      </c>
      <c r="H143" s="271" t="str">
        <f>IF(Table1[[#This Row],[Column5]]="","",INDEX(Table2[Column1],MATCH(Table1[[#This Row],[Column5]],Table2[a],0)))</f>
        <v>KO</v>
      </c>
      <c r="I143" s="279" t="str">
        <f>IF(Table1[[#This Row],[Column3]]=0,"",CONCATENATE(UPPER(Table1[[#This Row],[Column3]])," ",Table1[[#This Row],[Column4]]))</f>
        <v>KO 2784</v>
      </c>
      <c r="J143" s="278" t="str">
        <f>IF(Table1[[#This Row],[Column5]]="","",INDEX(Table2[e],IF(Table1[[#This Row],[Column5]]="","",MATCH(Table1[[#This Row],[Column5]],Table2[a],0)),))</f>
        <v>CV PELITA JAYA (ANUGERAH SEJAHTERA) PURWOKERTO</v>
      </c>
      <c r="K143" s="271">
        <v>360</v>
      </c>
      <c r="L143" s="271" t="s">
        <v>136</v>
      </c>
      <c r="M143" s="271">
        <v>5</v>
      </c>
      <c r="N143" s="271" t="s">
        <v>150</v>
      </c>
      <c r="O143" s="278" t="str">
        <f>IF(Table1[[#This Row],[h_Item Description]]="","",INDEX([1]!db[NB PAJAK],MATCH(Table1[[#This Row],[h_Item Description]],[1]!db[kode],0)))</f>
        <v>CORRECTION FLUID KENKO KE-01</v>
      </c>
      <c r="P143" s="271" t="s">
        <v>151</v>
      </c>
      <c r="Q143" s="274">
        <v>54300</v>
      </c>
      <c r="R143" s="275">
        <v>0.13500000000000001</v>
      </c>
      <c r="S143" s="275"/>
      <c r="T143" s="274">
        <f>Table1[[#This Row],[h_hargasetelahdiskon]]</f>
        <v>16909020</v>
      </c>
      <c r="U143" s="274" t="s">
        <v>129</v>
      </c>
      <c r="V143" s="271"/>
      <c r="W143" s="278">
        <f ca="1">IF(Table1[[#This Row],[Item Description]]="","",IF(Table1[[#This Row],[//]]="",INDIRECT(ADDRESS(ROW()-1,COLUMN())),Table1[[#This Row],[//]]))</f>
        <v>143</v>
      </c>
      <c r="X143" s="278">
        <f ca="1">IF(Table1[[#This Row],[h_id]]="","",COUNTIF(Table1[h_id],Table1[[#This Row],[h_id]]))</f>
        <v>1</v>
      </c>
      <c r="Y143" s="274">
        <f>IF(Table1[Item Description]="","",Table1[[#This Row],[Qty]]*Table1[[#This Row],[Unit Price]])</f>
        <v>19548000</v>
      </c>
      <c r="Z143" s="274">
        <f>IF(Table1[[#This Row],[h_hargasebelumdiskon]]="","",IF(Table1[[#This Row],[Disc 1]]="",0,Table1[[#This Row],[h_hargasebelumdiskon]]*Table1[[#This Row],[Disc 1]]))</f>
        <v>2638980</v>
      </c>
      <c r="AA143" s="274">
        <f>IF(Table1[[#This Row],[h_hargasebelumdiskon]]="","",IF(Table1[[#This Row],[Disc 2]]="",0,(Table1[[#This Row],[h_hargasebelumdiskon]]-Table1[[#This Row],[h_disc 1]])*Table1[[#This Row],[Disc 2]]))</f>
        <v>0</v>
      </c>
      <c r="AB143" s="274">
        <f>IF(Table1[Item Description]="","",Table1[[#This Row],[h_disc 1]]+Table1[[#This Row],[h_disc 2]])</f>
        <v>2638980</v>
      </c>
      <c r="AC143" s="274">
        <f>IF(Table1[Item Description]="","",Table1[[#This Row],[h_hargasebelumdiskon]]-Table1[[#This Row],[h_diskon]])</f>
        <v>16909020</v>
      </c>
      <c r="AD143" s="274">
        <f ca="1">IF(Table1[//]="","",SUMIF(Table1[h_id],Table1[h_id],Table1[h_hargasetelahdiskon]))</f>
        <v>16909020</v>
      </c>
      <c r="AF143" s="274" t="str">
        <f>Table1[[#This Row],[Item Description]]&amp;Table1[[#This Row],[Unit]]&amp;Table1[[#This Row],[Unit Price]]</f>
        <v>CORRECTION FLUID KENKO KE-01LSN54300</v>
      </c>
      <c r="AG143" s="3"/>
      <c r="AH143" s="3"/>
      <c r="AI143" s="3"/>
    </row>
    <row r="144" spans="1:35" x14ac:dyDescent="0.25">
      <c r="A144" s="278" t="str">
        <f ca="1">IF(Table1[[#This Row],[No. Invoice :]]="","",ROW())</f>
        <v/>
      </c>
      <c r="B144" s="278" t="str">
        <f ca="1">IF(Table1[Column3]="","",B$1+COUNT(INDIRECT("B$2:B"&amp;ROW()-1)))</f>
        <v/>
      </c>
      <c r="C144" s="272" t="str">
        <f>IF(Table1[[#This Row],[Column2]]="","",Table1[[#This Row],[Column2]]+C$1-1)</f>
        <v/>
      </c>
      <c r="E144" s="273"/>
      <c r="F144" s="271"/>
      <c r="G144" s="278" t="str">
        <f ca="1">IF(Table1[[#This Row],[h_No. Invoice :]]="","",CONCATENATE("AM"," ",Table1[[#This Row],[h_No. Invoice :]]))</f>
        <v/>
      </c>
      <c r="H144" s="271" t="str">
        <f>IF(Table1[[#This Row],[Column5]]="","",INDEX(Table2[Column1],MATCH(Table1[[#This Row],[Column5]],Table2[a],0)))</f>
        <v/>
      </c>
      <c r="I144" s="279" t="str">
        <f>IF(Table1[[#This Row],[Column3]]=0,"",CONCATENATE(UPPER(Table1[[#This Row],[Column3]])," ",Table1[[#This Row],[Column4]]))</f>
        <v xml:space="preserve"> </v>
      </c>
      <c r="J144" s="278" t="str">
        <f>IF(Table1[[#This Row],[Column5]]="","",INDEX(Table2[e],IF(Table1[[#This Row],[Column5]]="","",MATCH(Table1[[#This Row],[Column5]],Table2[a],0)),))</f>
        <v/>
      </c>
      <c r="K144" s="271"/>
      <c r="L144" s="271"/>
      <c r="O144" s="278" t="str">
        <f>IF(Table1[[#This Row],[h_Item Description]]="","",INDEX([1]!db[NB PAJAK],MATCH(Table1[[#This Row],[h_Item Description]],[1]!db[kode],0)))</f>
        <v/>
      </c>
      <c r="Q144" s="274"/>
      <c r="R144" s="275"/>
      <c r="S144" s="275"/>
      <c r="T144" s="274" t="str">
        <f>Table1[[#This Row],[h_hargasetelahdiskon]]</f>
        <v/>
      </c>
      <c r="V144" s="271"/>
      <c r="W144" s="278" t="str">
        <f ca="1">IF(Table1[[#This Row],[Item Description]]="","",IF(Table1[[#This Row],[//]]="",INDIRECT(ADDRESS(ROW()-1,COLUMN())),Table1[[#This Row],[//]]))</f>
        <v/>
      </c>
      <c r="X144" s="278" t="str">
        <f ca="1">IF(Table1[[#This Row],[h_id]]="","",COUNTIF(Table1[h_id],Table1[[#This Row],[h_id]]))</f>
        <v/>
      </c>
      <c r="Y144" s="274" t="str">
        <f>IF(Table1[Item Description]="","",Table1[[#This Row],[Qty]]*Table1[[#This Row],[Unit Price]])</f>
        <v/>
      </c>
      <c r="Z144" s="274" t="str">
        <f>IF(Table1[[#This Row],[h_hargasebelumdiskon]]="","",IF(Table1[[#This Row],[Disc 1]]="",0,Table1[[#This Row],[h_hargasebelumdiskon]]*Table1[[#This Row],[Disc 1]]))</f>
        <v/>
      </c>
      <c r="AA144" s="274" t="str">
        <f>IF(Table1[[#This Row],[h_hargasebelumdiskon]]="","",IF(Table1[[#This Row],[Disc 2]]="",0,(Table1[[#This Row],[h_hargasebelumdiskon]]-Table1[[#This Row],[h_disc 1]])*Table1[[#This Row],[Disc 2]]))</f>
        <v/>
      </c>
      <c r="AB144" s="274" t="str">
        <f>IF(Table1[Item Description]="","",Table1[[#This Row],[h_disc 1]]+Table1[[#This Row],[h_disc 2]])</f>
        <v/>
      </c>
      <c r="AC144" s="274" t="str">
        <f>IF(Table1[Item Description]="","",Table1[[#This Row],[h_hargasebelumdiskon]]-Table1[[#This Row],[h_diskon]])</f>
        <v/>
      </c>
      <c r="AD144" s="274" t="str">
        <f ca="1">IF(Table1[//]="","",SUMIF(Table1[h_id],Table1[h_id],Table1[h_hargasetelahdiskon]))</f>
        <v/>
      </c>
      <c r="AF144" s="274" t="str">
        <f>Table1[[#This Row],[Item Description]]&amp;Table1[[#This Row],[Unit]]&amp;Table1[[#This Row],[Unit Price]]</f>
        <v/>
      </c>
      <c r="AG144" s="3"/>
      <c r="AH144" s="3"/>
      <c r="AI144" s="3"/>
    </row>
    <row r="145" spans="1:35" x14ac:dyDescent="0.25">
      <c r="A145" s="278">
        <f ca="1">IF(Table1[[#This Row],[No. Invoice :]]="","",ROW())</f>
        <v>145</v>
      </c>
      <c r="B145" s="278">
        <f ca="1">IF(Table1[Column3]="","",B$1+COUNT(INDIRECT("B$2:B"&amp;ROW()-1)))</f>
        <v>24020029</v>
      </c>
      <c r="C145" s="272">
        <f>IF(Table1[[#This Row],[Column2]]="","",Table1[[#This Row],[Column2]]+C$1-1)</f>
        <v>45346</v>
      </c>
      <c r="D145" s="281">
        <v>24</v>
      </c>
      <c r="E145" s="273" t="s">
        <v>369</v>
      </c>
      <c r="F145" s="271" t="s">
        <v>76</v>
      </c>
      <c r="G145" s="278" t="str">
        <f ca="1">IF(Table1[[#This Row],[h_No. Invoice :]]="","",CONCATENATE("AM"," ",Table1[[#This Row],[h_No. Invoice :]]))</f>
        <v>AM 24020029</v>
      </c>
      <c r="H145" s="271" t="str">
        <f>IF(Table1[[#This Row],[Column5]]="","",INDEX(Table2[Column1],MATCH(Table1[[#This Row],[Column5]],Table2[a],0)))</f>
        <v>KO</v>
      </c>
      <c r="I145" s="279" t="str">
        <f>IF(Table1[[#This Row],[Column3]]=0,"",CONCATENATE(UPPER(Table1[[#This Row],[Column3]])," ",Table1[[#This Row],[Column4]]))</f>
        <v>KO 2785</v>
      </c>
      <c r="J145" s="278" t="str">
        <f>IF(Table1[[#This Row],[Column5]]="","",INDEX(Table2[e],IF(Table1[[#This Row],[Column5]]="","",MATCH(Table1[[#This Row],[Column5]],Table2[a],0)),))</f>
        <v>CV GANESHA WONOSOBO</v>
      </c>
      <c r="K145" s="271">
        <v>5</v>
      </c>
      <c r="L145" s="271" t="s">
        <v>157</v>
      </c>
      <c r="N145" s="271" t="s">
        <v>370</v>
      </c>
      <c r="O145" s="278" t="str">
        <f>IF(Table1[[#This Row],[h_Item Description]]="","",INDEX([1]!db[NB PAJAK],MATCH(Table1[[#This Row],[h_Item Description]],[1]!db[kode],0)))</f>
        <v>PAPER JUMBO CLIP KENKO NO. 5</v>
      </c>
      <c r="P145" s="271" t="s">
        <v>371</v>
      </c>
      <c r="Q145" s="274">
        <v>43000</v>
      </c>
      <c r="R145" s="275">
        <v>0.1</v>
      </c>
      <c r="S145" s="275"/>
      <c r="T145" s="274">
        <f>Table1[[#This Row],[h_hargasetelahdiskon]]</f>
        <v>193500</v>
      </c>
      <c r="U145" s="274" t="s">
        <v>129</v>
      </c>
      <c r="V145" s="271"/>
      <c r="W145" s="278">
        <f ca="1">IF(Table1[[#This Row],[Item Description]]="","",IF(Table1[[#This Row],[//]]="",INDIRECT(ADDRESS(ROW()-1,COLUMN())),Table1[[#This Row],[//]]))</f>
        <v>145</v>
      </c>
      <c r="X145" s="278">
        <f ca="1">IF(Table1[[#This Row],[h_id]]="","",COUNTIF(Table1[h_id],Table1[[#This Row],[h_id]]))</f>
        <v>1</v>
      </c>
      <c r="Y145" s="274">
        <f>IF(Table1[Item Description]="","",Table1[[#This Row],[Qty]]*Table1[[#This Row],[Unit Price]])</f>
        <v>215000</v>
      </c>
      <c r="Z145" s="274">
        <f>IF(Table1[[#This Row],[h_hargasebelumdiskon]]="","",IF(Table1[[#This Row],[Disc 1]]="",0,Table1[[#This Row],[h_hargasebelumdiskon]]*Table1[[#This Row],[Disc 1]]))</f>
        <v>21500</v>
      </c>
      <c r="AA145" s="274">
        <f>IF(Table1[[#This Row],[h_hargasebelumdiskon]]="","",IF(Table1[[#This Row],[Disc 2]]="",0,(Table1[[#This Row],[h_hargasebelumdiskon]]-Table1[[#This Row],[h_disc 1]])*Table1[[#This Row],[Disc 2]]))</f>
        <v>0</v>
      </c>
      <c r="AB145" s="274">
        <f>IF(Table1[Item Description]="","",Table1[[#This Row],[h_disc 1]]+Table1[[#This Row],[h_disc 2]])</f>
        <v>21500</v>
      </c>
      <c r="AC145" s="274">
        <f>IF(Table1[Item Description]="","",Table1[[#This Row],[h_hargasebelumdiskon]]-Table1[[#This Row],[h_diskon]])</f>
        <v>193500</v>
      </c>
      <c r="AD145" s="274">
        <f ca="1">IF(Table1[//]="","",SUMIF(Table1[h_id],Table1[h_id],Table1[h_hargasetelahdiskon]))</f>
        <v>193500</v>
      </c>
      <c r="AF145" s="274" t="str">
        <f>Table1[[#This Row],[Item Description]]&amp;Table1[[#This Row],[Unit]]&amp;Table1[[#This Row],[Unit Price]]</f>
        <v>PAPER JUMBO CLIP KENKO NO. 5BOX43000</v>
      </c>
      <c r="AG145" s="3"/>
      <c r="AH145" s="3"/>
      <c r="AI145" s="3"/>
    </row>
    <row r="146" spans="1:35" x14ac:dyDescent="0.25">
      <c r="A146" s="278" t="str">
        <f ca="1">IF(Table1[[#This Row],[No. Invoice :]]="","",ROW())</f>
        <v/>
      </c>
      <c r="B146" s="278" t="str">
        <f ca="1">IF(Table1[Column3]="","",B$1+COUNT(INDIRECT("B$2:B"&amp;ROW()-1)))</f>
        <v/>
      </c>
      <c r="C146" s="272" t="str">
        <f>IF(Table1[[#This Row],[Column2]]="","",Table1[[#This Row],[Column2]]+C$1-1)</f>
        <v/>
      </c>
      <c r="E146" s="273"/>
      <c r="F146" s="271"/>
      <c r="G146" s="278" t="str">
        <f ca="1">IF(Table1[[#This Row],[h_No. Invoice :]]="","",CONCATENATE("AM"," ",Table1[[#This Row],[h_No. Invoice :]]))</f>
        <v/>
      </c>
      <c r="H146" s="271" t="str">
        <f>IF(Table1[[#This Row],[Column5]]="","",INDEX(Table2[Column1],MATCH(Table1[[#This Row],[Column5]],Table2[a],0)))</f>
        <v/>
      </c>
      <c r="I146" s="279" t="str">
        <f>IF(Table1[[#This Row],[Column3]]=0,"",CONCATENATE(UPPER(Table1[[#This Row],[Column3]])," ",Table1[[#This Row],[Column4]]))</f>
        <v xml:space="preserve"> </v>
      </c>
      <c r="J146" s="278" t="str">
        <f>IF(Table1[[#This Row],[Column5]]="","",INDEX(Table2[e],IF(Table1[[#This Row],[Column5]]="","",MATCH(Table1[[#This Row],[Column5]],Table2[a],0)),))</f>
        <v/>
      </c>
      <c r="K146" s="271"/>
      <c r="L146" s="271"/>
      <c r="O146" s="278" t="str">
        <f>IF(Table1[[#This Row],[h_Item Description]]="","",INDEX([1]!db[NB PAJAK],MATCH(Table1[[#This Row],[h_Item Description]],[1]!db[kode],0)))</f>
        <v/>
      </c>
      <c r="Q146" s="274"/>
      <c r="R146" s="275"/>
      <c r="S146" s="275"/>
      <c r="T146" s="274" t="str">
        <f>Table1[[#This Row],[h_hargasetelahdiskon]]</f>
        <v/>
      </c>
      <c r="V146" s="271"/>
      <c r="W146" s="278" t="str">
        <f ca="1">IF(Table1[[#This Row],[Item Description]]="","",IF(Table1[[#This Row],[//]]="",INDIRECT(ADDRESS(ROW()-1,COLUMN())),Table1[[#This Row],[//]]))</f>
        <v/>
      </c>
      <c r="X146" s="278" t="str">
        <f ca="1">IF(Table1[[#This Row],[h_id]]="","",COUNTIF(Table1[h_id],Table1[[#This Row],[h_id]]))</f>
        <v/>
      </c>
      <c r="Y146" s="274" t="str">
        <f>IF(Table1[Item Description]="","",Table1[[#This Row],[Qty]]*Table1[[#This Row],[Unit Price]])</f>
        <v/>
      </c>
      <c r="Z146" s="274" t="str">
        <f>IF(Table1[[#This Row],[h_hargasebelumdiskon]]="","",IF(Table1[[#This Row],[Disc 1]]="",0,Table1[[#This Row],[h_hargasebelumdiskon]]*Table1[[#This Row],[Disc 1]]))</f>
        <v/>
      </c>
      <c r="AA146" s="274" t="str">
        <f>IF(Table1[[#This Row],[h_hargasebelumdiskon]]="","",IF(Table1[[#This Row],[Disc 2]]="",0,(Table1[[#This Row],[h_hargasebelumdiskon]]-Table1[[#This Row],[h_disc 1]])*Table1[[#This Row],[Disc 2]]))</f>
        <v/>
      </c>
      <c r="AB146" s="274" t="str">
        <f>IF(Table1[Item Description]="","",Table1[[#This Row],[h_disc 1]]+Table1[[#This Row],[h_disc 2]])</f>
        <v/>
      </c>
      <c r="AC146" s="274" t="str">
        <f>IF(Table1[Item Description]="","",Table1[[#This Row],[h_hargasebelumdiskon]]-Table1[[#This Row],[h_diskon]])</f>
        <v/>
      </c>
      <c r="AD146" s="274" t="str">
        <f ca="1">IF(Table1[//]="","",SUMIF(Table1[h_id],Table1[h_id],Table1[h_hargasetelahdiskon]))</f>
        <v/>
      </c>
      <c r="AF146" s="274" t="str">
        <f>Table1[[#This Row],[Item Description]]&amp;Table1[[#This Row],[Unit]]&amp;Table1[[#This Row],[Unit Price]]</f>
        <v/>
      </c>
      <c r="AG146" s="3"/>
      <c r="AH146" s="3"/>
      <c r="AI146" s="3"/>
    </row>
    <row r="147" spans="1:35" x14ac:dyDescent="0.25">
      <c r="A147" s="278" t="str">
        <f ca="1">IF(Table1[[#This Row],[No. Invoice :]]="","",ROW())</f>
        <v/>
      </c>
      <c r="B147" s="278" t="str">
        <f ca="1">IF(Table1[Column3]="","",B$1+COUNT(INDIRECT("B$2:B"&amp;ROW()-1)))</f>
        <v/>
      </c>
      <c r="C147" s="272" t="str">
        <f>IF(Table1[[#This Row],[Column2]]="","",Table1[[#This Row],[Column2]]+C$1-1)</f>
        <v/>
      </c>
      <c r="E147" s="273"/>
      <c r="F147" s="271"/>
      <c r="G147" s="278" t="str">
        <f ca="1">IF(Table1[[#This Row],[h_No. Invoice :]]="","",CONCATENATE("AM"," ",Table1[[#This Row],[h_No. Invoice :]]))</f>
        <v/>
      </c>
      <c r="H147" s="271" t="str">
        <f>IF(Table1[[#This Row],[Column5]]="","",INDEX(Table2[Column1],MATCH(Table1[[#This Row],[Column5]],Table2[a],0)))</f>
        <v/>
      </c>
      <c r="I147" s="279" t="str">
        <f>IF(Table1[[#This Row],[Column3]]=0,"",CONCATENATE(UPPER(Table1[[#This Row],[Column3]])," ",Table1[[#This Row],[Column4]]))</f>
        <v xml:space="preserve"> </v>
      </c>
      <c r="J147" s="278" t="str">
        <f>IF(Table1[[#This Row],[Column5]]="","",INDEX(Table2[e],IF(Table1[[#This Row],[Column5]]="","",MATCH(Table1[[#This Row],[Column5]],Table2[a],0)),))</f>
        <v/>
      </c>
      <c r="K147" s="271"/>
      <c r="L147" s="271"/>
      <c r="O147" s="278" t="str">
        <f>IF(Table1[[#This Row],[h_Item Description]]="","",INDEX([1]!db[NB PAJAK],MATCH(Table1[[#This Row],[h_Item Description]],[1]!db[kode],0)))</f>
        <v/>
      </c>
      <c r="Q147" s="274"/>
      <c r="R147" s="275"/>
      <c r="S147" s="275"/>
      <c r="T147" s="274" t="str">
        <f>Table1[[#This Row],[h_hargasetelahdiskon]]</f>
        <v/>
      </c>
      <c r="V147" s="271"/>
      <c r="W147" s="278" t="str">
        <f ca="1">IF(Table1[[#This Row],[Item Description]]="","",IF(Table1[[#This Row],[//]]="",INDIRECT(ADDRESS(ROW()-1,COLUMN())),Table1[[#This Row],[//]]))</f>
        <v/>
      </c>
      <c r="X147" s="278" t="str">
        <f ca="1">IF(Table1[[#This Row],[h_id]]="","",COUNTIF(Table1[h_id],Table1[[#This Row],[h_id]]))</f>
        <v/>
      </c>
      <c r="Y147" s="274" t="str">
        <f>IF(Table1[Item Description]="","",Table1[[#This Row],[Qty]]*Table1[[#This Row],[Unit Price]])</f>
        <v/>
      </c>
      <c r="Z147" s="274" t="str">
        <f>IF(Table1[[#This Row],[h_hargasebelumdiskon]]="","",IF(Table1[[#This Row],[Disc 1]]="",0,Table1[[#This Row],[h_hargasebelumdiskon]]*Table1[[#This Row],[Disc 1]]))</f>
        <v/>
      </c>
      <c r="AA147" s="274" t="str">
        <f>IF(Table1[[#This Row],[h_hargasebelumdiskon]]="","",IF(Table1[[#This Row],[Disc 2]]="",0,(Table1[[#This Row],[h_hargasebelumdiskon]]-Table1[[#This Row],[h_disc 1]])*Table1[[#This Row],[Disc 2]]))</f>
        <v/>
      </c>
      <c r="AB147" s="274" t="str">
        <f>IF(Table1[Item Description]="","",Table1[[#This Row],[h_disc 1]]+Table1[[#This Row],[h_disc 2]])</f>
        <v/>
      </c>
      <c r="AC147" s="274" t="str">
        <f>IF(Table1[Item Description]="","",Table1[[#This Row],[h_hargasebelumdiskon]]-Table1[[#This Row],[h_diskon]])</f>
        <v/>
      </c>
      <c r="AD147" s="274" t="str">
        <f ca="1">IF(Table1[//]="","",SUMIF(Table1[h_id],Table1[h_id],Table1[h_hargasetelahdiskon]))</f>
        <v/>
      </c>
      <c r="AF147" s="274" t="str">
        <f>Table1[[#This Row],[Item Description]]&amp;Table1[[#This Row],[Unit]]&amp;Table1[[#This Row],[Unit Price]]</f>
        <v/>
      </c>
      <c r="AG147" s="3"/>
      <c r="AH147" s="3"/>
      <c r="AI147" s="3"/>
    </row>
    <row r="148" spans="1:35" x14ac:dyDescent="0.25">
      <c r="A148" s="278" t="str">
        <f ca="1">IF(Table1[[#This Row],[No. Invoice :]]="","",ROW())</f>
        <v/>
      </c>
      <c r="B148" s="278" t="str">
        <f ca="1">IF(Table1[Column3]="","",B$1+COUNT(INDIRECT("B$2:B"&amp;ROW()-1)))</f>
        <v/>
      </c>
      <c r="C148" s="272" t="str">
        <f>IF(Table1[[#This Row],[Column2]]="","",Table1[[#This Row],[Column2]]+C$1-1)</f>
        <v/>
      </c>
      <c r="E148" s="273"/>
      <c r="F148" s="271"/>
      <c r="G148" s="278" t="str">
        <f ca="1">IF(Table1[[#This Row],[h_No. Invoice :]]="","",CONCATENATE("AM"," ",Table1[[#This Row],[h_No. Invoice :]]))</f>
        <v/>
      </c>
      <c r="H148" s="271" t="str">
        <f>IF(Table1[[#This Row],[Column5]]="","",INDEX(Table2[Column1],MATCH(Table1[[#This Row],[Column5]],Table2[a],0)))</f>
        <v/>
      </c>
      <c r="I148" s="279" t="str">
        <f>IF(Table1[[#This Row],[Column3]]=0,"",CONCATENATE(UPPER(Table1[[#This Row],[Column3]])," ",Table1[[#This Row],[Column4]]))</f>
        <v xml:space="preserve"> </v>
      </c>
      <c r="J148" s="278" t="str">
        <f>IF(Table1[[#This Row],[Column5]]="","",INDEX(Table2[e],IF(Table1[[#This Row],[Column5]]="","",MATCH(Table1[[#This Row],[Column5]],Table2[a],0)),))</f>
        <v/>
      </c>
      <c r="K148" s="271"/>
      <c r="L148" s="271"/>
      <c r="O148" s="278" t="str">
        <f>IF(Table1[[#This Row],[h_Item Description]]="","",INDEX([1]!db[NB PAJAK],MATCH(Table1[[#This Row],[h_Item Description]],[1]!db[kode],0)))</f>
        <v/>
      </c>
      <c r="Q148" s="274"/>
      <c r="R148" s="275"/>
      <c r="S148" s="275"/>
      <c r="T148" s="274" t="str">
        <f>Table1[[#This Row],[h_hargasetelahdiskon]]</f>
        <v/>
      </c>
      <c r="V148" s="271"/>
      <c r="W148" s="278" t="str">
        <f ca="1">IF(Table1[[#This Row],[Item Description]]="","",IF(Table1[[#This Row],[//]]="",INDIRECT(ADDRESS(ROW()-1,COLUMN())),Table1[[#This Row],[//]]))</f>
        <v/>
      </c>
      <c r="X148" s="278" t="str">
        <f ca="1">IF(Table1[[#This Row],[h_id]]="","",COUNTIF(Table1[h_id],Table1[[#This Row],[h_id]]))</f>
        <v/>
      </c>
      <c r="Y148" s="274" t="str">
        <f>IF(Table1[Item Description]="","",Table1[[#This Row],[Qty]]*Table1[[#This Row],[Unit Price]])</f>
        <v/>
      </c>
      <c r="Z148" s="274" t="str">
        <f>IF(Table1[[#This Row],[h_hargasebelumdiskon]]="","",IF(Table1[[#This Row],[Disc 1]]="",0,Table1[[#This Row],[h_hargasebelumdiskon]]*Table1[[#This Row],[Disc 1]]))</f>
        <v/>
      </c>
      <c r="AA148" s="274" t="str">
        <f>IF(Table1[[#This Row],[h_hargasebelumdiskon]]="","",IF(Table1[[#This Row],[Disc 2]]="",0,(Table1[[#This Row],[h_hargasebelumdiskon]]-Table1[[#This Row],[h_disc 1]])*Table1[[#This Row],[Disc 2]]))</f>
        <v/>
      </c>
      <c r="AB148" s="274" t="str">
        <f>IF(Table1[Item Description]="","",Table1[[#This Row],[h_disc 1]]+Table1[[#This Row],[h_disc 2]])</f>
        <v/>
      </c>
      <c r="AC148" s="274" t="str">
        <f>IF(Table1[Item Description]="","",Table1[[#This Row],[h_hargasebelumdiskon]]-Table1[[#This Row],[h_diskon]])</f>
        <v/>
      </c>
      <c r="AD148" s="274" t="str">
        <f ca="1">IF(Table1[//]="","",SUMIF(Table1[h_id],Table1[h_id],Table1[h_hargasetelahdiskon]))</f>
        <v/>
      </c>
      <c r="AF148" s="274" t="str">
        <f>Table1[[#This Row],[Item Description]]&amp;Table1[[#This Row],[Unit]]&amp;Table1[[#This Row],[Unit Price]]</f>
        <v/>
      </c>
      <c r="AG148" s="3"/>
      <c r="AH148" s="3"/>
      <c r="AI148" s="3"/>
    </row>
    <row r="149" spans="1:35" x14ac:dyDescent="0.25">
      <c r="A149" s="278" t="str">
        <f ca="1">IF(Table1[[#This Row],[No. Invoice :]]="","",ROW())</f>
        <v/>
      </c>
      <c r="B149" s="278" t="str">
        <f ca="1">IF(Table1[Column3]="","",B$1+COUNT(INDIRECT("B$2:B"&amp;ROW()-1)))</f>
        <v/>
      </c>
      <c r="C149" s="272" t="str">
        <f>IF(Table1[[#This Row],[Column2]]="","",Table1[[#This Row],[Column2]]+C$1-1)</f>
        <v/>
      </c>
      <c r="E149" s="273"/>
      <c r="F149" s="271"/>
      <c r="G149" s="278" t="str">
        <f ca="1">IF(Table1[[#This Row],[h_No. Invoice :]]="","",CONCATENATE("AM"," ",Table1[[#This Row],[h_No. Invoice :]]))</f>
        <v/>
      </c>
      <c r="H149" s="271" t="str">
        <f>IF(Table1[[#This Row],[Column5]]="","",INDEX(Table2[Column1],MATCH(Table1[[#This Row],[Column5]],Table2[a],0)))</f>
        <v/>
      </c>
      <c r="I149" s="279" t="str">
        <f>IF(Table1[[#This Row],[Column3]]=0,"",CONCATENATE(UPPER(Table1[[#This Row],[Column3]])," ",Table1[[#This Row],[Column4]]))</f>
        <v xml:space="preserve"> </v>
      </c>
      <c r="J149" s="278" t="str">
        <f>IF(Table1[[#This Row],[Column5]]="","",INDEX(Table2[e],IF(Table1[[#This Row],[Column5]]="","",MATCH(Table1[[#This Row],[Column5]],Table2[a],0)),))</f>
        <v/>
      </c>
      <c r="K149" s="271"/>
      <c r="L149" s="271"/>
      <c r="O149" s="278" t="str">
        <f>IF(Table1[[#This Row],[h_Item Description]]="","",INDEX([1]!db[NB PAJAK],MATCH(Table1[[#This Row],[h_Item Description]],[1]!db[kode],0)))</f>
        <v/>
      </c>
      <c r="Q149" s="274"/>
      <c r="R149" s="275"/>
      <c r="S149" s="275"/>
      <c r="T149" s="274" t="str">
        <f>Table1[[#This Row],[h_hargasetelahdiskon]]</f>
        <v/>
      </c>
      <c r="V149" s="271"/>
      <c r="W149" s="278" t="str">
        <f ca="1">IF(Table1[[#This Row],[Item Description]]="","",IF(Table1[[#This Row],[//]]="",INDIRECT(ADDRESS(ROW()-1,COLUMN())),Table1[[#This Row],[//]]))</f>
        <v/>
      </c>
      <c r="X149" s="278" t="str">
        <f ca="1">IF(Table1[[#This Row],[h_id]]="","",COUNTIF(Table1[h_id],Table1[[#This Row],[h_id]]))</f>
        <v/>
      </c>
      <c r="Y149" s="274" t="str">
        <f>IF(Table1[Item Description]="","",Table1[[#This Row],[Qty]]*Table1[[#This Row],[Unit Price]])</f>
        <v/>
      </c>
      <c r="Z149" s="274" t="str">
        <f>IF(Table1[[#This Row],[h_hargasebelumdiskon]]="","",IF(Table1[[#This Row],[Disc 1]]="",0,Table1[[#This Row],[h_hargasebelumdiskon]]*Table1[[#This Row],[Disc 1]]))</f>
        <v/>
      </c>
      <c r="AA149" s="274" t="str">
        <f>IF(Table1[[#This Row],[h_hargasebelumdiskon]]="","",IF(Table1[[#This Row],[Disc 2]]="",0,(Table1[[#This Row],[h_hargasebelumdiskon]]-Table1[[#This Row],[h_disc 1]])*Table1[[#This Row],[Disc 2]]))</f>
        <v/>
      </c>
      <c r="AB149" s="274" t="str">
        <f>IF(Table1[Item Description]="","",Table1[[#This Row],[h_disc 1]]+Table1[[#This Row],[h_disc 2]])</f>
        <v/>
      </c>
      <c r="AC149" s="274" t="str">
        <f>IF(Table1[Item Description]="","",Table1[[#This Row],[h_hargasebelumdiskon]]-Table1[[#This Row],[h_diskon]])</f>
        <v/>
      </c>
      <c r="AD149" s="274" t="str">
        <f ca="1">IF(Table1[//]="","",SUMIF(Table1[h_id],Table1[h_id],Table1[h_hargasetelahdiskon]))</f>
        <v/>
      </c>
      <c r="AF149" s="274" t="str">
        <f>Table1[[#This Row],[Item Description]]&amp;Table1[[#This Row],[Unit]]&amp;Table1[[#This Row],[Unit Price]]</f>
        <v/>
      </c>
      <c r="AG149" s="3"/>
      <c r="AH149" s="3"/>
      <c r="AI149" s="3"/>
    </row>
    <row r="150" spans="1:35" x14ac:dyDescent="0.25">
      <c r="A150" s="278" t="str">
        <f ca="1">IF(Table1[[#This Row],[No. Invoice :]]="","",ROW())</f>
        <v/>
      </c>
      <c r="B150" s="278" t="str">
        <f ca="1">IF(Table1[Column3]="","",B$1+COUNT(INDIRECT("B$2:B"&amp;ROW()-1)))</f>
        <v/>
      </c>
      <c r="C150" s="272" t="str">
        <f>IF(Table1[[#This Row],[Column2]]="","",Table1[[#This Row],[Column2]]+C$1-1)</f>
        <v/>
      </c>
      <c r="E150" s="273"/>
      <c r="F150" s="271"/>
      <c r="G150" s="278" t="str">
        <f ca="1">IF(Table1[[#This Row],[h_No. Invoice :]]="","",CONCATENATE("AM"," ",Table1[[#This Row],[h_No. Invoice :]]))</f>
        <v/>
      </c>
      <c r="H150" s="271" t="str">
        <f>IF(Table1[[#This Row],[Column5]]="","",INDEX(Table2[Column1],MATCH(Table1[[#This Row],[Column5]],Table2[a],0)))</f>
        <v/>
      </c>
      <c r="I150" s="279" t="str">
        <f>IF(Table1[[#This Row],[Column3]]=0,"",CONCATENATE(UPPER(Table1[[#This Row],[Column3]])," ",Table1[[#This Row],[Column4]]))</f>
        <v xml:space="preserve"> </v>
      </c>
      <c r="J150" s="278" t="str">
        <f>IF(Table1[[#This Row],[Column5]]="","",INDEX(Table2[e],IF(Table1[[#This Row],[Column5]]="","",MATCH(Table1[[#This Row],[Column5]],Table2[a],0)),))</f>
        <v/>
      </c>
      <c r="K150" s="271"/>
      <c r="L150" s="271"/>
      <c r="O150" s="278" t="str">
        <f>IF(Table1[[#This Row],[h_Item Description]]="","",INDEX([1]!db[NB PAJAK],MATCH(Table1[[#This Row],[h_Item Description]],[1]!db[kode],0)))</f>
        <v/>
      </c>
      <c r="Q150" s="274"/>
      <c r="R150" s="275"/>
      <c r="S150" s="275"/>
      <c r="T150" s="274" t="str">
        <f>Table1[[#This Row],[h_hargasetelahdiskon]]</f>
        <v/>
      </c>
      <c r="V150" s="271"/>
      <c r="W150" s="278" t="str">
        <f ca="1">IF(Table1[[#This Row],[Item Description]]="","",IF(Table1[[#This Row],[//]]="",INDIRECT(ADDRESS(ROW()-1,COLUMN())),Table1[[#This Row],[//]]))</f>
        <v/>
      </c>
      <c r="X150" s="278" t="str">
        <f ca="1">IF(Table1[[#This Row],[h_id]]="","",COUNTIF(Table1[h_id],Table1[[#This Row],[h_id]]))</f>
        <v/>
      </c>
      <c r="Y150" s="274" t="str">
        <f>IF(Table1[Item Description]="","",Table1[[#This Row],[Qty]]*Table1[[#This Row],[Unit Price]])</f>
        <v/>
      </c>
      <c r="Z150" s="274" t="str">
        <f>IF(Table1[[#This Row],[h_hargasebelumdiskon]]="","",IF(Table1[[#This Row],[Disc 1]]="",0,Table1[[#This Row],[h_hargasebelumdiskon]]*Table1[[#This Row],[Disc 1]]))</f>
        <v/>
      </c>
      <c r="AA150" s="274" t="str">
        <f>IF(Table1[[#This Row],[h_hargasebelumdiskon]]="","",IF(Table1[[#This Row],[Disc 2]]="",0,(Table1[[#This Row],[h_hargasebelumdiskon]]-Table1[[#This Row],[h_disc 1]])*Table1[[#This Row],[Disc 2]]))</f>
        <v/>
      </c>
      <c r="AB150" s="274" t="str">
        <f>IF(Table1[Item Description]="","",Table1[[#This Row],[h_disc 1]]+Table1[[#This Row],[h_disc 2]])</f>
        <v/>
      </c>
      <c r="AC150" s="274" t="str">
        <f>IF(Table1[Item Description]="","",Table1[[#This Row],[h_hargasebelumdiskon]]-Table1[[#This Row],[h_diskon]])</f>
        <v/>
      </c>
      <c r="AD150" s="274" t="str">
        <f ca="1">IF(Table1[//]="","",SUMIF(Table1[h_id],Table1[h_id],Table1[h_hargasetelahdiskon]))</f>
        <v/>
      </c>
      <c r="AF150" s="274" t="str">
        <f>Table1[[#This Row],[Item Description]]&amp;Table1[[#This Row],[Unit]]&amp;Table1[[#This Row],[Unit Price]]</f>
        <v/>
      </c>
      <c r="AG150" s="3"/>
      <c r="AH150" s="3"/>
      <c r="AI150" s="3"/>
    </row>
    <row r="151" spans="1:35" x14ac:dyDescent="0.25">
      <c r="A151" s="278" t="str">
        <f ca="1">IF(Table1[[#This Row],[No. Invoice :]]="","",ROW())</f>
        <v/>
      </c>
      <c r="B151" s="278" t="str">
        <f ca="1">IF(Table1[Column3]="","",B$1+COUNT(INDIRECT("B$2:B"&amp;ROW()-1)))</f>
        <v/>
      </c>
      <c r="C151" s="272" t="str">
        <f>IF(Table1[[#This Row],[Column2]]="","",Table1[[#This Row],[Column2]]+C$1-1)</f>
        <v/>
      </c>
      <c r="E151" s="273"/>
      <c r="F151" s="271"/>
      <c r="G151" s="278" t="str">
        <f ca="1">IF(Table1[[#This Row],[h_No. Invoice :]]="","",CONCATENATE("AM"," ",Table1[[#This Row],[h_No. Invoice :]]))</f>
        <v/>
      </c>
      <c r="H151" s="271" t="str">
        <f>IF(Table1[[#This Row],[Column5]]="","",INDEX(Table2[Column1],MATCH(Table1[[#This Row],[Column5]],Table2[a],0)))</f>
        <v/>
      </c>
      <c r="I151" s="279" t="str">
        <f>IF(Table1[[#This Row],[Column3]]=0,"",CONCATENATE(UPPER(Table1[[#This Row],[Column3]])," ",Table1[[#This Row],[Column4]]))</f>
        <v xml:space="preserve"> </v>
      </c>
      <c r="J151" s="278" t="str">
        <f>IF(Table1[[#This Row],[Column5]]="","",INDEX(Table2[e],IF(Table1[[#This Row],[Column5]]="","",MATCH(Table1[[#This Row],[Column5]],Table2[a],0)),))</f>
        <v/>
      </c>
      <c r="K151" s="271"/>
      <c r="L151" s="271"/>
      <c r="O151" s="278" t="str">
        <f>IF(Table1[[#This Row],[h_Item Description]]="","",INDEX([1]!db[NB PAJAK],MATCH(Table1[[#This Row],[h_Item Description]],[1]!db[kode],0)))</f>
        <v/>
      </c>
      <c r="Q151" s="274"/>
      <c r="R151" s="275"/>
      <c r="S151" s="275"/>
      <c r="T151" s="274" t="str">
        <f>Table1[[#This Row],[h_hargasetelahdiskon]]</f>
        <v/>
      </c>
      <c r="V151" s="271"/>
      <c r="W151" s="278" t="str">
        <f ca="1">IF(Table1[[#This Row],[Item Description]]="","",IF(Table1[[#This Row],[//]]="",INDIRECT(ADDRESS(ROW()-1,COLUMN())),Table1[[#This Row],[//]]))</f>
        <v/>
      </c>
      <c r="X151" s="278" t="str">
        <f ca="1">IF(Table1[[#This Row],[h_id]]="","",COUNTIF(Table1[h_id],Table1[[#This Row],[h_id]]))</f>
        <v/>
      </c>
      <c r="Y151" s="274" t="str">
        <f>IF(Table1[Item Description]="","",Table1[[#This Row],[Qty]]*Table1[[#This Row],[Unit Price]])</f>
        <v/>
      </c>
      <c r="Z151" s="274" t="str">
        <f>IF(Table1[[#This Row],[h_hargasebelumdiskon]]="","",IF(Table1[[#This Row],[Disc 1]]="",0,Table1[[#This Row],[h_hargasebelumdiskon]]*Table1[[#This Row],[Disc 1]]))</f>
        <v/>
      </c>
      <c r="AA151" s="274" t="str">
        <f>IF(Table1[[#This Row],[h_hargasebelumdiskon]]="","",IF(Table1[[#This Row],[Disc 2]]="",0,(Table1[[#This Row],[h_hargasebelumdiskon]]-Table1[[#This Row],[h_disc 1]])*Table1[[#This Row],[Disc 2]]))</f>
        <v/>
      </c>
      <c r="AB151" s="274" t="str">
        <f>IF(Table1[Item Description]="","",Table1[[#This Row],[h_disc 1]]+Table1[[#This Row],[h_disc 2]])</f>
        <v/>
      </c>
      <c r="AC151" s="274" t="str">
        <f>IF(Table1[Item Description]="","",Table1[[#This Row],[h_hargasebelumdiskon]]-Table1[[#This Row],[h_diskon]])</f>
        <v/>
      </c>
      <c r="AD151" s="274" t="str">
        <f ca="1">IF(Table1[//]="","",SUMIF(Table1[h_id],Table1[h_id],Table1[h_hargasetelahdiskon]))</f>
        <v/>
      </c>
      <c r="AF151" s="274" t="str">
        <f>Table1[[#This Row],[Item Description]]&amp;Table1[[#This Row],[Unit]]&amp;Table1[[#This Row],[Unit Price]]</f>
        <v/>
      </c>
      <c r="AG151" s="3"/>
      <c r="AH151" s="3"/>
      <c r="AI151" s="3"/>
    </row>
    <row r="152" spans="1:35" x14ac:dyDescent="0.25">
      <c r="A152" s="278" t="str">
        <f ca="1">IF(Table1[[#This Row],[No. Invoice :]]="","",ROW())</f>
        <v/>
      </c>
      <c r="B152" s="278" t="str">
        <f ca="1">IF(Table1[Column3]="","",B$1+COUNT(INDIRECT("B$2:B"&amp;ROW()-1)))</f>
        <v/>
      </c>
      <c r="C152" s="272" t="str">
        <f>IF(Table1[[#This Row],[Column2]]="","",Table1[[#This Row],[Column2]]+C$1-1)</f>
        <v/>
      </c>
      <c r="E152" s="273"/>
      <c r="F152" s="271"/>
      <c r="G152" s="278" t="str">
        <f ca="1">IF(Table1[[#This Row],[h_No. Invoice :]]="","",CONCATENATE("AM"," ",Table1[[#This Row],[h_No. Invoice :]]))</f>
        <v/>
      </c>
      <c r="H152" s="271" t="str">
        <f>IF(Table1[[#This Row],[Column5]]="","",INDEX(Table2[Column1],MATCH(Table1[[#This Row],[Column5]],Table2[a],0)))</f>
        <v/>
      </c>
      <c r="I152" s="279" t="str">
        <f>IF(Table1[[#This Row],[Column3]]=0,"",CONCATENATE(UPPER(Table1[[#This Row],[Column3]])," ",Table1[[#This Row],[Column4]]))</f>
        <v xml:space="preserve"> </v>
      </c>
      <c r="J152" s="278" t="str">
        <f>IF(Table1[[#This Row],[Column5]]="","",INDEX(Table2[e],IF(Table1[[#This Row],[Column5]]="","",MATCH(Table1[[#This Row],[Column5]],Table2[a],0)),))</f>
        <v/>
      </c>
      <c r="K152" s="271"/>
      <c r="L152" s="271"/>
      <c r="O152" s="278" t="str">
        <f>IF(Table1[[#This Row],[h_Item Description]]="","",INDEX([1]!db[NB PAJAK],MATCH(Table1[[#This Row],[h_Item Description]],[1]!db[kode],0)))</f>
        <v/>
      </c>
      <c r="Q152" s="274"/>
      <c r="R152" s="275"/>
      <c r="S152" s="275"/>
      <c r="T152" s="274" t="str">
        <f>Table1[[#This Row],[h_hargasetelahdiskon]]</f>
        <v/>
      </c>
      <c r="V152" s="271"/>
      <c r="W152" s="278" t="str">
        <f ca="1">IF(Table1[[#This Row],[Item Description]]="","",IF(Table1[[#This Row],[//]]="",INDIRECT(ADDRESS(ROW()-1,COLUMN())),Table1[[#This Row],[//]]))</f>
        <v/>
      </c>
      <c r="X152" s="278" t="str">
        <f ca="1">IF(Table1[[#This Row],[h_id]]="","",COUNTIF(Table1[h_id],Table1[[#This Row],[h_id]]))</f>
        <v/>
      </c>
      <c r="Y152" s="274" t="str">
        <f>IF(Table1[Item Description]="","",Table1[[#This Row],[Qty]]*Table1[[#This Row],[Unit Price]])</f>
        <v/>
      </c>
      <c r="Z152" s="274" t="str">
        <f>IF(Table1[[#This Row],[h_hargasebelumdiskon]]="","",IF(Table1[[#This Row],[Disc 1]]="",0,Table1[[#This Row],[h_hargasebelumdiskon]]*Table1[[#This Row],[Disc 1]]))</f>
        <v/>
      </c>
      <c r="AA152" s="274" t="str">
        <f>IF(Table1[[#This Row],[h_hargasebelumdiskon]]="","",IF(Table1[[#This Row],[Disc 2]]="",0,(Table1[[#This Row],[h_hargasebelumdiskon]]-Table1[[#This Row],[h_disc 1]])*Table1[[#This Row],[Disc 2]]))</f>
        <v/>
      </c>
      <c r="AB152" s="274" t="str">
        <f>IF(Table1[Item Description]="","",Table1[[#This Row],[h_disc 1]]+Table1[[#This Row],[h_disc 2]])</f>
        <v/>
      </c>
      <c r="AC152" s="274" t="str">
        <f>IF(Table1[Item Description]="","",Table1[[#This Row],[h_hargasebelumdiskon]]-Table1[[#This Row],[h_diskon]])</f>
        <v/>
      </c>
      <c r="AD152" s="274" t="str">
        <f ca="1">IF(Table1[//]="","",SUMIF(Table1[h_id],Table1[h_id],Table1[h_hargasetelahdiskon]))</f>
        <v/>
      </c>
      <c r="AF152" s="274" t="str">
        <f>Table1[[#This Row],[Item Description]]&amp;Table1[[#This Row],[Unit]]&amp;Table1[[#This Row],[Unit Price]]</f>
        <v/>
      </c>
      <c r="AG152" s="3"/>
      <c r="AH152" s="3"/>
      <c r="AI152" s="3"/>
    </row>
    <row r="153" spans="1:35" x14ac:dyDescent="0.25">
      <c r="A153" s="278" t="str">
        <f ca="1">IF(Table1[[#This Row],[No. Invoice :]]="","",ROW())</f>
        <v/>
      </c>
      <c r="B153" s="284" t="str">
        <f ca="1">IF(Table1[Column3]="","",B$1+COUNT(INDIRECT("B$2:B"&amp;ROW()-1)))</f>
        <v/>
      </c>
      <c r="C153" s="272" t="str">
        <f>IF(Table1[[#This Row],[Column2]]="","",Table1[[#This Row],[Column2]]+C$1-1)</f>
        <v/>
      </c>
      <c r="D153" s="285"/>
      <c r="E153" s="273"/>
      <c r="F153" s="271"/>
      <c r="G153" s="278" t="str">
        <f ca="1">IF(Table1[[#This Row],[h_No. Invoice :]]="","",CONCATENATE("AM"," ",Table1[[#This Row],[h_No. Invoice :]]))</f>
        <v/>
      </c>
      <c r="H153" s="286" t="str">
        <f>IF(Table1[[#This Row],[Column5]]="","",INDEX(Table2[Column1],MATCH(Table1[[#This Row],[Column5]],Table2[a],0)))</f>
        <v/>
      </c>
      <c r="I153" s="279" t="str">
        <f>IF(Table1[[#This Row],[Column3]]=0,"",CONCATENATE(UPPER(Table1[[#This Row],[Column3]])," ",Table1[[#This Row],[Column4]]))</f>
        <v xml:space="preserve"> </v>
      </c>
      <c r="J153" s="278" t="str">
        <f>IF(Table1[[#This Row],[Column5]]="","",INDEX(Table2[e],IF(Table1[[#This Row],[Column5]]="","",MATCH(Table1[[#This Row],[Column5]],Table2[a],0)),))</f>
        <v/>
      </c>
      <c r="K153" s="271"/>
      <c r="L153" s="271"/>
      <c r="O153" s="284" t="str">
        <f>IF(Table1[[#This Row],[h_Item Description]]="","",INDEX([1]!db[NB PAJAK],MATCH(Table1[[#This Row],[h_Item Description]],[1]!db[kode],0)))</f>
        <v/>
      </c>
      <c r="Q153" s="274"/>
      <c r="R153" s="275"/>
      <c r="S153" s="275"/>
      <c r="T153" s="288" t="str">
        <f>Table1[[#This Row],[h_hargasetelahdiskon]]</f>
        <v/>
      </c>
      <c r="V153" s="271"/>
      <c r="W153" s="278" t="str">
        <f ca="1">IF(Table1[[#This Row],[Item Description]]="","",IF(Table1[[#This Row],[//]]="",INDIRECT(ADDRESS(ROW()-1,COLUMN())),Table1[[#This Row],[//]]))</f>
        <v/>
      </c>
      <c r="X153" s="278" t="str">
        <f ca="1">IF(Table1[[#This Row],[h_id]]="","",COUNTIF(Table1[h_id],Table1[[#This Row],[h_id]]))</f>
        <v/>
      </c>
      <c r="Y153" s="274" t="str">
        <f>IF(Table1[Item Description]="","",Table1[[#This Row],[Qty]]*Table1[[#This Row],[Unit Price]])</f>
        <v/>
      </c>
      <c r="Z153" s="288" t="str">
        <f>IF(Table1[[#This Row],[h_hargasebelumdiskon]]="","",IF(Table1[[#This Row],[Disc 1]]="",0,Table1[[#This Row],[h_hargasebelumdiskon]]*Table1[[#This Row],[Disc 1]]))</f>
        <v/>
      </c>
      <c r="AA153" s="288" t="str">
        <f>IF(Table1[[#This Row],[h_hargasebelumdiskon]]="","",IF(Table1[[#This Row],[Disc 2]]="",0,(Table1[[#This Row],[h_hargasebelumdiskon]]-Table1[[#This Row],[h_disc 1]])*Table1[[#This Row],[Disc 2]]))</f>
        <v/>
      </c>
      <c r="AB153" s="274" t="str">
        <f>IF(Table1[Item Description]="","",Table1[[#This Row],[h_disc 1]]+Table1[[#This Row],[h_disc 2]])</f>
        <v/>
      </c>
      <c r="AC153" s="274" t="str">
        <f>IF(Table1[Item Description]="","",Table1[[#This Row],[h_hargasebelumdiskon]]-Table1[[#This Row],[h_diskon]])</f>
        <v/>
      </c>
      <c r="AD153" s="274" t="str">
        <f ca="1">IF(Table1[//]="","",SUMIF(Table1[h_id],Table1[h_id],Table1[h_hargasetelahdiskon]))</f>
        <v/>
      </c>
      <c r="AF153" s="274" t="str">
        <f>Table1[[#This Row],[Item Description]]&amp;Table1[[#This Row],[Unit]]&amp;Table1[[#This Row],[Unit Price]]</f>
        <v/>
      </c>
      <c r="AG153" s="3"/>
      <c r="AH153" s="3"/>
      <c r="AI153" s="3"/>
    </row>
    <row r="154" spans="1:35" x14ac:dyDescent="0.25">
      <c r="A154" s="278" t="str">
        <f ca="1">IF(Table1[[#This Row],[No. Invoice :]]="","",ROW())</f>
        <v/>
      </c>
      <c r="B154" s="284" t="str">
        <f ca="1">IF(Table1[Column3]="","",B$1+COUNT(INDIRECT("B$2:B"&amp;ROW()-1)))</f>
        <v/>
      </c>
      <c r="C154" s="272" t="str">
        <f>IF(Table1[[#This Row],[Column2]]="","",Table1[[#This Row],[Column2]]+C$1-1)</f>
        <v/>
      </c>
      <c r="D154" s="285"/>
      <c r="E154" s="273"/>
      <c r="F154" s="271"/>
      <c r="G154" s="278" t="str">
        <f ca="1">IF(Table1[[#This Row],[h_No. Invoice :]]="","",CONCATENATE("AM"," ",Table1[[#This Row],[h_No. Invoice :]]))</f>
        <v/>
      </c>
      <c r="H154" s="286" t="str">
        <f>IF(Table1[[#This Row],[Column5]]="","",INDEX(Table2[Column1],MATCH(Table1[[#This Row],[Column5]],Table2[a],0)))</f>
        <v/>
      </c>
      <c r="I154" s="279" t="str">
        <f>IF(Table1[[#This Row],[Column3]]=0,"",CONCATENATE(UPPER(Table1[[#This Row],[Column3]])," ",Table1[[#This Row],[Column4]]))</f>
        <v xml:space="preserve"> </v>
      </c>
      <c r="J154" s="278" t="str">
        <f>IF(Table1[[#This Row],[Column5]]="","",INDEX(Table2[e],IF(Table1[[#This Row],[Column5]]="","",MATCH(Table1[[#This Row],[Column5]],Table2[a],0)),))</f>
        <v/>
      </c>
      <c r="K154" s="271"/>
      <c r="L154" s="271"/>
      <c r="O154" s="284" t="str">
        <f>IF(Table1[[#This Row],[h_Item Description]]="","",INDEX([1]!db[NB PAJAK],MATCH(Table1[[#This Row],[h_Item Description]],[1]!db[kode],0)))</f>
        <v/>
      </c>
      <c r="Q154" s="274"/>
      <c r="R154" s="275"/>
      <c r="S154" s="275"/>
      <c r="T154" s="288" t="str">
        <f>Table1[[#This Row],[h_hargasetelahdiskon]]</f>
        <v/>
      </c>
      <c r="V154" s="271"/>
      <c r="W154" s="278" t="str">
        <f ca="1">IF(Table1[[#This Row],[Item Description]]="","",IF(Table1[[#This Row],[//]]="",INDIRECT(ADDRESS(ROW()-1,COLUMN())),Table1[[#This Row],[//]]))</f>
        <v/>
      </c>
      <c r="X154" s="278" t="str">
        <f ca="1">IF(Table1[[#This Row],[h_id]]="","",COUNTIF(Table1[h_id],Table1[[#This Row],[h_id]]))</f>
        <v/>
      </c>
      <c r="Y154" s="274" t="str">
        <f>IF(Table1[Item Description]="","",Table1[[#This Row],[Qty]]*Table1[[#This Row],[Unit Price]])</f>
        <v/>
      </c>
      <c r="Z154" s="288" t="str">
        <f>IF(Table1[[#This Row],[h_hargasebelumdiskon]]="","",IF(Table1[[#This Row],[Disc 1]]="",0,Table1[[#This Row],[h_hargasebelumdiskon]]*Table1[[#This Row],[Disc 1]]))</f>
        <v/>
      </c>
      <c r="AA154" s="288" t="str">
        <f>IF(Table1[[#This Row],[h_hargasebelumdiskon]]="","",IF(Table1[[#This Row],[Disc 2]]="",0,(Table1[[#This Row],[h_hargasebelumdiskon]]-Table1[[#This Row],[h_disc 1]])*Table1[[#This Row],[Disc 2]]))</f>
        <v/>
      </c>
      <c r="AB154" s="274" t="str">
        <f>IF(Table1[Item Description]="","",Table1[[#This Row],[h_disc 1]]+Table1[[#This Row],[h_disc 2]])</f>
        <v/>
      </c>
      <c r="AC154" s="274" t="str">
        <f>IF(Table1[Item Description]="","",Table1[[#This Row],[h_hargasebelumdiskon]]-Table1[[#This Row],[h_diskon]])</f>
        <v/>
      </c>
      <c r="AD154" s="274" t="str">
        <f ca="1">IF(Table1[//]="","",SUMIF(Table1[h_id],Table1[h_id],Table1[h_hargasetelahdiskon]))</f>
        <v/>
      </c>
      <c r="AF154" s="274" t="str">
        <f>Table1[[#This Row],[Item Description]]&amp;Table1[[#This Row],[Unit]]&amp;Table1[[#This Row],[Unit Price]]</f>
        <v/>
      </c>
      <c r="AG154" s="3"/>
      <c r="AH154" s="3"/>
      <c r="AI154" s="3"/>
    </row>
    <row r="155" spans="1:35" x14ac:dyDescent="0.25">
      <c r="A155" s="278" t="str">
        <f ca="1">IF(Table1[[#This Row],[No. Invoice :]]="","",ROW())</f>
        <v/>
      </c>
      <c r="B155" s="284" t="str">
        <f ca="1">IF(Table1[Column3]="","",B$1+COUNT(INDIRECT("B$2:B"&amp;ROW()-1)))</f>
        <v/>
      </c>
      <c r="C155" s="272" t="str">
        <f>IF(Table1[[#This Row],[Column2]]="","",Table1[[#This Row],[Column2]]+C$1-1)</f>
        <v/>
      </c>
      <c r="D155" s="285"/>
      <c r="E155" s="273"/>
      <c r="F155" s="271"/>
      <c r="G155" s="278" t="str">
        <f ca="1">IF(Table1[[#This Row],[h_No. Invoice :]]="","",CONCATENATE("AM"," ",Table1[[#This Row],[h_No. Invoice :]]))</f>
        <v/>
      </c>
      <c r="H155" s="286" t="str">
        <f>IF(Table1[[#This Row],[Column5]]="","",INDEX(Table2[Column1],MATCH(Table1[[#This Row],[Column5]],Table2[a],0)))</f>
        <v/>
      </c>
      <c r="I155" s="279" t="str">
        <f>IF(Table1[[#This Row],[Column3]]=0,"",CONCATENATE(UPPER(Table1[[#This Row],[Column3]])," ",Table1[[#This Row],[Column4]]))</f>
        <v xml:space="preserve"> </v>
      </c>
      <c r="J155" s="278" t="str">
        <f>IF(Table1[[#This Row],[Column5]]="","",INDEX(Table2[e],IF(Table1[[#This Row],[Column5]]="","",MATCH(Table1[[#This Row],[Column5]],Table2[a],0)),))</f>
        <v/>
      </c>
      <c r="K155" s="271"/>
      <c r="L155" s="271"/>
      <c r="O155" s="284" t="str">
        <f>IF(Table1[[#This Row],[h_Item Description]]="","",INDEX([1]!db[NB PAJAK],MATCH(Table1[[#This Row],[h_Item Description]],[1]!db[kode],0)))</f>
        <v/>
      </c>
      <c r="Q155" s="274"/>
      <c r="R155" s="275"/>
      <c r="S155" s="275"/>
      <c r="T155" s="288" t="str">
        <f>Table1[[#This Row],[h_hargasetelahdiskon]]</f>
        <v/>
      </c>
      <c r="V155" s="271"/>
      <c r="W155" s="278" t="str">
        <f ca="1">IF(Table1[[#This Row],[Item Description]]="","",IF(Table1[[#This Row],[//]]="",INDIRECT(ADDRESS(ROW()-1,COLUMN())),Table1[[#This Row],[//]]))</f>
        <v/>
      </c>
      <c r="X155" s="278" t="str">
        <f ca="1">IF(Table1[[#This Row],[h_id]]="","",COUNTIF(Table1[h_id],Table1[[#This Row],[h_id]]))</f>
        <v/>
      </c>
      <c r="Y155" s="274" t="str">
        <f>IF(Table1[Item Description]="","",Table1[[#This Row],[Qty]]*Table1[[#This Row],[Unit Price]])</f>
        <v/>
      </c>
      <c r="Z155" s="288" t="str">
        <f>IF(Table1[[#This Row],[h_hargasebelumdiskon]]="","",IF(Table1[[#This Row],[Disc 1]]="",0,Table1[[#This Row],[h_hargasebelumdiskon]]*Table1[[#This Row],[Disc 1]]))</f>
        <v/>
      </c>
      <c r="AA155" s="288" t="str">
        <f>IF(Table1[[#This Row],[h_hargasebelumdiskon]]="","",IF(Table1[[#This Row],[Disc 2]]="",0,(Table1[[#This Row],[h_hargasebelumdiskon]]-Table1[[#This Row],[h_disc 1]])*Table1[[#This Row],[Disc 2]]))</f>
        <v/>
      </c>
      <c r="AB155" s="274" t="str">
        <f>IF(Table1[Item Description]="","",Table1[[#This Row],[h_disc 1]]+Table1[[#This Row],[h_disc 2]])</f>
        <v/>
      </c>
      <c r="AC155" s="274" t="str">
        <f>IF(Table1[Item Description]="","",Table1[[#This Row],[h_hargasebelumdiskon]]-Table1[[#This Row],[h_diskon]])</f>
        <v/>
      </c>
      <c r="AD155" s="274" t="str">
        <f ca="1">IF(Table1[//]="","",SUMIF(Table1[h_id],Table1[h_id],Table1[h_hargasetelahdiskon]))</f>
        <v/>
      </c>
      <c r="AF155" s="274" t="str">
        <f>Table1[[#This Row],[Item Description]]&amp;Table1[[#This Row],[Unit]]&amp;Table1[[#This Row],[Unit Price]]</f>
        <v/>
      </c>
      <c r="AG155" s="3"/>
      <c r="AH155" s="3"/>
      <c r="AI155" s="3"/>
    </row>
    <row r="156" spans="1:35" x14ac:dyDescent="0.25">
      <c r="A156" s="278" t="str">
        <f ca="1">IF(Table1[[#This Row],[No. Invoice :]]="","",ROW())</f>
        <v/>
      </c>
      <c r="B156" s="284" t="str">
        <f ca="1">IF(Table1[Column3]="","",B$1+COUNT(INDIRECT("B$2:B"&amp;ROW()-1)))</f>
        <v/>
      </c>
      <c r="C156" s="272" t="str">
        <f>IF(Table1[[#This Row],[Column2]]="","",Table1[[#This Row],[Column2]]+C$1-1)</f>
        <v/>
      </c>
      <c r="D156" s="285"/>
      <c r="E156" s="273"/>
      <c r="F156" s="271"/>
      <c r="G156" s="278" t="str">
        <f ca="1">IF(Table1[[#This Row],[h_No. Invoice :]]="","",CONCATENATE("AM"," ",Table1[[#This Row],[h_No. Invoice :]]))</f>
        <v/>
      </c>
      <c r="H156" s="286" t="str">
        <f>IF(Table1[[#This Row],[Column5]]="","",INDEX(Table2[Column1],MATCH(Table1[[#This Row],[Column5]],Table2[a],0)))</f>
        <v/>
      </c>
      <c r="I156" s="279" t="str">
        <f>IF(Table1[[#This Row],[Column3]]=0,"",CONCATENATE(UPPER(Table1[[#This Row],[Column3]])," ",Table1[[#This Row],[Column4]]))</f>
        <v xml:space="preserve"> </v>
      </c>
      <c r="J156" s="278" t="str">
        <f>IF(Table1[[#This Row],[Column5]]="","",INDEX(Table2[e],IF(Table1[[#This Row],[Column5]]="","",MATCH(Table1[[#This Row],[Column5]],Table2[a],0)),))</f>
        <v/>
      </c>
      <c r="K156" s="271"/>
      <c r="L156" s="271"/>
      <c r="O156" s="284" t="str">
        <f>IF(Table1[[#This Row],[h_Item Description]]="","",INDEX([1]!db[NB PAJAK],MATCH(Table1[[#This Row],[h_Item Description]],[1]!db[kode],0)))</f>
        <v/>
      </c>
      <c r="Q156" s="274"/>
      <c r="R156" s="275"/>
      <c r="S156" s="275"/>
      <c r="T156" s="288" t="str">
        <f>Table1[[#This Row],[h_hargasetelahdiskon]]</f>
        <v/>
      </c>
      <c r="V156" s="271"/>
      <c r="W156" s="278" t="str">
        <f ca="1">IF(Table1[[#This Row],[Item Description]]="","",IF(Table1[[#This Row],[//]]="",INDIRECT(ADDRESS(ROW()-1,COLUMN())),Table1[[#This Row],[//]]))</f>
        <v/>
      </c>
      <c r="X156" s="278" t="str">
        <f ca="1">IF(Table1[[#This Row],[h_id]]="","",COUNTIF(Table1[h_id],Table1[[#This Row],[h_id]]))</f>
        <v/>
      </c>
      <c r="Y156" s="274" t="str">
        <f>IF(Table1[Item Description]="","",Table1[[#This Row],[Qty]]*Table1[[#This Row],[Unit Price]])</f>
        <v/>
      </c>
      <c r="Z156" s="288" t="str">
        <f>IF(Table1[[#This Row],[h_hargasebelumdiskon]]="","",IF(Table1[[#This Row],[Disc 1]]="",0,Table1[[#This Row],[h_hargasebelumdiskon]]*Table1[[#This Row],[Disc 1]]))</f>
        <v/>
      </c>
      <c r="AA156" s="288" t="str">
        <f>IF(Table1[[#This Row],[h_hargasebelumdiskon]]="","",IF(Table1[[#This Row],[Disc 2]]="",0,(Table1[[#This Row],[h_hargasebelumdiskon]]-Table1[[#This Row],[h_disc 1]])*Table1[[#This Row],[Disc 2]]))</f>
        <v/>
      </c>
      <c r="AB156" s="274" t="str">
        <f>IF(Table1[Item Description]="","",Table1[[#This Row],[h_disc 1]]+Table1[[#This Row],[h_disc 2]])</f>
        <v/>
      </c>
      <c r="AC156" s="274" t="str">
        <f>IF(Table1[Item Description]="","",Table1[[#This Row],[h_hargasebelumdiskon]]-Table1[[#This Row],[h_diskon]])</f>
        <v/>
      </c>
      <c r="AD156" s="274" t="str">
        <f ca="1">IF(Table1[//]="","",SUMIF(Table1[h_id],Table1[h_id],Table1[h_hargasetelahdiskon]))</f>
        <v/>
      </c>
      <c r="AF156" s="274" t="str">
        <f>Table1[[#This Row],[Item Description]]&amp;Table1[[#This Row],[Unit]]&amp;Table1[[#This Row],[Unit Price]]</f>
        <v/>
      </c>
      <c r="AG156" s="3"/>
      <c r="AH156" s="3"/>
      <c r="AI156" s="3"/>
    </row>
    <row r="157" spans="1:35" x14ac:dyDescent="0.25">
      <c r="A157" s="278" t="str">
        <f ca="1">IF(Table1[[#This Row],[No. Invoice :]]="","",ROW())</f>
        <v/>
      </c>
      <c r="B157" s="284" t="str">
        <f ca="1">IF(Table1[Column3]="","",B$1+COUNT(INDIRECT("B$2:B"&amp;ROW()-1)))</f>
        <v/>
      </c>
      <c r="C157" s="272" t="str">
        <f>IF(Table1[[#This Row],[Column2]]="","",Table1[[#This Row],[Column2]]+C$1-1)</f>
        <v/>
      </c>
      <c r="D157" s="285"/>
      <c r="E157" s="273"/>
      <c r="F157" s="271"/>
      <c r="G157" s="278" t="str">
        <f ca="1">IF(Table1[[#This Row],[h_No. Invoice :]]="","",CONCATENATE("AM"," ",Table1[[#This Row],[h_No. Invoice :]]))</f>
        <v/>
      </c>
      <c r="H157" s="286" t="str">
        <f>IF(Table1[[#This Row],[Column5]]="","",INDEX(Table2[Column1],MATCH(Table1[[#This Row],[Column5]],Table2[a],0)))</f>
        <v/>
      </c>
      <c r="I157" s="279" t="str">
        <f>IF(Table1[[#This Row],[Column3]]=0,"",CONCATENATE(UPPER(Table1[[#This Row],[Column3]])," ",Table1[[#This Row],[Column4]]))</f>
        <v xml:space="preserve"> </v>
      </c>
      <c r="J157" s="278" t="str">
        <f>IF(Table1[[#This Row],[Column5]]="","",INDEX(Table2[e],IF(Table1[[#This Row],[Column5]]="","",MATCH(Table1[[#This Row],[Column5]],Table2[a],0)),))</f>
        <v/>
      </c>
      <c r="K157" s="271"/>
      <c r="L157" s="271"/>
      <c r="O157" s="284" t="str">
        <f>IF(Table1[[#This Row],[h_Item Description]]="","",INDEX([1]!db[NB PAJAK],MATCH(Table1[[#This Row],[h_Item Description]],[1]!db[kode],0)))</f>
        <v/>
      </c>
      <c r="Q157" s="274"/>
      <c r="R157" s="275"/>
      <c r="S157" s="275"/>
      <c r="T157" s="288" t="str">
        <f>Table1[[#This Row],[h_hargasetelahdiskon]]</f>
        <v/>
      </c>
      <c r="V157" s="271"/>
      <c r="W157" s="278" t="str">
        <f ca="1">IF(Table1[[#This Row],[Item Description]]="","",IF(Table1[[#This Row],[//]]="",INDIRECT(ADDRESS(ROW()-1,COLUMN())),Table1[[#This Row],[//]]))</f>
        <v/>
      </c>
      <c r="X157" s="278" t="str">
        <f ca="1">IF(Table1[[#This Row],[h_id]]="","",COUNTIF(Table1[h_id],Table1[[#This Row],[h_id]]))</f>
        <v/>
      </c>
      <c r="Y157" s="274" t="str">
        <f>IF(Table1[Item Description]="","",Table1[[#This Row],[Qty]]*Table1[[#This Row],[Unit Price]])</f>
        <v/>
      </c>
      <c r="Z157" s="288" t="str">
        <f>IF(Table1[[#This Row],[h_hargasebelumdiskon]]="","",IF(Table1[[#This Row],[Disc 1]]="",0,Table1[[#This Row],[h_hargasebelumdiskon]]*Table1[[#This Row],[Disc 1]]))</f>
        <v/>
      </c>
      <c r="AA157" s="288" t="str">
        <f>IF(Table1[[#This Row],[h_hargasebelumdiskon]]="","",IF(Table1[[#This Row],[Disc 2]]="",0,(Table1[[#This Row],[h_hargasebelumdiskon]]-Table1[[#This Row],[h_disc 1]])*Table1[[#This Row],[Disc 2]]))</f>
        <v/>
      </c>
      <c r="AB157" s="274" t="str">
        <f>IF(Table1[Item Description]="","",Table1[[#This Row],[h_disc 1]]+Table1[[#This Row],[h_disc 2]])</f>
        <v/>
      </c>
      <c r="AC157" s="274" t="str">
        <f>IF(Table1[Item Description]="","",Table1[[#This Row],[h_hargasebelumdiskon]]-Table1[[#This Row],[h_diskon]])</f>
        <v/>
      </c>
      <c r="AD157" s="274" t="str">
        <f ca="1">IF(Table1[//]="","",SUMIF(Table1[h_id],Table1[h_id],Table1[h_hargasetelahdiskon]))</f>
        <v/>
      </c>
      <c r="AF157" s="274" t="str">
        <f>Table1[[#This Row],[Item Description]]&amp;Table1[[#This Row],[Unit]]&amp;Table1[[#This Row],[Unit Price]]</f>
        <v/>
      </c>
      <c r="AG157" s="3"/>
      <c r="AH157" s="3"/>
      <c r="AI157" s="3"/>
    </row>
    <row r="158" spans="1:35" x14ac:dyDescent="0.25">
      <c r="A158" s="278" t="str">
        <f ca="1">IF(Table1[[#This Row],[No. Invoice :]]="","",ROW())</f>
        <v/>
      </c>
      <c r="B158" s="284" t="str">
        <f ca="1">IF(Table1[Column3]="","",B$1+COUNT(INDIRECT("B$2:B"&amp;ROW()-1)))</f>
        <v/>
      </c>
      <c r="C158" s="272" t="str">
        <f>IF(Table1[[#This Row],[Column2]]="","",Table1[[#This Row],[Column2]]+C$1-1)</f>
        <v/>
      </c>
      <c r="D158" s="285"/>
      <c r="E158" s="273"/>
      <c r="F158" s="271"/>
      <c r="G158" s="278" t="str">
        <f ca="1">IF(Table1[[#This Row],[h_No. Invoice :]]="","",CONCATENATE("AM"," ",Table1[[#This Row],[h_No. Invoice :]]))</f>
        <v/>
      </c>
      <c r="H158" s="286" t="str">
        <f>IF(Table1[[#This Row],[Column5]]="","",INDEX(Table2[Column1],MATCH(Table1[[#This Row],[Column5]],Table2[a],0)))</f>
        <v/>
      </c>
      <c r="I158" s="279" t="str">
        <f>IF(Table1[[#This Row],[Column3]]=0,"",CONCATENATE(UPPER(Table1[[#This Row],[Column3]])," ",Table1[[#This Row],[Column4]]))</f>
        <v xml:space="preserve"> </v>
      </c>
      <c r="J158" s="278" t="str">
        <f>IF(Table1[[#This Row],[Column5]]="","",INDEX(Table2[e],IF(Table1[[#This Row],[Column5]]="","",MATCH(Table1[[#This Row],[Column5]],Table2[a],0)),))</f>
        <v/>
      </c>
      <c r="K158" s="271"/>
      <c r="L158" s="271"/>
      <c r="O158" s="284" t="str">
        <f>IF(Table1[[#This Row],[h_Item Description]]="","",INDEX([1]!db[NB PAJAK],MATCH(Table1[[#This Row],[h_Item Description]],[1]!db[kode],0)))</f>
        <v/>
      </c>
      <c r="Q158" s="274"/>
      <c r="R158" s="275"/>
      <c r="S158" s="275"/>
      <c r="T158" s="288" t="str">
        <f>Table1[[#This Row],[h_hargasetelahdiskon]]</f>
        <v/>
      </c>
      <c r="V158" s="271"/>
      <c r="W158" s="278" t="str">
        <f ca="1">IF(Table1[[#This Row],[Item Description]]="","",IF(Table1[[#This Row],[//]]="",INDIRECT(ADDRESS(ROW()-1,COLUMN())),Table1[[#This Row],[//]]))</f>
        <v/>
      </c>
      <c r="X158" s="278" t="str">
        <f ca="1">IF(Table1[[#This Row],[h_id]]="","",COUNTIF(Table1[h_id],Table1[[#This Row],[h_id]]))</f>
        <v/>
      </c>
      <c r="Y158" s="274" t="str">
        <f>IF(Table1[Item Description]="","",Table1[[#This Row],[Qty]]*Table1[[#This Row],[Unit Price]])</f>
        <v/>
      </c>
      <c r="Z158" s="288" t="str">
        <f>IF(Table1[[#This Row],[h_hargasebelumdiskon]]="","",IF(Table1[[#This Row],[Disc 1]]="",0,Table1[[#This Row],[h_hargasebelumdiskon]]*Table1[[#This Row],[Disc 1]]))</f>
        <v/>
      </c>
      <c r="AA158" s="288" t="str">
        <f>IF(Table1[[#This Row],[h_hargasebelumdiskon]]="","",IF(Table1[[#This Row],[Disc 2]]="",0,(Table1[[#This Row],[h_hargasebelumdiskon]]-Table1[[#This Row],[h_disc 1]])*Table1[[#This Row],[Disc 2]]))</f>
        <v/>
      </c>
      <c r="AB158" s="274" t="str">
        <f>IF(Table1[Item Description]="","",Table1[[#This Row],[h_disc 1]]+Table1[[#This Row],[h_disc 2]])</f>
        <v/>
      </c>
      <c r="AC158" s="274" t="str">
        <f>IF(Table1[Item Description]="","",Table1[[#This Row],[h_hargasebelumdiskon]]-Table1[[#This Row],[h_diskon]])</f>
        <v/>
      </c>
      <c r="AD158" s="274" t="str">
        <f ca="1">IF(Table1[//]="","",SUMIF(Table1[h_id],Table1[h_id],Table1[h_hargasetelahdiskon]))</f>
        <v/>
      </c>
      <c r="AF158" s="274" t="str">
        <f>Table1[[#This Row],[Item Description]]&amp;Table1[[#This Row],[Unit]]&amp;Table1[[#This Row],[Unit Price]]</f>
        <v/>
      </c>
      <c r="AG158" s="3"/>
      <c r="AH158" s="3"/>
      <c r="AI158" s="3"/>
    </row>
    <row r="159" spans="1:35" x14ac:dyDescent="0.25">
      <c r="A159" s="278" t="str">
        <f ca="1">IF(Table1[[#This Row],[No. Invoice :]]="","",ROW())</f>
        <v/>
      </c>
      <c r="B159" s="284" t="str">
        <f ca="1">IF(Table1[Column3]="","",B$1+COUNT(INDIRECT("B$2:B"&amp;ROW()-1)))</f>
        <v/>
      </c>
      <c r="C159" s="272" t="str">
        <f>IF(Table1[[#This Row],[Column2]]="","",Table1[[#This Row],[Column2]]+C$1-1)</f>
        <v/>
      </c>
      <c r="D159" s="285"/>
      <c r="E159" s="273"/>
      <c r="F159" s="271"/>
      <c r="G159" s="278" t="str">
        <f ca="1">IF(Table1[[#This Row],[h_No. Invoice :]]="","",CONCATENATE("AM"," ",Table1[[#This Row],[h_No. Invoice :]]))</f>
        <v/>
      </c>
      <c r="H159" s="286" t="str">
        <f>IF(Table1[[#This Row],[Column5]]="","",INDEX(Table2[Column1],MATCH(Table1[[#This Row],[Column5]],Table2[a],0)))</f>
        <v/>
      </c>
      <c r="I159" s="279" t="str">
        <f>IF(Table1[[#This Row],[Column3]]=0,"",CONCATENATE(UPPER(Table1[[#This Row],[Column3]])," ",Table1[[#This Row],[Column4]]))</f>
        <v xml:space="preserve"> </v>
      </c>
      <c r="J159" s="278" t="str">
        <f>IF(Table1[[#This Row],[Column5]]="","",INDEX(Table2[e],IF(Table1[[#This Row],[Column5]]="","",MATCH(Table1[[#This Row],[Column5]],Table2[a],0)),))</f>
        <v/>
      </c>
      <c r="K159" s="271"/>
      <c r="L159" s="271"/>
      <c r="O159" s="284" t="str">
        <f>IF(Table1[[#This Row],[h_Item Description]]="","",INDEX([1]!db[NB PAJAK],MATCH(Table1[[#This Row],[h_Item Description]],[1]!db[kode],0)))</f>
        <v/>
      </c>
      <c r="Q159" s="274"/>
      <c r="R159" s="275"/>
      <c r="S159" s="275"/>
      <c r="T159" s="288" t="str">
        <f>Table1[[#This Row],[h_hargasetelahdiskon]]</f>
        <v/>
      </c>
      <c r="V159" s="271"/>
      <c r="W159" s="278" t="str">
        <f ca="1">IF(Table1[[#This Row],[Item Description]]="","",IF(Table1[[#This Row],[//]]="",INDIRECT(ADDRESS(ROW()-1,COLUMN())),Table1[[#This Row],[//]]))</f>
        <v/>
      </c>
      <c r="X159" s="278" t="str">
        <f ca="1">IF(Table1[[#This Row],[h_id]]="","",COUNTIF(Table1[h_id],Table1[[#This Row],[h_id]]))</f>
        <v/>
      </c>
      <c r="Y159" s="274" t="str">
        <f>IF(Table1[Item Description]="","",Table1[[#This Row],[Qty]]*Table1[[#This Row],[Unit Price]])</f>
        <v/>
      </c>
      <c r="Z159" s="288" t="str">
        <f>IF(Table1[[#This Row],[h_hargasebelumdiskon]]="","",IF(Table1[[#This Row],[Disc 1]]="",0,Table1[[#This Row],[h_hargasebelumdiskon]]*Table1[[#This Row],[Disc 1]]))</f>
        <v/>
      </c>
      <c r="AA159" s="288" t="str">
        <f>IF(Table1[[#This Row],[h_hargasebelumdiskon]]="","",IF(Table1[[#This Row],[Disc 2]]="",0,(Table1[[#This Row],[h_hargasebelumdiskon]]-Table1[[#This Row],[h_disc 1]])*Table1[[#This Row],[Disc 2]]))</f>
        <v/>
      </c>
      <c r="AB159" s="274" t="str">
        <f>IF(Table1[Item Description]="","",Table1[[#This Row],[h_disc 1]]+Table1[[#This Row],[h_disc 2]])</f>
        <v/>
      </c>
      <c r="AC159" s="274" t="str">
        <f>IF(Table1[Item Description]="","",Table1[[#This Row],[h_hargasebelumdiskon]]-Table1[[#This Row],[h_diskon]])</f>
        <v/>
      </c>
      <c r="AD159" s="274" t="str">
        <f ca="1">IF(Table1[//]="","",SUMIF(Table1[h_id],Table1[h_id],Table1[h_hargasetelahdiskon]))</f>
        <v/>
      </c>
      <c r="AF159" s="274" t="str">
        <f>Table1[[#This Row],[Item Description]]&amp;Table1[[#This Row],[Unit]]&amp;Table1[[#This Row],[Unit Price]]</f>
        <v/>
      </c>
      <c r="AG159" s="3"/>
      <c r="AH159" s="3"/>
      <c r="AI159" s="3"/>
    </row>
    <row r="160" spans="1:35" x14ac:dyDescent="0.25">
      <c r="A160" s="278" t="str">
        <f ca="1">IF(Table1[[#This Row],[No. Invoice :]]="","",ROW())</f>
        <v/>
      </c>
      <c r="B160" s="284" t="str">
        <f ca="1">IF(Table1[Column3]="","",B$1+COUNT(INDIRECT("B$2:B"&amp;ROW()-1)))</f>
        <v/>
      </c>
      <c r="C160" s="272" t="str">
        <f>IF(Table1[[#This Row],[Column2]]="","",Table1[[#This Row],[Column2]]+C$1-1)</f>
        <v/>
      </c>
      <c r="D160" s="285"/>
      <c r="E160" s="273"/>
      <c r="F160" s="271"/>
      <c r="G160" s="278" t="str">
        <f ca="1">IF(Table1[[#This Row],[h_No. Invoice :]]="","",CONCATENATE("AM"," ",Table1[[#This Row],[h_No. Invoice :]]))</f>
        <v/>
      </c>
      <c r="H160" s="286" t="str">
        <f>IF(Table1[[#This Row],[Column5]]="","",INDEX(Table2[Column1],MATCH(Table1[[#This Row],[Column5]],Table2[a],0)))</f>
        <v/>
      </c>
      <c r="I160" s="279" t="str">
        <f>IF(Table1[[#This Row],[Column3]]=0,"",CONCATENATE(UPPER(Table1[[#This Row],[Column3]])," ",Table1[[#This Row],[Column4]]))</f>
        <v xml:space="preserve"> </v>
      </c>
      <c r="J160" s="278" t="str">
        <f>IF(Table1[[#This Row],[Column5]]="","",INDEX(Table2[e],IF(Table1[[#This Row],[Column5]]="","",MATCH(Table1[[#This Row],[Column5]],Table2[a],0)),))</f>
        <v/>
      </c>
      <c r="K160" s="271"/>
      <c r="L160" s="271"/>
      <c r="O160" s="284" t="str">
        <f>IF(Table1[[#This Row],[h_Item Description]]="","",INDEX([1]!db[NB PAJAK],MATCH(Table1[[#This Row],[h_Item Description]],[1]!db[kode],0)))</f>
        <v/>
      </c>
      <c r="Q160" s="274"/>
      <c r="R160" s="275"/>
      <c r="S160" s="275"/>
      <c r="T160" s="288" t="str">
        <f>Table1[[#This Row],[h_hargasetelahdiskon]]</f>
        <v/>
      </c>
      <c r="V160" s="271"/>
      <c r="W160" s="278" t="str">
        <f ca="1">IF(Table1[[#This Row],[Item Description]]="","",IF(Table1[[#This Row],[//]]="",INDIRECT(ADDRESS(ROW()-1,COLUMN())),Table1[[#This Row],[//]]))</f>
        <v/>
      </c>
      <c r="X160" s="278" t="str">
        <f ca="1">IF(Table1[[#This Row],[h_id]]="","",COUNTIF(Table1[h_id],Table1[[#This Row],[h_id]]))</f>
        <v/>
      </c>
      <c r="Y160" s="274" t="str">
        <f>IF(Table1[Item Description]="","",Table1[[#This Row],[Qty]]*Table1[[#This Row],[Unit Price]])</f>
        <v/>
      </c>
      <c r="Z160" s="288" t="str">
        <f>IF(Table1[[#This Row],[h_hargasebelumdiskon]]="","",IF(Table1[[#This Row],[Disc 1]]="",0,Table1[[#This Row],[h_hargasebelumdiskon]]*Table1[[#This Row],[Disc 1]]))</f>
        <v/>
      </c>
      <c r="AA160" s="288" t="str">
        <f>IF(Table1[[#This Row],[h_hargasebelumdiskon]]="","",IF(Table1[[#This Row],[Disc 2]]="",0,(Table1[[#This Row],[h_hargasebelumdiskon]]-Table1[[#This Row],[h_disc 1]])*Table1[[#This Row],[Disc 2]]))</f>
        <v/>
      </c>
      <c r="AB160" s="274" t="str">
        <f>IF(Table1[Item Description]="","",Table1[[#This Row],[h_disc 1]]+Table1[[#This Row],[h_disc 2]])</f>
        <v/>
      </c>
      <c r="AC160" s="274" t="str">
        <f>IF(Table1[Item Description]="","",Table1[[#This Row],[h_hargasebelumdiskon]]-Table1[[#This Row],[h_diskon]])</f>
        <v/>
      </c>
      <c r="AD160" s="274" t="str">
        <f ca="1">IF(Table1[//]="","",SUMIF(Table1[h_id],Table1[h_id],Table1[h_hargasetelahdiskon]))</f>
        <v/>
      </c>
      <c r="AF160" s="274" t="str">
        <f>Table1[[#This Row],[Item Description]]&amp;Table1[[#This Row],[Unit]]&amp;Table1[[#This Row],[Unit Price]]</f>
        <v/>
      </c>
      <c r="AG160" s="3"/>
      <c r="AH160" s="3"/>
      <c r="AI160" s="3"/>
    </row>
    <row r="161" spans="1:35" x14ac:dyDescent="0.25">
      <c r="A161" s="278" t="str">
        <f ca="1">IF(Table1[[#This Row],[No. Invoice :]]="","",ROW())</f>
        <v/>
      </c>
      <c r="B161" s="284" t="str">
        <f ca="1">IF(Table1[Column3]="","",B$1+COUNT(INDIRECT("B$2:B"&amp;ROW()-1)))</f>
        <v/>
      </c>
      <c r="C161" s="272" t="str">
        <f>IF(Table1[[#This Row],[Column2]]="","",Table1[[#This Row],[Column2]]+C$1-1)</f>
        <v/>
      </c>
      <c r="D161" s="285"/>
      <c r="E161" s="273"/>
      <c r="F161" s="271"/>
      <c r="G161" s="278" t="str">
        <f ca="1">IF(Table1[[#This Row],[h_No. Invoice :]]="","",CONCATENATE("AM"," ",Table1[[#This Row],[h_No. Invoice :]]))</f>
        <v/>
      </c>
      <c r="H161" s="286" t="str">
        <f>IF(Table1[[#This Row],[Column5]]="","",INDEX(Table2[Column1],MATCH(Table1[[#This Row],[Column5]],Table2[a],0)))</f>
        <v/>
      </c>
      <c r="I161" s="279" t="str">
        <f>IF(Table1[[#This Row],[Column3]]=0,"",CONCATENATE(UPPER(Table1[[#This Row],[Column3]])," ",Table1[[#This Row],[Column4]]))</f>
        <v xml:space="preserve"> </v>
      </c>
      <c r="J161" s="278" t="str">
        <f>IF(Table1[[#This Row],[Column5]]="","",INDEX(Table2[e],IF(Table1[[#This Row],[Column5]]="","",MATCH(Table1[[#This Row],[Column5]],Table2[a],0)),))</f>
        <v/>
      </c>
      <c r="K161" s="271"/>
      <c r="L161" s="271"/>
      <c r="O161" s="284" t="str">
        <f>IF(Table1[[#This Row],[h_Item Description]]="","",INDEX([1]!db[NB PAJAK],MATCH(Table1[[#This Row],[h_Item Description]],[1]!db[kode],0)))</f>
        <v/>
      </c>
      <c r="Q161" s="274"/>
      <c r="R161" s="275"/>
      <c r="S161" s="275"/>
      <c r="T161" s="288" t="str">
        <f>Table1[[#This Row],[h_hargasetelahdiskon]]</f>
        <v/>
      </c>
      <c r="V161" s="271"/>
      <c r="W161" s="278" t="str">
        <f ca="1">IF(Table1[[#This Row],[Item Description]]="","",IF(Table1[[#This Row],[//]]="",INDIRECT(ADDRESS(ROW()-1,COLUMN())),Table1[[#This Row],[//]]))</f>
        <v/>
      </c>
      <c r="X161" s="278" t="str">
        <f ca="1">IF(Table1[[#This Row],[h_id]]="","",COUNTIF(Table1[h_id],Table1[[#This Row],[h_id]]))</f>
        <v/>
      </c>
      <c r="Y161" s="274" t="str">
        <f>IF(Table1[Item Description]="","",Table1[[#This Row],[Qty]]*Table1[[#This Row],[Unit Price]])</f>
        <v/>
      </c>
      <c r="Z161" s="288" t="str">
        <f>IF(Table1[[#This Row],[h_hargasebelumdiskon]]="","",IF(Table1[[#This Row],[Disc 1]]="",0,Table1[[#This Row],[h_hargasebelumdiskon]]*Table1[[#This Row],[Disc 1]]))</f>
        <v/>
      </c>
      <c r="AA161" s="288" t="str">
        <f>IF(Table1[[#This Row],[h_hargasebelumdiskon]]="","",IF(Table1[[#This Row],[Disc 2]]="",0,(Table1[[#This Row],[h_hargasebelumdiskon]]-Table1[[#This Row],[h_disc 1]])*Table1[[#This Row],[Disc 2]]))</f>
        <v/>
      </c>
      <c r="AB161" s="274" t="str">
        <f>IF(Table1[Item Description]="","",Table1[[#This Row],[h_disc 1]]+Table1[[#This Row],[h_disc 2]])</f>
        <v/>
      </c>
      <c r="AC161" s="274" t="str">
        <f>IF(Table1[Item Description]="","",Table1[[#This Row],[h_hargasebelumdiskon]]-Table1[[#This Row],[h_diskon]])</f>
        <v/>
      </c>
      <c r="AD161" s="274" t="str">
        <f ca="1">IF(Table1[//]="","",SUMIF(Table1[h_id],Table1[h_id],Table1[h_hargasetelahdiskon]))</f>
        <v/>
      </c>
      <c r="AF161" s="274" t="str">
        <f>Table1[[#This Row],[Item Description]]&amp;Table1[[#This Row],[Unit]]&amp;Table1[[#This Row],[Unit Price]]</f>
        <v/>
      </c>
      <c r="AG161" s="3"/>
      <c r="AH161" s="3"/>
      <c r="AI161" s="3"/>
    </row>
    <row r="162" spans="1:35" x14ac:dyDescent="0.25">
      <c r="A162" s="278" t="str">
        <f ca="1">IF(Table1[[#This Row],[No. Invoice :]]="","",ROW())</f>
        <v/>
      </c>
      <c r="B162" s="284" t="str">
        <f ca="1">IF(Table1[Column3]="","",B$1+COUNT(INDIRECT("B$2:B"&amp;ROW()-1)))</f>
        <v/>
      </c>
      <c r="C162" s="272" t="str">
        <f>IF(Table1[[#This Row],[Column2]]="","",Table1[[#This Row],[Column2]]+C$1-1)</f>
        <v/>
      </c>
      <c r="D162" s="285"/>
      <c r="E162" s="273"/>
      <c r="F162" s="271"/>
      <c r="G162" s="278" t="str">
        <f ca="1">IF(Table1[[#This Row],[h_No. Invoice :]]="","",CONCATENATE("AM"," ",Table1[[#This Row],[h_No. Invoice :]]))</f>
        <v/>
      </c>
      <c r="H162" s="286" t="str">
        <f>IF(Table1[[#This Row],[Column5]]="","",INDEX(Table2[Column1],MATCH(Table1[[#This Row],[Column5]],Table2[a],0)))</f>
        <v/>
      </c>
      <c r="I162" s="279" t="str">
        <f>IF(Table1[[#This Row],[Column3]]=0,"",CONCATENATE(UPPER(Table1[[#This Row],[Column3]])," ",Table1[[#This Row],[Column4]]))</f>
        <v xml:space="preserve"> </v>
      </c>
      <c r="J162" s="278" t="str">
        <f>IF(Table1[[#This Row],[Column5]]="","",INDEX(Table2[e],IF(Table1[[#This Row],[Column5]]="","",MATCH(Table1[[#This Row],[Column5]],Table2[a],0)),))</f>
        <v/>
      </c>
      <c r="K162" s="271"/>
      <c r="L162" s="271"/>
      <c r="O162" s="284" t="str">
        <f>IF(Table1[[#This Row],[h_Item Description]]="","",INDEX([1]!db[NB PAJAK],MATCH(Table1[[#This Row],[h_Item Description]],[1]!db[kode],0)))</f>
        <v/>
      </c>
      <c r="Q162" s="274"/>
      <c r="R162" s="275"/>
      <c r="S162" s="275"/>
      <c r="T162" s="288" t="str">
        <f>Table1[[#This Row],[h_hargasetelahdiskon]]</f>
        <v/>
      </c>
      <c r="V162" s="271"/>
      <c r="W162" s="278" t="str">
        <f ca="1">IF(Table1[[#This Row],[Item Description]]="","",IF(Table1[[#This Row],[//]]="",INDIRECT(ADDRESS(ROW()-1,COLUMN())),Table1[[#This Row],[//]]))</f>
        <v/>
      </c>
      <c r="X162" s="278" t="str">
        <f ca="1">IF(Table1[[#This Row],[h_id]]="","",COUNTIF(Table1[h_id],Table1[[#This Row],[h_id]]))</f>
        <v/>
      </c>
      <c r="Y162" s="274" t="str">
        <f>IF(Table1[Item Description]="","",Table1[[#This Row],[Qty]]*Table1[[#This Row],[Unit Price]])</f>
        <v/>
      </c>
      <c r="Z162" s="288" t="str">
        <f>IF(Table1[[#This Row],[h_hargasebelumdiskon]]="","",IF(Table1[[#This Row],[Disc 1]]="",0,Table1[[#This Row],[h_hargasebelumdiskon]]*Table1[[#This Row],[Disc 1]]))</f>
        <v/>
      </c>
      <c r="AA162" s="288" t="str">
        <f>IF(Table1[[#This Row],[h_hargasebelumdiskon]]="","",IF(Table1[[#This Row],[Disc 2]]="",0,(Table1[[#This Row],[h_hargasebelumdiskon]]-Table1[[#This Row],[h_disc 1]])*Table1[[#This Row],[Disc 2]]))</f>
        <v/>
      </c>
      <c r="AB162" s="274" t="str">
        <f>IF(Table1[Item Description]="","",Table1[[#This Row],[h_disc 1]]+Table1[[#This Row],[h_disc 2]])</f>
        <v/>
      </c>
      <c r="AC162" s="274" t="str">
        <f>IF(Table1[Item Description]="","",Table1[[#This Row],[h_hargasebelumdiskon]]-Table1[[#This Row],[h_diskon]])</f>
        <v/>
      </c>
      <c r="AD162" s="274" t="str">
        <f ca="1">IF(Table1[//]="","",SUMIF(Table1[h_id],Table1[h_id],Table1[h_hargasetelahdiskon]))</f>
        <v/>
      </c>
      <c r="AF162" s="274" t="str">
        <f>Table1[[#This Row],[Item Description]]&amp;Table1[[#This Row],[Unit]]&amp;Table1[[#This Row],[Unit Price]]</f>
        <v/>
      </c>
      <c r="AG162" s="3"/>
      <c r="AH162" s="3"/>
      <c r="AI162" s="3"/>
    </row>
    <row r="163" spans="1:35" x14ac:dyDescent="0.25">
      <c r="A163" s="278" t="str">
        <f ca="1">IF(Table1[[#This Row],[No. Invoice :]]="","",ROW())</f>
        <v/>
      </c>
      <c r="B163" s="284" t="str">
        <f ca="1">IF(Table1[Column3]="","",B$1+COUNT(INDIRECT("B$2:B"&amp;ROW()-1)))</f>
        <v/>
      </c>
      <c r="C163" s="272" t="str">
        <f>IF(Table1[[#This Row],[Column2]]="","",Table1[[#This Row],[Column2]]+C$1-1)</f>
        <v/>
      </c>
      <c r="D163" s="285"/>
      <c r="E163" s="287"/>
      <c r="F163" s="286"/>
      <c r="G163" s="278" t="str">
        <f ca="1">IF(Table1[[#This Row],[h_No. Invoice :]]="","",CONCATENATE("AM"," ",Table1[[#This Row],[h_No. Invoice :]]))</f>
        <v/>
      </c>
      <c r="H163" s="286" t="str">
        <f>IF(Table1[[#This Row],[Column5]]="","",INDEX(Table2[Column1],MATCH(Table1[[#This Row],[Column5]],Table2[a],0)))</f>
        <v/>
      </c>
      <c r="I163" s="279" t="str">
        <f>IF(Table1[[#This Row],[Column3]]=0,"",CONCATENATE(UPPER(Table1[[#This Row],[Column3]])," ",Table1[[#This Row],[Column4]]))</f>
        <v xml:space="preserve"> </v>
      </c>
      <c r="J163" s="278" t="str">
        <f>IF(Table1[[#This Row],[Column5]]="","",INDEX(Table2[e],IF(Table1[[#This Row],[Column5]]="","",MATCH(Table1[[#This Row],[Column5]],Table2[a],0)),))</f>
        <v/>
      </c>
      <c r="K163" s="271"/>
      <c r="L163" s="271"/>
      <c r="O163" s="284" t="str">
        <f>IF(Table1[[#This Row],[h_Item Description]]="","",INDEX([1]!db[NB PAJAK],MATCH(Table1[[#This Row],[h_Item Description]],[1]!db[kode],0)))</f>
        <v/>
      </c>
      <c r="Q163" s="274"/>
      <c r="R163" s="275"/>
      <c r="S163" s="275"/>
      <c r="T163" s="288" t="str">
        <f>Table1[[#This Row],[h_hargasetelahdiskon]]</f>
        <v/>
      </c>
      <c r="V163" s="271"/>
      <c r="W163" s="278" t="str">
        <f ca="1">IF(Table1[[#This Row],[Item Description]]="","",IF(Table1[[#This Row],[//]]="",INDIRECT(ADDRESS(ROW()-1,COLUMN())),Table1[[#This Row],[//]]))</f>
        <v/>
      </c>
      <c r="X163" s="278" t="str">
        <f ca="1">IF(Table1[[#This Row],[h_id]]="","",COUNTIF(Table1[h_id],Table1[[#This Row],[h_id]]))</f>
        <v/>
      </c>
      <c r="Y163" s="274" t="str">
        <f>IF(Table1[Item Description]="","",Table1[[#This Row],[Qty]]*Table1[[#This Row],[Unit Price]])</f>
        <v/>
      </c>
      <c r="Z163" s="288" t="str">
        <f>IF(Table1[[#This Row],[h_hargasebelumdiskon]]="","",IF(Table1[[#This Row],[Disc 1]]="",0,Table1[[#This Row],[h_hargasebelumdiskon]]*Table1[[#This Row],[Disc 1]]))</f>
        <v/>
      </c>
      <c r="AA163" s="288" t="str">
        <f>IF(Table1[[#This Row],[h_hargasebelumdiskon]]="","",IF(Table1[[#This Row],[Disc 2]]="",0,(Table1[[#This Row],[h_hargasebelumdiskon]]-Table1[[#This Row],[h_disc 1]])*Table1[[#This Row],[Disc 2]]))</f>
        <v/>
      </c>
      <c r="AB163" s="274" t="str">
        <f>IF(Table1[Item Description]="","",Table1[[#This Row],[h_disc 1]]+Table1[[#This Row],[h_disc 2]])</f>
        <v/>
      </c>
      <c r="AC163" s="274" t="str">
        <f>IF(Table1[Item Description]="","",Table1[[#This Row],[h_hargasebelumdiskon]]-Table1[[#This Row],[h_diskon]])</f>
        <v/>
      </c>
      <c r="AD163" s="274" t="str">
        <f ca="1">IF(Table1[//]="","",SUMIF(Table1[h_id],Table1[h_id],Table1[h_hargasetelahdiskon]))</f>
        <v/>
      </c>
      <c r="AF163" s="274" t="str">
        <f>Table1[[#This Row],[Item Description]]&amp;Table1[[#This Row],[Unit]]&amp;Table1[[#This Row],[Unit Price]]</f>
        <v/>
      </c>
      <c r="AG163" s="3"/>
      <c r="AH163" s="3"/>
      <c r="AI163" s="3"/>
    </row>
    <row r="164" spans="1:35" x14ac:dyDescent="0.25">
      <c r="A164" s="278" t="str">
        <f ca="1">IF(Table1[[#This Row],[No. Invoice :]]="","",ROW())</f>
        <v/>
      </c>
      <c r="B164" s="284" t="str">
        <f ca="1">IF(Table1[Column3]="","",B$1+COUNT(INDIRECT("B$2:B"&amp;ROW()-1)))</f>
        <v/>
      </c>
      <c r="C164" s="272" t="str">
        <f>IF(Table1[[#This Row],[Column2]]="","",Table1[[#This Row],[Column2]]+C$1-1)</f>
        <v/>
      </c>
      <c r="D164" s="285"/>
      <c r="E164" s="287"/>
      <c r="F164" s="286"/>
      <c r="G164" s="278" t="str">
        <f ca="1">IF(Table1[[#This Row],[h_No. Invoice :]]="","",CONCATENATE("AM"," ",Table1[[#This Row],[h_No. Invoice :]]))</f>
        <v/>
      </c>
      <c r="H164" s="286" t="str">
        <f>IF(Table1[[#This Row],[Column5]]="","",INDEX(Table2[Column1],MATCH(Table1[[#This Row],[Column5]],Table2[a],0)))</f>
        <v/>
      </c>
      <c r="I164" s="279" t="str">
        <f>IF(Table1[[#This Row],[Column3]]=0,"",CONCATENATE(UPPER(Table1[[#This Row],[Column3]])," ",Table1[[#This Row],[Column4]]))</f>
        <v xml:space="preserve"> </v>
      </c>
      <c r="J164" s="278" t="str">
        <f>IF(Table1[[#This Row],[Column5]]="","",INDEX(Table2[e],IF(Table1[[#This Row],[Column5]]="","",MATCH(Table1[[#This Row],[Column5]],Table2[a],0)),))</f>
        <v/>
      </c>
      <c r="K164" s="271"/>
      <c r="L164" s="271"/>
      <c r="O164" s="284" t="str">
        <f>IF(Table1[[#This Row],[h_Item Description]]="","",INDEX([1]!db[NB PAJAK],MATCH(Table1[[#This Row],[h_Item Description]],[1]!db[kode],0)))</f>
        <v/>
      </c>
      <c r="Q164" s="274"/>
      <c r="R164" s="275"/>
      <c r="S164" s="275"/>
      <c r="T164" s="288" t="str">
        <f>Table1[[#This Row],[h_hargasetelahdiskon]]</f>
        <v/>
      </c>
      <c r="V164" s="271"/>
      <c r="W164" s="278" t="str">
        <f ca="1">IF(Table1[[#This Row],[Item Description]]="","",IF(Table1[[#This Row],[//]]="",INDIRECT(ADDRESS(ROW()-1,COLUMN())),Table1[[#This Row],[//]]))</f>
        <v/>
      </c>
      <c r="X164" s="278" t="str">
        <f ca="1">IF(Table1[[#This Row],[h_id]]="","",COUNTIF(Table1[h_id],Table1[[#This Row],[h_id]]))</f>
        <v/>
      </c>
      <c r="Y164" s="274" t="str">
        <f>IF(Table1[Item Description]="","",Table1[[#This Row],[Qty]]*Table1[[#This Row],[Unit Price]])</f>
        <v/>
      </c>
      <c r="Z164" s="288" t="str">
        <f>IF(Table1[[#This Row],[h_hargasebelumdiskon]]="","",IF(Table1[[#This Row],[Disc 1]]="",0,Table1[[#This Row],[h_hargasebelumdiskon]]*Table1[[#This Row],[Disc 1]]))</f>
        <v/>
      </c>
      <c r="AA164" s="288" t="str">
        <f>IF(Table1[[#This Row],[h_hargasebelumdiskon]]="","",IF(Table1[[#This Row],[Disc 2]]="",0,(Table1[[#This Row],[h_hargasebelumdiskon]]-Table1[[#This Row],[h_disc 1]])*Table1[[#This Row],[Disc 2]]))</f>
        <v/>
      </c>
      <c r="AB164" s="274" t="str">
        <f>IF(Table1[Item Description]="","",Table1[[#This Row],[h_disc 1]]+Table1[[#This Row],[h_disc 2]])</f>
        <v/>
      </c>
      <c r="AC164" s="274" t="str">
        <f>IF(Table1[Item Description]="","",Table1[[#This Row],[h_hargasebelumdiskon]]-Table1[[#This Row],[h_diskon]])</f>
        <v/>
      </c>
      <c r="AD164" s="274" t="str">
        <f ca="1">IF(Table1[//]="","",SUMIF(Table1[h_id],Table1[h_id],Table1[h_hargasetelahdiskon]))</f>
        <v/>
      </c>
      <c r="AF164" s="274" t="str">
        <f>Table1[[#This Row],[Item Description]]&amp;Table1[[#This Row],[Unit]]&amp;Table1[[#This Row],[Unit Price]]</f>
        <v/>
      </c>
      <c r="AG164" s="3"/>
      <c r="AH164" s="3"/>
      <c r="AI164" s="3"/>
    </row>
    <row r="165" spans="1:35" x14ac:dyDescent="0.25">
      <c r="A165" s="278" t="str">
        <f ca="1">IF(Table1[[#This Row],[No. Invoice :]]="","",ROW())</f>
        <v/>
      </c>
      <c r="B165" s="284" t="str">
        <f ca="1">IF(Table1[Column3]="","",B$1+COUNT(INDIRECT("B$2:B"&amp;ROW()-1)))</f>
        <v/>
      </c>
      <c r="C165" s="272" t="str">
        <f>IF(Table1[[#This Row],[Column2]]="","",Table1[[#This Row],[Column2]]+C$1-1)</f>
        <v/>
      </c>
      <c r="D165" s="285"/>
      <c r="E165" s="287"/>
      <c r="F165" s="286"/>
      <c r="G165" s="278" t="str">
        <f ca="1">IF(Table1[[#This Row],[h_No. Invoice :]]="","",CONCATENATE("AM"," ",Table1[[#This Row],[h_No. Invoice :]]))</f>
        <v/>
      </c>
      <c r="H165" s="286" t="str">
        <f>IF(Table1[[#This Row],[Column5]]="","",INDEX(Table2[Column1],MATCH(Table1[[#This Row],[Column5]],Table2[a],0)))</f>
        <v/>
      </c>
      <c r="I165" s="279" t="str">
        <f>IF(Table1[[#This Row],[Column3]]=0,"",CONCATENATE(UPPER(Table1[[#This Row],[Column3]])," ",Table1[[#This Row],[Column4]]))</f>
        <v xml:space="preserve"> </v>
      </c>
      <c r="J165" s="278" t="str">
        <f>IF(Table1[[#This Row],[Column5]]="","",INDEX(Table2[e],IF(Table1[[#This Row],[Column5]]="","",MATCH(Table1[[#This Row],[Column5]],Table2[a],0)),))</f>
        <v/>
      </c>
      <c r="K165" s="271"/>
      <c r="L165" s="271"/>
      <c r="O165" s="284" t="str">
        <f>IF(Table1[[#This Row],[h_Item Description]]="","",INDEX([1]!db[NB PAJAK],MATCH(Table1[[#This Row],[h_Item Description]],[1]!db[kode],0)))</f>
        <v/>
      </c>
      <c r="Q165" s="274"/>
      <c r="R165" s="275"/>
      <c r="S165" s="275"/>
      <c r="T165" s="288" t="str">
        <f>Table1[[#This Row],[h_hargasetelahdiskon]]</f>
        <v/>
      </c>
      <c r="V165" s="271"/>
      <c r="W165" s="278" t="str">
        <f ca="1">IF(Table1[[#This Row],[Item Description]]="","",IF(Table1[[#This Row],[//]]="",INDIRECT(ADDRESS(ROW()-1,COLUMN())),Table1[[#This Row],[//]]))</f>
        <v/>
      </c>
      <c r="X165" s="278" t="str">
        <f ca="1">IF(Table1[[#This Row],[h_id]]="","",COUNTIF(Table1[h_id],Table1[[#This Row],[h_id]]))</f>
        <v/>
      </c>
      <c r="Y165" s="274" t="str">
        <f>IF(Table1[Item Description]="","",Table1[[#This Row],[Qty]]*Table1[[#This Row],[Unit Price]])</f>
        <v/>
      </c>
      <c r="Z165" s="288" t="str">
        <f>IF(Table1[[#This Row],[h_hargasebelumdiskon]]="","",IF(Table1[[#This Row],[Disc 1]]="",0,Table1[[#This Row],[h_hargasebelumdiskon]]*Table1[[#This Row],[Disc 1]]))</f>
        <v/>
      </c>
      <c r="AA165" s="288" t="str">
        <f>IF(Table1[[#This Row],[h_hargasebelumdiskon]]="","",IF(Table1[[#This Row],[Disc 2]]="",0,(Table1[[#This Row],[h_hargasebelumdiskon]]-Table1[[#This Row],[h_disc 1]])*Table1[[#This Row],[Disc 2]]))</f>
        <v/>
      </c>
      <c r="AB165" s="274" t="str">
        <f>IF(Table1[Item Description]="","",Table1[[#This Row],[h_disc 1]]+Table1[[#This Row],[h_disc 2]])</f>
        <v/>
      </c>
      <c r="AC165" s="274" t="str">
        <f>IF(Table1[Item Description]="","",Table1[[#This Row],[h_hargasebelumdiskon]]-Table1[[#This Row],[h_diskon]])</f>
        <v/>
      </c>
      <c r="AD165" s="274" t="str">
        <f ca="1">IF(Table1[//]="","",SUMIF(Table1[h_id],Table1[h_id],Table1[h_hargasetelahdiskon]))</f>
        <v/>
      </c>
      <c r="AF165" s="274" t="str">
        <f>Table1[[#This Row],[Item Description]]&amp;Table1[[#This Row],[Unit]]&amp;Table1[[#This Row],[Unit Price]]</f>
        <v/>
      </c>
      <c r="AG165" s="3"/>
      <c r="AH165" s="3"/>
      <c r="AI165" s="3"/>
    </row>
    <row r="166" spans="1:35" x14ac:dyDescent="0.25">
      <c r="A166" s="278" t="str">
        <f ca="1">IF(Table1[[#This Row],[No. Invoice :]]="","",ROW())</f>
        <v/>
      </c>
      <c r="B166" s="284" t="str">
        <f ca="1">IF(Table1[Column3]="","",B$1+COUNT(INDIRECT("B$2:B"&amp;ROW()-1)))</f>
        <v/>
      </c>
      <c r="C166" s="272" t="str">
        <f>IF(Table1[[#This Row],[Column2]]="","",Table1[[#This Row],[Column2]]+C$1-1)</f>
        <v/>
      </c>
      <c r="D166" s="285"/>
      <c r="E166" s="273"/>
      <c r="F166" s="271"/>
      <c r="G166" s="278" t="str">
        <f ca="1">IF(Table1[[#This Row],[h_No. Invoice :]]="","",CONCATENATE("AM"," ",Table1[[#This Row],[h_No. Invoice :]]))</f>
        <v/>
      </c>
      <c r="H166" s="286" t="str">
        <f>IF(Table1[[#This Row],[Column5]]="","",INDEX(Table2[Column1],MATCH(Table1[[#This Row],[Column5]],Table2[a],0)))</f>
        <v/>
      </c>
      <c r="I166" s="279" t="str">
        <f>IF(Table1[[#This Row],[Column3]]=0,"",CONCATENATE(UPPER(Table1[[#This Row],[Column3]])," ",Table1[[#This Row],[Column4]]))</f>
        <v xml:space="preserve"> </v>
      </c>
      <c r="J166" s="278" t="str">
        <f>IF(Table1[[#This Row],[Column5]]="","",INDEX(Table2[e],IF(Table1[[#This Row],[Column5]]="","",MATCH(Table1[[#This Row],[Column5]],Table2[a],0)),))</f>
        <v/>
      </c>
      <c r="K166" s="271"/>
      <c r="L166" s="271"/>
      <c r="O166" s="278" t="str">
        <f>IF(Table1[[#This Row],[h_Item Description]]="","",INDEX([1]!db[NB PAJAK],MATCH(Table1[[#This Row],[h_Item Description]],[1]!db[kode],0)))</f>
        <v/>
      </c>
      <c r="P166" s="278"/>
      <c r="Q166" s="274"/>
      <c r="R166" s="275"/>
      <c r="S166" s="275"/>
      <c r="T166" s="288" t="str">
        <f>Table1[[#This Row],[h_hargasetelahdiskon]]</f>
        <v/>
      </c>
      <c r="V166" s="271"/>
      <c r="W166" s="278" t="str">
        <f ca="1">IF(Table1[[#This Row],[Item Description]]="","",IF(Table1[[#This Row],[//]]="",INDIRECT(ADDRESS(ROW()-1,COLUMN())),Table1[[#This Row],[//]]))</f>
        <v/>
      </c>
      <c r="X166" s="278" t="str">
        <f ca="1">IF(Table1[[#This Row],[h_id]]="","",COUNTIF(Table1[h_id],Table1[[#This Row],[h_id]]))</f>
        <v/>
      </c>
      <c r="Y166" s="274" t="str">
        <f>IF(Table1[Item Description]="","",Table1[[#This Row],[Qty]]*Table1[[#This Row],[Unit Price]])</f>
        <v/>
      </c>
      <c r="Z166" s="288" t="str">
        <f>IF(Table1[[#This Row],[h_hargasebelumdiskon]]="","",IF(Table1[[#This Row],[Disc 1]]="",0,Table1[[#This Row],[h_hargasebelumdiskon]]*Table1[[#This Row],[Disc 1]]))</f>
        <v/>
      </c>
      <c r="AA166" s="288" t="str">
        <f>IF(Table1[[#This Row],[h_hargasebelumdiskon]]="","",IF(Table1[[#This Row],[Disc 2]]="",0,(Table1[[#This Row],[h_hargasebelumdiskon]]-Table1[[#This Row],[h_disc 1]])*Table1[[#This Row],[Disc 2]]))</f>
        <v/>
      </c>
      <c r="AB166" s="274" t="str">
        <f>IF(Table1[Item Description]="","",Table1[[#This Row],[h_disc 1]]+Table1[[#This Row],[h_disc 2]])</f>
        <v/>
      </c>
      <c r="AC166" s="274" t="str">
        <f>IF(Table1[Item Description]="","",Table1[[#This Row],[h_hargasebelumdiskon]]-Table1[[#This Row],[h_diskon]])</f>
        <v/>
      </c>
      <c r="AD166" s="274" t="str">
        <f ca="1">IF(Table1[//]="","",SUMIF(Table1[h_id],Table1[h_id],Table1[h_hargasetelahdiskon]))</f>
        <v/>
      </c>
      <c r="AF166" s="274" t="str">
        <f>Table1[[#This Row],[Item Description]]&amp;Table1[[#This Row],[Unit]]&amp;Table1[[#This Row],[Unit Price]]</f>
        <v/>
      </c>
      <c r="AG166" s="3"/>
      <c r="AH166" s="3"/>
      <c r="AI166" s="3"/>
    </row>
    <row r="167" spans="1:35" x14ac:dyDescent="0.25">
      <c r="A167" s="278" t="str">
        <f ca="1">IF(Table1[[#This Row],[No. Invoice :]]="","",ROW())</f>
        <v/>
      </c>
      <c r="B167" s="284" t="str">
        <f ca="1">IF(Table1[Column3]="","",B$1+COUNT(INDIRECT("B$2:B"&amp;ROW()-1)))</f>
        <v/>
      </c>
      <c r="C167" s="272" t="str">
        <f>IF(Table1[[#This Row],[Column2]]="","",Table1[[#This Row],[Column2]]+C$1-1)</f>
        <v/>
      </c>
      <c r="D167" s="285"/>
      <c r="E167" s="287"/>
      <c r="F167" s="286"/>
      <c r="G167" s="278" t="str">
        <f ca="1">IF(Table1[[#This Row],[h_No. Invoice :]]="","",CONCATENATE("AM"," ",Table1[[#This Row],[h_No. Invoice :]]))</f>
        <v/>
      </c>
      <c r="H167" s="286" t="str">
        <f>IF(Table1[[#This Row],[Column5]]="","",INDEX(Table2[Column1],MATCH(Table1[[#This Row],[Column5]],Table2[a],0)))</f>
        <v/>
      </c>
      <c r="I167" s="279" t="str">
        <f>IF(Table1[[#This Row],[Column3]]=0,"",CONCATENATE(UPPER(Table1[[#This Row],[Column3]])," ",Table1[[#This Row],[Column4]]))</f>
        <v xml:space="preserve"> </v>
      </c>
      <c r="J167" s="278" t="str">
        <f>IF(Table1[[#This Row],[Column5]]="","",INDEX(Table2[e],IF(Table1[[#This Row],[Column5]]="","",MATCH(Table1[[#This Row],[Column5]],Table2[a],0)),))</f>
        <v/>
      </c>
      <c r="K167" s="271"/>
      <c r="L167" s="271"/>
      <c r="O167" s="284" t="str">
        <f>IF(Table1[[#This Row],[h_Item Description]]="","",INDEX([1]!db[NB PAJAK],MATCH(Table1[[#This Row],[h_Item Description]],[1]!db[kode],0)))</f>
        <v/>
      </c>
      <c r="P167" s="278"/>
      <c r="Q167" s="274"/>
      <c r="R167" s="275"/>
      <c r="S167" s="275"/>
      <c r="T167" s="288" t="str">
        <f>Table1[[#This Row],[h_hargasetelahdiskon]]</f>
        <v/>
      </c>
      <c r="V167" s="271"/>
      <c r="W167" s="278" t="str">
        <f ca="1">IF(Table1[[#This Row],[Item Description]]="","",IF(Table1[[#This Row],[//]]="",INDIRECT(ADDRESS(ROW()-1,COLUMN())),Table1[[#This Row],[//]]))</f>
        <v/>
      </c>
      <c r="X167" s="278" t="str">
        <f ca="1">IF(Table1[[#This Row],[h_id]]="","",COUNTIF(Table1[h_id],Table1[[#This Row],[h_id]]))</f>
        <v/>
      </c>
      <c r="Y167" s="274" t="str">
        <f>IF(Table1[Item Description]="","",Table1[[#This Row],[Qty]]*Table1[[#This Row],[Unit Price]])</f>
        <v/>
      </c>
      <c r="Z167" s="288" t="str">
        <f>IF(Table1[[#This Row],[h_hargasebelumdiskon]]="","",IF(Table1[[#This Row],[Disc 1]]="",0,Table1[[#This Row],[h_hargasebelumdiskon]]*Table1[[#This Row],[Disc 1]]))</f>
        <v/>
      </c>
      <c r="AA167" s="288" t="str">
        <f>IF(Table1[[#This Row],[h_hargasebelumdiskon]]="","",IF(Table1[[#This Row],[Disc 2]]="",0,(Table1[[#This Row],[h_hargasebelumdiskon]]-Table1[[#This Row],[h_disc 1]])*Table1[[#This Row],[Disc 2]]))</f>
        <v/>
      </c>
      <c r="AB167" s="274" t="str">
        <f>IF(Table1[Item Description]="","",Table1[[#This Row],[h_disc 1]]+Table1[[#This Row],[h_disc 2]])</f>
        <v/>
      </c>
      <c r="AC167" s="274" t="str">
        <f>IF(Table1[Item Description]="","",Table1[[#This Row],[h_hargasebelumdiskon]]-Table1[[#This Row],[h_diskon]])</f>
        <v/>
      </c>
      <c r="AD167" s="274" t="str">
        <f ca="1">IF(Table1[//]="","",SUMIF(Table1[h_id],Table1[h_id],Table1[h_hargasetelahdiskon]))</f>
        <v/>
      </c>
      <c r="AF167" s="274" t="str">
        <f>Table1[[#This Row],[Item Description]]&amp;Table1[[#This Row],[Unit]]&amp;Table1[[#This Row],[Unit Price]]</f>
        <v/>
      </c>
      <c r="AG167" s="3"/>
      <c r="AH167" s="3"/>
      <c r="AI167" s="3"/>
    </row>
    <row r="168" spans="1:35" x14ac:dyDescent="0.25">
      <c r="A168" s="278" t="str">
        <f ca="1">IF(Table1[[#This Row],[No. Invoice :]]="","",ROW())</f>
        <v/>
      </c>
      <c r="B168" s="278" t="str">
        <f ca="1">IF(Table1[Column3]="","",B$1+COUNT(INDIRECT("B$2:B"&amp;ROW()-1)))</f>
        <v/>
      </c>
      <c r="C168" s="272" t="str">
        <f>IF(Table1[[#This Row],[Column2]]="","",Table1[[#This Row],[Column2]]+C$1-1)</f>
        <v/>
      </c>
      <c r="E168" s="273"/>
      <c r="F168" s="271"/>
      <c r="G168" s="278" t="str">
        <f ca="1">IF(Table1[[#This Row],[h_No. Invoice :]]="","",CONCATENATE("AM"," ",Table1[[#This Row],[h_No. Invoice :]]))</f>
        <v/>
      </c>
      <c r="H168" s="271" t="str">
        <f>IF(Table1[[#This Row],[Column5]]="","",INDEX(Table2[Column1],MATCH(Table1[[#This Row],[Column5]],Table2[a],0)))</f>
        <v/>
      </c>
      <c r="I168" s="279" t="str">
        <f>IF(Table1[[#This Row],[Column3]]=0,"",CONCATENATE(UPPER(Table1[[#This Row],[Column3]])," ",Table1[[#This Row],[Column4]]))</f>
        <v xml:space="preserve"> </v>
      </c>
      <c r="J168" s="278" t="str">
        <f>IF(Table1[[#This Row],[Column5]]="","",INDEX(Table2[e],IF(Table1[[#This Row],[Column5]]="","",MATCH(Table1[[#This Row],[Column5]],Table2[a],0)),))</f>
        <v/>
      </c>
      <c r="K168" s="271"/>
      <c r="L168" s="271"/>
      <c r="O168" s="278" t="str">
        <f>IF(Table1[[#This Row],[h_Item Description]]="","",INDEX([1]!db[NB PAJAK],MATCH(Table1[[#This Row],[h_Item Description]],[1]!db[kode],0)))</f>
        <v/>
      </c>
      <c r="Q168" s="274"/>
      <c r="R168" s="275"/>
      <c r="S168" s="275"/>
      <c r="T168" s="274" t="str">
        <f>Table1[[#This Row],[h_hargasetelahdiskon]]</f>
        <v/>
      </c>
      <c r="V168" s="271"/>
      <c r="W168" s="278" t="str">
        <f ca="1">IF(Table1[[#This Row],[Item Description]]="","",IF(Table1[[#This Row],[//]]="",INDIRECT(ADDRESS(ROW()-1,COLUMN())),Table1[[#This Row],[//]]))</f>
        <v/>
      </c>
      <c r="X168" s="278" t="str">
        <f ca="1">IF(Table1[[#This Row],[h_id]]="","",COUNTIF(Table1[h_id],Table1[[#This Row],[h_id]]))</f>
        <v/>
      </c>
      <c r="Y168" s="274" t="str">
        <f>IF(Table1[Item Description]="","",Table1[[#This Row],[Qty]]*Table1[[#This Row],[Unit Price]])</f>
        <v/>
      </c>
      <c r="Z168" s="274" t="str">
        <f>IF(Table1[[#This Row],[h_hargasebelumdiskon]]="","",IF(Table1[[#This Row],[Disc 1]]="",0,Table1[[#This Row],[h_hargasebelumdiskon]]*Table1[[#This Row],[Disc 1]]))</f>
        <v/>
      </c>
      <c r="AA168" s="274" t="str">
        <f>IF(Table1[[#This Row],[h_hargasebelumdiskon]]="","",IF(Table1[[#This Row],[Disc 2]]="",0,(Table1[[#This Row],[h_hargasebelumdiskon]]-Table1[[#This Row],[h_disc 1]])*Table1[[#This Row],[Disc 2]]))</f>
        <v/>
      </c>
      <c r="AB168" s="274" t="str">
        <f>IF(Table1[Item Description]="","",Table1[[#This Row],[h_disc 1]]+Table1[[#This Row],[h_disc 2]])</f>
        <v/>
      </c>
      <c r="AC168" s="274" t="str">
        <f>IF(Table1[Item Description]="","",Table1[[#This Row],[h_hargasebelumdiskon]]-Table1[[#This Row],[h_diskon]])</f>
        <v/>
      </c>
      <c r="AD168" s="274" t="str">
        <f ca="1">IF(Table1[//]="","",SUMIF(Table1[h_id],Table1[h_id],Table1[h_hargasetelahdiskon]))</f>
        <v/>
      </c>
      <c r="AF168" s="274" t="str">
        <f>Table1[[#This Row],[Item Description]]&amp;Table1[[#This Row],[Unit]]&amp;Table1[[#This Row],[Unit Price]]</f>
        <v/>
      </c>
      <c r="AG168" s="3"/>
      <c r="AH168" s="3"/>
      <c r="AI168" s="3"/>
    </row>
    <row r="169" spans="1:35" x14ac:dyDescent="0.25">
      <c r="A169" s="278" t="str">
        <f ca="1">IF(Table1[[#This Row],[No. Invoice :]]="","",ROW())</f>
        <v/>
      </c>
      <c r="B169" s="278" t="str">
        <f ca="1">IF(Table1[Column3]="","",B$1+COUNT(INDIRECT("B$2:B"&amp;ROW()-1)))</f>
        <v/>
      </c>
      <c r="C169" s="272" t="str">
        <f>IF(Table1[[#This Row],[Column2]]="","",Table1[[#This Row],[Column2]]+C$1-1)</f>
        <v/>
      </c>
      <c r="E169" s="273"/>
      <c r="F169" s="271"/>
      <c r="G169" s="278" t="str">
        <f ca="1">IF(Table1[[#This Row],[h_No. Invoice :]]="","",CONCATENATE("AM"," ",Table1[[#This Row],[h_No. Invoice :]]))</f>
        <v/>
      </c>
      <c r="H169" s="271" t="str">
        <f>IF(Table1[[#This Row],[Column5]]="","",INDEX(Table2[Column1],MATCH(Table1[[#This Row],[Column5]],Table2[a],0)))</f>
        <v/>
      </c>
      <c r="I169" s="279" t="str">
        <f>IF(Table1[[#This Row],[Column3]]=0,"",CONCATENATE(UPPER(Table1[[#This Row],[Column3]])," ",Table1[[#This Row],[Column4]]))</f>
        <v xml:space="preserve"> </v>
      </c>
      <c r="J169" s="278" t="str">
        <f>IF(Table1[[#This Row],[Column5]]="","",INDEX(Table2[e],IF(Table1[[#This Row],[Column5]]="","",MATCH(Table1[[#This Row],[Column5]],Table2[a],0)),))</f>
        <v/>
      </c>
      <c r="K169" s="271"/>
      <c r="L169" s="271"/>
      <c r="O169" s="278" t="str">
        <f>IF(Table1[[#This Row],[h_Item Description]]="","",INDEX([1]!db[NB PAJAK],MATCH(Table1[[#This Row],[h_Item Description]],[1]!db[kode],0)))</f>
        <v/>
      </c>
      <c r="Q169" s="274"/>
      <c r="R169" s="275"/>
      <c r="S169" s="275"/>
      <c r="T169" s="274" t="str">
        <f>Table1[[#This Row],[h_hargasetelahdiskon]]</f>
        <v/>
      </c>
      <c r="V169" s="271"/>
      <c r="W169" s="278" t="str">
        <f ca="1">IF(Table1[[#This Row],[Item Description]]="","",IF(Table1[[#This Row],[//]]="",INDIRECT(ADDRESS(ROW()-1,COLUMN())),Table1[[#This Row],[//]]))</f>
        <v/>
      </c>
      <c r="X169" s="278" t="str">
        <f ca="1">IF(Table1[[#This Row],[h_id]]="","",COUNTIF(Table1[h_id],Table1[[#This Row],[h_id]]))</f>
        <v/>
      </c>
      <c r="Y169" s="274" t="str">
        <f>IF(Table1[Item Description]="","",Table1[[#This Row],[Qty]]*Table1[[#This Row],[Unit Price]])</f>
        <v/>
      </c>
      <c r="Z169" s="274" t="str">
        <f>IF(Table1[[#This Row],[h_hargasebelumdiskon]]="","",IF(Table1[[#This Row],[Disc 1]]="",0,Table1[[#This Row],[h_hargasebelumdiskon]]*Table1[[#This Row],[Disc 1]]))</f>
        <v/>
      </c>
      <c r="AA169" s="274" t="str">
        <f>IF(Table1[[#This Row],[h_hargasebelumdiskon]]="","",IF(Table1[[#This Row],[Disc 2]]="",0,(Table1[[#This Row],[h_hargasebelumdiskon]]-Table1[[#This Row],[h_disc 1]])*Table1[[#This Row],[Disc 2]]))</f>
        <v/>
      </c>
      <c r="AB169" s="274" t="str">
        <f>IF(Table1[Item Description]="","",Table1[[#This Row],[h_disc 1]]+Table1[[#This Row],[h_disc 2]])</f>
        <v/>
      </c>
      <c r="AC169" s="274" t="str">
        <f>IF(Table1[Item Description]="","",Table1[[#This Row],[h_hargasebelumdiskon]]-Table1[[#This Row],[h_diskon]])</f>
        <v/>
      </c>
      <c r="AD169" s="274" t="str">
        <f ca="1">IF(Table1[//]="","",SUMIF(Table1[h_id],Table1[h_id],Table1[h_hargasetelahdiskon]))</f>
        <v/>
      </c>
      <c r="AF169" s="274" t="str">
        <f>Table1[[#This Row],[Item Description]]&amp;Table1[[#This Row],[Unit]]&amp;Table1[[#This Row],[Unit Price]]</f>
        <v/>
      </c>
      <c r="AG169" s="3"/>
      <c r="AH169" s="3"/>
      <c r="AI169" s="3"/>
    </row>
    <row r="170" spans="1:35" x14ac:dyDescent="0.25">
      <c r="A170" s="278" t="str">
        <f ca="1">IF(Table1[[#This Row],[No. Invoice :]]="","",ROW())</f>
        <v/>
      </c>
      <c r="B170" s="278" t="str">
        <f ca="1">IF(Table1[Column3]="","",B$1+COUNT(INDIRECT("B$2:B"&amp;ROW()-1)))</f>
        <v/>
      </c>
      <c r="C170" s="272" t="str">
        <f>IF(Table1[[#This Row],[Column2]]="","",Table1[[#This Row],[Column2]]+C$1-1)</f>
        <v/>
      </c>
      <c r="E170" s="273"/>
      <c r="F170" s="271"/>
      <c r="G170" s="278" t="str">
        <f ca="1">IF(Table1[[#This Row],[h_No. Invoice :]]="","",CONCATENATE("AM"," ",Table1[[#This Row],[h_No. Invoice :]]))</f>
        <v/>
      </c>
      <c r="H170" s="271" t="str">
        <f>IF(Table1[[#This Row],[Column5]]="","",INDEX(Table2[Column1],MATCH(Table1[[#This Row],[Column5]],Table2[a],0)))</f>
        <v/>
      </c>
      <c r="I170" s="279" t="str">
        <f>IF(Table1[[#This Row],[Column3]]=0,"",CONCATENATE(UPPER(Table1[[#This Row],[Column3]])," ",Table1[[#This Row],[Column4]]))</f>
        <v xml:space="preserve"> </v>
      </c>
      <c r="J170" s="278" t="str">
        <f>IF(Table1[[#This Row],[Column5]]="","",INDEX(Table2[e],IF(Table1[[#This Row],[Column5]]="","",MATCH(Table1[[#This Row],[Column5]],Table2[a],0)),))</f>
        <v/>
      </c>
      <c r="K170" s="271"/>
      <c r="L170" s="271"/>
      <c r="O170" s="278" t="str">
        <f>IF(Table1[[#This Row],[h_Item Description]]="","",INDEX([1]!db[NB PAJAK],MATCH(Table1[[#This Row],[h_Item Description]],[1]!db[kode],0)))</f>
        <v/>
      </c>
      <c r="Q170" s="274"/>
      <c r="R170" s="275"/>
      <c r="S170" s="275"/>
      <c r="T170" s="274" t="str">
        <f>Table1[[#This Row],[h_hargasetelahdiskon]]</f>
        <v/>
      </c>
      <c r="V170" s="271"/>
      <c r="W170" s="278" t="str">
        <f ca="1">IF(Table1[[#This Row],[Item Description]]="","",IF(Table1[[#This Row],[//]]="",INDIRECT(ADDRESS(ROW()-1,COLUMN())),Table1[[#This Row],[//]]))</f>
        <v/>
      </c>
      <c r="X170" s="278" t="str">
        <f ca="1">IF(Table1[[#This Row],[h_id]]="","",COUNTIF(Table1[h_id],Table1[[#This Row],[h_id]]))</f>
        <v/>
      </c>
      <c r="Y170" s="274" t="str">
        <f>IF(Table1[Item Description]="","",Table1[[#This Row],[Qty]]*Table1[[#This Row],[Unit Price]])</f>
        <v/>
      </c>
      <c r="Z170" s="274" t="str">
        <f>IF(Table1[[#This Row],[h_hargasebelumdiskon]]="","",IF(Table1[[#This Row],[Disc 1]]="",0,Table1[[#This Row],[h_hargasebelumdiskon]]*Table1[[#This Row],[Disc 1]]))</f>
        <v/>
      </c>
      <c r="AA170" s="274" t="str">
        <f>IF(Table1[[#This Row],[h_hargasebelumdiskon]]="","",IF(Table1[[#This Row],[Disc 2]]="",0,(Table1[[#This Row],[h_hargasebelumdiskon]]-Table1[[#This Row],[h_disc 1]])*Table1[[#This Row],[Disc 2]]))</f>
        <v/>
      </c>
      <c r="AB170" s="274" t="str">
        <f>IF(Table1[Item Description]="","",Table1[[#This Row],[h_disc 1]]+Table1[[#This Row],[h_disc 2]])</f>
        <v/>
      </c>
      <c r="AC170" s="274" t="str">
        <f>IF(Table1[Item Description]="","",Table1[[#This Row],[h_hargasebelumdiskon]]-Table1[[#This Row],[h_diskon]])</f>
        <v/>
      </c>
      <c r="AD170" s="274" t="str">
        <f ca="1">IF(Table1[//]="","",SUMIF(Table1[h_id],Table1[h_id],Table1[h_hargasetelahdiskon]))</f>
        <v/>
      </c>
      <c r="AF170" s="274" t="str">
        <f>Table1[[#This Row],[Item Description]]&amp;Table1[[#This Row],[Unit]]&amp;Table1[[#This Row],[Unit Price]]</f>
        <v/>
      </c>
      <c r="AG170" s="3"/>
      <c r="AH170" s="3"/>
      <c r="AI170" s="3"/>
    </row>
    <row r="171" spans="1:35" x14ac:dyDescent="0.25">
      <c r="A171" s="278" t="str">
        <f ca="1">IF(Table1[[#This Row],[No. Invoice :]]="","",ROW())</f>
        <v/>
      </c>
      <c r="B171" s="278" t="str">
        <f ca="1">IF(Table1[Column3]="","",B$1+COUNT(INDIRECT("B$2:B"&amp;ROW()-1)))</f>
        <v/>
      </c>
      <c r="C171" s="272" t="str">
        <f>IF(Table1[[#This Row],[Column2]]="","",Table1[[#This Row],[Column2]]+C$1-1)</f>
        <v/>
      </c>
      <c r="E171" s="273"/>
      <c r="F171" s="271"/>
      <c r="G171" s="278" t="str">
        <f ca="1">IF(Table1[[#This Row],[h_No. Invoice :]]="","",CONCATENATE("AM"," ",Table1[[#This Row],[h_No. Invoice :]]))</f>
        <v/>
      </c>
      <c r="H171" s="271" t="str">
        <f>IF(Table1[[#This Row],[Column5]]="","",INDEX(Table2[Column1],MATCH(Table1[[#This Row],[Column5]],Table2[a],0)))</f>
        <v/>
      </c>
      <c r="I171" s="279" t="str">
        <f>IF(Table1[[#This Row],[Column3]]=0,"",CONCATENATE(UPPER(Table1[[#This Row],[Column3]])," ",Table1[[#This Row],[Column4]]))</f>
        <v xml:space="preserve"> </v>
      </c>
      <c r="J171" s="278" t="str">
        <f>IF(Table1[[#This Row],[Column5]]="","",INDEX(Table2[e],IF(Table1[[#This Row],[Column5]]="","",MATCH(Table1[[#This Row],[Column5]],Table2[a],0)),))</f>
        <v/>
      </c>
      <c r="K171" s="271"/>
      <c r="L171" s="271"/>
      <c r="O171" s="278" t="str">
        <f>IF(Table1[[#This Row],[h_Item Description]]="","",INDEX([1]!db[NB PAJAK],MATCH(Table1[[#This Row],[h_Item Description]],[1]!db[kode],0)))</f>
        <v/>
      </c>
      <c r="Q171" s="274"/>
      <c r="R171" s="275"/>
      <c r="S171" s="275"/>
      <c r="T171" s="274" t="str">
        <f>Table1[[#This Row],[h_hargasetelahdiskon]]</f>
        <v/>
      </c>
      <c r="V171" s="271"/>
      <c r="W171" s="278" t="str">
        <f ca="1">IF(Table1[[#This Row],[Item Description]]="","",IF(Table1[[#This Row],[//]]="",INDIRECT(ADDRESS(ROW()-1,COLUMN())),Table1[[#This Row],[//]]))</f>
        <v/>
      </c>
      <c r="X171" s="278" t="str">
        <f ca="1">IF(Table1[[#This Row],[h_id]]="","",COUNTIF(Table1[h_id],Table1[[#This Row],[h_id]]))</f>
        <v/>
      </c>
      <c r="Y171" s="274" t="str">
        <f>IF(Table1[Item Description]="","",Table1[[#This Row],[Qty]]*Table1[[#This Row],[Unit Price]])</f>
        <v/>
      </c>
      <c r="Z171" s="274" t="str">
        <f>IF(Table1[[#This Row],[h_hargasebelumdiskon]]="","",IF(Table1[[#This Row],[Disc 1]]="",0,Table1[[#This Row],[h_hargasebelumdiskon]]*Table1[[#This Row],[Disc 1]]))</f>
        <v/>
      </c>
      <c r="AA171" s="274" t="str">
        <f>IF(Table1[[#This Row],[h_hargasebelumdiskon]]="","",IF(Table1[[#This Row],[Disc 2]]="",0,(Table1[[#This Row],[h_hargasebelumdiskon]]-Table1[[#This Row],[h_disc 1]])*Table1[[#This Row],[Disc 2]]))</f>
        <v/>
      </c>
      <c r="AB171" s="274" t="str">
        <f>IF(Table1[Item Description]="","",Table1[[#This Row],[h_disc 1]]+Table1[[#This Row],[h_disc 2]])</f>
        <v/>
      </c>
      <c r="AC171" s="274" t="str">
        <f>IF(Table1[Item Description]="","",Table1[[#This Row],[h_hargasebelumdiskon]]-Table1[[#This Row],[h_diskon]])</f>
        <v/>
      </c>
      <c r="AD171" s="274" t="str">
        <f ca="1">IF(Table1[//]="","",SUMIF(Table1[h_id],Table1[h_id],Table1[h_hargasetelahdiskon]))</f>
        <v/>
      </c>
      <c r="AF171" s="274" t="str">
        <f>Table1[[#This Row],[Item Description]]&amp;Table1[[#This Row],[Unit]]&amp;Table1[[#This Row],[Unit Price]]</f>
        <v/>
      </c>
      <c r="AG171" s="3"/>
      <c r="AH171" s="3"/>
      <c r="AI171" s="3"/>
    </row>
    <row r="172" spans="1:35" x14ac:dyDescent="0.25">
      <c r="A172" s="278" t="str">
        <f ca="1">IF(Table1[[#This Row],[No. Invoice :]]="","",ROW())</f>
        <v/>
      </c>
      <c r="B172" s="278" t="str">
        <f ca="1">IF(Table1[Column3]="","",B$1+COUNT(INDIRECT("B$2:B"&amp;ROW()-1)))</f>
        <v/>
      </c>
      <c r="C172" s="272" t="str">
        <f>IF(Table1[[#This Row],[Column2]]="","",Table1[[#This Row],[Column2]]+C$1-1)</f>
        <v/>
      </c>
      <c r="E172" s="273"/>
      <c r="F172" s="271"/>
      <c r="G172" s="278" t="str">
        <f ca="1">IF(Table1[[#This Row],[h_No. Invoice :]]="","",CONCATENATE("AM"," ",Table1[[#This Row],[h_No. Invoice :]]))</f>
        <v/>
      </c>
      <c r="H172" s="271" t="str">
        <f>IF(Table1[[#This Row],[Column5]]="","",INDEX(Table2[Column1],MATCH(Table1[[#This Row],[Column5]],Table2[a],0)))</f>
        <v/>
      </c>
      <c r="I172" s="279" t="str">
        <f>IF(Table1[[#This Row],[Column3]]=0,"",CONCATENATE(UPPER(Table1[[#This Row],[Column3]])," ",Table1[[#This Row],[Column4]]))</f>
        <v xml:space="preserve"> </v>
      </c>
      <c r="J172" s="278" t="str">
        <f>IF(Table1[[#This Row],[Column5]]="","",INDEX(Table2[e],IF(Table1[[#This Row],[Column5]]="","",MATCH(Table1[[#This Row],[Column5]],Table2[a],0)),))</f>
        <v/>
      </c>
      <c r="K172" s="271"/>
      <c r="L172" s="271"/>
      <c r="O172" s="278" t="str">
        <f>IF(Table1[[#This Row],[h_Item Description]]="","",INDEX([1]!db[NB PAJAK],MATCH(Table1[[#This Row],[h_Item Description]],[1]!db[kode],0)))</f>
        <v/>
      </c>
      <c r="Q172" s="274"/>
      <c r="R172" s="275"/>
      <c r="S172" s="275"/>
      <c r="T172" s="274" t="str">
        <f>Table1[[#This Row],[h_hargasetelahdiskon]]</f>
        <v/>
      </c>
      <c r="V172" s="271"/>
      <c r="W172" s="278" t="str">
        <f ca="1">IF(Table1[[#This Row],[Item Description]]="","",IF(Table1[[#This Row],[//]]="",INDIRECT(ADDRESS(ROW()-1,COLUMN())),Table1[[#This Row],[//]]))</f>
        <v/>
      </c>
      <c r="X172" s="278" t="str">
        <f ca="1">IF(Table1[[#This Row],[h_id]]="","",COUNTIF(Table1[h_id],Table1[[#This Row],[h_id]]))</f>
        <v/>
      </c>
      <c r="Y172" s="274" t="str">
        <f>IF(Table1[Item Description]="","",Table1[[#This Row],[Qty]]*Table1[[#This Row],[Unit Price]])</f>
        <v/>
      </c>
      <c r="Z172" s="274" t="str">
        <f>IF(Table1[[#This Row],[h_hargasebelumdiskon]]="","",IF(Table1[[#This Row],[Disc 1]]="",0,Table1[[#This Row],[h_hargasebelumdiskon]]*Table1[[#This Row],[Disc 1]]))</f>
        <v/>
      </c>
      <c r="AA172" s="274" t="str">
        <f>IF(Table1[[#This Row],[h_hargasebelumdiskon]]="","",IF(Table1[[#This Row],[Disc 2]]="",0,(Table1[[#This Row],[h_hargasebelumdiskon]]-Table1[[#This Row],[h_disc 1]])*Table1[[#This Row],[Disc 2]]))</f>
        <v/>
      </c>
      <c r="AB172" s="274" t="str">
        <f>IF(Table1[Item Description]="","",Table1[[#This Row],[h_disc 1]]+Table1[[#This Row],[h_disc 2]])</f>
        <v/>
      </c>
      <c r="AC172" s="274" t="str">
        <f>IF(Table1[Item Description]="","",Table1[[#This Row],[h_hargasebelumdiskon]]-Table1[[#This Row],[h_diskon]])</f>
        <v/>
      </c>
      <c r="AD172" s="274" t="str">
        <f ca="1">IF(Table1[//]="","",SUMIF(Table1[h_id],Table1[h_id],Table1[h_hargasetelahdiskon]))</f>
        <v/>
      </c>
      <c r="AF172" s="274" t="str">
        <f>Table1[[#This Row],[Item Description]]&amp;Table1[[#This Row],[Unit]]&amp;Table1[[#This Row],[Unit Price]]</f>
        <v/>
      </c>
      <c r="AG172" s="3"/>
      <c r="AH172" s="3"/>
      <c r="AI172" s="3"/>
    </row>
    <row r="173" spans="1:35" x14ac:dyDescent="0.25">
      <c r="A173" s="278" t="str">
        <f ca="1">IF(Table1[[#This Row],[No. Invoice :]]="","",ROW())</f>
        <v/>
      </c>
      <c r="B173" s="278" t="str">
        <f ca="1">IF(Table1[Column3]="","",B$1+COUNT(INDIRECT("B$2:B"&amp;ROW()-1)))</f>
        <v/>
      </c>
      <c r="C173" s="272" t="str">
        <f>IF(Table1[[#This Row],[Column2]]="","",Table1[[#This Row],[Column2]]+C$1-1)</f>
        <v/>
      </c>
      <c r="E173" s="273"/>
      <c r="F173" s="271"/>
      <c r="G173" s="278" t="str">
        <f ca="1">IF(Table1[[#This Row],[h_No. Invoice :]]="","",CONCATENATE("AM"," ",Table1[[#This Row],[h_No. Invoice :]]))</f>
        <v/>
      </c>
      <c r="H173" s="271" t="str">
        <f>IF(Table1[[#This Row],[Column5]]="","",INDEX(Table2[Column1],MATCH(Table1[[#This Row],[Column5]],Table2[a],0)))</f>
        <v/>
      </c>
      <c r="I173" s="279" t="str">
        <f>IF(Table1[[#This Row],[Column3]]=0,"",CONCATENATE(UPPER(Table1[[#This Row],[Column3]])," ",Table1[[#This Row],[Column4]]))</f>
        <v xml:space="preserve"> </v>
      </c>
      <c r="J173" s="278" t="str">
        <f>IF(Table1[[#This Row],[Column5]]="","",INDEX(Table2[e],IF(Table1[[#This Row],[Column5]]="","",MATCH(Table1[[#This Row],[Column5]],Table2[a],0)),))</f>
        <v/>
      </c>
      <c r="K173" s="271"/>
      <c r="L173" s="271"/>
      <c r="O173" s="278" t="str">
        <f>IF(Table1[[#This Row],[h_Item Description]]="","",INDEX([1]!db[NB PAJAK],MATCH(Table1[[#This Row],[h_Item Description]],[1]!db[kode],0)))</f>
        <v/>
      </c>
      <c r="Q173" s="274"/>
      <c r="R173" s="275"/>
      <c r="S173" s="275"/>
      <c r="T173" s="274" t="str">
        <f>Table1[[#This Row],[h_hargasetelahdiskon]]</f>
        <v/>
      </c>
      <c r="V173" s="271"/>
      <c r="W173" s="278" t="str">
        <f ca="1">IF(Table1[[#This Row],[Item Description]]="","",IF(Table1[[#This Row],[//]]="",INDIRECT(ADDRESS(ROW()-1,COLUMN())),Table1[[#This Row],[//]]))</f>
        <v/>
      </c>
      <c r="X173" s="278" t="str">
        <f ca="1">IF(Table1[[#This Row],[h_id]]="","",COUNTIF(Table1[h_id],Table1[[#This Row],[h_id]]))</f>
        <v/>
      </c>
      <c r="Y173" s="274" t="str">
        <f>IF(Table1[Item Description]="","",Table1[[#This Row],[Qty]]*Table1[[#This Row],[Unit Price]])</f>
        <v/>
      </c>
      <c r="Z173" s="274" t="str">
        <f>IF(Table1[[#This Row],[h_hargasebelumdiskon]]="","",IF(Table1[[#This Row],[Disc 1]]="",0,Table1[[#This Row],[h_hargasebelumdiskon]]*Table1[[#This Row],[Disc 1]]))</f>
        <v/>
      </c>
      <c r="AA173" s="274" t="str">
        <f>IF(Table1[[#This Row],[h_hargasebelumdiskon]]="","",IF(Table1[[#This Row],[Disc 2]]="",0,(Table1[[#This Row],[h_hargasebelumdiskon]]-Table1[[#This Row],[h_disc 1]])*Table1[[#This Row],[Disc 2]]))</f>
        <v/>
      </c>
      <c r="AB173" s="274" t="str">
        <f>IF(Table1[Item Description]="","",Table1[[#This Row],[h_disc 1]]+Table1[[#This Row],[h_disc 2]])</f>
        <v/>
      </c>
      <c r="AC173" s="274" t="str">
        <f>IF(Table1[Item Description]="","",Table1[[#This Row],[h_hargasebelumdiskon]]-Table1[[#This Row],[h_diskon]])</f>
        <v/>
      </c>
      <c r="AD173" s="274" t="str">
        <f ca="1">IF(Table1[//]="","",SUMIF(Table1[h_id],Table1[h_id],Table1[h_hargasetelahdiskon]))</f>
        <v/>
      </c>
      <c r="AF173" s="274" t="str">
        <f>Table1[[#This Row],[Item Description]]&amp;Table1[[#This Row],[Unit]]&amp;Table1[[#This Row],[Unit Price]]</f>
        <v/>
      </c>
      <c r="AG173" s="3"/>
      <c r="AH173" s="3"/>
      <c r="AI173" s="3"/>
    </row>
    <row r="174" spans="1:35" x14ac:dyDescent="0.25">
      <c r="A174" s="278" t="str">
        <f ca="1">IF(Table1[[#This Row],[No. Invoice :]]="","",ROW())</f>
        <v/>
      </c>
      <c r="B174" s="278" t="str">
        <f ca="1">IF(Table1[Column3]="","",B$1+COUNT(INDIRECT("B$2:B"&amp;ROW()-1)))</f>
        <v/>
      </c>
      <c r="C174" s="272" t="str">
        <f>IF(Table1[[#This Row],[Column2]]="","",Table1[[#This Row],[Column2]]+C$1-1)</f>
        <v/>
      </c>
      <c r="E174" s="273"/>
      <c r="F174" s="271"/>
      <c r="G174" s="278" t="str">
        <f ca="1">IF(Table1[[#This Row],[h_No. Invoice :]]="","",CONCATENATE("AM"," ",Table1[[#This Row],[h_No. Invoice :]]))</f>
        <v/>
      </c>
      <c r="H174" s="271" t="str">
        <f>IF(Table1[[#This Row],[Column5]]="","",INDEX(Table2[Column1],MATCH(Table1[[#This Row],[Column5]],Table2[a],0)))</f>
        <v/>
      </c>
      <c r="I174" s="279" t="str">
        <f>IF(Table1[[#This Row],[Column3]]=0,"",CONCATENATE(UPPER(Table1[[#This Row],[Column3]])," ",Table1[[#This Row],[Column4]]))</f>
        <v xml:space="preserve"> </v>
      </c>
      <c r="J174" s="278" t="str">
        <f>IF(Table1[[#This Row],[Column5]]="","",INDEX(Table2[e],IF(Table1[[#This Row],[Column5]]="","",MATCH(Table1[[#This Row],[Column5]],Table2[a],0)),))</f>
        <v/>
      </c>
      <c r="K174" s="271"/>
      <c r="L174" s="271"/>
      <c r="O174" s="278" t="str">
        <f>IF(Table1[[#This Row],[h_Item Description]]="","",INDEX([1]!db[NB PAJAK],MATCH(Table1[[#This Row],[h_Item Description]],[1]!db[kode],0)))</f>
        <v/>
      </c>
      <c r="Q174" s="274"/>
      <c r="R174" s="275"/>
      <c r="S174" s="275"/>
      <c r="T174" s="274" t="str">
        <f>Table1[[#This Row],[h_hargasetelahdiskon]]</f>
        <v/>
      </c>
      <c r="V174" s="271"/>
      <c r="W174" s="278" t="str">
        <f ca="1">IF(Table1[[#This Row],[Item Description]]="","",IF(Table1[[#This Row],[//]]="",INDIRECT(ADDRESS(ROW()-1,COLUMN())),Table1[[#This Row],[//]]))</f>
        <v/>
      </c>
      <c r="X174" s="278" t="str">
        <f ca="1">IF(Table1[[#This Row],[h_id]]="","",COUNTIF(Table1[h_id],Table1[[#This Row],[h_id]]))</f>
        <v/>
      </c>
      <c r="Y174" s="274" t="str">
        <f>IF(Table1[Item Description]="","",Table1[[#This Row],[Qty]]*Table1[[#This Row],[Unit Price]])</f>
        <v/>
      </c>
      <c r="Z174" s="274" t="str">
        <f>IF(Table1[[#This Row],[h_hargasebelumdiskon]]="","",IF(Table1[[#This Row],[Disc 1]]="",0,Table1[[#This Row],[h_hargasebelumdiskon]]*Table1[[#This Row],[Disc 1]]))</f>
        <v/>
      </c>
      <c r="AA174" s="274" t="str">
        <f>IF(Table1[[#This Row],[h_hargasebelumdiskon]]="","",IF(Table1[[#This Row],[Disc 2]]="",0,(Table1[[#This Row],[h_hargasebelumdiskon]]-Table1[[#This Row],[h_disc 1]])*Table1[[#This Row],[Disc 2]]))</f>
        <v/>
      </c>
      <c r="AB174" s="274" t="str">
        <f>IF(Table1[Item Description]="","",Table1[[#This Row],[h_disc 1]]+Table1[[#This Row],[h_disc 2]])</f>
        <v/>
      </c>
      <c r="AC174" s="274" t="str">
        <f>IF(Table1[Item Description]="","",Table1[[#This Row],[h_hargasebelumdiskon]]-Table1[[#This Row],[h_diskon]])</f>
        <v/>
      </c>
      <c r="AD174" s="274" t="str">
        <f ca="1">IF(Table1[//]="","",SUMIF(Table1[h_id],Table1[h_id],Table1[h_hargasetelahdiskon]))</f>
        <v/>
      </c>
      <c r="AF174" s="274" t="str">
        <f>Table1[[#This Row],[Item Description]]&amp;Table1[[#This Row],[Unit]]&amp;Table1[[#This Row],[Unit Price]]</f>
        <v/>
      </c>
      <c r="AG174" s="3"/>
      <c r="AH174" s="3"/>
      <c r="AI174" s="3"/>
    </row>
    <row r="175" spans="1:35" x14ac:dyDescent="0.25">
      <c r="A175" s="278" t="str">
        <f ca="1">IF(Table1[[#This Row],[No. Invoice :]]="","",ROW())</f>
        <v/>
      </c>
      <c r="B175" s="278" t="str">
        <f ca="1">IF(Table1[Column3]="","",B$1+COUNT(INDIRECT("B$2:B"&amp;ROW()-1)))</f>
        <v/>
      </c>
      <c r="C175" s="272" t="str">
        <f>IF(Table1[[#This Row],[Column2]]="","",Table1[[#This Row],[Column2]]+C$1-1)</f>
        <v/>
      </c>
      <c r="E175" s="273"/>
      <c r="F175" s="271"/>
      <c r="G175" s="278" t="str">
        <f ca="1">IF(Table1[[#This Row],[h_No. Invoice :]]="","",CONCATENATE("AM"," ",Table1[[#This Row],[h_No. Invoice :]]))</f>
        <v/>
      </c>
      <c r="H175" s="271" t="str">
        <f>IF(Table1[[#This Row],[Column5]]="","",INDEX(Table2[Column1],MATCH(Table1[[#This Row],[Column5]],Table2[a],0)))</f>
        <v/>
      </c>
      <c r="I175" s="279" t="str">
        <f>IF(Table1[[#This Row],[Column3]]=0,"",CONCATENATE(UPPER(Table1[[#This Row],[Column3]])," ",Table1[[#This Row],[Column4]]))</f>
        <v xml:space="preserve"> </v>
      </c>
      <c r="J175" s="278" t="str">
        <f>IF(Table1[[#This Row],[Column5]]="","",INDEX(Table2[e],IF(Table1[[#This Row],[Column5]]="","",MATCH(Table1[[#This Row],[Column5]],Table2[a],0)),))</f>
        <v/>
      </c>
      <c r="K175" s="271"/>
      <c r="L175" s="271"/>
      <c r="O175" s="278" t="str">
        <f>IF(Table1[[#This Row],[h_Item Description]]="","",INDEX([1]!db[NB PAJAK],MATCH(Table1[[#This Row],[h_Item Description]],[1]!db[kode],0)))</f>
        <v/>
      </c>
      <c r="Q175" s="274"/>
      <c r="R175" s="275"/>
      <c r="S175" s="275"/>
      <c r="T175" s="274" t="str">
        <f>Table1[[#This Row],[h_hargasetelahdiskon]]</f>
        <v/>
      </c>
      <c r="V175" s="271"/>
      <c r="W175" s="278" t="str">
        <f ca="1">IF(Table1[[#This Row],[Item Description]]="","",IF(Table1[[#This Row],[//]]="",INDIRECT(ADDRESS(ROW()-1,COLUMN())),Table1[[#This Row],[//]]))</f>
        <v/>
      </c>
      <c r="X175" s="278" t="str">
        <f ca="1">IF(Table1[[#This Row],[h_id]]="","",COUNTIF(Table1[h_id],Table1[[#This Row],[h_id]]))</f>
        <v/>
      </c>
      <c r="Y175" s="274" t="str">
        <f>IF(Table1[Item Description]="","",Table1[[#This Row],[Qty]]*Table1[[#This Row],[Unit Price]])</f>
        <v/>
      </c>
      <c r="Z175" s="274" t="str">
        <f>IF(Table1[[#This Row],[h_hargasebelumdiskon]]="","",IF(Table1[[#This Row],[Disc 1]]="",0,Table1[[#This Row],[h_hargasebelumdiskon]]*Table1[[#This Row],[Disc 1]]))</f>
        <v/>
      </c>
      <c r="AA175" s="274" t="str">
        <f>IF(Table1[[#This Row],[h_hargasebelumdiskon]]="","",IF(Table1[[#This Row],[Disc 2]]="",0,(Table1[[#This Row],[h_hargasebelumdiskon]]-Table1[[#This Row],[h_disc 1]])*Table1[[#This Row],[Disc 2]]))</f>
        <v/>
      </c>
      <c r="AB175" s="274" t="str">
        <f>IF(Table1[Item Description]="","",Table1[[#This Row],[h_disc 1]]+Table1[[#This Row],[h_disc 2]])</f>
        <v/>
      </c>
      <c r="AC175" s="274" t="str">
        <f>IF(Table1[Item Description]="","",Table1[[#This Row],[h_hargasebelumdiskon]]-Table1[[#This Row],[h_diskon]])</f>
        <v/>
      </c>
      <c r="AD175" s="274" t="str">
        <f ca="1">IF(Table1[//]="","",SUMIF(Table1[h_id],Table1[h_id],Table1[h_hargasetelahdiskon]))</f>
        <v/>
      </c>
      <c r="AF175" s="274" t="str">
        <f>Table1[[#This Row],[Item Description]]&amp;Table1[[#This Row],[Unit]]&amp;Table1[[#This Row],[Unit Price]]</f>
        <v/>
      </c>
      <c r="AG175" s="3"/>
      <c r="AH175" s="3"/>
      <c r="AI175" s="3"/>
    </row>
    <row r="176" spans="1:35" x14ac:dyDescent="0.25">
      <c r="A176" s="278" t="str">
        <f ca="1">IF(Table1[[#This Row],[No. Invoice :]]="","",ROW())</f>
        <v/>
      </c>
      <c r="B176" s="278" t="str">
        <f ca="1">IF(Table1[Column3]="","",B$1+COUNT(INDIRECT("B$2:B"&amp;ROW()-1)))</f>
        <v/>
      </c>
      <c r="C176" s="272" t="str">
        <f>IF(Table1[[#This Row],[Column2]]="","",Table1[[#This Row],[Column2]]+C$1-1)</f>
        <v/>
      </c>
      <c r="E176" s="273"/>
      <c r="F176" s="271"/>
      <c r="G176" s="278" t="str">
        <f ca="1">IF(Table1[[#This Row],[h_No. Invoice :]]="","",CONCATENATE("AM"," ",Table1[[#This Row],[h_No. Invoice :]]))</f>
        <v/>
      </c>
      <c r="H176" s="271" t="str">
        <f>IF(Table1[[#This Row],[Column5]]="","",INDEX(Table2[Column1],MATCH(Table1[[#This Row],[Column5]],Table2[a],0)))</f>
        <v/>
      </c>
      <c r="I176" s="279" t="str">
        <f>IF(Table1[[#This Row],[Column3]]=0,"",CONCATENATE(UPPER(Table1[[#This Row],[Column3]])," ",Table1[[#This Row],[Column4]]))</f>
        <v xml:space="preserve"> </v>
      </c>
      <c r="J176" s="278" t="str">
        <f>IF(Table1[[#This Row],[Column5]]="","",INDEX(Table2[e],IF(Table1[[#This Row],[Column5]]="","",MATCH(Table1[[#This Row],[Column5]],Table2[a],0)),))</f>
        <v/>
      </c>
      <c r="K176" s="271"/>
      <c r="L176" s="271"/>
      <c r="O176" s="278" t="str">
        <f>IF(Table1[[#This Row],[h_Item Description]]="","",INDEX([1]!db[NB PAJAK],MATCH(Table1[[#This Row],[h_Item Description]],[1]!db[kode],0)))</f>
        <v/>
      </c>
      <c r="Q176" s="274"/>
      <c r="R176" s="275"/>
      <c r="S176" s="275"/>
      <c r="T176" s="274" t="str">
        <f>Table1[[#This Row],[h_hargasetelahdiskon]]</f>
        <v/>
      </c>
      <c r="V176" s="271"/>
      <c r="W176" s="278" t="str">
        <f ca="1">IF(Table1[[#This Row],[Item Description]]="","",IF(Table1[[#This Row],[//]]="",INDIRECT(ADDRESS(ROW()-1,COLUMN())),Table1[[#This Row],[//]]))</f>
        <v/>
      </c>
      <c r="X176" s="278" t="str">
        <f ca="1">IF(Table1[[#This Row],[h_id]]="","",COUNTIF(Table1[h_id],Table1[[#This Row],[h_id]]))</f>
        <v/>
      </c>
      <c r="Y176" s="274" t="str">
        <f>IF(Table1[Item Description]="","",Table1[[#This Row],[Qty]]*Table1[[#This Row],[Unit Price]])</f>
        <v/>
      </c>
      <c r="Z176" s="274" t="str">
        <f>IF(Table1[[#This Row],[h_hargasebelumdiskon]]="","",IF(Table1[[#This Row],[Disc 1]]="",0,Table1[[#This Row],[h_hargasebelumdiskon]]*Table1[[#This Row],[Disc 1]]))</f>
        <v/>
      </c>
      <c r="AA176" s="274" t="str">
        <f>IF(Table1[[#This Row],[h_hargasebelumdiskon]]="","",IF(Table1[[#This Row],[Disc 2]]="",0,(Table1[[#This Row],[h_hargasebelumdiskon]]-Table1[[#This Row],[h_disc 1]])*Table1[[#This Row],[Disc 2]]))</f>
        <v/>
      </c>
      <c r="AB176" s="274" t="str">
        <f>IF(Table1[Item Description]="","",Table1[[#This Row],[h_disc 1]]+Table1[[#This Row],[h_disc 2]])</f>
        <v/>
      </c>
      <c r="AC176" s="274" t="str">
        <f>IF(Table1[Item Description]="","",Table1[[#This Row],[h_hargasebelumdiskon]]-Table1[[#This Row],[h_diskon]])</f>
        <v/>
      </c>
      <c r="AD176" s="274" t="str">
        <f ca="1">IF(Table1[//]="","",SUMIF(Table1[h_id],Table1[h_id],Table1[h_hargasetelahdiskon]))</f>
        <v/>
      </c>
      <c r="AF176" s="274" t="str">
        <f>Table1[[#This Row],[Item Description]]&amp;Table1[[#This Row],[Unit]]&amp;Table1[[#This Row],[Unit Price]]</f>
        <v/>
      </c>
      <c r="AG176" s="3"/>
      <c r="AH176" s="3"/>
      <c r="AI176" s="3"/>
    </row>
    <row r="177" spans="1:35" x14ac:dyDescent="0.25">
      <c r="A177" s="278" t="str">
        <f ca="1">IF(Table1[[#This Row],[No. Invoice :]]="","",ROW())</f>
        <v/>
      </c>
      <c r="B177" s="278" t="str">
        <f ca="1">IF(Table1[Column3]="","",B$1+COUNT(INDIRECT("B$2:B"&amp;ROW()-1)))</f>
        <v/>
      </c>
      <c r="C177" s="272" t="str">
        <f>IF(Table1[[#This Row],[Column2]]="","",Table1[[#This Row],[Column2]]+C$1-1)</f>
        <v/>
      </c>
      <c r="E177" s="273"/>
      <c r="F177" s="271"/>
      <c r="G177" s="278" t="str">
        <f ca="1">IF(Table1[[#This Row],[h_No. Invoice :]]="","",CONCATENATE("AM"," ",Table1[[#This Row],[h_No. Invoice :]]))</f>
        <v/>
      </c>
      <c r="H177" s="271" t="str">
        <f>IF(Table1[[#This Row],[Column5]]="","",INDEX(Table2[Column1],MATCH(Table1[[#This Row],[Column5]],Table2[a],0)))</f>
        <v/>
      </c>
      <c r="I177" s="279" t="str">
        <f>IF(Table1[[#This Row],[Column3]]=0,"",CONCATENATE(UPPER(Table1[[#This Row],[Column3]])," ",Table1[[#This Row],[Column4]]))</f>
        <v xml:space="preserve"> </v>
      </c>
      <c r="J177" s="278" t="str">
        <f>IF(Table1[[#This Row],[Column5]]="","",INDEX(Table2[e],IF(Table1[[#This Row],[Column5]]="","",MATCH(Table1[[#This Row],[Column5]],Table2[a],0)),))</f>
        <v/>
      </c>
      <c r="K177" s="271"/>
      <c r="L177" s="271"/>
      <c r="O177" s="278" t="str">
        <f>IF(Table1[[#This Row],[h_Item Description]]="","",INDEX([1]!db[NB PAJAK],MATCH(Table1[[#This Row],[h_Item Description]],[1]!db[kode],0)))</f>
        <v/>
      </c>
      <c r="Q177" s="274"/>
      <c r="R177" s="275"/>
      <c r="S177" s="275"/>
      <c r="T177" s="274" t="str">
        <f>Table1[[#This Row],[h_hargasetelahdiskon]]</f>
        <v/>
      </c>
      <c r="V177" s="271"/>
      <c r="W177" s="278" t="str">
        <f ca="1">IF(Table1[[#This Row],[Item Description]]="","",IF(Table1[[#This Row],[//]]="",INDIRECT(ADDRESS(ROW()-1,COLUMN())),Table1[[#This Row],[//]]))</f>
        <v/>
      </c>
      <c r="X177" s="278" t="str">
        <f ca="1">IF(Table1[[#This Row],[h_id]]="","",COUNTIF(Table1[h_id],Table1[[#This Row],[h_id]]))</f>
        <v/>
      </c>
      <c r="Y177" s="274" t="str">
        <f>IF(Table1[Item Description]="","",Table1[[#This Row],[Qty]]*Table1[[#This Row],[Unit Price]])</f>
        <v/>
      </c>
      <c r="Z177" s="274" t="str">
        <f>IF(Table1[[#This Row],[h_hargasebelumdiskon]]="","",IF(Table1[[#This Row],[Disc 1]]="",0,Table1[[#This Row],[h_hargasebelumdiskon]]*Table1[[#This Row],[Disc 1]]))</f>
        <v/>
      </c>
      <c r="AA177" s="274" t="str">
        <f>IF(Table1[[#This Row],[h_hargasebelumdiskon]]="","",IF(Table1[[#This Row],[Disc 2]]="",0,(Table1[[#This Row],[h_hargasebelumdiskon]]-Table1[[#This Row],[h_disc 1]])*Table1[[#This Row],[Disc 2]]))</f>
        <v/>
      </c>
      <c r="AB177" s="274" t="str">
        <f>IF(Table1[Item Description]="","",Table1[[#This Row],[h_disc 1]]+Table1[[#This Row],[h_disc 2]])</f>
        <v/>
      </c>
      <c r="AC177" s="274" t="str">
        <f>IF(Table1[Item Description]="","",Table1[[#This Row],[h_hargasebelumdiskon]]-Table1[[#This Row],[h_diskon]])</f>
        <v/>
      </c>
      <c r="AD177" s="274" t="str">
        <f ca="1">IF(Table1[//]="","",SUMIF(Table1[h_id],Table1[h_id],Table1[h_hargasetelahdiskon]))</f>
        <v/>
      </c>
      <c r="AF177" s="274" t="str">
        <f>Table1[[#This Row],[Item Description]]&amp;Table1[[#This Row],[Unit]]&amp;Table1[[#This Row],[Unit Price]]</f>
        <v/>
      </c>
      <c r="AG177" s="3"/>
      <c r="AH177" s="3"/>
      <c r="AI177" s="3"/>
    </row>
    <row r="178" spans="1:35" x14ac:dyDescent="0.25">
      <c r="A178" s="278" t="str">
        <f ca="1">IF(Table1[[#This Row],[No. Invoice :]]="","",ROW())</f>
        <v/>
      </c>
      <c r="B178" s="278" t="str">
        <f ca="1">IF(Table1[Column3]="","",B$1+COUNT(INDIRECT("B$2:B"&amp;ROW()-1)))</f>
        <v/>
      </c>
      <c r="C178" s="272" t="str">
        <f>IF(Table1[[#This Row],[Column2]]="","",Table1[[#This Row],[Column2]]+C$1-1)</f>
        <v/>
      </c>
      <c r="E178" s="273"/>
      <c r="F178" s="271"/>
      <c r="G178" s="278" t="str">
        <f ca="1">IF(Table1[[#This Row],[h_No. Invoice :]]="","",CONCATENATE("AM"," ",Table1[[#This Row],[h_No. Invoice :]]))</f>
        <v/>
      </c>
      <c r="H178" s="271" t="str">
        <f>IF(Table1[[#This Row],[Column5]]="","",INDEX(Table2[Column1],MATCH(Table1[[#This Row],[Column5]],Table2[a],0)))</f>
        <v/>
      </c>
      <c r="I178" s="279" t="str">
        <f>IF(Table1[[#This Row],[Column3]]=0,"",CONCATENATE(UPPER(Table1[[#This Row],[Column3]])," ",Table1[[#This Row],[Column4]]))</f>
        <v xml:space="preserve"> </v>
      </c>
      <c r="J178" s="278" t="str">
        <f>IF(Table1[[#This Row],[Column5]]="","",INDEX(Table2[e],IF(Table1[[#This Row],[Column5]]="","",MATCH(Table1[[#This Row],[Column5]],Table2[a],0)),))</f>
        <v/>
      </c>
      <c r="K178" s="271"/>
      <c r="L178" s="271"/>
      <c r="O178" s="278" t="str">
        <f>IF(Table1[[#This Row],[h_Item Description]]="","",INDEX([1]!db[NB PAJAK],MATCH(Table1[[#This Row],[h_Item Description]],[1]!db[kode],0)))</f>
        <v/>
      </c>
      <c r="Q178" s="274"/>
      <c r="R178" s="275"/>
      <c r="S178" s="275"/>
      <c r="T178" s="274" t="str">
        <f>Table1[[#This Row],[h_hargasetelahdiskon]]</f>
        <v/>
      </c>
      <c r="V178" s="271"/>
      <c r="W178" s="278" t="str">
        <f ca="1">IF(Table1[[#This Row],[Item Description]]="","",IF(Table1[[#This Row],[//]]="",INDIRECT(ADDRESS(ROW()-1,COLUMN())),Table1[[#This Row],[//]]))</f>
        <v/>
      </c>
      <c r="X178" s="278" t="str">
        <f ca="1">IF(Table1[[#This Row],[h_id]]="","",COUNTIF(Table1[h_id],Table1[[#This Row],[h_id]]))</f>
        <v/>
      </c>
      <c r="Y178" s="274" t="str">
        <f>IF(Table1[Item Description]="","",Table1[[#This Row],[Qty]]*Table1[[#This Row],[Unit Price]])</f>
        <v/>
      </c>
      <c r="Z178" s="274" t="str">
        <f>IF(Table1[[#This Row],[h_hargasebelumdiskon]]="","",IF(Table1[[#This Row],[Disc 1]]="",0,Table1[[#This Row],[h_hargasebelumdiskon]]*Table1[[#This Row],[Disc 1]]))</f>
        <v/>
      </c>
      <c r="AA178" s="274" t="str">
        <f>IF(Table1[[#This Row],[h_hargasebelumdiskon]]="","",IF(Table1[[#This Row],[Disc 2]]="",0,(Table1[[#This Row],[h_hargasebelumdiskon]]-Table1[[#This Row],[h_disc 1]])*Table1[[#This Row],[Disc 2]]))</f>
        <v/>
      </c>
      <c r="AB178" s="274" t="str">
        <f>IF(Table1[Item Description]="","",Table1[[#This Row],[h_disc 1]]+Table1[[#This Row],[h_disc 2]])</f>
        <v/>
      </c>
      <c r="AC178" s="274" t="str">
        <f>IF(Table1[Item Description]="","",Table1[[#This Row],[h_hargasebelumdiskon]]-Table1[[#This Row],[h_diskon]])</f>
        <v/>
      </c>
      <c r="AD178" s="274" t="str">
        <f ca="1">IF(Table1[//]="","",SUMIF(Table1[h_id],Table1[h_id],Table1[h_hargasetelahdiskon]))</f>
        <v/>
      </c>
      <c r="AF178" s="274" t="str">
        <f>Table1[[#This Row],[Item Description]]&amp;Table1[[#This Row],[Unit]]&amp;Table1[[#This Row],[Unit Price]]</f>
        <v/>
      </c>
      <c r="AG178" s="3"/>
      <c r="AH178" s="3"/>
      <c r="AI178" s="3"/>
    </row>
    <row r="179" spans="1:35" x14ac:dyDescent="0.25">
      <c r="A179" s="278" t="str">
        <f ca="1">IF(Table1[[#This Row],[No. Invoice :]]="","",ROW())</f>
        <v/>
      </c>
      <c r="B179" s="278" t="str">
        <f ca="1">IF(Table1[Column3]="","",B$1+COUNT(INDIRECT("B$2:B"&amp;ROW()-1)))</f>
        <v/>
      </c>
      <c r="C179" s="272" t="str">
        <f>IF(Table1[[#This Row],[Column2]]="","",Table1[[#This Row],[Column2]]+C$1-1)</f>
        <v/>
      </c>
      <c r="E179" s="273"/>
      <c r="F179" s="271"/>
      <c r="G179" s="278" t="str">
        <f ca="1">IF(Table1[[#This Row],[h_No. Invoice :]]="","",CONCATENATE("AM"," ",Table1[[#This Row],[h_No. Invoice :]]))</f>
        <v/>
      </c>
      <c r="H179" s="271" t="str">
        <f>IF(Table1[[#This Row],[Column5]]="","",INDEX(Table2[Column1],MATCH(Table1[[#This Row],[Column5]],Table2[a],0)))</f>
        <v/>
      </c>
      <c r="I179" s="279" t="str">
        <f>IF(Table1[[#This Row],[Column3]]=0,"",CONCATENATE(UPPER(Table1[[#This Row],[Column3]])," ",Table1[[#This Row],[Column4]]))</f>
        <v xml:space="preserve"> </v>
      </c>
      <c r="J179" s="278" t="str">
        <f>IF(Table1[[#This Row],[Column5]]="","",INDEX(Table2[e],IF(Table1[[#This Row],[Column5]]="","",MATCH(Table1[[#This Row],[Column5]],Table2[a],0)),))</f>
        <v/>
      </c>
      <c r="K179" s="271"/>
      <c r="L179" s="271"/>
      <c r="O179" s="278" t="str">
        <f>IF(Table1[[#This Row],[h_Item Description]]="","",INDEX([1]!db[NB PAJAK],MATCH(Table1[[#This Row],[h_Item Description]],[1]!db[kode],0)))</f>
        <v/>
      </c>
      <c r="Q179" s="274"/>
      <c r="R179" s="275"/>
      <c r="S179" s="275"/>
      <c r="T179" s="274" t="str">
        <f>Table1[[#This Row],[h_hargasetelahdiskon]]</f>
        <v/>
      </c>
      <c r="V179" s="271"/>
      <c r="W179" s="278" t="str">
        <f ca="1">IF(Table1[[#This Row],[Item Description]]="","",IF(Table1[[#This Row],[//]]="",INDIRECT(ADDRESS(ROW()-1,COLUMN())),Table1[[#This Row],[//]]))</f>
        <v/>
      </c>
      <c r="X179" s="278" t="str">
        <f ca="1">IF(Table1[[#This Row],[h_id]]="","",COUNTIF(Table1[h_id],Table1[[#This Row],[h_id]]))</f>
        <v/>
      </c>
      <c r="Y179" s="274" t="str">
        <f>IF(Table1[Item Description]="","",Table1[[#This Row],[Qty]]*Table1[[#This Row],[Unit Price]])</f>
        <v/>
      </c>
      <c r="Z179" s="274" t="str">
        <f>IF(Table1[[#This Row],[h_hargasebelumdiskon]]="","",IF(Table1[[#This Row],[Disc 1]]="",0,Table1[[#This Row],[h_hargasebelumdiskon]]*Table1[[#This Row],[Disc 1]]))</f>
        <v/>
      </c>
      <c r="AA179" s="274" t="str">
        <f>IF(Table1[[#This Row],[h_hargasebelumdiskon]]="","",IF(Table1[[#This Row],[Disc 2]]="",0,(Table1[[#This Row],[h_hargasebelumdiskon]]-Table1[[#This Row],[h_disc 1]])*Table1[[#This Row],[Disc 2]]))</f>
        <v/>
      </c>
      <c r="AB179" s="274" t="str">
        <f>IF(Table1[Item Description]="","",Table1[[#This Row],[h_disc 1]]+Table1[[#This Row],[h_disc 2]])</f>
        <v/>
      </c>
      <c r="AC179" s="274" t="str">
        <f>IF(Table1[Item Description]="","",Table1[[#This Row],[h_hargasebelumdiskon]]-Table1[[#This Row],[h_diskon]])</f>
        <v/>
      </c>
      <c r="AD179" s="274" t="str">
        <f ca="1">IF(Table1[//]="","",SUMIF(Table1[h_id],Table1[h_id],Table1[h_hargasetelahdiskon]))</f>
        <v/>
      </c>
      <c r="AF179" s="274" t="str">
        <f>Table1[[#This Row],[Item Description]]&amp;Table1[[#This Row],[Unit]]&amp;Table1[[#This Row],[Unit Price]]</f>
        <v/>
      </c>
      <c r="AG179" s="3"/>
      <c r="AH179" s="3"/>
      <c r="AI179" s="3"/>
    </row>
    <row r="180" spans="1:35" x14ac:dyDescent="0.25">
      <c r="A180" s="278" t="str">
        <f ca="1">IF(Table1[[#This Row],[No. Invoice :]]="","",ROW())</f>
        <v/>
      </c>
      <c r="B180" s="278" t="str">
        <f ca="1">IF(Table1[Column3]="","",B$1+COUNT(INDIRECT("B$2:B"&amp;ROW()-1)))</f>
        <v/>
      </c>
      <c r="C180" s="272" t="str">
        <f>IF(Table1[[#This Row],[Column2]]="","",Table1[[#This Row],[Column2]]+C$1-1)</f>
        <v/>
      </c>
      <c r="E180" s="273"/>
      <c r="F180" s="271"/>
      <c r="G180" s="278" t="str">
        <f ca="1">IF(Table1[[#This Row],[h_No. Invoice :]]="","",CONCATENATE("AM"," ",Table1[[#This Row],[h_No. Invoice :]]))</f>
        <v/>
      </c>
      <c r="H180" s="271" t="str">
        <f>IF(Table1[[#This Row],[Column5]]="","",INDEX(Table2[Column1],MATCH(Table1[[#This Row],[Column5]],Table2[a],0)))</f>
        <v/>
      </c>
      <c r="I180" s="279" t="str">
        <f>IF(Table1[[#This Row],[Column3]]=0,"",CONCATENATE(UPPER(Table1[[#This Row],[Column3]])," ",Table1[[#This Row],[Column4]]))</f>
        <v xml:space="preserve"> </v>
      </c>
      <c r="J180" s="278" t="str">
        <f>IF(Table1[[#This Row],[Column5]]="","",INDEX(Table2[e],IF(Table1[[#This Row],[Column5]]="","",MATCH(Table1[[#This Row],[Column5]],Table2[a],0)),))</f>
        <v/>
      </c>
      <c r="K180" s="271"/>
      <c r="L180" s="271"/>
      <c r="O180" s="278" t="str">
        <f>IF(Table1[[#This Row],[h_Item Description]]="","",INDEX([1]!db[NB PAJAK],MATCH(Table1[[#This Row],[h_Item Description]],[1]!db[kode],0)))</f>
        <v/>
      </c>
      <c r="Q180" s="274"/>
      <c r="R180" s="275"/>
      <c r="S180" s="275"/>
      <c r="T180" s="274" t="str">
        <f>Table1[[#This Row],[h_hargasetelahdiskon]]</f>
        <v/>
      </c>
      <c r="V180" s="271"/>
      <c r="W180" s="278" t="str">
        <f ca="1">IF(Table1[[#This Row],[Item Description]]="","",IF(Table1[[#This Row],[//]]="",INDIRECT(ADDRESS(ROW()-1,COLUMN())),Table1[[#This Row],[//]]))</f>
        <v/>
      </c>
      <c r="X180" s="278" t="str">
        <f ca="1">IF(Table1[[#This Row],[h_id]]="","",COUNTIF(Table1[h_id],Table1[[#This Row],[h_id]]))</f>
        <v/>
      </c>
      <c r="Y180" s="274" t="str">
        <f>IF(Table1[Item Description]="","",Table1[[#This Row],[Qty]]*Table1[[#This Row],[Unit Price]])</f>
        <v/>
      </c>
      <c r="Z180" s="274" t="str">
        <f>IF(Table1[[#This Row],[h_hargasebelumdiskon]]="","",IF(Table1[[#This Row],[Disc 1]]="",0,Table1[[#This Row],[h_hargasebelumdiskon]]*Table1[[#This Row],[Disc 1]]))</f>
        <v/>
      </c>
      <c r="AA180" s="274" t="str">
        <f>IF(Table1[[#This Row],[h_hargasebelumdiskon]]="","",IF(Table1[[#This Row],[Disc 2]]="",0,(Table1[[#This Row],[h_hargasebelumdiskon]]-Table1[[#This Row],[h_disc 1]])*Table1[[#This Row],[Disc 2]]))</f>
        <v/>
      </c>
      <c r="AB180" s="274" t="str">
        <f>IF(Table1[Item Description]="","",Table1[[#This Row],[h_disc 1]]+Table1[[#This Row],[h_disc 2]])</f>
        <v/>
      </c>
      <c r="AC180" s="274" t="str">
        <f>IF(Table1[Item Description]="","",Table1[[#This Row],[h_hargasebelumdiskon]]-Table1[[#This Row],[h_diskon]])</f>
        <v/>
      </c>
      <c r="AD180" s="274" t="str">
        <f ca="1">IF(Table1[//]="","",SUMIF(Table1[h_id],Table1[h_id],Table1[h_hargasetelahdiskon]))</f>
        <v/>
      </c>
      <c r="AF180" s="274" t="str">
        <f>Table1[[#This Row],[Item Description]]&amp;Table1[[#This Row],[Unit]]&amp;Table1[[#This Row],[Unit Price]]</f>
        <v/>
      </c>
      <c r="AG180" s="3"/>
      <c r="AH180" s="3"/>
      <c r="AI180" s="3"/>
    </row>
    <row r="181" spans="1:35" x14ac:dyDescent="0.25">
      <c r="A181" s="278" t="str">
        <f ca="1">IF(Table1[[#This Row],[No. Invoice :]]="","",ROW())</f>
        <v/>
      </c>
      <c r="B181" s="278" t="str">
        <f ca="1">IF(Table1[Column3]="","",B$1+COUNT(INDIRECT("B$2:B"&amp;ROW()-1)))</f>
        <v/>
      </c>
      <c r="C181" s="272" t="str">
        <f>IF(Table1[[#This Row],[Column2]]="","",Table1[[#This Row],[Column2]]+C$1-1)</f>
        <v/>
      </c>
      <c r="E181" s="273"/>
      <c r="F181" s="271"/>
      <c r="G181" s="278" t="str">
        <f ca="1">IF(Table1[[#This Row],[h_No. Invoice :]]="","",CONCATENATE("AM"," ",Table1[[#This Row],[h_No. Invoice :]]))</f>
        <v/>
      </c>
      <c r="H181" s="271" t="str">
        <f>IF(Table1[[#This Row],[Column5]]="","",INDEX(Table2[Column1],MATCH(Table1[[#This Row],[Column5]],Table2[a],0)))</f>
        <v/>
      </c>
      <c r="I181" s="279" t="str">
        <f>IF(Table1[[#This Row],[Column3]]=0,"",CONCATENATE(UPPER(Table1[[#This Row],[Column3]])," ",Table1[[#This Row],[Column4]]))</f>
        <v xml:space="preserve"> </v>
      </c>
      <c r="J181" s="278" t="str">
        <f>IF(Table1[[#This Row],[Column5]]="","",INDEX(Table2[e],IF(Table1[[#This Row],[Column5]]="","",MATCH(Table1[[#This Row],[Column5]],Table2[a],0)),))</f>
        <v/>
      </c>
      <c r="K181" s="271"/>
      <c r="L181" s="271"/>
      <c r="O181" s="278" t="str">
        <f>IF(Table1[[#This Row],[h_Item Description]]="","",INDEX([1]!db[NB PAJAK],MATCH(Table1[[#This Row],[h_Item Description]],[1]!db[kode],0)))</f>
        <v/>
      </c>
      <c r="Q181" s="274"/>
      <c r="R181" s="275"/>
      <c r="S181" s="275"/>
      <c r="T181" s="274" t="str">
        <f>Table1[[#This Row],[h_hargasetelahdiskon]]</f>
        <v/>
      </c>
      <c r="V181" s="271"/>
      <c r="W181" s="278" t="str">
        <f ca="1">IF(Table1[[#This Row],[Item Description]]="","",IF(Table1[[#This Row],[//]]="",INDIRECT(ADDRESS(ROW()-1,COLUMN())),Table1[[#This Row],[//]]))</f>
        <v/>
      </c>
      <c r="X181" s="278" t="str">
        <f ca="1">IF(Table1[[#This Row],[h_id]]="","",COUNTIF(Table1[h_id],Table1[[#This Row],[h_id]]))</f>
        <v/>
      </c>
      <c r="Y181" s="274" t="str">
        <f>IF(Table1[Item Description]="","",Table1[[#This Row],[Qty]]*Table1[[#This Row],[Unit Price]])</f>
        <v/>
      </c>
      <c r="Z181" s="274" t="str">
        <f>IF(Table1[[#This Row],[h_hargasebelumdiskon]]="","",IF(Table1[[#This Row],[Disc 1]]="",0,Table1[[#This Row],[h_hargasebelumdiskon]]*Table1[[#This Row],[Disc 1]]))</f>
        <v/>
      </c>
      <c r="AA181" s="274" t="str">
        <f>IF(Table1[[#This Row],[h_hargasebelumdiskon]]="","",IF(Table1[[#This Row],[Disc 2]]="",0,(Table1[[#This Row],[h_hargasebelumdiskon]]-Table1[[#This Row],[h_disc 1]])*Table1[[#This Row],[Disc 2]]))</f>
        <v/>
      </c>
      <c r="AB181" s="274" t="str">
        <f>IF(Table1[Item Description]="","",Table1[[#This Row],[h_disc 1]]+Table1[[#This Row],[h_disc 2]])</f>
        <v/>
      </c>
      <c r="AC181" s="274" t="str">
        <f>IF(Table1[Item Description]="","",Table1[[#This Row],[h_hargasebelumdiskon]]-Table1[[#This Row],[h_diskon]])</f>
        <v/>
      </c>
      <c r="AD181" s="274" t="str">
        <f ca="1">IF(Table1[//]="","",SUMIF(Table1[h_id],Table1[h_id],Table1[h_hargasetelahdiskon]))</f>
        <v/>
      </c>
      <c r="AF181" s="274" t="str">
        <f>Table1[[#This Row],[Item Description]]&amp;Table1[[#This Row],[Unit]]&amp;Table1[[#This Row],[Unit Price]]</f>
        <v/>
      </c>
      <c r="AG181" s="3"/>
      <c r="AH181" s="3"/>
      <c r="AI181" s="3"/>
    </row>
    <row r="182" spans="1:35" x14ac:dyDescent="0.25">
      <c r="A182" s="278" t="str">
        <f ca="1">IF(Table1[[#This Row],[No. Invoice :]]="","",ROW())</f>
        <v/>
      </c>
      <c r="B182" s="278" t="str">
        <f ca="1">IF(Table1[Column3]="","",B$1+COUNT(INDIRECT("B$2:B"&amp;ROW()-1)))</f>
        <v/>
      </c>
      <c r="C182" s="272" t="str">
        <f>IF(Table1[[#This Row],[Column2]]="","",Table1[[#This Row],[Column2]]+C$1-1)</f>
        <v/>
      </c>
      <c r="E182" s="273"/>
      <c r="F182" s="271"/>
      <c r="G182" s="278" t="str">
        <f ca="1">IF(Table1[[#This Row],[h_No. Invoice :]]="","",CONCATENATE("AM"," ",Table1[[#This Row],[h_No. Invoice :]]))</f>
        <v/>
      </c>
      <c r="H182" s="271" t="str">
        <f>IF(Table1[[#This Row],[Column5]]="","",INDEX(Table2[Column1],MATCH(Table1[[#This Row],[Column5]],Table2[a],0)))</f>
        <v/>
      </c>
      <c r="I182" s="279" t="str">
        <f>IF(Table1[[#This Row],[Column3]]=0,"",CONCATENATE(UPPER(Table1[[#This Row],[Column3]])," ",Table1[[#This Row],[Column4]]))</f>
        <v xml:space="preserve"> </v>
      </c>
      <c r="J182" s="278" t="str">
        <f>IF(Table1[[#This Row],[Column5]]="","",INDEX(Table2[e],IF(Table1[[#This Row],[Column5]]="","",MATCH(Table1[[#This Row],[Column5]],Table2[a],0)),))</f>
        <v/>
      </c>
      <c r="K182" s="271"/>
      <c r="L182" s="271"/>
      <c r="O182" s="278" t="str">
        <f>IF(Table1[[#This Row],[h_Item Description]]="","",INDEX([1]!db[NB PAJAK],MATCH(Table1[[#This Row],[h_Item Description]],[1]!db[kode],0)))</f>
        <v/>
      </c>
      <c r="Q182" s="274"/>
      <c r="R182" s="275"/>
      <c r="S182" s="275"/>
      <c r="T182" s="274" t="str">
        <f>Table1[[#This Row],[h_hargasetelahdiskon]]</f>
        <v/>
      </c>
      <c r="V182" s="271"/>
      <c r="W182" s="278" t="str">
        <f ca="1">IF(Table1[[#This Row],[Item Description]]="","",IF(Table1[[#This Row],[//]]="",INDIRECT(ADDRESS(ROW()-1,COLUMN())),Table1[[#This Row],[//]]))</f>
        <v/>
      </c>
      <c r="X182" s="278" t="str">
        <f ca="1">IF(Table1[[#This Row],[h_id]]="","",COUNTIF(Table1[h_id],Table1[[#This Row],[h_id]]))</f>
        <v/>
      </c>
      <c r="Y182" s="274" t="str">
        <f>IF(Table1[Item Description]="","",Table1[[#This Row],[Qty]]*Table1[[#This Row],[Unit Price]])</f>
        <v/>
      </c>
      <c r="Z182" s="274" t="str">
        <f>IF(Table1[[#This Row],[h_hargasebelumdiskon]]="","",IF(Table1[[#This Row],[Disc 1]]="",0,Table1[[#This Row],[h_hargasebelumdiskon]]*Table1[[#This Row],[Disc 1]]))</f>
        <v/>
      </c>
      <c r="AA182" s="274" t="str">
        <f>IF(Table1[[#This Row],[h_hargasebelumdiskon]]="","",IF(Table1[[#This Row],[Disc 2]]="",0,(Table1[[#This Row],[h_hargasebelumdiskon]]-Table1[[#This Row],[h_disc 1]])*Table1[[#This Row],[Disc 2]]))</f>
        <v/>
      </c>
      <c r="AB182" s="274" t="str">
        <f>IF(Table1[Item Description]="","",Table1[[#This Row],[h_disc 1]]+Table1[[#This Row],[h_disc 2]])</f>
        <v/>
      </c>
      <c r="AC182" s="274" t="str">
        <f>IF(Table1[Item Description]="","",Table1[[#This Row],[h_hargasebelumdiskon]]-Table1[[#This Row],[h_diskon]])</f>
        <v/>
      </c>
      <c r="AD182" s="274" t="str">
        <f ca="1">IF(Table1[//]="","",SUMIF(Table1[h_id],Table1[h_id],Table1[h_hargasetelahdiskon]))</f>
        <v/>
      </c>
      <c r="AF182" s="274" t="str">
        <f>Table1[[#This Row],[Item Description]]&amp;Table1[[#This Row],[Unit]]&amp;Table1[[#This Row],[Unit Price]]</f>
        <v/>
      </c>
      <c r="AG182" s="3"/>
      <c r="AH182" s="3"/>
      <c r="AI182" s="3"/>
    </row>
    <row r="183" spans="1:35" x14ac:dyDescent="0.25">
      <c r="A183" s="278" t="str">
        <f ca="1">IF(Table1[[#This Row],[No. Invoice :]]="","",ROW())</f>
        <v/>
      </c>
      <c r="B183" s="278" t="str">
        <f ca="1">IF(Table1[Column3]="","",B$1+COUNT(INDIRECT("B$2:B"&amp;ROW()-1)))</f>
        <v/>
      </c>
      <c r="C183" s="272" t="str">
        <f>IF(Table1[[#This Row],[Column2]]="","",Table1[[#This Row],[Column2]]+C$1-1)</f>
        <v/>
      </c>
      <c r="E183" s="273"/>
      <c r="F183" s="271"/>
      <c r="G183" s="278" t="str">
        <f ca="1">IF(Table1[[#This Row],[h_No. Invoice :]]="","",CONCATENATE("AM"," ",Table1[[#This Row],[h_No. Invoice :]]))</f>
        <v/>
      </c>
      <c r="H183" s="271" t="str">
        <f>IF(Table1[[#This Row],[Column5]]="","",INDEX(Table2[Column1],MATCH(Table1[[#This Row],[Column5]],Table2[a],0)))</f>
        <v/>
      </c>
      <c r="I183" s="279" t="str">
        <f>IF(Table1[[#This Row],[Column3]]=0,"",CONCATENATE(UPPER(Table1[[#This Row],[Column3]])," ",Table1[[#This Row],[Column4]]))</f>
        <v xml:space="preserve"> </v>
      </c>
      <c r="J183" s="278" t="str">
        <f>IF(Table1[[#This Row],[Column5]]="","",INDEX(Table2[e],IF(Table1[[#This Row],[Column5]]="","",MATCH(Table1[[#This Row],[Column5]],Table2[a],0)),))</f>
        <v/>
      </c>
      <c r="K183" s="271"/>
      <c r="L183" s="271"/>
      <c r="O183" s="278" t="str">
        <f>IF(Table1[[#This Row],[h_Item Description]]="","",INDEX([1]!db[NB PAJAK],MATCH(Table1[[#This Row],[h_Item Description]],[1]!db[kode],0)))</f>
        <v/>
      </c>
      <c r="Q183" s="274"/>
      <c r="R183" s="275"/>
      <c r="S183" s="275"/>
      <c r="T183" s="274" t="str">
        <f>Table1[[#This Row],[h_hargasetelahdiskon]]</f>
        <v/>
      </c>
      <c r="V183" s="271"/>
      <c r="W183" s="278" t="str">
        <f ca="1">IF(Table1[[#This Row],[Item Description]]="","",IF(Table1[[#This Row],[//]]="",INDIRECT(ADDRESS(ROW()-1,COLUMN())),Table1[[#This Row],[//]]))</f>
        <v/>
      </c>
      <c r="X183" s="278" t="str">
        <f ca="1">IF(Table1[[#This Row],[h_id]]="","",COUNTIF(Table1[h_id],Table1[[#This Row],[h_id]]))</f>
        <v/>
      </c>
      <c r="Y183" s="274" t="str">
        <f>IF(Table1[Item Description]="","",Table1[[#This Row],[Qty]]*Table1[[#This Row],[Unit Price]])</f>
        <v/>
      </c>
      <c r="Z183" s="274" t="str">
        <f>IF(Table1[[#This Row],[h_hargasebelumdiskon]]="","",IF(Table1[[#This Row],[Disc 1]]="",0,Table1[[#This Row],[h_hargasebelumdiskon]]*Table1[[#This Row],[Disc 1]]))</f>
        <v/>
      </c>
      <c r="AA183" s="274" t="str">
        <f>IF(Table1[[#This Row],[h_hargasebelumdiskon]]="","",IF(Table1[[#This Row],[Disc 2]]="",0,(Table1[[#This Row],[h_hargasebelumdiskon]]-Table1[[#This Row],[h_disc 1]])*Table1[[#This Row],[Disc 2]]))</f>
        <v/>
      </c>
      <c r="AB183" s="274" t="str">
        <f>IF(Table1[Item Description]="","",Table1[[#This Row],[h_disc 1]]+Table1[[#This Row],[h_disc 2]])</f>
        <v/>
      </c>
      <c r="AC183" s="274" t="str">
        <f>IF(Table1[Item Description]="","",Table1[[#This Row],[h_hargasebelumdiskon]]-Table1[[#This Row],[h_diskon]])</f>
        <v/>
      </c>
      <c r="AD183" s="274" t="str">
        <f ca="1">IF(Table1[//]="","",SUMIF(Table1[h_id],Table1[h_id],Table1[h_hargasetelahdiskon]))</f>
        <v/>
      </c>
      <c r="AF183" s="274" t="str">
        <f>Table1[[#This Row],[Item Description]]&amp;Table1[[#This Row],[Unit]]&amp;Table1[[#This Row],[Unit Price]]</f>
        <v/>
      </c>
      <c r="AG183" s="3"/>
      <c r="AH183" s="3"/>
      <c r="AI183" s="3"/>
    </row>
    <row r="184" spans="1:35" x14ac:dyDescent="0.25">
      <c r="A184" s="278" t="str">
        <f ca="1">IF(Table1[[#This Row],[No. Invoice :]]="","",ROW())</f>
        <v/>
      </c>
      <c r="B184" s="278" t="str">
        <f ca="1">IF(Table1[Column3]="","",B$1+COUNT(INDIRECT("B$2:B"&amp;ROW()-1)))</f>
        <v/>
      </c>
      <c r="C184" s="272" t="str">
        <f>IF(Table1[[#This Row],[Column2]]="","",Table1[[#This Row],[Column2]]+C$1-1)</f>
        <v/>
      </c>
      <c r="E184" s="273"/>
      <c r="F184" s="271"/>
      <c r="G184" s="278" t="str">
        <f ca="1">IF(Table1[[#This Row],[h_No. Invoice :]]="","",CONCATENATE("AM"," ",Table1[[#This Row],[h_No. Invoice :]]))</f>
        <v/>
      </c>
      <c r="H184" s="271" t="str">
        <f>IF(Table1[[#This Row],[Column5]]="","",INDEX(Table2[Column1],MATCH(Table1[[#This Row],[Column5]],Table2[a],0)))</f>
        <v/>
      </c>
      <c r="I184" s="279" t="str">
        <f>IF(Table1[[#This Row],[Column3]]=0,"",CONCATENATE(UPPER(Table1[[#This Row],[Column3]])," ",Table1[[#This Row],[Column4]]))</f>
        <v xml:space="preserve"> </v>
      </c>
      <c r="J184" s="278" t="str">
        <f>IF(Table1[[#This Row],[Column5]]="","",INDEX(Table2[e],IF(Table1[[#This Row],[Column5]]="","",MATCH(Table1[[#This Row],[Column5]],Table2[a],0)),))</f>
        <v/>
      </c>
      <c r="K184" s="271"/>
      <c r="L184" s="271"/>
      <c r="O184" s="278" t="str">
        <f>IF(Table1[[#This Row],[h_Item Description]]="","",INDEX([1]!db[NB PAJAK],MATCH(Table1[[#This Row],[h_Item Description]],[1]!db[kode],0)))</f>
        <v/>
      </c>
      <c r="P184" s="278"/>
      <c r="Q184" s="274"/>
      <c r="R184" s="275"/>
      <c r="S184" s="275"/>
      <c r="T184" s="274" t="str">
        <f>Table1[[#This Row],[h_hargasetelahdiskon]]</f>
        <v/>
      </c>
      <c r="V184" s="271"/>
      <c r="W184" s="278" t="str">
        <f ca="1">IF(Table1[[#This Row],[Item Description]]="","",IF(Table1[[#This Row],[//]]="",INDIRECT(ADDRESS(ROW()-1,COLUMN())),Table1[[#This Row],[//]]))</f>
        <v/>
      </c>
      <c r="X184" s="278" t="str">
        <f ca="1">IF(Table1[[#This Row],[h_id]]="","",COUNTIF(Table1[h_id],Table1[[#This Row],[h_id]]))</f>
        <v/>
      </c>
      <c r="Y184" s="274" t="str">
        <f>IF(Table1[Item Description]="","",Table1[[#This Row],[Qty]]*Table1[[#This Row],[Unit Price]])</f>
        <v/>
      </c>
      <c r="Z184" s="274" t="str">
        <f>IF(Table1[[#This Row],[h_hargasebelumdiskon]]="","",IF(Table1[[#This Row],[Disc 1]]="",0,Table1[[#This Row],[h_hargasebelumdiskon]]*Table1[[#This Row],[Disc 1]]))</f>
        <v/>
      </c>
      <c r="AA184" s="274" t="str">
        <f>IF(Table1[[#This Row],[h_hargasebelumdiskon]]="","",IF(Table1[[#This Row],[Disc 2]]="",0,(Table1[[#This Row],[h_hargasebelumdiskon]]-Table1[[#This Row],[h_disc 1]])*Table1[[#This Row],[Disc 2]]))</f>
        <v/>
      </c>
      <c r="AB184" s="274" t="str">
        <f>IF(Table1[Item Description]="","",Table1[[#This Row],[h_disc 1]]+Table1[[#This Row],[h_disc 2]])</f>
        <v/>
      </c>
      <c r="AC184" s="274" t="str">
        <f>IF(Table1[Item Description]="","",Table1[[#This Row],[h_hargasebelumdiskon]]-Table1[[#This Row],[h_diskon]])</f>
        <v/>
      </c>
      <c r="AD184" s="274" t="str">
        <f ca="1">IF(Table1[//]="","",SUMIF(Table1[h_id],Table1[h_id],Table1[h_hargasetelahdiskon]))</f>
        <v/>
      </c>
      <c r="AF184" s="274" t="str">
        <f>Table1[[#This Row],[Item Description]]&amp;Table1[[#This Row],[Unit]]&amp;Table1[[#This Row],[Unit Price]]</f>
        <v/>
      </c>
      <c r="AG184" s="3"/>
      <c r="AH184" s="3"/>
      <c r="AI184" s="3"/>
    </row>
    <row r="185" spans="1:35" x14ac:dyDescent="0.25">
      <c r="A185" s="278" t="str">
        <f ca="1">IF(Table1[[#This Row],[No. Invoice :]]="","",ROW())</f>
        <v/>
      </c>
      <c r="B185" s="278" t="str">
        <f ca="1">IF(Table1[Column3]="","",B$1+COUNT(INDIRECT("B$2:B"&amp;ROW()-1)))</f>
        <v/>
      </c>
      <c r="C185" s="272" t="str">
        <f>IF(Table1[[#This Row],[Column2]]="","",Table1[[#This Row],[Column2]]+C$1-1)</f>
        <v/>
      </c>
      <c r="E185" s="273"/>
      <c r="F185" s="271"/>
      <c r="G185" s="278" t="str">
        <f ca="1">IF(Table1[[#This Row],[h_No. Invoice :]]="","",CONCATENATE("AM"," ",Table1[[#This Row],[h_No. Invoice :]]))</f>
        <v/>
      </c>
      <c r="H185" s="271" t="str">
        <f>IF(Table1[[#This Row],[Column5]]="","",INDEX(Table2[Column1],MATCH(Table1[[#This Row],[Column5]],Table2[a],0)))</f>
        <v/>
      </c>
      <c r="I185" s="279" t="str">
        <f>IF(Table1[[#This Row],[Column3]]=0,"",CONCATENATE(UPPER(Table1[[#This Row],[Column3]])," ",Table1[[#This Row],[Column4]]))</f>
        <v xml:space="preserve"> </v>
      </c>
      <c r="J185" s="278" t="str">
        <f>IF(Table1[[#This Row],[Column5]]="","",INDEX(Table2[e],IF(Table1[[#This Row],[Column5]]="","",MATCH(Table1[[#This Row],[Column5]],Table2[a],0)),))</f>
        <v/>
      </c>
      <c r="K185" s="271"/>
      <c r="L185" s="271"/>
      <c r="O185" s="278" t="str">
        <f>IF(Table1[[#This Row],[h_Item Description]]="","",INDEX([1]!db[NB PAJAK],MATCH(Table1[[#This Row],[h_Item Description]],[1]!db[kode],0)))</f>
        <v/>
      </c>
      <c r="Q185" s="274"/>
      <c r="R185" s="275"/>
      <c r="S185" s="275"/>
      <c r="T185" s="274" t="str">
        <f>Table1[[#This Row],[h_hargasetelahdiskon]]</f>
        <v/>
      </c>
      <c r="V185" s="271"/>
      <c r="W185" s="278" t="str">
        <f ca="1">IF(Table1[[#This Row],[Item Description]]="","",IF(Table1[[#This Row],[//]]="",INDIRECT(ADDRESS(ROW()-1,COLUMN())),Table1[[#This Row],[//]]))</f>
        <v/>
      </c>
      <c r="X185" s="278" t="str">
        <f ca="1">IF(Table1[[#This Row],[h_id]]="","",COUNTIF(Table1[h_id],Table1[[#This Row],[h_id]]))</f>
        <v/>
      </c>
      <c r="Y185" s="274" t="str">
        <f>IF(Table1[Item Description]="","",Table1[[#This Row],[Qty]]*Table1[[#This Row],[Unit Price]])</f>
        <v/>
      </c>
      <c r="Z185" s="274" t="str">
        <f>IF(Table1[[#This Row],[h_hargasebelumdiskon]]="","",IF(Table1[[#This Row],[Disc 1]]="",0,Table1[[#This Row],[h_hargasebelumdiskon]]*Table1[[#This Row],[Disc 1]]))</f>
        <v/>
      </c>
      <c r="AA185" s="274" t="str">
        <f>IF(Table1[[#This Row],[h_hargasebelumdiskon]]="","",IF(Table1[[#This Row],[Disc 2]]="",0,(Table1[[#This Row],[h_hargasebelumdiskon]]-Table1[[#This Row],[h_disc 1]])*Table1[[#This Row],[Disc 2]]))</f>
        <v/>
      </c>
      <c r="AB185" s="274" t="str">
        <f>IF(Table1[Item Description]="","",Table1[[#This Row],[h_disc 1]]+Table1[[#This Row],[h_disc 2]])</f>
        <v/>
      </c>
      <c r="AC185" s="274" t="str">
        <f>IF(Table1[Item Description]="","",Table1[[#This Row],[h_hargasebelumdiskon]]-Table1[[#This Row],[h_diskon]])</f>
        <v/>
      </c>
      <c r="AD185" s="274" t="str">
        <f ca="1">IF(Table1[//]="","",SUMIF(Table1[h_id],Table1[h_id],Table1[h_hargasetelahdiskon]))</f>
        <v/>
      </c>
      <c r="AF185" s="274" t="str">
        <f>Table1[[#This Row],[Item Description]]&amp;Table1[[#This Row],[Unit]]&amp;Table1[[#This Row],[Unit Price]]</f>
        <v/>
      </c>
      <c r="AG185" s="3"/>
      <c r="AH185" s="3"/>
      <c r="AI185" s="3"/>
    </row>
    <row r="186" spans="1:35" x14ac:dyDescent="0.25">
      <c r="A186" s="278" t="str">
        <f ca="1">IF(Table1[[#This Row],[No. Invoice :]]="","",ROW())</f>
        <v/>
      </c>
      <c r="B186" s="278" t="str">
        <f ca="1">IF(Table1[Column3]="","",B$1+COUNT(INDIRECT("B$2:B"&amp;ROW()-1)))</f>
        <v/>
      </c>
      <c r="C186" s="272" t="str">
        <f>IF(Table1[[#This Row],[Column2]]="","",Table1[[#This Row],[Column2]]+C$1-1)</f>
        <v/>
      </c>
      <c r="E186" s="273"/>
      <c r="F186" s="271"/>
      <c r="G186" s="278" t="str">
        <f ca="1">IF(Table1[[#This Row],[h_No. Invoice :]]="","",CONCATENATE("AM"," ",Table1[[#This Row],[h_No. Invoice :]]))</f>
        <v/>
      </c>
      <c r="H186" s="271" t="str">
        <f>IF(Table1[[#This Row],[Column5]]="","",INDEX(Table2[Column1],MATCH(Table1[[#This Row],[Column5]],Table2[a],0)))</f>
        <v/>
      </c>
      <c r="I186" s="279" t="str">
        <f>IF(Table1[[#This Row],[Column3]]=0,"",CONCATENATE(UPPER(Table1[[#This Row],[Column3]])," ",Table1[[#This Row],[Column4]]))</f>
        <v xml:space="preserve"> </v>
      </c>
      <c r="J186" s="278" t="str">
        <f>IF(Table1[[#This Row],[Column5]]="","",INDEX(Table2[e],IF(Table1[[#This Row],[Column5]]="","",MATCH(Table1[[#This Row],[Column5]],Table2[a],0)),))</f>
        <v/>
      </c>
      <c r="K186" s="271"/>
      <c r="L186" s="271"/>
      <c r="O186" s="278" t="str">
        <f>IF(Table1[[#This Row],[h_Item Description]]="","",INDEX([1]!db[NB PAJAK],MATCH(Table1[[#This Row],[h_Item Description]],[1]!db[kode],0)))</f>
        <v/>
      </c>
      <c r="Q186" s="274"/>
      <c r="R186" s="275"/>
      <c r="S186" s="275"/>
      <c r="T186" s="274" t="str">
        <f>Table1[[#This Row],[h_hargasetelahdiskon]]</f>
        <v/>
      </c>
      <c r="V186" s="271"/>
      <c r="W186" s="278" t="str">
        <f ca="1">IF(Table1[[#This Row],[Item Description]]="","",IF(Table1[[#This Row],[//]]="",INDIRECT(ADDRESS(ROW()-1,COLUMN())),Table1[[#This Row],[//]]))</f>
        <v/>
      </c>
      <c r="X186" s="278" t="str">
        <f ca="1">IF(Table1[[#This Row],[h_id]]="","",COUNTIF(Table1[h_id],Table1[[#This Row],[h_id]]))</f>
        <v/>
      </c>
      <c r="Y186" s="274" t="str">
        <f>IF(Table1[Item Description]="","",Table1[[#This Row],[Qty]]*Table1[[#This Row],[Unit Price]])</f>
        <v/>
      </c>
      <c r="Z186" s="274" t="str">
        <f>IF(Table1[[#This Row],[h_hargasebelumdiskon]]="","",IF(Table1[[#This Row],[Disc 1]]="",0,Table1[[#This Row],[h_hargasebelumdiskon]]*Table1[[#This Row],[Disc 1]]))</f>
        <v/>
      </c>
      <c r="AA186" s="274" t="str">
        <f>IF(Table1[[#This Row],[h_hargasebelumdiskon]]="","",IF(Table1[[#This Row],[Disc 2]]="",0,(Table1[[#This Row],[h_hargasebelumdiskon]]-Table1[[#This Row],[h_disc 1]])*Table1[[#This Row],[Disc 2]]))</f>
        <v/>
      </c>
      <c r="AB186" s="274" t="str">
        <f>IF(Table1[Item Description]="","",Table1[[#This Row],[h_disc 1]]+Table1[[#This Row],[h_disc 2]])</f>
        <v/>
      </c>
      <c r="AC186" s="274" t="str">
        <f>IF(Table1[Item Description]="","",Table1[[#This Row],[h_hargasebelumdiskon]]-Table1[[#This Row],[h_diskon]])</f>
        <v/>
      </c>
      <c r="AD186" s="274" t="str">
        <f ca="1">IF(Table1[//]="","",SUMIF(Table1[h_id],Table1[h_id],Table1[h_hargasetelahdiskon]))</f>
        <v/>
      </c>
      <c r="AF186" s="274" t="str">
        <f>Table1[[#This Row],[Item Description]]&amp;Table1[[#This Row],[Unit]]&amp;Table1[[#This Row],[Unit Price]]</f>
        <v/>
      </c>
      <c r="AG186" s="3"/>
      <c r="AH186" s="3"/>
      <c r="AI186" s="3"/>
    </row>
    <row r="187" spans="1:35" x14ac:dyDescent="0.25">
      <c r="A187" s="278" t="str">
        <f ca="1">IF(Table1[[#This Row],[No. Invoice :]]="","",ROW())</f>
        <v/>
      </c>
      <c r="B187" s="278" t="str">
        <f ca="1">IF(Table1[Column3]="","",B$1+COUNT(INDIRECT("B$2:B"&amp;ROW()-1)))</f>
        <v/>
      </c>
      <c r="C187" s="272" t="str">
        <f>IF(Table1[[#This Row],[Column2]]="","",Table1[[#This Row],[Column2]]+C$1-1)</f>
        <v/>
      </c>
      <c r="E187" s="273"/>
      <c r="F187" s="271"/>
      <c r="G187" s="278" t="str">
        <f ca="1">IF(Table1[[#This Row],[h_No. Invoice :]]="","",CONCATENATE("AM"," ",Table1[[#This Row],[h_No. Invoice :]]))</f>
        <v/>
      </c>
      <c r="H187" s="271" t="str">
        <f>IF(Table1[[#This Row],[Column5]]="","",INDEX(Table2[Column1],MATCH(Table1[[#This Row],[Column5]],Table2[a],0)))</f>
        <v/>
      </c>
      <c r="I187" s="279" t="str">
        <f>IF(Table1[[#This Row],[Column3]]=0,"",CONCATENATE(UPPER(Table1[[#This Row],[Column3]])," ",Table1[[#This Row],[Column4]]))</f>
        <v xml:space="preserve"> </v>
      </c>
      <c r="J187" s="278" t="str">
        <f>IF(Table1[[#This Row],[Column5]]="","",INDEX(Table2[e],IF(Table1[[#This Row],[Column5]]="","",MATCH(Table1[[#This Row],[Column5]],Table2[a],0)),))</f>
        <v/>
      </c>
      <c r="K187" s="271"/>
      <c r="L187" s="271"/>
      <c r="O187" s="278" t="str">
        <f>IF(Table1[[#This Row],[h_Item Description]]="","",INDEX([1]!db[NB PAJAK],MATCH(Table1[[#This Row],[h_Item Description]],[1]!db[kode],0)))</f>
        <v/>
      </c>
      <c r="Q187" s="274"/>
      <c r="R187" s="275"/>
      <c r="S187" s="275"/>
      <c r="T187" s="274" t="str">
        <f>Table1[[#This Row],[h_hargasetelahdiskon]]</f>
        <v/>
      </c>
      <c r="V187" s="271"/>
      <c r="W187" s="278" t="str">
        <f ca="1">IF(Table1[[#This Row],[Item Description]]="","",IF(Table1[[#This Row],[//]]="",INDIRECT(ADDRESS(ROW()-1,COLUMN())),Table1[[#This Row],[//]]))</f>
        <v/>
      </c>
      <c r="X187" s="278" t="str">
        <f ca="1">IF(Table1[[#This Row],[h_id]]="","",COUNTIF(Table1[h_id],Table1[[#This Row],[h_id]]))</f>
        <v/>
      </c>
      <c r="Y187" s="274" t="str">
        <f>IF(Table1[Item Description]="","",Table1[[#This Row],[Qty]]*Table1[[#This Row],[Unit Price]])</f>
        <v/>
      </c>
      <c r="Z187" s="274" t="str">
        <f>IF(Table1[[#This Row],[h_hargasebelumdiskon]]="","",IF(Table1[[#This Row],[Disc 1]]="",0,Table1[[#This Row],[h_hargasebelumdiskon]]*Table1[[#This Row],[Disc 1]]))</f>
        <v/>
      </c>
      <c r="AA187" s="274" t="str">
        <f>IF(Table1[[#This Row],[h_hargasebelumdiskon]]="","",IF(Table1[[#This Row],[Disc 2]]="",0,(Table1[[#This Row],[h_hargasebelumdiskon]]-Table1[[#This Row],[h_disc 1]])*Table1[[#This Row],[Disc 2]]))</f>
        <v/>
      </c>
      <c r="AB187" s="274" t="str">
        <f>IF(Table1[Item Description]="","",Table1[[#This Row],[h_disc 1]]+Table1[[#This Row],[h_disc 2]])</f>
        <v/>
      </c>
      <c r="AC187" s="274" t="str">
        <f>IF(Table1[Item Description]="","",Table1[[#This Row],[h_hargasebelumdiskon]]-Table1[[#This Row],[h_diskon]])</f>
        <v/>
      </c>
      <c r="AD187" s="274" t="str">
        <f ca="1">IF(Table1[//]="","",SUMIF(Table1[h_id],Table1[h_id],Table1[h_hargasetelahdiskon]))</f>
        <v/>
      </c>
      <c r="AF187" s="274" t="str">
        <f>Table1[[#This Row],[Item Description]]&amp;Table1[[#This Row],[Unit]]&amp;Table1[[#This Row],[Unit Price]]</f>
        <v/>
      </c>
      <c r="AG187" s="3"/>
      <c r="AH187" s="3"/>
      <c r="AI187" s="3"/>
    </row>
    <row r="188" spans="1:35" x14ac:dyDescent="0.25">
      <c r="A188" s="278" t="str">
        <f ca="1">IF(Table1[[#This Row],[No. Invoice :]]="","",ROW())</f>
        <v/>
      </c>
      <c r="B188" s="271" t="str">
        <f ca="1">IF(Table1[Column3]="","",B$1+COUNT(INDIRECT("B$2:B"&amp;ROW()-1)))</f>
        <v/>
      </c>
      <c r="C188" s="272" t="str">
        <f>IF(Table1[[#This Row],[Column2]]="","",Table1[[#This Row],[Column2]]+C$1-1)</f>
        <v/>
      </c>
      <c r="E188" s="273"/>
      <c r="F188" s="271"/>
      <c r="G188" s="278" t="str">
        <f ca="1">IF(Table1[[#This Row],[h_No. Invoice :]]="","",CONCATENATE("AM"," ",Table1[[#This Row],[h_No. Invoice :]]))</f>
        <v/>
      </c>
      <c r="H188" s="271" t="str">
        <f>IF(Table1[[#This Row],[Column5]]="","",INDEX(Table2[Column1],MATCH(Table1[[#This Row],[Column5]],Table2[a],0)))</f>
        <v/>
      </c>
      <c r="I188" s="279" t="str">
        <f>IF(Table1[[#This Row],[Column3]]=0,"",CONCATENATE(UPPER(Table1[[#This Row],[Column3]])," ",Table1[[#This Row],[Column4]]))</f>
        <v xml:space="preserve"> </v>
      </c>
      <c r="J188" s="278" t="str">
        <f>IF(Table1[[#This Row],[Column5]]="","",INDEX(Table2[e],IF(Table1[[#This Row],[Column5]]="","",MATCH(Table1[[#This Row],[Column5]],Table2[a],0)),))</f>
        <v/>
      </c>
      <c r="K188" s="271"/>
      <c r="L188" s="271"/>
      <c r="O188" s="278" t="str">
        <f>IF(Table1[[#This Row],[h_Item Description]]="","",INDEX([1]!db[NB PAJAK],MATCH(Table1[[#This Row],[h_Item Description]],[1]!db[kode],0)))</f>
        <v/>
      </c>
      <c r="P188" s="3"/>
      <c r="Q188" s="274"/>
      <c r="R188" s="275"/>
      <c r="S188" s="275"/>
      <c r="T188" s="274" t="str">
        <f>Table1[[#This Row],[h_hargasetelahdiskon]]</f>
        <v/>
      </c>
      <c r="V188" s="271"/>
      <c r="W188" s="278" t="str">
        <f ca="1">IF(Table1[[#This Row],[Item Description]]="","",IF(Table1[[#This Row],[//]]="",INDIRECT(ADDRESS(ROW()-1,COLUMN())),Table1[[#This Row],[//]]))</f>
        <v/>
      </c>
      <c r="X188" s="278" t="str">
        <f ca="1">IF(Table1[[#This Row],[h_id]]="","",COUNTIF(Table1[h_id],Table1[[#This Row],[h_id]]))</f>
        <v/>
      </c>
      <c r="Y188" s="274" t="str">
        <f>IF(Table1[Item Description]="","",Table1[[#This Row],[Qty]]*Table1[[#This Row],[Unit Price]])</f>
        <v/>
      </c>
      <c r="Z188" s="274" t="str">
        <f>IF(Table1[[#This Row],[h_hargasebelumdiskon]]="","",IF(Table1[[#This Row],[Disc 1]]="",0,Table1[[#This Row],[h_hargasebelumdiskon]]*Table1[[#This Row],[Disc 1]]))</f>
        <v/>
      </c>
      <c r="AA188" s="274" t="str">
        <f>IF(Table1[[#This Row],[h_hargasebelumdiskon]]="","",IF(Table1[[#This Row],[Disc 2]]="",0,(Table1[[#This Row],[h_hargasebelumdiskon]]-Table1[[#This Row],[h_disc 1]])*Table1[[#This Row],[Disc 2]]))</f>
        <v/>
      </c>
      <c r="AB188" s="274" t="str">
        <f>IF(Table1[Item Description]="","",Table1[[#This Row],[h_disc 1]]+Table1[[#This Row],[h_disc 2]])</f>
        <v/>
      </c>
      <c r="AC188" s="274" t="str">
        <f>IF(Table1[Item Description]="","",Table1[[#This Row],[h_hargasebelumdiskon]]-Table1[[#This Row],[h_diskon]])</f>
        <v/>
      </c>
      <c r="AD188" s="274" t="str">
        <f ca="1">IF(Table1[//]="","",SUMIF(Table1[h_id],Table1[h_id],Table1[h_hargasetelahdiskon]))</f>
        <v/>
      </c>
      <c r="AF188" s="274" t="str">
        <f>Table1[[#This Row],[Item Description]]&amp;Table1[[#This Row],[Unit]]&amp;Table1[[#This Row],[Unit Price]]</f>
        <v/>
      </c>
      <c r="AG188" s="3"/>
      <c r="AH188" s="3"/>
      <c r="AI188" s="3"/>
    </row>
    <row r="189" spans="1:35" x14ac:dyDescent="0.25">
      <c r="A189" s="278" t="str">
        <f ca="1">IF(Table1[[#This Row],[No. Invoice :]]="","",ROW())</f>
        <v/>
      </c>
      <c r="B189" s="278" t="str">
        <f ca="1">IF(Table1[Column3]="","",B$1+COUNT(INDIRECT("B$2:B"&amp;ROW()-1)))</f>
        <v/>
      </c>
      <c r="C189" s="272" t="str">
        <f>IF(Table1[[#This Row],[Column2]]="","",Table1[[#This Row],[Column2]]+C$1-1)</f>
        <v/>
      </c>
      <c r="E189" s="273"/>
      <c r="F189" s="271"/>
      <c r="G189" s="278" t="str">
        <f ca="1">IF(Table1[[#This Row],[h_No. Invoice :]]="","",CONCATENATE("AM"," ",Table1[[#This Row],[h_No. Invoice :]]))</f>
        <v/>
      </c>
      <c r="H189" s="271" t="str">
        <f>IF(Table1[[#This Row],[Column5]]="","",INDEX(Table2[Column1],MATCH(Table1[[#This Row],[Column5]],Table2[a],0)))</f>
        <v/>
      </c>
      <c r="I189" s="279" t="str">
        <f>IF(Table1[[#This Row],[Column3]]=0,"",CONCATENATE(UPPER(Table1[[#This Row],[Column3]])," ",Table1[[#This Row],[Column4]]))</f>
        <v xml:space="preserve"> </v>
      </c>
      <c r="J189" s="278" t="str">
        <f>IF(Table1[[#This Row],[Column5]]="","",INDEX(Table2[e],IF(Table1[[#This Row],[Column5]]="","",MATCH(Table1[[#This Row],[Column5]],Table2[a],0)),))</f>
        <v/>
      </c>
      <c r="K189" s="271"/>
      <c r="L189" s="271"/>
      <c r="O189" s="278" t="str">
        <f>IF(Table1[[#This Row],[h_Item Description]]="","",INDEX([1]!db[NB PAJAK],MATCH(Table1[[#This Row],[h_Item Description]],[1]!db[kode],0)))</f>
        <v/>
      </c>
      <c r="Q189" s="274"/>
      <c r="R189" s="275"/>
      <c r="S189" s="275"/>
      <c r="T189" s="274" t="str">
        <f>Table1[[#This Row],[h_hargasetelahdiskon]]</f>
        <v/>
      </c>
      <c r="V189" s="271"/>
      <c r="W189" s="278" t="str">
        <f ca="1">IF(Table1[[#This Row],[Item Description]]="","",IF(Table1[[#This Row],[//]]="",INDIRECT(ADDRESS(ROW()-1,COLUMN())),Table1[[#This Row],[//]]))</f>
        <v/>
      </c>
      <c r="X189" s="278" t="str">
        <f ca="1">IF(Table1[[#This Row],[h_id]]="","",COUNTIF(Table1[h_id],Table1[[#This Row],[h_id]]))</f>
        <v/>
      </c>
      <c r="Y189" s="274" t="str">
        <f>IF(Table1[Item Description]="","",Table1[[#This Row],[Qty]]*Table1[[#This Row],[Unit Price]])</f>
        <v/>
      </c>
      <c r="Z189" s="274" t="str">
        <f>IF(Table1[[#This Row],[h_hargasebelumdiskon]]="","",IF(Table1[[#This Row],[Disc 1]]="",0,Table1[[#This Row],[h_hargasebelumdiskon]]*Table1[[#This Row],[Disc 1]]))</f>
        <v/>
      </c>
      <c r="AA189" s="274" t="str">
        <f>IF(Table1[[#This Row],[h_hargasebelumdiskon]]="","",IF(Table1[[#This Row],[Disc 2]]="",0,(Table1[[#This Row],[h_hargasebelumdiskon]]-Table1[[#This Row],[h_disc 1]])*Table1[[#This Row],[Disc 2]]))</f>
        <v/>
      </c>
      <c r="AB189" s="274" t="str">
        <f>IF(Table1[Item Description]="","",Table1[[#This Row],[h_disc 1]]+Table1[[#This Row],[h_disc 2]])</f>
        <v/>
      </c>
      <c r="AC189" s="274" t="str">
        <f>IF(Table1[Item Description]="","",Table1[[#This Row],[h_hargasebelumdiskon]]-Table1[[#This Row],[h_diskon]])</f>
        <v/>
      </c>
      <c r="AD189" s="274" t="str">
        <f ca="1">IF(Table1[//]="","",SUMIF(Table1[h_id],Table1[h_id],Table1[h_hargasetelahdiskon]))</f>
        <v/>
      </c>
      <c r="AF189" s="274" t="str">
        <f>Table1[[#This Row],[Item Description]]&amp;Table1[[#This Row],[Unit]]&amp;Table1[[#This Row],[Unit Price]]</f>
        <v/>
      </c>
      <c r="AG189" s="3"/>
      <c r="AH189" s="3"/>
      <c r="AI189" s="3"/>
    </row>
    <row r="190" spans="1:35" x14ac:dyDescent="0.25">
      <c r="A190" s="278" t="str">
        <f ca="1">IF(Table1[[#This Row],[No. Invoice :]]="","",ROW())</f>
        <v/>
      </c>
      <c r="B190" s="278" t="str">
        <f ca="1">IF(Table1[Column3]="","",B$1+COUNT(INDIRECT("B$2:B"&amp;ROW()-1)))</f>
        <v/>
      </c>
      <c r="C190" s="272" t="str">
        <f>IF(Table1[[#This Row],[Column2]]="","",Table1[[#This Row],[Column2]]+C$1-1)</f>
        <v/>
      </c>
      <c r="E190" s="273"/>
      <c r="F190" s="271"/>
      <c r="G190" s="278" t="str">
        <f ca="1">IF(Table1[[#This Row],[h_No. Invoice :]]="","",CONCATENATE("AM"," ",Table1[[#This Row],[h_No. Invoice :]]))</f>
        <v/>
      </c>
      <c r="H190" s="271" t="str">
        <f>IF(Table1[[#This Row],[Column5]]="","",INDEX(Table2[Column1],MATCH(Table1[[#This Row],[Column5]],Table2[a],0)))</f>
        <v/>
      </c>
      <c r="I190" s="279" t="str">
        <f>IF(Table1[[#This Row],[Column3]]=0,"",CONCATENATE(UPPER(Table1[[#This Row],[Column3]])," ",Table1[[#This Row],[Column4]]))</f>
        <v xml:space="preserve"> </v>
      </c>
      <c r="J190" s="278" t="str">
        <f>IF(Table1[[#This Row],[Column5]]="","",INDEX(Table2[e],IF(Table1[[#This Row],[Column5]]="","",MATCH(Table1[[#This Row],[Column5]],Table2[a],0)),))</f>
        <v/>
      </c>
      <c r="K190" s="271"/>
      <c r="L190" s="271"/>
      <c r="O190" s="278" t="str">
        <f>IF(Table1[[#This Row],[h_Item Description]]="","",INDEX([1]!db[NB PAJAK],MATCH(Table1[[#This Row],[h_Item Description]],[1]!db[kode],0)))</f>
        <v/>
      </c>
      <c r="P190" s="3"/>
      <c r="Q190" s="274"/>
      <c r="R190" s="275"/>
      <c r="S190" s="275"/>
      <c r="T190" s="274" t="str">
        <f>Table1[[#This Row],[h_hargasetelahdiskon]]</f>
        <v/>
      </c>
      <c r="V190" s="271"/>
      <c r="W190" s="278" t="str">
        <f ca="1">IF(Table1[[#This Row],[Item Description]]="","",IF(Table1[[#This Row],[//]]="",INDIRECT(ADDRESS(ROW()-1,COLUMN())),Table1[[#This Row],[//]]))</f>
        <v/>
      </c>
      <c r="X190" s="278" t="str">
        <f ca="1">IF(Table1[[#This Row],[h_id]]="","",COUNTIF(Table1[h_id],Table1[[#This Row],[h_id]]))</f>
        <v/>
      </c>
      <c r="Y190" s="274" t="str">
        <f>IF(Table1[Item Description]="","",Table1[[#This Row],[Qty]]*Table1[[#This Row],[Unit Price]])</f>
        <v/>
      </c>
      <c r="Z190" s="274" t="str">
        <f>IF(Table1[[#This Row],[h_hargasebelumdiskon]]="","",IF(Table1[[#This Row],[Disc 1]]="",0,Table1[[#This Row],[h_hargasebelumdiskon]]*Table1[[#This Row],[Disc 1]]))</f>
        <v/>
      </c>
      <c r="AA190" s="274" t="str">
        <f>IF(Table1[[#This Row],[h_hargasebelumdiskon]]="","",IF(Table1[[#This Row],[Disc 2]]="",0,(Table1[[#This Row],[h_hargasebelumdiskon]]-Table1[[#This Row],[h_disc 1]])*Table1[[#This Row],[Disc 2]]))</f>
        <v/>
      </c>
      <c r="AB190" s="274" t="str">
        <f>IF(Table1[Item Description]="","",Table1[[#This Row],[h_disc 1]]+Table1[[#This Row],[h_disc 2]])</f>
        <v/>
      </c>
      <c r="AC190" s="274" t="str">
        <f>IF(Table1[Item Description]="","",Table1[[#This Row],[h_hargasebelumdiskon]]-Table1[[#This Row],[h_diskon]])</f>
        <v/>
      </c>
      <c r="AD190" s="274" t="str">
        <f ca="1">IF(Table1[//]="","",SUMIF(Table1[h_id],Table1[h_id],Table1[h_hargasetelahdiskon]))</f>
        <v/>
      </c>
      <c r="AF190" s="274" t="str">
        <f>Table1[[#This Row],[Item Description]]&amp;Table1[[#This Row],[Unit]]&amp;Table1[[#This Row],[Unit Price]]</f>
        <v/>
      </c>
      <c r="AG190" s="3"/>
      <c r="AH190" s="3"/>
      <c r="AI190" s="3"/>
    </row>
    <row r="191" spans="1:35" x14ac:dyDescent="0.25">
      <c r="A191" s="278" t="str">
        <f ca="1">IF(Table1[[#This Row],[No. Invoice :]]="","",ROW())</f>
        <v/>
      </c>
      <c r="B191" s="278" t="str">
        <f ca="1">IF(Table1[Column3]="","",B$1+COUNT(INDIRECT("B$2:B"&amp;ROW()-1)))</f>
        <v/>
      </c>
      <c r="C191" s="272" t="str">
        <f>IF(Table1[[#This Row],[Column2]]="","",Table1[[#This Row],[Column2]]+C$1-1)</f>
        <v/>
      </c>
      <c r="E191" s="273"/>
      <c r="F191" s="271"/>
      <c r="G191" s="278" t="str">
        <f ca="1">IF(Table1[[#This Row],[h_No. Invoice :]]="","",CONCATENATE("AM"," ",Table1[[#This Row],[h_No. Invoice :]]))</f>
        <v/>
      </c>
      <c r="H191" s="271" t="str">
        <f>IF(Table1[[#This Row],[Column5]]="","",INDEX(Table2[Column1],MATCH(Table1[[#This Row],[Column5]],Table2[a],0)))</f>
        <v/>
      </c>
      <c r="I191" s="279" t="str">
        <f>IF(Table1[[#This Row],[Column3]]=0,"",CONCATENATE(UPPER(Table1[[#This Row],[Column3]])," ",Table1[[#This Row],[Column4]]))</f>
        <v xml:space="preserve"> </v>
      </c>
      <c r="J191" s="278" t="str">
        <f>IF(Table1[[#This Row],[Column5]]="","",INDEX(Table2[e],IF(Table1[[#This Row],[Column5]]="","",MATCH(Table1[[#This Row],[Column5]],Table2[a],0)),))</f>
        <v/>
      </c>
      <c r="K191" s="271"/>
      <c r="L191" s="271"/>
      <c r="O191" s="278" t="str">
        <f>IF(Table1[[#This Row],[h_Item Description]]="","",INDEX([1]!db[NB PAJAK],MATCH(Table1[[#This Row],[h_Item Description]],[1]!db[kode],0)))</f>
        <v/>
      </c>
      <c r="Q191" s="274"/>
      <c r="R191" s="275"/>
      <c r="S191" s="275"/>
      <c r="T191" s="274" t="str">
        <f>Table1[[#This Row],[h_hargasetelahdiskon]]</f>
        <v/>
      </c>
      <c r="V191" s="271"/>
      <c r="W191" s="278" t="str">
        <f ca="1">IF(Table1[[#This Row],[Item Description]]="","",IF(Table1[[#This Row],[//]]="",INDIRECT(ADDRESS(ROW()-1,COLUMN())),Table1[[#This Row],[//]]))</f>
        <v/>
      </c>
      <c r="X191" s="278" t="str">
        <f ca="1">IF(Table1[[#This Row],[h_id]]="","",COUNTIF(Table1[h_id],Table1[[#This Row],[h_id]]))</f>
        <v/>
      </c>
      <c r="Y191" s="274" t="str">
        <f>IF(Table1[Item Description]="","",Table1[[#This Row],[Qty]]*Table1[[#This Row],[Unit Price]])</f>
        <v/>
      </c>
      <c r="Z191" s="274" t="str">
        <f>IF(Table1[[#This Row],[h_hargasebelumdiskon]]="","",IF(Table1[[#This Row],[Disc 1]]="",0,Table1[[#This Row],[h_hargasebelumdiskon]]*Table1[[#This Row],[Disc 1]]))</f>
        <v/>
      </c>
      <c r="AA191" s="274" t="str">
        <f>IF(Table1[[#This Row],[h_hargasebelumdiskon]]="","",IF(Table1[[#This Row],[Disc 2]]="",0,(Table1[[#This Row],[h_hargasebelumdiskon]]-Table1[[#This Row],[h_disc 1]])*Table1[[#This Row],[Disc 2]]))</f>
        <v/>
      </c>
      <c r="AB191" s="274" t="str">
        <f>IF(Table1[Item Description]="","",Table1[[#This Row],[h_disc 1]]+Table1[[#This Row],[h_disc 2]])</f>
        <v/>
      </c>
      <c r="AC191" s="274" t="str">
        <f>IF(Table1[Item Description]="","",Table1[[#This Row],[h_hargasebelumdiskon]]-Table1[[#This Row],[h_diskon]])</f>
        <v/>
      </c>
      <c r="AD191" s="274" t="str">
        <f ca="1">IF(Table1[//]="","",SUMIF(Table1[h_id],Table1[h_id],Table1[h_hargasetelahdiskon]))</f>
        <v/>
      </c>
      <c r="AF191" s="274" t="str">
        <f>Table1[[#This Row],[Item Description]]&amp;Table1[[#This Row],[Unit]]&amp;Table1[[#This Row],[Unit Price]]</f>
        <v/>
      </c>
      <c r="AG191" s="3"/>
      <c r="AH191" s="3"/>
      <c r="AI191" s="3"/>
    </row>
    <row r="192" spans="1:35" x14ac:dyDescent="0.25">
      <c r="A192" s="278" t="str">
        <f ca="1">IF(Table1[[#This Row],[No. Invoice :]]="","",ROW())</f>
        <v/>
      </c>
      <c r="B192" s="278" t="str">
        <f ca="1">IF(Table1[Column3]="","",B$1+COUNT(INDIRECT("B$2:B"&amp;ROW()-1)))</f>
        <v/>
      </c>
      <c r="C192" s="272" t="str">
        <f>IF(Table1[[#This Row],[Column2]]="","",Table1[[#This Row],[Column2]]+C$1-1)</f>
        <v/>
      </c>
      <c r="E192" s="273"/>
      <c r="F192" s="271"/>
      <c r="G192" s="278" t="str">
        <f ca="1">IF(Table1[[#This Row],[h_No. Invoice :]]="","",CONCATENATE("AM"," ",Table1[[#This Row],[h_No. Invoice :]]))</f>
        <v/>
      </c>
      <c r="H192" s="271" t="str">
        <f>IF(Table1[[#This Row],[Column5]]="","",INDEX(Table2[Column1],MATCH(Table1[[#This Row],[Column5]],Table2[a],0)))</f>
        <v/>
      </c>
      <c r="I192" s="279" t="str">
        <f>IF(Table1[[#This Row],[Column3]]=0,"",CONCATENATE(UPPER(Table1[[#This Row],[Column3]])," ",Table1[[#This Row],[Column4]]))</f>
        <v xml:space="preserve"> </v>
      </c>
      <c r="J192" s="278" t="str">
        <f>IF(Table1[[#This Row],[Column5]]="","",INDEX(Table2[e],IF(Table1[[#This Row],[Column5]]="","",MATCH(Table1[[#This Row],[Column5]],Table2[a],0)),))</f>
        <v/>
      </c>
      <c r="K192" s="271"/>
      <c r="L192" s="271"/>
      <c r="O192" s="278" t="str">
        <f>IF(Table1[[#This Row],[h_Item Description]]="","",INDEX([1]!db[NB PAJAK],MATCH(Table1[[#This Row],[h_Item Description]],[1]!db[kode],0)))</f>
        <v/>
      </c>
      <c r="Q192" s="274"/>
      <c r="R192" s="275"/>
      <c r="S192" s="275"/>
      <c r="T192" s="274" t="str">
        <f>Table1[[#This Row],[h_hargasetelahdiskon]]</f>
        <v/>
      </c>
      <c r="V192" s="271"/>
      <c r="W192" s="278" t="str">
        <f ca="1">IF(Table1[[#This Row],[Item Description]]="","",IF(Table1[[#This Row],[//]]="",INDIRECT(ADDRESS(ROW()-1,COLUMN())),Table1[[#This Row],[//]]))</f>
        <v/>
      </c>
      <c r="X192" s="278" t="str">
        <f ca="1">IF(Table1[[#This Row],[h_id]]="","",COUNTIF(Table1[h_id],Table1[[#This Row],[h_id]]))</f>
        <v/>
      </c>
      <c r="Y192" s="274" t="str">
        <f>IF(Table1[Item Description]="","",Table1[[#This Row],[Qty]]*Table1[[#This Row],[Unit Price]])</f>
        <v/>
      </c>
      <c r="Z192" s="274" t="str">
        <f>IF(Table1[[#This Row],[h_hargasebelumdiskon]]="","",IF(Table1[[#This Row],[Disc 1]]="",0,Table1[[#This Row],[h_hargasebelumdiskon]]*Table1[[#This Row],[Disc 1]]))</f>
        <v/>
      </c>
      <c r="AA192" s="274" t="str">
        <f>IF(Table1[[#This Row],[h_hargasebelumdiskon]]="","",IF(Table1[[#This Row],[Disc 2]]="",0,(Table1[[#This Row],[h_hargasebelumdiskon]]-Table1[[#This Row],[h_disc 1]])*Table1[[#This Row],[Disc 2]]))</f>
        <v/>
      </c>
      <c r="AB192" s="274" t="str">
        <f>IF(Table1[Item Description]="","",Table1[[#This Row],[h_disc 1]]+Table1[[#This Row],[h_disc 2]])</f>
        <v/>
      </c>
      <c r="AC192" s="274" t="str">
        <f>IF(Table1[Item Description]="","",Table1[[#This Row],[h_hargasebelumdiskon]]-Table1[[#This Row],[h_diskon]])</f>
        <v/>
      </c>
      <c r="AD192" s="274" t="str">
        <f ca="1">IF(Table1[//]="","",SUMIF(Table1[h_id],Table1[h_id],Table1[h_hargasetelahdiskon]))</f>
        <v/>
      </c>
      <c r="AF192" s="274" t="str">
        <f>Table1[[#This Row],[Item Description]]&amp;Table1[[#This Row],[Unit]]&amp;Table1[[#This Row],[Unit Price]]</f>
        <v/>
      </c>
      <c r="AG192" s="3"/>
      <c r="AH192" s="3"/>
      <c r="AI192" s="3"/>
    </row>
    <row r="193" spans="1:35" x14ac:dyDescent="0.25">
      <c r="A193" s="278" t="str">
        <f ca="1">IF(Table1[[#This Row],[No. Invoice :]]="","",ROW())</f>
        <v/>
      </c>
      <c r="B193" s="278" t="str">
        <f ca="1">IF(Table1[Column3]="","",B$1+COUNT(INDIRECT("B$2:B"&amp;ROW()-1)))</f>
        <v/>
      </c>
      <c r="C193" s="272" t="str">
        <f>IF(Table1[[#This Row],[Column2]]="","",Table1[[#This Row],[Column2]]+C$1-1)</f>
        <v/>
      </c>
      <c r="E193" s="273"/>
      <c r="F193" s="271"/>
      <c r="G193" s="278" t="str">
        <f ca="1">IF(Table1[[#This Row],[h_No. Invoice :]]="","",CONCATENATE("AM"," ",Table1[[#This Row],[h_No. Invoice :]]))</f>
        <v/>
      </c>
      <c r="H193" s="271" t="str">
        <f>IF(Table1[[#This Row],[Column5]]="","",INDEX(Table2[Column1],MATCH(Table1[[#This Row],[Column5]],Table2[a],0)))</f>
        <v/>
      </c>
      <c r="I193" s="279" t="str">
        <f>IF(Table1[[#This Row],[Column3]]=0,"",CONCATENATE(UPPER(Table1[[#This Row],[Column3]])," ",Table1[[#This Row],[Column4]]))</f>
        <v xml:space="preserve"> </v>
      </c>
      <c r="J193" s="278" t="str">
        <f>IF(Table1[[#This Row],[Column5]]="","",INDEX(Table2[e],IF(Table1[[#This Row],[Column5]]="","",MATCH(Table1[[#This Row],[Column5]],Table2[a],0)),))</f>
        <v/>
      </c>
      <c r="K193" s="271"/>
      <c r="L193" s="271"/>
      <c r="O193" s="278" t="str">
        <f>IF(Table1[[#This Row],[h_Item Description]]="","",INDEX([1]!db[NB PAJAK],MATCH(Table1[[#This Row],[h_Item Description]],[1]!db[kode],0)))</f>
        <v/>
      </c>
      <c r="Q193" s="274"/>
      <c r="R193" s="275"/>
      <c r="S193" s="275"/>
      <c r="T193" s="274" t="str">
        <f>Table1[[#This Row],[h_hargasetelahdiskon]]</f>
        <v/>
      </c>
      <c r="V193" s="271"/>
      <c r="W193" s="278" t="str">
        <f ca="1">IF(Table1[[#This Row],[Item Description]]="","",IF(Table1[[#This Row],[//]]="",INDIRECT(ADDRESS(ROW()-1,COLUMN())),Table1[[#This Row],[//]]))</f>
        <v/>
      </c>
      <c r="X193" s="278" t="str">
        <f ca="1">IF(Table1[[#This Row],[h_id]]="","",COUNTIF(Table1[h_id],Table1[[#This Row],[h_id]]))</f>
        <v/>
      </c>
      <c r="Y193" s="274" t="str">
        <f>IF(Table1[Item Description]="","",Table1[[#This Row],[Qty]]*Table1[[#This Row],[Unit Price]])</f>
        <v/>
      </c>
      <c r="Z193" s="274" t="str">
        <f>IF(Table1[[#This Row],[h_hargasebelumdiskon]]="","",IF(Table1[[#This Row],[Disc 1]]="",0,Table1[[#This Row],[h_hargasebelumdiskon]]*Table1[[#This Row],[Disc 1]]))</f>
        <v/>
      </c>
      <c r="AA193" s="274" t="str">
        <f>IF(Table1[[#This Row],[h_hargasebelumdiskon]]="","",IF(Table1[[#This Row],[Disc 2]]="",0,(Table1[[#This Row],[h_hargasebelumdiskon]]-Table1[[#This Row],[h_disc 1]])*Table1[[#This Row],[Disc 2]]))</f>
        <v/>
      </c>
      <c r="AB193" s="274" t="str">
        <f>IF(Table1[Item Description]="","",Table1[[#This Row],[h_disc 1]]+Table1[[#This Row],[h_disc 2]])</f>
        <v/>
      </c>
      <c r="AC193" s="274" t="str">
        <f>IF(Table1[Item Description]="","",Table1[[#This Row],[h_hargasebelumdiskon]]-Table1[[#This Row],[h_diskon]])</f>
        <v/>
      </c>
      <c r="AD193" s="274" t="str">
        <f ca="1">IF(Table1[//]="","",SUMIF(Table1[h_id],Table1[h_id],Table1[h_hargasetelahdiskon]))</f>
        <v/>
      </c>
      <c r="AF193" s="274" t="str">
        <f>Table1[[#This Row],[Item Description]]&amp;Table1[[#This Row],[Unit]]&amp;Table1[[#This Row],[Unit Price]]</f>
        <v/>
      </c>
      <c r="AG193" s="3"/>
      <c r="AH193" s="3"/>
      <c r="AI193" s="3"/>
    </row>
    <row r="194" spans="1:35" x14ac:dyDescent="0.25">
      <c r="A194" s="278" t="str">
        <f ca="1">IF(Table1[[#This Row],[No. Invoice :]]="","",ROW())</f>
        <v/>
      </c>
      <c r="B194" s="278" t="str">
        <f ca="1">IF(Table1[Column3]="","",B$1+COUNT(INDIRECT("B$2:B"&amp;ROW()-1)))</f>
        <v/>
      </c>
      <c r="C194" s="272" t="str">
        <f>IF(Table1[[#This Row],[Column2]]="","",Table1[[#This Row],[Column2]]+C$1-1)</f>
        <v/>
      </c>
      <c r="E194" s="273"/>
      <c r="F194" s="271"/>
      <c r="G194" s="278" t="str">
        <f ca="1">IF(Table1[[#This Row],[h_No. Invoice :]]="","",CONCATENATE("AM"," ",Table1[[#This Row],[h_No. Invoice :]]))</f>
        <v/>
      </c>
      <c r="H194" s="271" t="str">
        <f>IF(Table1[[#This Row],[Column5]]="","",INDEX(Table2[Column1],MATCH(Table1[[#This Row],[Column5]],Table2[a],0)))</f>
        <v/>
      </c>
      <c r="I194" s="279" t="str">
        <f>IF(Table1[[#This Row],[Column3]]=0,"",CONCATENATE(UPPER(Table1[[#This Row],[Column3]])," ",Table1[[#This Row],[Column4]]))</f>
        <v xml:space="preserve"> </v>
      </c>
      <c r="J194" s="278" t="str">
        <f>IF(Table1[[#This Row],[Column5]]="","",INDEX(Table2[e],IF(Table1[[#This Row],[Column5]]="","",MATCH(Table1[[#This Row],[Column5]],Table2[a],0)),))</f>
        <v/>
      </c>
      <c r="K194" s="271"/>
      <c r="L194" s="271"/>
      <c r="O194" s="278" t="str">
        <f>IF(Table1[[#This Row],[h_Item Description]]="","",INDEX([1]!db[NB PAJAK],MATCH(Table1[[#This Row],[h_Item Description]],[1]!db[kode],0)))</f>
        <v/>
      </c>
      <c r="Q194" s="274"/>
      <c r="R194" s="275"/>
      <c r="S194" s="275"/>
      <c r="T194" s="274" t="str">
        <f>Table1[[#This Row],[h_hargasetelahdiskon]]</f>
        <v/>
      </c>
      <c r="V194" s="271"/>
      <c r="W194" s="278" t="str">
        <f ca="1">IF(Table1[[#This Row],[Item Description]]="","",IF(Table1[[#This Row],[//]]="",INDIRECT(ADDRESS(ROW()-1,COLUMN())),Table1[[#This Row],[//]]))</f>
        <v/>
      </c>
      <c r="X194" s="278" t="str">
        <f ca="1">IF(Table1[[#This Row],[h_id]]="","",COUNTIF(Table1[h_id],Table1[[#This Row],[h_id]]))</f>
        <v/>
      </c>
      <c r="Y194" s="274" t="str">
        <f>IF(Table1[Item Description]="","",Table1[[#This Row],[Qty]]*Table1[[#This Row],[Unit Price]])</f>
        <v/>
      </c>
      <c r="Z194" s="274" t="str">
        <f>IF(Table1[[#This Row],[h_hargasebelumdiskon]]="","",IF(Table1[[#This Row],[Disc 1]]="",0,Table1[[#This Row],[h_hargasebelumdiskon]]*Table1[[#This Row],[Disc 1]]))</f>
        <v/>
      </c>
      <c r="AA194" s="274" t="str">
        <f>IF(Table1[[#This Row],[h_hargasebelumdiskon]]="","",IF(Table1[[#This Row],[Disc 2]]="",0,(Table1[[#This Row],[h_hargasebelumdiskon]]-Table1[[#This Row],[h_disc 1]])*Table1[[#This Row],[Disc 2]]))</f>
        <v/>
      </c>
      <c r="AB194" s="274" t="str">
        <f>IF(Table1[Item Description]="","",Table1[[#This Row],[h_disc 1]]+Table1[[#This Row],[h_disc 2]])</f>
        <v/>
      </c>
      <c r="AC194" s="274" t="str">
        <f>IF(Table1[Item Description]="","",Table1[[#This Row],[h_hargasebelumdiskon]]-Table1[[#This Row],[h_diskon]])</f>
        <v/>
      </c>
      <c r="AD194" s="274" t="str">
        <f ca="1">IF(Table1[//]="","",SUMIF(Table1[h_id],Table1[h_id],Table1[h_hargasetelahdiskon]))</f>
        <v/>
      </c>
      <c r="AF194" s="274" t="str">
        <f>Table1[[#This Row],[Item Description]]&amp;Table1[[#This Row],[Unit]]&amp;Table1[[#This Row],[Unit Price]]</f>
        <v/>
      </c>
      <c r="AG194" s="3"/>
      <c r="AH194" s="3"/>
      <c r="AI194" s="3"/>
    </row>
    <row r="195" spans="1:35" x14ac:dyDescent="0.25">
      <c r="A195" s="278" t="str">
        <f ca="1">IF(Table1[[#This Row],[No. Invoice :]]="","",ROW())</f>
        <v/>
      </c>
      <c r="B195" s="278" t="str">
        <f ca="1">IF(Table1[Column3]="","",B$1+COUNT(INDIRECT("B$2:B"&amp;ROW()-1)))</f>
        <v/>
      </c>
      <c r="C195" s="272" t="str">
        <f>IF(Table1[[#This Row],[Column2]]="","",Table1[[#This Row],[Column2]]+C$1-1)</f>
        <v/>
      </c>
      <c r="E195" s="273"/>
      <c r="F195" s="271"/>
      <c r="G195" s="278" t="str">
        <f ca="1">IF(Table1[[#This Row],[h_No. Invoice :]]="","",CONCATENATE("AM"," ",Table1[[#This Row],[h_No. Invoice :]]))</f>
        <v/>
      </c>
      <c r="H195" s="271" t="str">
        <f>IF(Table1[[#This Row],[Column5]]="","",INDEX(Table2[Column1],MATCH(Table1[[#This Row],[Column5]],Table2[a],0)))</f>
        <v/>
      </c>
      <c r="I195" s="279" t="str">
        <f>IF(Table1[[#This Row],[Column3]]=0,"",CONCATENATE(UPPER(Table1[[#This Row],[Column3]])," ",Table1[[#This Row],[Column4]]))</f>
        <v xml:space="preserve"> </v>
      </c>
      <c r="J195" s="278" t="str">
        <f>IF(Table1[[#This Row],[Column5]]="","",INDEX(Table2[e],IF(Table1[[#This Row],[Column5]]="","",MATCH(Table1[[#This Row],[Column5]],Table2[a],0)),))</f>
        <v/>
      </c>
      <c r="K195" s="271"/>
      <c r="L195" s="271"/>
      <c r="O195" s="278" t="str">
        <f>IF(Table1[[#This Row],[h_Item Description]]="","",INDEX([1]!db[NB PAJAK],MATCH(Table1[[#This Row],[h_Item Description]],[1]!db[kode],0)))</f>
        <v/>
      </c>
      <c r="Q195" s="274"/>
      <c r="R195" s="275"/>
      <c r="S195" s="275"/>
      <c r="T195" s="274" t="str">
        <f>Table1[[#This Row],[h_hargasetelahdiskon]]</f>
        <v/>
      </c>
      <c r="V195" s="271"/>
      <c r="W195" s="278" t="str">
        <f ca="1">IF(Table1[[#This Row],[Item Description]]="","",IF(Table1[[#This Row],[//]]="",INDIRECT(ADDRESS(ROW()-1,COLUMN())),Table1[[#This Row],[//]]))</f>
        <v/>
      </c>
      <c r="X195" s="278" t="str">
        <f ca="1">IF(Table1[[#This Row],[h_id]]="","",COUNTIF(Table1[h_id],Table1[[#This Row],[h_id]]))</f>
        <v/>
      </c>
      <c r="Y195" s="274" t="str">
        <f>IF(Table1[Item Description]="","",Table1[[#This Row],[Qty]]*Table1[[#This Row],[Unit Price]])</f>
        <v/>
      </c>
      <c r="Z195" s="274" t="str">
        <f>IF(Table1[[#This Row],[h_hargasebelumdiskon]]="","",IF(Table1[[#This Row],[Disc 1]]="",0,Table1[[#This Row],[h_hargasebelumdiskon]]*Table1[[#This Row],[Disc 1]]))</f>
        <v/>
      </c>
      <c r="AA195" s="274" t="str">
        <f>IF(Table1[[#This Row],[h_hargasebelumdiskon]]="","",IF(Table1[[#This Row],[Disc 2]]="",0,(Table1[[#This Row],[h_hargasebelumdiskon]]-Table1[[#This Row],[h_disc 1]])*Table1[[#This Row],[Disc 2]]))</f>
        <v/>
      </c>
      <c r="AB195" s="274" t="str">
        <f>IF(Table1[Item Description]="","",Table1[[#This Row],[h_disc 1]]+Table1[[#This Row],[h_disc 2]])</f>
        <v/>
      </c>
      <c r="AC195" s="274" t="str">
        <f>IF(Table1[Item Description]="","",Table1[[#This Row],[h_hargasebelumdiskon]]-Table1[[#This Row],[h_diskon]])</f>
        <v/>
      </c>
      <c r="AD195" s="274" t="str">
        <f ca="1">IF(Table1[//]="","",SUMIF(Table1[h_id],Table1[h_id],Table1[h_hargasetelahdiskon]))</f>
        <v/>
      </c>
      <c r="AF195" s="274" t="str">
        <f>Table1[[#This Row],[Item Description]]&amp;Table1[[#This Row],[Unit]]&amp;Table1[[#This Row],[Unit Price]]</f>
        <v/>
      </c>
      <c r="AG195" s="3"/>
      <c r="AH195" s="3"/>
      <c r="AI195" s="3"/>
    </row>
    <row r="196" spans="1:35" x14ac:dyDescent="0.25">
      <c r="A196" s="278" t="str">
        <f ca="1">IF(Table1[[#This Row],[No. Invoice :]]="","",ROW())</f>
        <v/>
      </c>
      <c r="B196" s="278" t="str">
        <f ca="1">IF(Table1[Column3]="","",B$1+COUNT(INDIRECT("B$2:B"&amp;ROW()-1)))</f>
        <v/>
      </c>
      <c r="C196" s="272" t="str">
        <f>IF(Table1[[#This Row],[Column2]]="","",Table1[[#This Row],[Column2]]+C$1-1)</f>
        <v/>
      </c>
      <c r="E196" s="273"/>
      <c r="F196" s="271"/>
      <c r="G196" s="278" t="str">
        <f ca="1">IF(Table1[[#This Row],[h_No. Invoice :]]="","",CONCATENATE("AM"," ",Table1[[#This Row],[h_No. Invoice :]]))</f>
        <v/>
      </c>
      <c r="H196" s="271" t="str">
        <f>IF(Table1[[#This Row],[Column5]]="","",INDEX(Table2[Column1],MATCH(Table1[[#This Row],[Column5]],Table2[a],0)))</f>
        <v/>
      </c>
      <c r="I196" s="279" t="str">
        <f>IF(Table1[[#This Row],[Column3]]=0,"",CONCATENATE(UPPER(Table1[[#This Row],[Column3]])," ",Table1[[#This Row],[Column4]]))</f>
        <v xml:space="preserve"> </v>
      </c>
      <c r="J196" s="278" t="str">
        <f>IF(Table1[[#This Row],[Column5]]="","",INDEX(Table2[e],IF(Table1[[#This Row],[Column5]]="","",MATCH(Table1[[#This Row],[Column5]],Table2[a],0)),))</f>
        <v/>
      </c>
      <c r="K196" s="271"/>
      <c r="L196" s="271"/>
      <c r="O196" s="278" t="str">
        <f>IF(Table1[[#This Row],[h_Item Description]]="","",INDEX([1]!db[NB PAJAK],MATCH(Table1[[#This Row],[h_Item Description]],[1]!db[kode],0)))</f>
        <v/>
      </c>
      <c r="Q196" s="274"/>
      <c r="R196" s="275"/>
      <c r="S196" s="275"/>
      <c r="T196" s="274" t="str">
        <f>Table1[[#This Row],[h_hargasetelahdiskon]]</f>
        <v/>
      </c>
      <c r="V196" s="271"/>
      <c r="W196" s="278" t="str">
        <f ca="1">IF(Table1[[#This Row],[Item Description]]="","",IF(Table1[[#This Row],[//]]="",INDIRECT(ADDRESS(ROW()-1,COLUMN())),Table1[[#This Row],[//]]))</f>
        <v/>
      </c>
      <c r="X196" s="278" t="str">
        <f ca="1">IF(Table1[[#This Row],[h_id]]="","",COUNTIF(Table1[h_id],Table1[[#This Row],[h_id]]))</f>
        <v/>
      </c>
      <c r="Y196" s="274" t="str">
        <f>IF(Table1[Item Description]="","",Table1[[#This Row],[Qty]]*Table1[[#This Row],[Unit Price]])</f>
        <v/>
      </c>
      <c r="Z196" s="274" t="str">
        <f>IF(Table1[[#This Row],[h_hargasebelumdiskon]]="","",IF(Table1[[#This Row],[Disc 1]]="",0,Table1[[#This Row],[h_hargasebelumdiskon]]*Table1[[#This Row],[Disc 1]]))</f>
        <v/>
      </c>
      <c r="AA196" s="274" t="str">
        <f>IF(Table1[[#This Row],[h_hargasebelumdiskon]]="","",IF(Table1[[#This Row],[Disc 2]]="",0,(Table1[[#This Row],[h_hargasebelumdiskon]]-Table1[[#This Row],[h_disc 1]])*Table1[[#This Row],[Disc 2]]))</f>
        <v/>
      </c>
      <c r="AB196" s="274" t="str">
        <f>IF(Table1[Item Description]="","",Table1[[#This Row],[h_disc 1]]+Table1[[#This Row],[h_disc 2]])</f>
        <v/>
      </c>
      <c r="AC196" s="274" t="str">
        <f>IF(Table1[Item Description]="","",Table1[[#This Row],[h_hargasebelumdiskon]]-Table1[[#This Row],[h_diskon]])</f>
        <v/>
      </c>
      <c r="AD196" s="274" t="str">
        <f ca="1">IF(Table1[//]="","",SUMIF(Table1[h_id],Table1[h_id],Table1[h_hargasetelahdiskon]))</f>
        <v/>
      </c>
      <c r="AF196" s="274" t="str">
        <f>Table1[[#This Row],[Item Description]]&amp;Table1[[#This Row],[Unit]]&amp;Table1[[#This Row],[Unit Price]]</f>
        <v/>
      </c>
      <c r="AG196" s="3"/>
      <c r="AH196" s="3"/>
      <c r="AI196" s="3"/>
    </row>
    <row r="197" spans="1:35" x14ac:dyDescent="0.25">
      <c r="A197" s="278" t="str">
        <f ca="1">IF(Table1[[#This Row],[No. Invoice :]]="","",ROW())</f>
        <v/>
      </c>
      <c r="B197" s="278" t="str">
        <f ca="1">IF(Table1[Column3]="","",B$1+COUNT(INDIRECT("B$2:B"&amp;ROW()-1)))</f>
        <v/>
      </c>
      <c r="C197" s="272" t="str">
        <f>IF(Table1[[#This Row],[Column2]]="","",Table1[[#This Row],[Column2]]+C$1-1)</f>
        <v/>
      </c>
      <c r="E197" s="273"/>
      <c r="F197" s="271"/>
      <c r="G197" s="278" t="str">
        <f ca="1">IF(Table1[[#This Row],[h_No. Invoice :]]="","",CONCATENATE("AM"," ",Table1[[#This Row],[h_No. Invoice :]]))</f>
        <v/>
      </c>
      <c r="H197" s="271" t="str">
        <f>IF(Table1[[#This Row],[Column5]]="","",INDEX(Table2[Column1],MATCH(Table1[[#This Row],[Column5]],Table2[a],0)))</f>
        <v/>
      </c>
      <c r="I197" s="279" t="str">
        <f>IF(Table1[[#This Row],[Column3]]=0,"",CONCATENATE(UPPER(Table1[[#This Row],[Column3]])," ",Table1[[#This Row],[Column4]]))</f>
        <v xml:space="preserve"> </v>
      </c>
      <c r="J197" s="278" t="str">
        <f>IF(Table1[[#This Row],[Column5]]="","",INDEX(Table2[e],IF(Table1[[#This Row],[Column5]]="","",MATCH(Table1[[#This Row],[Column5]],Table2[a],0)),))</f>
        <v/>
      </c>
      <c r="K197" s="271"/>
      <c r="L197" s="271"/>
      <c r="O197" s="278" t="str">
        <f>IF(Table1[[#This Row],[h_Item Description]]="","",INDEX([1]!db[NB PAJAK],MATCH(Table1[[#This Row],[h_Item Description]],[1]!db[kode],0)))</f>
        <v/>
      </c>
      <c r="Q197" s="274"/>
      <c r="R197" s="275"/>
      <c r="S197" s="275"/>
      <c r="T197" s="274" t="str">
        <f>Table1[[#This Row],[h_hargasetelahdiskon]]</f>
        <v/>
      </c>
      <c r="V197" s="271"/>
      <c r="W197" s="278" t="str">
        <f ca="1">IF(Table1[[#This Row],[Item Description]]="","",IF(Table1[[#This Row],[//]]="",INDIRECT(ADDRESS(ROW()-1,COLUMN())),Table1[[#This Row],[//]]))</f>
        <v/>
      </c>
      <c r="X197" s="278" t="str">
        <f ca="1">IF(Table1[[#This Row],[h_id]]="","",COUNTIF(Table1[h_id],Table1[[#This Row],[h_id]]))</f>
        <v/>
      </c>
      <c r="Y197" s="274" t="str">
        <f>IF(Table1[Item Description]="","",Table1[[#This Row],[Qty]]*Table1[[#This Row],[Unit Price]])</f>
        <v/>
      </c>
      <c r="Z197" s="274" t="str">
        <f>IF(Table1[[#This Row],[h_hargasebelumdiskon]]="","",IF(Table1[[#This Row],[Disc 1]]="",0,Table1[[#This Row],[h_hargasebelumdiskon]]*Table1[[#This Row],[Disc 1]]))</f>
        <v/>
      </c>
      <c r="AA197" s="274" t="str">
        <f>IF(Table1[[#This Row],[h_hargasebelumdiskon]]="","",IF(Table1[[#This Row],[Disc 2]]="",0,(Table1[[#This Row],[h_hargasebelumdiskon]]-Table1[[#This Row],[h_disc 1]])*Table1[[#This Row],[Disc 2]]))</f>
        <v/>
      </c>
      <c r="AB197" s="274" t="str">
        <f>IF(Table1[Item Description]="","",Table1[[#This Row],[h_disc 1]]+Table1[[#This Row],[h_disc 2]])</f>
        <v/>
      </c>
      <c r="AC197" s="274" t="str">
        <f>IF(Table1[Item Description]="","",Table1[[#This Row],[h_hargasebelumdiskon]]-Table1[[#This Row],[h_diskon]])</f>
        <v/>
      </c>
      <c r="AD197" s="274" t="str">
        <f ca="1">IF(Table1[//]="","",SUMIF(Table1[h_id],Table1[h_id],Table1[h_hargasetelahdiskon]))</f>
        <v/>
      </c>
      <c r="AF197" s="274" t="str">
        <f>Table1[[#This Row],[Item Description]]&amp;Table1[[#This Row],[Unit]]&amp;Table1[[#This Row],[Unit Price]]</f>
        <v/>
      </c>
      <c r="AG197" s="3"/>
      <c r="AH197" s="3"/>
      <c r="AI197" s="3"/>
    </row>
    <row r="198" spans="1:35" x14ac:dyDescent="0.25">
      <c r="A198" s="278" t="str">
        <f ca="1">IF(Table1[[#This Row],[No. Invoice :]]="","",ROW())</f>
        <v/>
      </c>
      <c r="B198" s="278" t="str">
        <f ca="1">IF(Table1[Column3]="","",B$1+COUNT(INDIRECT("B$2:B"&amp;ROW()-1)))</f>
        <v/>
      </c>
      <c r="C198" s="272" t="str">
        <f>IF(Table1[[#This Row],[Column2]]="","",Table1[[#This Row],[Column2]]+C$1-1)</f>
        <v/>
      </c>
      <c r="E198" s="273"/>
      <c r="F198" s="271"/>
      <c r="G198" s="278" t="str">
        <f ca="1">IF(Table1[[#This Row],[h_No. Invoice :]]="","",CONCATENATE("AM"," ",Table1[[#This Row],[h_No. Invoice :]]))</f>
        <v/>
      </c>
      <c r="H198" s="271" t="str">
        <f>IF(Table1[[#This Row],[Column5]]="","",INDEX(Table2[Column1],MATCH(Table1[[#This Row],[Column5]],Table2[a],0)))</f>
        <v/>
      </c>
      <c r="I198" s="279" t="str">
        <f>IF(Table1[[#This Row],[Column3]]=0,"",CONCATENATE(UPPER(Table1[[#This Row],[Column3]])," ",Table1[[#This Row],[Column4]]))</f>
        <v xml:space="preserve"> </v>
      </c>
      <c r="J198" s="278" t="str">
        <f>IF(Table1[[#This Row],[Column5]]="","",INDEX(Table2[e],IF(Table1[[#This Row],[Column5]]="","",MATCH(Table1[[#This Row],[Column5]],Table2[a],0)),))</f>
        <v/>
      </c>
      <c r="K198" s="271"/>
      <c r="L198" s="271"/>
      <c r="O198" s="278" t="str">
        <f>IF(Table1[[#This Row],[h_Item Description]]="","",INDEX([1]!db[NB PAJAK],MATCH(Table1[[#This Row],[h_Item Description]],[1]!db[kode],0)))</f>
        <v/>
      </c>
      <c r="Q198" s="274"/>
      <c r="R198" s="275"/>
      <c r="S198" s="275"/>
      <c r="T198" s="274" t="str">
        <f>Table1[[#This Row],[h_hargasetelahdiskon]]</f>
        <v/>
      </c>
      <c r="V198" s="271"/>
      <c r="W198" s="278" t="str">
        <f ca="1">IF(Table1[[#This Row],[Item Description]]="","",IF(Table1[[#This Row],[//]]="",INDIRECT(ADDRESS(ROW()-1,COLUMN())),Table1[[#This Row],[//]]))</f>
        <v/>
      </c>
      <c r="X198" s="278" t="str">
        <f ca="1">IF(Table1[[#This Row],[h_id]]="","",COUNTIF(Table1[h_id],Table1[[#This Row],[h_id]]))</f>
        <v/>
      </c>
      <c r="Y198" s="274" t="str">
        <f>IF(Table1[Item Description]="","",Table1[[#This Row],[Qty]]*Table1[[#This Row],[Unit Price]])</f>
        <v/>
      </c>
      <c r="Z198" s="274" t="str">
        <f>IF(Table1[[#This Row],[h_hargasebelumdiskon]]="","",IF(Table1[[#This Row],[Disc 1]]="",0,Table1[[#This Row],[h_hargasebelumdiskon]]*Table1[[#This Row],[Disc 1]]))</f>
        <v/>
      </c>
      <c r="AA198" s="274" t="str">
        <f>IF(Table1[[#This Row],[h_hargasebelumdiskon]]="","",IF(Table1[[#This Row],[Disc 2]]="",0,(Table1[[#This Row],[h_hargasebelumdiskon]]-Table1[[#This Row],[h_disc 1]])*Table1[[#This Row],[Disc 2]]))</f>
        <v/>
      </c>
      <c r="AB198" s="274" t="str">
        <f>IF(Table1[Item Description]="","",Table1[[#This Row],[h_disc 1]]+Table1[[#This Row],[h_disc 2]])</f>
        <v/>
      </c>
      <c r="AC198" s="274" t="str">
        <f>IF(Table1[Item Description]="","",Table1[[#This Row],[h_hargasebelumdiskon]]-Table1[[#This Row],[h_diskon]])</f>
        <v/>
      </c>
      <c r="AD198" s="274" t="str">
        <f ca="1">IF(Table1[//]="","",SUMIF(Table1[h_id],Table1[h_id],Table1[h_hargasetelahdiskon]))</f>
        <v/>
      </c>
      <c r="AF198" s="274" t="str">
        <f>Table1[[#This Row],[Item Description]]&amp;Table1[[#This Row],[Unit]]&amp;Table1[[#This Row],[Unit Price]]</f>
        <v/>
      </c>
      <c r="AG198" s="3"/>
      <c r="AH198" s="3"/>
      <c r="AI198" s="3"/>
    </row>
    <row r="199" spans="1:35" x14ac:dyDescent="0.25">
      <c r="A199" s="278" t="str">
        <f ca="1">IF(Table1[[#This Row],[No. Invoice :]]="","",ROW())</f>
        <v/>
      </c>
      <c r="B199" s="278" t="str">
        <f ca="1">IF(Table1[Column3]="","",B$1+COUNT(INDIRECT("B$2:B"&amp;ROW()-1)))</f>
        <v/>
      </c>
      <c r="C199" s="272" t="str">
        <f>IF(Table1[[#This Row],[Column2]]="","",Table1[[#This Row],[Column2]]+C$1-1)</f>
        <v/>
      </c>
      <c r="E199" s="273"/>
      <c r="F199" s="271"/>
      <c r="G199" s="278" t="str">
        <f ca="1">IF(Table1[[#This Row],[h_No. Invoice :]]="","",CONCATENATE("AM"," ",Table1[[#This Row],[h_No. Invoice :]]))</f>
        <v/>
      </c>
      <c r="H199" s="271" t="str">
        <f>IF(Table1[[#This Row],[Column5]]="","",INDEX(Table2[Column1],MATCH(Table1[[#This Row],[Column5]],Table2[a],0)))</f>
        <v/>
      </c>
      <c r="I199" s="279" t="str">
        <f>IF(Table1[[#This Row],[Column3]]=0,"",CONCATENATE(UPPER(Table1[[#This Row],[Column3]])," ",Table1[[#This Row],[Column4]]))</f>
        <v xml:space="preserve"> </v>
      </c>
      <c r="J199" s="278" t="str">
        <f>IF(Table1[[#This Row],[Column5]]="","",INDEX(Table2[e],IF(Table1[[#This Row],[Column5]]="","",MATCH(Table1[[#This Row],[Column5]],Table2[a],0)),))</f>
        <v/>
      </c>
      <c r="K199" s="271"/>
      <c r="L199" s="271"/>
      <c r="O199" s="278" t="str">
        <f>IF(Table1[[#This Row],[h_Item Description]]="","",INDEX([1]!db[NB PAJAK],MATCH(Table1[[#This Row],[h_Item Description]],[1]!db[kode],0)))</f>
        <v/>
      </c>
      <c r="Q199" s="274"/>
      <c r="R199" s="275"/>
      <c r="S199" s="275"/>
      <c r="T199" s="274" t="str">
        <f>Table1[[#This Row],[h_hargasetelahdiskon]]</f>
        <v/>
      </c>
      <c r="V199" s="271"/>
      <c r="W199" s="278" t="str">
        <f ca="1">IF(Table1[[#This Row],[Item Description]]="","",IF(Table1[[#This Row],[//]]="",INDIRECT(ADDRESS(ROW()-1,COLUMN())),Table1[[#This Row],[//]]))</f>
        <v/>
      </c>
      <c r="X199" s="278" t="str">
        <f ca="1">IF(Table1[[#This Row],[h_id]]="","",COUNTIF(Table1[h_id],Table1[[#This Row],[h_id]]))</f>
        <v/>
      </c>
      <c r="Y199" s="274" t="str">
        <f>IF(Table1[Item Description]="","",Table1[[#This Row],[Qty]]*Table1[[#This Row],[Unit Price]])</f>
        <v/>
      </c>
      <c r="Z199" s="274" t="str">
        <f>IF(Table1[[#This Row],[h_hargasebelumdiskon]]="","",IF(Table1[[#This Row],[Disc 1]]="",0,Table1[[#This Row],[h_hargasebelumdiskon]]*Table1[[#This Row],[Disc 1]]))</f>
        <v/>
      </c>
      <c r="AA199" s="274" t="str">
        <f>IF(Table1[[#This Row],[h_hargasebelumdiskon]]="","",IF(Table1[[#This Row],[Disc 2]]="",0,(Table1[[#This Row],[h_hargasebelumdiskon]]-Table1[[#This Row],[h_disc 1]])*Table1[[#This Row],[Disc 2]]))</f>
        <v/>
      </c>
      <c r="AB199" s="274" t="str">
        <f>IF(Table1[Item Description]="","",Table1[[#This Row],[h_disc 1]]+Table1[[#This Row],[h_disc 2]])</f>
        <v/>
      </c>
      <c r="AC199" s="274" t="str">
        <f>IF(Table1[Item Description]="","",Table1[[#This Row],[h_hargasebelumdiskon]]-Table1[[#This Row],[h_diskon]])</f>
        <v/>
      </c>
      <c r="AD199" s="274" t="str">
        <f ca="1">IF(Table1[//]="","",SUMIF(Table1[h_id],Table1[h_id],Table1[h_hargasetelahdiskon]))</f>
        <v/>
      </c>
      <c r="AF199" s="274" t="str">
        <f>Table1[[#This Row],[Item Description]]&amp;Table1[[#This Row],[Unit]]&amp;Table1[[#This Row],[Unit Price]]</f>
        <v/>
      </c>
      <c r="AG199" s="3"/>
      <c r="AH199" s="3"/>
      <c r="AI199" s="3"/>
    </row>
    <row r="200" spans="1:35" x14ac:dyDescent="0.25">
      <c r="A200" s="278" t="str">
        <f ca="1">IF(Table1[[#This Row],[No. Invoice :]]="","",ROW())</f>
        <v/>
      </c>
      <c r="B200" s="278" t="str">
        <f ca="1">IF(Table1[Column3]="","",B$1+COUNT(INDIRECT("B$2:B"&amp;ROW()-1)))</f>
        <v/>
      </c>
      <c r="C200" s="272" t="str">
        <f>IF(Table1[[#This Row],[Column2]]="","",Table1[[#This Row],[Column2]]+C$1-1)</f>
        <v/>
      </c>
      <c r="E200" s="273"/>
      <c r="F200" s="271"/>
      <c r="G200" s="278" t="str">
        <f ca="1">IF(Table1[[#This Row],[h_No. Invoice :]]="","",CONCATENATE("AM"," ",Table1[[#This Row],[h_No. Invoice :]]))</f>
        <v/>
      </c>
      <c r="H200" s="271" t="str">
        <f>IF(Table1[[#This Row],[Column5]]="","",INDEX(Table2[Column1],MATCH(Table1[[#This Row],[Column5]],Table2[a],0)))</f>
        <v/>
      </c>
      <c r="I200" s="279" t="str">
        <f>IF(Table1[[#This Row],[Column3]]=0,"",CONCATENATE(UPPER(Table1[[#This Row],[Column3]])," ",Table1[[#This Row],[Column4]]))</f>
        <v xml:space="preserve"> </v>
      </c>
      <c r="J200" s="278" t="str">
        <f>IF(Table1[[#This Row],[Column5]]="","",INDEX(Table2[e],IF(Table1[[#This Row],[Column5]]="","",MATCH(Table1[[#This Row],[Column5]],Table2[a],0)),))</f>
        <v/>
      </c>
      <c r="K200" s="271"/>
      <c r="L200" s="271"/>
      <c r="O200" s="278" t="str">
        <f>IF(Table1[[#This Row],[h_Item Description]]="","",INDEX([1]!db[NB PAJAK],MATCH(Table1[[#This Row],[h_Item Description]],[1]!db[kode],0)))</f>
        <v/>
      </c>
      <c r="Q200" s="274"/>
      <c r="R200" s="275"/>
      <c r="S200" s="275"/>
      <c r="T200" s="274" t="str">
        <f>Table1[[#This Row],[h_hargasetelahdiskon]]</f>
        <v/>
      </c>
      <c r="V200" s="271"/>
      <c r="W200" s="278" t="str">
        <f ca="1">IF(Table1[[#This Row],[Item Description]]="","",IF(Table1[[#This Row],[//]]="",INDIRECT(ADDRESS(ROW()-1,COLUMN())),Table1[[#This Row],[//]]))</f>
        <v/>
      </c>
      <c r="X200" s="278" t="str">
        <f ca="1">IF(Table1[[#This Row],[h_id]]="","",COUNTIF(Table1[h_id],Table1[[#This Row],[h_id]]))</f>
        <v/>
      </c>
      <c r="Y200" s="274" t="str">
        <f>IF(Table1[Item Description]="","",Table1[[#This Row],[Qty]]*Table1[[#This Row],[Unit Price]])</f>
        <v/>
      </c>
      <c r="Z200" s="274" t="str">
        <f>IF(Table1[[#This Row],[h_hargasebelumdiskon]]="","",IF(Table1[[#This Row],[Disc 1]]="",0,Table1[[#This Row],[h_hargasebelumdiskon]]*Table1[[#This Row],[Disc 1]]))</f>
        <v/>
      </c>
      <c r="AA200" s="274" t="str">
        <f>IF(Table1[[#This Row],[h_hargasebelumdiskon]]="","",IF(Table1[[#This Row],[Disc 2]]="",0,(Table1[[#This Row],[h_hargasebelumdiskon]]-Table1[[#This Row],[h_disc 1]])*Table1[[#This Row],[Disc 2]]))</f>
        <v/>
      </c>
      <c r="AB200" s="274" t="str">
        <f>IF(Table1[Item Description]="","",Table1[[#This Row],[h_disc 1]]+Table1[[#This Row],[h_disc 2]])</f>
        <v/>
      </c>
      <c r="AC200" s="274" t="str">
        <f>IF(Table1[Item Description]="","",Table1[[#This Row],[h_hargasebelumdiskon]]-Table1[[#This Row],[h_diskon]])</f>
        <v/>
      </c>
      <c r="AD200" s="274" t="str">
        <f ca="1">IF(Table1[//]="","",SUMIF(Table1[h_id],Table1[h_id],Table1[h_hargasetelahdiskon]))</f>
        <v/>
      </c>
      <c r="AF200" s="274" t="str">
        <f>Table1[[#This Row],[Item Description]]&amp;Table1[[#This Row],[Unit]]&amp;Table1[[#This Row],[Unit Price]]</f>
        <v/>
      </c>
      <c r="AG200" s="3"/>
      <c r="AH200" s="3"/>
      <c r="AI200" s="3"/>
    </row>
    <row r="201" spans="1:35" x14ac:dyDescent="0.25">
      <c r="A201" s="278" t="str">
        <f ca="1">IF(Table1[[#This Row],[No. Invoice :]]="","",ROW())</f>
        <v/>
      </c>
      <c r="B201" s="278" t="str">
        <f ca="1">IF(Table1[Column3]="","",B$1+COUNT(INDIRECT("B$2:B"&amp;ROW()-1)))</f>
        <v/>
      </c>
      <c r="C201" s="272" t="str">
        <f>IF(Table1[[#This Row],[Column2]]="","",Table1[[#This Row],[Column2]]+C$1-1)</f>
        <v/>
      </c>
      <c r="E201" s="273"/>
      <c r="F201" s="271"/>
      <c r="G201" s="278" t="str">
        <f ca="1">IF(Table1[[#This Row],[h_No. Invoice :]]="","",CONCATENATE("AM"," ",Table1[[#This Row],[h_No. Invoice :]]))</f>
        <v/>
      </c>
      <c r="H201" s="271" t="str">
        <f>IF(Table1[[#This Row],[Column5]]="","",INDEX(Table2[Column1],MATCH(Table1[[#This Row],[Column5]],Table2[a],0)))</f>
        <v/>
      </c>
      <c r="I201" s="279" t="str">
        <f>IF(Table1[[#This Row],[Column3]]=0,"",CONCATENATE(UPPER(Table1[[#This Row],[Column3]])," ",Table1[[#This Row],[Column4]]))</f>
        <v xml:space="preserve"> </v>
      </c>
      <c r="J201" s="278" t="str">
        <f>IF(Table1[[#This Row],[Column5]]="","",INDEX(Table2[e],IF(Table1[[#This Row],[Column5]]="","",MATCH(Table1[[#This Row],[Column5]],Table2[a],0)),))</f>
        <v/>
      </c>
      <c r="K201" s="271"/>
      <c r="L201" s="271"/>
      <c r="O201" s="278" t="str">
        <f>IF(Table1[[#This Row],[h_Item Description]]="","",INDEX([1]!db[NB PAJAK],MATCH(Table1[[#This Row],[h_Item Description]],[1]!db[kode],0)))</f>
        <v/>
      </c>
      <c r="Q201" s="274"/>
      <c r="R201" s="275"/>
      <c r="S201" s="275"/>
      <c r="T201" s="274" t="str">
        <f>Table1[[#This Row],[h_hargasetelahdiskon]]</f>
        <v/>
      </c>
      <c r="V201" s="271"/>
      <c r="W201" s="278" t="str">
        <f ca="1">IF(Table1[[#This Row],[Item Description]]="","",IF(Table1[[#This Row],[//]]="",INDIRECT(ADDRESS(ROW()-1,COLUMN())),Table1[[#This Row],[//]]))</f>
        <v/>
      </c>
      <c r="X201" s="278" t="str">
        <f ca="1">IF(Table1[[#This Row],[h_id]]="","",COUNTIF(Table1[h_id],Table1[[#This Row],[h_id]]))</f>
        <v/>
      </c>
      <c r="Y201" s="274" t="str">
        <f>IF(Table1[Item Description]="","",Table1[[#This Row],[Qty]]*Table1[[#This Row],[Unit Price]])</f>
        <v/>
      </c>
      <c r="Z201" s="274" t="str">
        <f>IF(Table1[[#This Row],[h_hargasebelumdiskon]]="","",IF(Table1[[#This Row],[Disc 1]]="",0,Table1[[#This Row],[h_hargasebelumdiskon]]*Table1[[#This Row],[Disc 1]]))</f>
        <v/>
      </c>
      <c r="AA201" s="274" t="str">
        <f>IF(Table1[[#This Row],[h_hargasebelumdiskon]]="","",IF(Table1[[#This Row],[Disc 2]]="",0,(Table1[[#This Row],[h_hargasebelumdiskon]]-Table1[[#This Row],[h_disc 1]])*Table1[[#This Row],[Disc 2]]))</f>
        <v/>
      </c>
      <c r="AB201" s="274" t="str">
        <f>IF(Table1[Item Description]="","",Table1[[#This Row],[h_disc 1]]+Table1[[#This Row],[h_disc 2]])</f>
        <v/>
      </c>
      <c r="AC201" s="274" t="str">
        <f>IF(Table1[Item Description]="","",Table1[[#This Row],[h_hargasebelumdiskon]]-Table1[[#This Row],[h_diskon]])</f>
        <v/>
      </c>
      <c r="AD201" s="274" t="str">
        <f ca="1">IF(Table1[//]="","",SUMIF(Table1[h_id],Table1[h_id],Table1[h_hargasetelahdiskon]))</f>
        <v/>
      </c>
      <c r="AF201" s="274" t="str">
        <f>Table1[[#This Row],[Item Description]]&amp;Table1[[#This Row],[Unit]]&amp;Table1[[#This Row],[Unit Price]]</f>
        <v/>
      </c>
      <c r="AG201" s="3"/>
      <c r="AH201" s="3"/>
      <c r="AI201" s="3"/>
    </row>
    <row r="202" spans="1:35" x14ac:dyDescent="0.25">
      <c r="A202" s="278" t="str">
        <f ca="1">IF(Table1[[#This Row],[No. Invoice :]]="","",ROW())</f>
        <v/>
      </c>
      <c r="B202" s="278" t="str">
        <f ca="1">IF(Table1[Column3]="","",B$1+COUNT(INDIRECT("B$2:B"&amp;ROW()-1)))</f>
        <v/>
      </c>
      <c r="C202" s="272" t="str">
        <f>IF(Table1[[#This Row],[Column2]]="","",Table1[[#This Row],[Column2]]+C$1-1)</f>
        <v/>
      </c>
      <c r="E202" s="273"/>
      <c r="F202" s="271"/>
      <c r="G202" s="278" t="str">
        <f ca="1">IF(Table1[[#This Row],[h_No. Invoice :]]="","",CONCATENATE("AM"," ",Table1[[#This Row],[h_No. Invoice :]]))</f>
        <v/>
      </c>
      <c r="H202" s="271" t="str">
        <f>IF(Table1[[#This Row],[Column5]]="","",INDEX(Table2[Column1],MATCH(Table1[[#This Row],[Column5]],Table2[a],0)))</f>
        <v/>
      </c>
      <c r="I202" s="279" t="str">
        <f>IF(Table1[[#This Row],[Column3]]=0,"",CONCATENATE(UPPER(Table1[[#This Row],[Column3]])," ",Table1[[#This Row],[Column4]]))</f>
        <v xml:space="preserve"> </v>
      </c>
      <c r="J202" s="278" t="str">
        <f>IF(Table1[[#This Row],[Column5]]="","",INDEX(Table2[e],IF(Table1[[#This Row],[Column5]]="","",MATCH(Table1[[#This Row],[Column5]],Table2[a],0)),))</f>
        <v/>
      </c>
      <c r="K202" s="271"/>
      <c r="L202" s="271"/>
      <c r="O202" s="278" t="str">
        <f>IF(Table1[[#This Row],[h_Item Description]]="","",INDEX([1]!db[NB PAJAK],MATCH(Table1[[#This Row],[h_Item Description]],[1]!db[kode],0)))</f>
        <v/>
      </c>
      <c r="Q202" s="274"/>
      <c r="R202" s="275"/>
      <c r="S202" s="275"/>
      <c r="T202" s="274" t="str">
        <f>Table1[[#This Row],[h_hargasetelahdiskon]]</f>
        <v/>
      </c>
      <c r="V202" s="271"/>
      <c r="W202" s="278" t="str">
        <f ca="1">IF(Table1[[#This Row],[Item Description]]="","",IF(Table1[[#This Row],[//]]="",INDIRECT(ADDRESS(ROW()-1,COLUMN())),Table1[[#This Row],[//]]))</f>
        <v/>
      </c>
      <c r="X202" s="278" t="str">
        <f ca="1">IF(Table1[[#This Row],[h_id]]="","",COUNTIF(Table1[h_id],Table1[[#This Row],[h_id]]))</f>
        <v/>
      </c>
      <c r="Y202" s="274" t="str">
        <f>IF(Table1[Item Description]="","",Table1[[#This Row],[Qty]]*Table1[[#This Row],[Unit Price]])</f>
        <v/>
      </c>
      <c r="Z202" s="274" t="str">
        <f>IF(Table1[[#This Row],[h_hargasebelumdiskon]]="","",IF(Table1[[#This Row],[Disc 1]]="",0,Table1[[#This Row],[h_hargasebelumdiskon]]*Table1[[#This Row],[Disc 1]]))</f>
        <v/>
      </c>
      <c r="AA202" s="274" t="str">
        <f>IF(Table1[[#This Row],[h_hargasebelumdiskon]]="","",IF(Table1[[#This Row],[Disc 2]]="",0,(Table1[[#This Row],[h_hargasebelumdiskon]]-Table1[[#This Row],[h_disc 1]])*Table1[[#This Row],[Disc 2]]))</f>
        <v/>
      </c>
      <c r="AB202" s="274" t="str">
        <f>IF(Table1[Item Description]="","",Table1[[#This Row],[h_disc 1]]+Table1[[#This Row],[h_disc 2]])</f>
        <v/>
      </c>
      <c r="AC202" s="274" t="str">
        <f>IF(Table1[Item Description]="","",Table1[[#This Row],[h_hargasebelumdiskon]]-Table1[[#This Row],[h_diskon]])</f>
        <v/>
      </c>
      <c r="AD202" s="274" t="str">
        <f ca="1">IF(Table1[//]="","",SUMIF(Table1[h_id],Table1[h_id],Table1[h_hargasetelahdiskon]))</f>
        <v/>
      </c>
      <c r="AF202" s="274" t="str">
        <f>Table1[[#This Row],[Item Description]]&amp;Table1[[#This Row],[Unit]]&amp;Table1[[#This Row],[Unit Price]]</f>
        <v/>
      </c>
      <c r="AG202" s="3"/>
      <c r="AH202" s="3"/>
      <c r="AI202" s="3"/>
    </row>
    <row r="203" spans="1:35" x14ac:dyDescent="0.25">
      <c r="A203" s="278" t="str">
        <f ca="1">IF(Table1[[#This Row],[No. Invoice :]]="","",ROW())</f>
        <v/>
      </c>
      <c r="B203" s="278" t="str">
        <f ca="1">IF(Table1[Column3]="","",B$1+COUNT(INDIRECT("B$2:B"&amp;ROW()-1)))</f>
        <v/>
      </c>
      <c r="C203" s="272" t="str">
        <f>IF(Table1[[#This Row],[Column2]]="","",Table1[[#This Row],[Column2]]+C$1-1)</f>
        <v/>
      </c>
      <c r="E203" s="273"/>
      <c r="F203" s="271"/>
      <c r="G203" s="278" t="str">
        <f ca="1">IF(Table1[[#This Row],[h_No. Invoice :]]="","",CONCATENATE("AM"," ",Table1[[#This Row],[h_No. Invoice :]]))</f>
        <v/>
      </c>
      <c r="H203" s="271" t="str">
        <f>IF(Table1[[#This Row],[Column5]]="","",INDEX(Table2[Column1],MATCH(Table1[[#This Row],[Column5]],Table2[a],0)))</f>
        <v/>
      </c>
      <c r="I203" s="279" t="str">
        <f>IF(Table1[[#This Row],[Column3]]=0,"",CONCATENATE(UPPER(Table1[[#This Row],[Column3]])," ",Table1[[#This Row],[Column4]]))</f>
        <v xml:space="preserve"> </v>
      </c>
      <c r="J203" s="278" t="str">
        <f>IF(Table1[[#This Row],[Column5]]="","",INDEX(Table2[e],IF(Table1[[#This Row],[Column5]]="","",MATCH(Table1[[#This Row],[Column5]],Table2[a],0)),))</f>
        <v/>
      </c>
      <c r="K203" s="271"/>
      <c r="L203" s="271"/>
      <c r="O203" s="271" t="str">
        <f>IF(Table1[[#This Row],[h_Item Description]]="","",INDEX([1]!db[NB PAJAK],MATCH(Table1[[#This Row],[h_Item Description]],[1]!db[kode],0)))</f>
        <v/>
      </c>
      <c r="Q203" s="274"/>
      <c r="R203" s="275"/>
      <c r="S203" s="275"/>
      <c r="T203" s="274" t="str">
        <f>Table1[[#This Row],[h_hargasetelahdiskon]]</f>
        <v/>
      </c>
      <c r="V203" s="271"/>
      <c r="W203" s="278" t="str">
        <f ca="1">IF(Table1[[#This Row],[Item Description]]="","",IF(Table1[[#This Row],[//]]="",INDIRECT(ADDRESS(ROW()-1,COLUMN())),Table1[[#This Row],[//]]))</f>
        <v/>
      </c>
      <c r="X203" s="278" t="str">
        <f ca="1">IF(Table1[[#This Row],[h_id]]="","",COUNTIF(Table1[h_id],Table1[[#This Row],[h_id]]))</f>
        <v/>
      </c>
      <c r="Y203" s="274" t="str">
        <f>IF(Table1[Item Description]="","",Table1[[#This Row],[Qty]]*Table1[[#This Row],[Unit Price]])</f>
        <v/>
      </c>
      <c r="Z203" s="274" t="str">
        <f>IF(Table1[[#This Row],[h_hargasebelumdiskon]]="","",IF(Table1[[#This Row],[Disc 1]]="",0,Table1[[#This Row],[h_hargasebelumdiskon]]*Table1[[#This Row],[Disc 1]]))</f>
        <v/>
      </c>
      <c r="AA203" s="274" t="str">
        <f>IF(Table1[[#This Row],[h_hargasebelumdiskon]]="","",IF(Table1[[#This Row],[Disc 2]]="",0,(Table1[[#This Row],[h_hargasebelumdiskon]]-Table1[[#This Row],[h_disc 1]])*Table1[[#This Row],[Disc 2]]))</f>
        <v/>
      </c>
      <c r="AB203" s="274" t="str">
        <f>IF(Table1[Item Description]="","",Table1[[#This Row],[h_disc 1]]+Table1[[#This Row],[h_disc 2]])</f>
        <v/>
      </c>
      <c r="AC203" s="274" t="str">
        <f>IF(Table1[Item Description]="","",Table1[[#This Row],[h_hargasebelumdiskon]]-Table1[[#This Row],[h_diskon]])</f>
        <v/>
      </c>
      <c r="AD203" s="274" t="str">
        <f ca="1">IF(Table1[//]="","",SUMIF(Table1[h_id],Table1[h_id],Table1[h_hargasetelahdiskon]))</f>
        <v/>
      </c>
      <c r="AF203" s="274" t="str">
        <f>Table1[[#This Row],[Item Description]]&amp;Table1[[#This Row],[Unit]]&amp;Table1[[#This Row],[Unit Price]]</f>
        <v/>
      </c>
      <c r="AG203" s="3"/>
      <c r="AH203" s="3"/>
      <c r="AI203" s="3"/>
    </row>
    <row r="204" spans="1:35" x14ac:dyDescent="0.25">
      <c r="A204" s="278" t="str">
        <f ca="1">IF(Table1[[#This Row],[No. Invoice :]]="","",ROW())</f>
        <v/>
      </c>
      <c r="B204" s="278" t="str">
        <f ca="1">IF(Table1[Column3]="","",B$1+COUNT(INDIRECT("B$2:B"&amp;ROW()-1)))</f>
        <v/>
      </c>
      <c r="C204" s="272" t="str">
        <f>IF(Table1[[#This Row],[Column2]]="","",Table1[[#This Row],[Column2]]+C$1-1)</f>
        <v/>
      </c>
      <c r="E204" s="273"/>
      <c r="F204" s="271"/>
      <c r="G204" s="278" t="str">
        <f ca="1">IF(Table1[[#This Row],[h_No. Invoice :]]="","",CONCATENATE("AM"," ",Table1[[#This Row],[h_No. Invoice :]]))</f>
        <v/>
      </c>
      <c r="H204" s="271" t="str">
        <f>IF(Table1[[#This Row],[Column5]]="","",INDEX(Table2[Column1],MATCH(Table1[[#This Row],[Column5]],Table2[a],0)))</f>
        <v/>
      </c>
      <c r="I204" s="279" t="str">
        <f>IF(Table1[[#This Row],[Column3]]=0,"",CONCATENATE(UPPER(Table1[[#This Row],[Column3]])," ",Table1[[#This Row],[Column4]]))</f>
        <v xml:space="preserve"> </v>
      </c>
      <c r="J204" s="278" t="str">
        <f>IF(Table1[[#This Row],[Column5]]="","",INDEX(Table2[e],IF(Table1[[#This Row],[Column5]]="","",MATCH(Table1[[#This Row],[Column5]],Table2[a],0)),))</f>
        <v/>
      </c>
      <c r="K204" s="271"/>
      <c r="L204" s="271"/>
      <c r="O204" s="278" t="str">
        <f>IF(Table1[[#This Row],[h_Item Description]]="","",INDEX([1]!db[NB PAJAK],MATCH(Table1[[#This Row],[h_Item Description]],[1]!db[kode],0)))</f>
        <v/>
      </c>
      <c r="Q204" s="274"/>
      <c r="R204" s="275"/>
      <c r="S204" s="275"/>
      <c r="T204" s="274" t="str">
        <f>Table1[[#This Row],[h_hargasetelahdiskon]]</f>
        <v/>
      </c>
      <c r="V204" s="271"/>
      <c r="W204" s="278" t="str">
        <f ca="1">IF(Table1[[#This Row],[Item Description]]="","",IF(Table1[[#This Row],[//]]="",INDIRECT(ADDRESS(ROW()-1,COLUMN())),Table1[[#This Row],[//]]))</f>
        <v/>
      </c>
      <c r="X204" s="278" t="str">
        <f ca="1">IF(Table1[[#This Row],[h_id]]="","",COUNTIF(Table1[h_id],Table1[[#This Row],[h_id]]))</f>
        <v/>
      </c>
      <c r="Y204" s="274" t="str">
        <f>IF(Table1[Item Description]="","",Table1[[#This Row],[Qty]]*Table1[[#This Row],[Unit Price]])</f>
        <v/>
      </c>
      <c r="Z204" s="274" t="str">
        <f>IF(Table1[[#This Row],[h_hargasebelumdiskon]]="","",IF(Table1[[#This Row],[Disc 1]]="",0,Table1[[#This Row],[h_hargasebelumdiskon]]*Table1[[#This Row],[Disc 1]]))</f>
        <v/>
      </c>
      <c r="AA204" s="274" t="str">
        <f>IF(Table1[[#This Row],[h_hargasebelumdiskon]]="","",IF(Table1[[#This Row],[Disc 2]]="",0,(Table1[[#This Row],[h_hargasebelumdiskon]]-Table1[[#This Row],[h_disc 1]])*Table1[[#This Row],[Disc 2]]))</f>
        <v/>
      </c>
      <c r="AB204" s="274" t="str">
        <f>IF(Table1[Item Description]="","",Table1[[#This Row],[h_disc 1]]+Table1[[#This Row],[h_disc 2]])</f>
        <v/>
      </c>
      <c r="AC204" s="274" t="str">
        <f>IF(Table1[Item Description]="","",Table1[[#This Row],[h_hargasebelumdiskon]]-Table1[[#This Row],[h_diskon]])</f>
        <v/>
      </c>
      <c r="AD204" s="274" t="str">
        <f ca="1">IF(Table1[//]="","",SUMIF(Table1[h_id],Table1[h_id],Table1[h_hargasetelahdiskon]))</f>
        <v/>
      </c>
      <c r="AF204" s="274" t="str">
        <f>Table1[[#This Row],[Item Description]]&amp;Table1[[#This Row],[Unit]]&amp;Table1[[#This Row],[Unit Price]]</f>
        <v/>
      </c>
      <c r="AG204" s="3"/>
      <c r="AH204" s="3"/>
      <c r="AI204" s="3"/>
    </row>
    <row r="205" spans="1:35" x14ac:dyDescent="0.25">
      <c r="A205" s="278" t="str">
        <f ca="1">IF(Table1[[#This Row],[No. Invoice :]]="","",ROW())</f>
        <v/>
      </c>
      <c r="B205" s="278" t="str">
        <f ca="1">IF(Table1[Column3]="","",B$1+COUNT(INDIRECT("B$2:B"&amp;ROW()-1)))</f>
        <v/>
      </c>
      <c r="C205" s="272" t="str">
        <f>IF(Table1[[#This Row],[Column2]]="","",Table1[[#This Row],[Column2]]+C$1-1)</f>
        <v/>
      </c>
      <c r="E205" s="273"/>
      <c r="F205" s="271"/>
      <c r="G205" s="278" t="str">
        <f ca="1">IF(Table1[[#This Row],[h_No. Invoice :]]="","",CONCATENATE("AM"," ",Table1[[#This Row],[h_No. Invoice :]]))</f>
        <v/>
      </c>
      <c r="H205" s="271" t="str">
        <f>IF(Table1[[#This Row],[Column5]]="","",INDEX(Table2[Column1],MATCH(Table1[[#This Row],[Column5]],Table2[a],0)))</f>
        <v/>
      </c>
      <c r="I205" s="279" t="str">
        <f>IF(Table1[[#This Row],[Column3]]=0,"",CONCATENATE(UPPER(Table1[[#This Row],[Column3]])," ",Table1[[#This Row],[Column4]]))</f>
        <v xml:space="preserve"> </v>
      </c>
      <c r="J205" s="278" t="str">
        <f>IF(Table1[[#This Row],[Column5]]="","",INDEX(Table2[e],IF(Table1[[#This Row],[Column5]]="","",MATCH(Table1[[#This Row],[Column5]],Table2[a],0)),))</f>
        <v/>
      </c>
      <c r="K205" s="271"/>
      <c r="L205" s="271"/>
      <c r="O205" s="278" t="str">
        <f>IF(Table1[[#This Row],[h_Item Description]]="","",INDEX([1]!db[NB PAJAK],MATCH(Table1[[#This Row],[h_Item Description]],[1]!db[kode],0)))</f>
        <v/>
      </c>
      <c r="Q205" s="274"/>
      <c r="R205" s="275"/>
      <c r="S205" s="275"/>
      <c r="T205" s="274" t="str">
        <f>Table1[[#This Row],[h_hargasetelahdiskon]]</f>
        <v/>
      </c>
      <c r="V205" s="271"/>
      <c r="W205" s="278" t="str">
        <f ca="1">IF(Table1[[#This Row],[Item Description]]="","",IF(Table1[[#This Row],[//]]="",INDIRECT(ADDRESS(ROW()-1,COLUMN())),Table1[[#This Row],[//]]))</f>
        <v/>
      </c>
      <c r="X205" s="278" t="str">
        <f ca="1">IF(Table1[[#This Row],[h_id]]="","",COUNTIF(Table1[h_id],Table1[[#This Row],[h_id]]))</f>
        <v/>
      </c>
      <c r="Y205" s="274" t="str">
        <f>IF(Table1[Item Description]="","",Table1[[#This Row],[Qty]]*Table1[[#This Row],[Unit Price]])</f>
        <v/>
      </c>
      <c r="Z205" s="274" t="str">
        <f>IF(Table1[[#This Row],[h_hargasebelumdiskon]]="","",IF(Table1[[#This Row],[Disc 1]]="",0,Table1[[#This Row],[h_hargasebelumdiskon]]*Table1[[#This Row],[Disc 1]]))</f>
        <v/>
      </c>
      <c r="AA205" s="274" t="str">
        <f>IF(Table1[[#This Row],[h_hargasebelumdiskon]]="","",IF(Table1[[#This Row],[Disc 2]]="",0,(Table1[[#This Row],[h_hargasebelumdiskon]]-Table1[[#This Row],[h_disc 1]])*Table1[[#This Row],[Disc 2]]))</f>
        <v/>
      </c>
      <c r="AB205" s="274" t="str">
        <f>IF(Table1[Item Description]="","",Table1[[#This Row],[h_disc 1]]+Table1[[#This Row],[h_disc 2]])</f>
        <v/>
      </c>
      <c r="AC205" s="274" t="str">
        <f>IF(Table1[Item Description]="","",Table1[[#This Row],[h_hargasebelumdiskon]]-Table1[[#This Row],[h_diskon]])</f>
        <v/>
      </c>
      <c r="AD205" s="274" t="str">
        <f ca="1">IF(Table1[//]="","",SUMIF(Table1[h_id],Table1[h_id],Table1[h_hargasetelahdiskon]))</f>
        <v/>
      </c>
      <c r="AF205" s="274" t="str">
        <f>Table1[[#This Row],[Item Description]]&amp;Table1[[#This Row],[Unit]]&amp;Table1[[#This Row],[Unit Price]]</f>
        <v/>
      </c>
      <c r="AG205" s="3"/>
      <c r="AH205" s="3"/>
      <c r="AI205" s="3"/>
    </row>
    <row r="206" spans="1:35" x14ac:dyDescent="0.25">
      <c r="A206" s="278" t="str">
        <f ca="1">IF(Table1[[#This Row],[No. Invoice :]]="","",ROW())</f>
        <v/>
      </c>
      <c r="B206" s="278" t="str">
        <f ca="1">IF(Table1[Column3]="","",B$1+COUNT(INDIRECT("B$2:B"&amp;ROW()-1)))</f>
        <v/>
      </c>
      <c r="C206" s="272" t="str">
        <f>IF(Table1[[#This Row],[Column2]]="","",Table1[[#This Row],[Column2]]+C$1-1)</f>
        <v/>
      </c>
      <c r="E206" s="273"/>
      <c r="F206" s="271"/>
      <c r="G206" s="278" t="str">
        <f ca="1">IF(Table1[[#This Row],[h_No. Invoice :]]="","",CONCATENATE("AM"," ",Table1[[#This Row],[h_No. Invoice :]]))</f>
        <v/>
      </c>
      <c r="H206" s="271" t="str">
        <f>IF(Table1[[#This Row],[Column5]]="","",INDEX(Table2[Column1],MATCH(Table1[[#This Row],[Column5]],Table2[a],0)))</f>
        <v/>
      </c>
      <c r="I206" s="279" t="str">
        <f>IF(Table1[[#This Row],[Column3]]=0,"",CONCATENATE(UPPER(Table1[[#This Row],[Column3]])," ",Table1[[#This Row],[Column4]]))</f>
        <v xml:space="preserve"> </v>
      </c>
      <c r="J206" s="278" t="str">
        <f>IF(Table1[[#This Row],[Column5]]="","",INDEX(Table2[e],IF(Table1[[#This Row],[Column5]]="","",MATCH(Table1[[#This Row],[Column5]],Table2[a],0)),))</f>
        <v/>
      </c>
      <c r="K206" s="271"/>
      <c r="L206" s="271"/>
      <c r="O206" s="278" t="str">
        <f>IF(Table1[[#This Row],[h_Item Description]]="","",INDEX([1]!db[NB PAJAK],MATCH(Table1[[#This Row],[h_Item Description]],[1]!db[kode],0)))</f>
        <v/>
      </c>
      <c r="Q206" s="274"/>
      <c r="R206" s="275"/>
      <c r="S206" s="275"/>
      <c r="T206" s="274" t="str">
        <f>Table1[[#This Row],[h_hargasetelahdiskon]]</f>
        <v/>
      </c>
      <c r="V206" s="271"/>
      <c r="W206" s="278" t="str">
        <f ca="1">IF(Table1[[#This Row],[Item Description]]="","",IF(Table1[[#This Row],[//]]="",INDIRECT(ADDRESS(ROW()-1,COLUMN())),Table1[[#This Row],[//]]))</f>
        <v/>
      </c>
      <c r="X206" s="278" t="str">
        <f ca="1">IF(Table1[[#This Row],[h_id]]="","",COUNTIF(Table1[h_id],Table1[[#This Row],[h_id]]))</f>
        <v/>
      </c>
      <c r="Y206" s="274" t="str">
        <f>IF(Table1[Item Description]="","",Table1[[#This Row],[Qty]]*Table1[[#This Row],[Unit Price]])</f>
        <v/>
      </c>
      <c r="Z206" s="274" t="str">
        <f>IF(Table1[[#This Row],[h_hargasebelumdiskon]]="","",IF(Table1[[#This Row],[Disc 1]]="",0,Table1[[#This Row],[h_hargasebelumdiskon]]*Table1[[#This Row],[Disc 1]]))</f>
        <v/>
      </c>
      <c r="AA206" s="274" t="str">
        <f>IF(Table1[[#This Row],[h_hargasebelumdiskon]]="","",IF(Table1[[#This Row],[Disc 2]]="",0,(Table1[[#This Row],[h_hargasebelumdiskon]]-Table1[[#This Row],[h_disc 1]])*Table1[[#This Row],[Disc 2]]))</f>
        <v/>
      </c>
      <c r="AB206" s="274" t="str">
        <f>IF(Table1[Item Description]="","",Table1[[#This Row],[h_disc 1]]+Table1[[#This Row],[h_disc 2]])</f>
        <v/>
      </c>
      <c r="AC206" s="274" t="str">
        <f>IF(Table1[Item Description]="","",Table1[[#This Row],[h_hargasebelumdiskon]]-Table1[[#This Row],[h_diskon]])</f>
        <v/>
      </c>
      <c r="AD206" s="274" t="str">
        <f ca="1">IF(Table1[//]="","",SUMIF(Table1[h_id],Table1[h_id],Table1[h_hargasetelahdiskon]))</f>
        <v/>
      </c>
      <c r="AF206" s="274" t="str">
        <f>Table1[[#This Row],[Item Description]]&amp;Table1[[#This Row],[Unit]]&amp;Table1[[#This Row],[Unit Price]]</f>
        <v/>
      </c>
      <c r="AG206" s="3"/>
      <c r="AH206" s="3"/>
      <c r="AI206" s="3"/>
    </row>
    <row r="207" spans="1:35" x14ac:dyDescent="0.25">
      <c r="A207" s="278" t="str">
        <f ca="1">IF(Table1[[#This Row],[No. Invoice :]]="","",ROW())</f>
        <v/>
      </c>
      <c r="B207" s="278" t="str">
        <f ca="1">IF(Table1[Column3]="","",B$1+COUNT(INDIRECT("B$2:B"&amp;ROW()-1)))</f>
        <v/>
      </c>
      <c r="C207" s="272" t="str">
        <f>IF(Table1[[#This Row],[Column2]]="","",Table1[[#This Row],[Column2]]+C$1-1)</f>
        <v/>
      </c>
      <c r="E207" s="273"/>
      <c r="F207" s="271"/>
      <c r="G207" s="278" t="str">
        <f ca="1">IF(Table1[[#This Row],[h_No. Invoice :]]="","",CONCATENATE("AM"," ",Table1[[#This Row],[h_No. Invoice :]]))</f>
        <v/>
      </c>
      <c r="H207" s="271" t="str">
        <f>IF(Table1[[#This Row],[Column5]]="","",INDEX(Table2[Column1],MATCH(Table1[[#This Row],[Column5]],Table2[a],0)))</f>
        <v/>
      </c>
      <c r="I207" s="279" t="str">
        <f>IF(Table1[[#This Row],[Column3]]=0,"",CONCATENATE(UPPER(Table1[[#This Row],[Column3]])," ",Table1[[#This Row],[Column4]]))</f>
        <v xml:space="preserve"> </v>
      </c>
      <c r="J207" s="278" t="str">
        <f>IF(Table1[[#This Row],[Column5]]="","",INDEX(Table2[e],IF(Table1[[#This Row],[Column5]]="","",MATCH(Table1[[#This Row],[Column5]],Table2[a],0)),))</f>
        <v/>
      </c>
      <c r="K207" s="271"/>
      <c r="L207" s="271"/>
      <c r="O207" s="278" t="str">
        <f>IF(Table1[[#This Row],[h_Item Description]]="","",INDEX([1]!db[NB PAJAK],MATCH(Table1[[#This Row],[h_Item Description]],[1]!db[kode],0)))</f>
        <v/>
      </c>
      <c r="Q207" s="274"/>
      <c r="R207" s="275"/>
      <c r="S207" s="275"/>
      <c r="T207" s="274" t="str">
        <f>Table1[[#This Row],[h_hargasetelahdiskon]]</f>
        <v/>
      </c>
      <c r="V207" s="271"/>
      <c r="W207" s="278" t="str">
        <f ca="1">IF(Table1[[#This Row],[Item Description]]="","",IF(Table1[[#This Row],[//]]="",INDIRECT(ADDRESS(ROW()-1,COLUMN())),Table1[[#This Row],[//]]))</f>
        <v/>
      </c>
      <c r="X207" s="278" t="str">
        <f ca="1">IF(Table1[[#This Row],[h_id]]="","",COUNTIF(Table1[h_id],Table1[[#This Row],[h_id]]))</f>
        <v/>
      </c>
      <c r="Y207" s="274" t="str">
        <f>IF(Table1[Item Description]="","",Table1[[#This Row],[Qty]]*Table1[[#This Row],[Unit Price]])</f>
        <v/>
      </c>
      <c r="Z207" s="274" t="str">
        <f>IF(Table1[[#This Row],[h_hargasebelumdiskon]]="","",IF(Table1[[#This Row],[Disc 1]]="",0,Table1[[#This Row],[h_hargasebelumdiskon]]*Table1[[#This Row],[Disc 1]]))</f>
        <v/>
      </c>
      <c r="AA207" s="274" t="str">
        <f>IF(Table1[[#This Row],[h_hargasebelumdiskon]]="","",IF(Table1[[#This Row],[Disc 2]]="",0,(Table1[[#This Row],[h_hargasebelumdiskon]]-Table1[[#This Row],[h_disc 1]])*Table1[[#This Row],[Disc 2]]))</f>
        <v/>
      </c>
      <c r="AB207" s="274" t="str">
        <f>IF(Table1[Item Description]="","",Table1[[#This Row],[h_disc 1]]+Table1[[#This Row],[h_disc 2]])</f>
        <v/>
      </c>
      <c r="AC207" s="274" t="str">
        <f>IF(Table1[Item Description]="","",Table1[[#This Row],[h_hargasebelumdiskon]]-Table1[[#This Row],[h_diskon]])</f>
        <v/>
      </c>
      <c r="AD207" s="274" t="str">
        <f ca="1">IF(Table1[//]="","",SUMIF(Table1[h_id],Table1[h_id],Table1[h_hargasetelahdiskon]))</f>
        <v/>
      </c>
      <c r="AF207" s="274" t="str">
        <f>Table1[[#This Row],[Item Description]]&amp;Table1[[#This Row],[Unit]]&amp;Table1[[#This Row],[Unit Price]]</f>
        <v/>
      </c>
      <c r="AG207" s="3"/>
      <c r="AH207" s="3"/>
      <c r="AI207" s="3"/>
    </row>
    <row r="208" spans="1:35" x14ac:dyDescent="0.25">
      <c r="A208" s="278" t="str">
        <f ca="1">IF(Table1[[#This Row],[No. Invoice :]]="","",ROW())</f>
        <v/>
      </c>
      <c r="B208" s="278" t="str">
        <f ca="1">IF(Table1[Column3]="","",B$1+COUNT(INDIRECT("B$2:B"&amp;ROW()-1)))</f>
        <v/>
      </c>
      <c r="C208" s="272" t="str">
        <f>IF(Table1[[#This Row],[Column2]]="","",Table1[[#This Row],[Column2]]+C$1-1)</f>
        <v/>
      </c>
      <c r="E208" s="273"/>
      <c r="F208" s="271"/>
      <c r="G208" s="278" t="str">
        <f ca="1">IF(Table1[[#This Row],[h_No. Invoice :]]="","",CONCATENATE("AM"," ",Table1[[#This Row],[h_No. Invoice :]]))</f>
        <v/>
      </c>
      <c r="H208" s="271" t="str">
        <f>IF(Table1[[#This Row],[Column5]]="","",INDEX(Table2[Column1],MATCH(Table1[[#This Row],[Column5]],Table2[a],0)))</f>
        <v/>
      </c>
      <c r="I208" s="279" t="str">
        <f>IF(Table1[[#This Row],[Column3]]=0,"",CONCATENATE(UPPER(Table1[[#This Row],[Column3]])," ",Table1[[#This Row],[Column4]]))</f>
        <v xml:space="preserve"> </v>
      </c>
      <c r="J208" s="278" t="str">
        <f>IF(Table1[[#This Row],[Column5]]="","",INDEX(Table2[e],IF(Table1[[#This Row],[Column5]]="","",MATCH(Table1[[#This Row],[Column5]],Table2[a],0)),))</f>
        <v/>
      </c>
      <c r="K208" s="271"/>
      <c r="L208" s="271"/>
      <c r="O208" s="278" t="str">
        <f>IF(Table1[[#This Row],[h_Item Description]]="","",INDEX([1]!db[NB PAJAK],MATCH(Table1[[#This Row],[h_Item Description]],[1]!db[kode],0)))</f>
        <v/>
      </c>
      <c r="Q208" s="274"/>
      <c r="R208" s="275"/>
      <c r="S208" s="275"/>
      <c r="T208" s="274" t="str">
        <f>Table1[[#This Row],[h_hargasetelahdiskon]]</f>
        <v/>
      </c>
      <c r="V208" s="271"/>
      <c r="W208" s="278" t="str">
        <f ca="1">IF(Table1[[#This Row],[Item Description]]="","",IF(Table1[[#This Row],[//]]="",INDIRECT(ADDRESS(ROW()-1,COLUMN())),Table1[[#This Row],[//]]))</f>
        <v/>
      </c>
      <c r="X208" s="278" t="str">
        <f ca="1">IF(Table1[[#This Row],[h_id]]="","",COUNTIF(Table1[h_id],Table1[[#This Row],[h_id]]))</f>
        <v/>
      </c>
      <c r="Y208" s="274" t="str">
        <f>IF(Table1[Item Description]="","",Table1[[#This Row],[Qty]]*Table1[[#This Row],[Unit Price]])</f>
        <v/>
      </c>
      <c r="Z208" s="274" t="str">
        <f>IF(Table1[[#This Row],[h_hargasebelumdiskon]]="","",IF(Table1[[#This Row],[Disc 1]]="",0,Table1[[#This Row],[h_hargasebelumdiskon]]*Table1[[#This Row],[Disc 1]]))</f>
        <v/>
      </c>
      <c r="AA208" s="274" t="str">
        <f>IF(Table1[[#This Row],[h_hargasebelumdiskon]]="","",IF(Table1[[#This Row],[Disc 2]]="",0,(Table1[[#This Row],[h_hargasebelumdiskon]]-Table1[[#This Row],[h_disc 1]])*Table1[[#This Row],[Disc 2]]))</f>
        <v/>
      </c>
      <c r="AB208" s="274" t="str">
        <f>IF(Table1[Item Description]="","",Table1[[#This Row],[h_disc 1]]+Table1[[#This Row],[h_disc 2]])</f>
        <v/>
      </c>
      <c r="AC208" s="274" t="str">
        <f>IF(Table1[Item Description]="","",Table1[[#This Row],[h_hargasebelumdiskon]]-Table1[[#This Row],[h_diskon]])</f>
        <v/>
      </c>
      <c r="AD208" s="274" t="str">
        <f ca="1">IF(Table1[//]="","",SUMIF(Table1[h_id],Table1[h_id],Table1[h_hargasetelahdiskon]))</f>
        <v/>
      </c>
      <c r="AF208" s="274" t="str">
        <f>Table1[[#This Row],[Item Description]]&amp;Table1[[#This Row],[Unit]]&amp;Table1[[#This Row],[Unit Price]]</f>
        <v/>
      </c>
      <c r="AG208" s="3"/>
      <c r="AH208" s="3"/>
      <c r="AI208" s="3"/>
    </row>
    <row r="209" spans="1:35" x14ac:dyDescent="0.25">
      <c r="A209" s="278" t="str">
        <f ca="1">IF(Table1[[#This Row],[No. Invoice :]]="","",ROW())</f>
        <v/>
      </c>
      <c r="B209" s="278" t="str">
        <f ca="1">IF(Table1[Column3]="","",B$1+COUNT(INDIRECT("B$2:B"&amp;ROW()-1)))</f>
        <v/>
      </c>
      <c r="C209" s="272" t="str">
        <f>IF(Table1[[#This Row],[Column2]]="","",Table1[[#This Row],[Column2]]+C$1-1)</f>
        <v/>
      </c>
      <c r="E209" s="273"/>
      <c r="F209" s="271"/>
      <c r="G209" s="278" t="str">
        <f ca="1">IF(Table1[[#This Row],[h_No. Invoice :]]="","",CONCATENATE("AM"," ",Table1[[#This Row],[h_No. Invoice :]]))</f>
        <v/>
      </c>
      <c r="H209" s="271" t="str">
        <f>IF(Table1[[#This Row],[Column5]]="","",INDEX(Table2[Column1],MATCH(Table1[[#This Row],[Column5]],Table2[a],0)))</f>
        <v/>
      </c>
      <c r="I209" s="279" t="str">
        <f>IF(Table1[[#This Row],[Column3]]=0,"",CONCATENATE(UPPER(Table1[[#This Row],[Column3]])," ",Table1[[#This Row],[Column4]]))</f>
        <v xml:space="preserve"> </v>
      </c>
      <c r="J209" s="278" t="str">
        <f>IF(Table1[[#This Row],[Column5]]="","",INDEX(Table2[e],IF(Table1[[#This Row],[Column5]]="","",MATCH(Table1[[#This Row],[Column5]],Table2[a],0)),))</f>
        <v/>
      </c>
      <c r="K209" s="271"/>
      <c r="L209" s="271"/>
      <c r="O209" s="278" t="str">
        <f>IF(Table1[[#This Row],[h_Item Description]]="","",INDEX([1]!db[NB PAJAK],MATCH(Table1[[#This Row],[h_Item Description]],[1]!db[kode],0)))</f>
        <v/>
      </c>
      <c r="Q209" s="274"/>
      <c r="R209" s="275"/>
      <c r="S209" s="275"/>
      <c r="T209" s="274" t="str">
        <f>Table1[[#This Row],[h_hargasetelahdiskon]]</f>
        <v/>
      </c>
      <c r="V209" s="271"/>
      <c r="W209" s="278" t="str">
        <f ca="1">IF(Table1[[#This Row],[Item Description]]="","",IF(Table1[[#This Row],[//]]="",INDIRECT(ADDRESS(ROW()-1,COLUMN())),Table1[[#This Row],[//]]))</f>
        <v/>
      </c>
      <c r="X209" s="278" t="str">
        <f ca="1">IF(Table1[[#This Row],[h_id]]="","",COUNTIF(Table1[h_id],Table1[[#This Row],[h_id]]))</f>
        <v/>
      </c>
      <c r="Y209" s="274" t="str">
        <f>IF(Table1[Item Description]="","",Table1[[#This Row],[Qty]]*Table1[[#This Row],[Unit Price]])</f>
        <v/>
      </c>
      <c r="Z209" s="274" t="str">
        <f>IF(Table1[[#This Row],[h_hargasebelumdiskon]]="","",IF(Table1[[#This Row],[Disc 1]]="",0,Table1[[#This Row],[h_hargasebelumdiskon]]*Table1[[#This Row],[Disc 1]]))</f>
        <v/>
      </c>
      <c r="AA209" s="274" t="str">
        <f>IF(Table1[[#This Row],[h_hargasebelumdiskon]]="","",IF(Table1[[#This Row],[Disc 2]]="",0,(Table1[[#This Row],[h_hargasebelumdiskon]]-Table1[[#This Row],[h_disc 1]])*Table1[[#This Row],[Disc 2]]))</f>
        <v/>
      </c>
      <c r="AB209" s="274" t="str">
        <f>IF(Table1[Item Description]="","",Table1[[#This Row],[h_disc 1]]+Table1[[#This Row],[h_disc 2]])</f>
        <v/>
      </c>
      <c r="AC209" s="274" t="str">
        <f>IF(Table1[Item Description]="","",Table1[[#This Row],[h_hargasebelumdiskon]]-Table1[[#This Row],[h_diskon]])</f>
        <v/>
      </c>
      <c r="AD209" s="274" t="str">
        <f ca="1">IF(Table1[//]="","",SUMIF(Table1[h_id],Table1[h_id],Table1[h_hargasetelahdiskon]))</f>
        <v/>
      </c>
      <c r="AF209" s="274" t="str">
        <f>Table1[[#This Row],[Item Description]]&amp;Table1[[#This Row],[Unit]]&amp;Table1[[#This Row],[Unit Price]]</f>
        <v/>
      </c>
      <c r="AG209" s="3"/>
      <c r="AH209" s="3"/>
      <c r="AI209" s="3"/>
    </row>
    <row r="210" spans="1:35" x14ac:dyDescent="0.25">
      <c r="A210" s="278" t="str">
        <f ca="1">IF(Table1[[#This Row],[No. Invoice :]]="","",ROW())</f>
        <v/>
      </c>
      <c r="B210" s="278" t="str">
        <f ca="1">IF(Table1[Column3]="","",B$1+COUNT(INDIRECT("B$2:B"&amp;ROW()-1)))</f>
        <v/>
      </c>
      <c r="C210" s="272" t="str">
        <f>IF(Table1[[#This Row],[Column2]]="","",Table1[[#This Row],[Column2]]+C$1-1)</f>
        <v/>
      </c>
      <c r="E210" s="273"/>
      <c r="F210" s="271"/>
      <c r="G210" s="278" t="str">
        <f ca="1">IF(Table1[[#This Row],[h_No. Invoice :]]="","",CONCATENATE("AM"," ",Table1[[#This Row],[h_No. Invoice :]]))</f>
        <v/>
      </c>
      <c r="H210" s="271" t="str">
        <f>IF(Table1[[#This Row],[Column5]]="","",INDEX(Table2[Column1],MATCH(Table1[[#This Row],[Column5]],Table2[a],0)))</f>
        <v/>
      </c>
      <c r="I210" s="279" t="str">
        <f>IF(Table1[[#This Row],[Column3]]=0,"",CONCATENATE(UPPER(Table1[[#This Row],[Column3]])," ",Table1[[#This Row],[Column4]]))</f>
        <v xml:space="preserve"> </v>
      </c>
      <c r="J210" s="278" t="str">
        <f>IF(Table1[[#This Row],[Column5]]="","",INDEX(Table2[e],IF(Table1[[#This Row],[Column5]]="","",MATCH(Table1[[#This Row],[Column5]],Table2[a],0)),))</f>
        <v/>
      </c>
      <c r="K210" s="271"/>
      <c r="L210" s="271"/>
      <c r="O210" s="278" t="str">
        <f>IF(Table1[[#This Row],[h_Item Description]]="","",INDEX([1]!db[NB PAJAK],MATCH(Table1[[#This Row],[h_Item Description]],[1]!db[kode],0)))</f>
        <v/>
      </c>
      <c r="Q210" s="274"/>
      <c r="R210" s="275"/>
      <c r="S210" s="275"/>
      <c r="T210" s="274" t="str">
        <f>Table1[[#This Row],[h_hargasetelahdiskon]]</f>
        <v/>
      </c>
      <c r="V210" s="271"/>
      <c r="W210" s="278" t="str">
        <f ca="1">IF(Table1[[#This Row],[Item Description]]="","",IF(Table1[[#This Row],[//]]="",INDIRECT(ADDRESS(ROW()-1,COLUMN())),Table1[[#This Row],[//]]))</f>
        <v/>
      </c>
      <c r="X210" s="278" t="str">
        <f ca="1">IF(Table1[[#This Row],[h_id]]="","",COUNTIF(Table1[h_id],Table1[[#This Row],[h_id]]))</f>
        <v/>
      </c>
      <c r="Y210" s="274" t="str">
        <f>IF(Table1[Item Description]="","",Table1[[#This Row],[Qty]]*Table1[[#This Row],[Unit Price]])</f>
        <v/>
      </c>
      <c r="Z210" s="274" t="str">
        <f>IF(Table1[[#This Row],[h_hargasebelumdiskon]]="","",IF(Table1[[#This Row],[Disc 1]]="",0,Table1[[#This Row],[h_hargasebelumdiskon]]*Table1[[#This Row],[Disc 1]]))</f>
        <v/>
      </c>
      <c r="AA210" s="274" t="str">
        <f>IF(Table1[[#This Row],[h_hargasebelumdiskon]]="","",IF(Table1[[#This Row],[Disc 2]]="",0,(Table1[[#This Row],[h_hargasebelumdiskon]]-Table1[[#This Row],[h_disc 1]])*Table1[[#This Row],[Disc 2]]))</f>
        <v/>
      </c>
      <c r="AB210" s="274" t="str">
        <f>IF(Table1[Item Description]="","",Table1[[#This Row],[h_disc 1]]+Table1[[#This Row],[h_disc 2]])</f>
        <v/>
      </c>
      <c r="AC210" s="274" t="str">
        <f>IF(Table1[Item Description]="","",Table1[[#This Row],[h_hargasebelumdiskon]]-Table1[[#This Row],[h_diskon]])</f>
        <v/>
      </c>
      <c r="AD210" s="274" t="str">
        <f ca="1">IF(Table1[//]="","",SUMIF(Table1[h_id],Table1[h_id],Table1[h_hargasetelahdiskon]))</f>
        <v/>
      </c>
      <c r="AF210" s="274" t="str">
        <f>Table1[[#This Row],[Item Description]]&amp;Table1[[#This Row],[Unit]]&amp;Table1[[#This Row],[Unit Price]]</f>
        <v/>
      </c>
      <c r="AG210" s="3"/>
      <c r="AH210" s="3"/>
      <c r="AI210" s="3"/>
    </row>
    <row r="211" spans="1:35" x14ac:dyDescent="0.25">
      <c r="A211" s="278" t="str">
        <f ca="1">IF(Table1[[#This Row],[No. Invoice :]]="","",ROW())</f>
        <v/>
      </c>
      <c r="B211" s="278" t="str">
        <f ca="1">IF(Table1[Column3]="","",B$1+COUNT(INDIRECT("B$2:B"&amp;ROW()-1)))</f>
        <v/>
      </c>
      <c r="C211" s="272" t="str">
        <f>IF(Table1[[#This Row],[Column2]]="","",Table1[[#This Row],[Column2]]+C$1-1)</f>
        <v/>
      </c>
      <c r="E211" s="273"/>
      <c r="F211" s="271"/>
      <c r="G211" s="278" t="str">
        <f ca="1">IF(Table1[[#This Row],[h_No. Invoice :]]="","",CONCATENATE("AM"," ",Table1[[#This Row],[h_No. Invoice :]]))</f>
        <v/>
      </c>
      <c r="H211" s="271" t="str">
        <f>IF(Table1[[#This Row],[Column5]]="","",INDEX(Table2[Column1],MATCH(Table1[[#This Row],[Column5]],Table2[a],0)))</f>
        <v/>
      </c>
      <c r="I211" s="279" t="str">
        <f>IF(Table1[[#This Row],[Column3]]=0,"",CONCATENATE(UPPER(Table1[[#This Row],[Column3]])," ",Table1[[#This Row],[Column4]]))</f>
        <v xml:space="preserve"> </v>
      </c>
      <c r="J211" s="278" t="str">
        <f>IF(Table1[[#This Row],[Column5]]="","",INDEX(Table2[e],IF(Table1[[#This Row],[Column5]]="","",MATCH(Table1[[#This Row],[Column5]],Table2[a],0)),))</f>
        <v/>
      </c>
      <c r="K211" s="271"/>
      <c r="L211" s="271"/>
      <c r="O211" s="278" t="str">
        <f>IF(Table1[[#This Row],[h_Item Description]]="","",INDEX([1]!db[NB PAJAK],MATCH(Table1[[#This Row],[h_Item Description]],[1]!db[kode],0)))</f>
        <v/>
      </c>
      <c r="Q211" s="274"/>
      <c r="R211" s="275"/>
      <c r="S211" s="275"/>
      <c r="T211" s="274" t="str">
        <f>Table1[[#This Row],[h_hargasetelahdiskon]]</f>
        <v/>
      </c>
      <c r="V211" s="271"/>
      <c r="W211" s="278" t="str">
        <f ca="1">IF(Table1[[#This Row],[Item Description]]="","",IF(Table1[[#This Row],[//]]="",INDIRECT(ADDRESS(ROW()-1,COLUMN())),Table1[[#This Row],[//]]))</f>
        <v/>
      </c>
      <c r="X211" s="278" t="str">
        <f ca="1">IF(Table1[[#This Row],[h_id]]="","",COUNTIF(Table1[h_id],Table1[[#This Row],[h_id]]))</f>
        <v/>
      </c>
      <c r="Y211" s="274" t="str">
        <f>IF(Table1[Item Description]="","",Table1[[#This Row],[Qty]]*Table1[[#This Row],[Unit Price]])</f>
        <v/>
      </c>
      <c r="Z211" s="274" t="str">
        <f>IF(Table1[[#This Row],[h_hargasebelumdiskon]]="","",IF(Table1[[#This Row],[Disc 1]]="",0,Table1[[#This Row],[h_hargasebelumdiskon]]*Table1[[#This Row],[Disc 1]]))</f>
        <v/>
      </c>
      <c r="AA211" s="274" t="str">
        <f>IF(Table1[[#This Row],[h_hargasebelumdiskon]]="","",IF(Table1[[#This Row],[Disc 2]]="",0,(Table1[[#This Row],[h_hargasebelumdiskon]]-Table1[[#This Row],[h_disc 1]])*Table1[[#This Row],[Disc 2]]))</f>
        <v/>
      </c>
      <c r="AB211" s="274" t="str">
        <f>IF(Table1[Item Description]="","",Table1[[#This Row],[h_disc 1]]+Table1[[#This Row],[h_disc 2]])</f>
        <v/>
      </c>
      <c r="AC211" s="274" t="str">
        <f>IF(Table1[Item Description]="","",Table1[[#This Row],[h_hargasebelumdiskon]]-Table1[[#This Row],[h_diskon]])</f>
        <v/>
      </c>
      <c r="AD211" s="274" t="str">
        <f ca="1">IF(Table1[//]="","",SUMIF(Table1[h_id],Table1[h_id],Table1[h_hargasetelahdiskon]))</f>
        <v/>
      </c>
      <c r="AF211" s="274" t="str">
        <f>Table1[[#This Row],[Item Description]]&amp;Table1[[#This Row],[Unit]]&amp;Table1[[#This Row],[Unit Price]]</f>
        <v/>
      </c>
      <c r="AG211" s="3"/>
      <c r="AH211" s="3"/>
      <c r="AI211" s="3"/>
    </row>
    <row r="212" spans="1:35" x14ac:dyDescent="0.25">
      <c r="A212" s="278" t="str">
        <f ca="1">IF(Table1[[#This Row],[No. Invoice :]]="","",ROW())</f>
        <v/>
      </c>
      <c r="B212" s="278" t="str">
        <f ca="1">IF(Table1[Column3]="","",B$1+COUNT(INDIRECT("B$2:B"&amp;ROW()-1)))</f>
        <v/>
      </c>
      <c r="C212" s="272" t="str">
        <f>IF(Table1[[#This Row],[Column2]]="","",Table1[[#This Row],[Column2]]+C$1-1)</f>
        <v/>
      </c>
      <c r="E212" s="273"/>
      <c r="F212" s="271"/>
      <c r="G212" s="278" t="str">
        <f ca="1">IF(Table1[[#This Row],[h_No. Invoice :]]="","",CONCATENATE("AM"," ",Table1[[#This Row],[h_No. Invoice :]]))</f>
        <v/>
      </c>
      <c r="H212" s="271" t="str">
        <f>IF(Table1[[#This Row],[Column5]]="","",INDEX(Table2[Column1],MATCH(Table1[[#This Row],[Column5]],Table2[a],0)))</f>
        <v/>
      </c>
      <c r="I212" s="279" t="str">
        <f>IF(Table1[[#This Row],[Column3]]=0,"",CONCATENATE(UPPER(Table1[[#This Row],[Column3]])," ",Table1[[#This Row],[Column4]]))</f>
        <v xml:space="preserve"> </v>
      </c>
      <c r="J212" s="278" t="str">
        <f>IF(Table1[[#This Row],[Column5]]="","",INDEX(Table2[e],IF(Table1[[#This Row],[Column5]]="","",MATCH(Table1[[#This Row],[Column5]],Table2[a],0)),))</f>
        <v/>
      </c>
      <c r="K212" s="271"/>
      <c r="L212" s="271"/>
      <c r="O212" s="278" t="str">
        <f>IF(Table1[[#This Row],[h_Item Description]]="","",INDEX([1]!db[NB PAJAK],MATCH(Table1[[#This Row],[h_Item Description]],[1]!db[kode],0)))</f>
        <v/>
      </c>
      <c r="Q212" s="274"/>
      <c r="R212" s="275"/>
      <c r="S212" s="275"/>
      <c r="T212" s="274" t="str">
        <f>Table1[[#This Row],[h_hargasetelahdiskon]]</f>
        <v/>
      </c>
      <c r="V212" s="271"/>
      <c r="W212" s="278" t="str">
        <f ca="1">IF(Table1[[#This Row],[Item Description]]="","",IF(Table1[[#This Row],[//]]="",INDIRECT(ADDRESS(ROW()-1,COLUMN())),Table1[[#This Row],[//]]))</f>
        <v/>
      </c>
      <c r="X212" s="278" t="str">
        <f ca="1">IF(Table1[[#This Row],[h_id]]="","",COUNTIF(Table1[h_id],Table1[[#This Row],[h_id]]))</f>
        <v/>
      </c>
      <c r="Y212" s="274" t="str">
        <f>IF(Table1[Item Description]="","",Table1[[#This Row],[Qty]]*Table1[[#This Row],[Unit Price]])</f>
        <v/>
      </c>
      <c r="Z212" s="274" t="str">
        <f>IF(Table1[[#This Row],[h_hargasebelumdiskon]]="","",IF(Table1[[#This Row],[Disc 1]]="",0,Table1[[#This Row],[h_hargasebelumdiskon]]*Table1[[#This Row],[Disc 1]]))</f>
        <v/>
      </c>
      <c r="AA212" s="274" t="str">
        <f>IF(Table1[[#This Row],[h_hargasebelumdiskon]]="","",IF(Table1[[#This Row],[Disc 2]]="",0,(Table1[[#This Row],[h_hargasebelumdiskon]]-Table1[[#This Row],[h_disc 1]])*Table1[[#This Row],[Disc 2]]))</f>
        <v/>
      </c>
      <c r="AB212" s="274" t="str">
        <f>IF(Table1[Item Description]="","",Table1[[#This Row],[h_disc 1]]+Table1[[#This Row],[h_disc 2]])</f>
        <v/>
      </c>
      <c r="AC212" s="274" t="str">
        <f>IF(Table1[Item Description]="","",Table1[[#This Row],[h_hargasebelumdiskon]]-Table1[[#This Row],[h_diskon]])</f>
        <v/>
      </c>
      <c r="AD212" s="274" t="str">
        <f ca="1">IF(Table1[//]="","",SUMIF(Table1[h_id],Table1[h_id],Table1[h_hargasetelahdiskon]))</f>
        <v/>
      </c>
      <c r="AF212" s="274" t="str">
        <f>Table1[[#This Row],[Item Description]]&amp;Table1[[#This Row],[Unit]]&amp;Table1[[#This Row],[Unit Price]]</f>
        <v/>
      </c>
      <c r="AG212" s="3"/>
      <c r="AH212" s="3"/>
      <c r="AI212" s="3"/>
    </row>
    <row r="213" spans="1:35" x14ac:dyDescent="0.25">
      <c r="A213" s="278" t="str">
        <f ca="1">IF(Table1[[#This Row],[No. Invoice :]]="","",ROW())</f>
        <v/>
      </c>
      <c r="B213" s="278" t="str">
        <f ca="1">IF(Table1[Column3]="","",B$1+COUNT(INDIRECT("B$2:B"&amp;ROW()-1)))</f>
        <v/>
      </c>
      <c r="C213" s="272" t="str">
        <f>IF(Table1[[#This Row],[Column2]]="","",Table1[[#This Row],[Column2]]+C$1-1)</f>
        <v/>
      </c>
      <c r="E213" s="273"/>
      <c r="F213" s="271"/>
      <c r="G213" s="278" t="str">
        <f ca="1">IF(Table1[[#This Row],[h_No. Invoice :]]="","",CONCATENATE("AM"," ",Table1[[#This Row],[h_No. Invoice :]]))</f>
        <v/>
      </c>
      <c r="H213" s="271" t="str">
        <f>IF(Table1[[#This Row],[Column5]]="","",INDEX(Table2[Column1],MATCH(Table1[[#This Row],[Column5]],Table2[a],0)))</f>
        <v/>
      </c>
      <c r="I213" s="279" t="str">
        <f>IF(Table1[[#This Row],[Column3]]=0,"",CONCATENATE(UPPER(Table1[[#This Row],[Column3]])," ",Table1[[#This Row],[Column4]]))</f>
        <v xml:space="preserve"> </v>
      </c>
      <c r="J213" s="278" t="str">
        <f>IF(Table1[[#This Row],[Column5]]="","",INDEX(Table2[e],IF(Table1[[#This Row],[Column5]]="","",MATCH(Table1[[#This Row],[Column5]],Table2[a],0)),))</f>
        <v/>
      </c>
      <c r="K213" s="271"/>
      <c r="L213" s="271"/>
      <c r="O213" s="278" t="str">
        <f>IF(Table1[[#This Row],[h_Item Description]]="","",INDEX([1]!db[NB PAJAK],MATCH(Table1[[#This Row],[h_Item Description]],[1]!db[kode],0)))</f>
        <v/>
      </c>
      <c r="Q213" s="274"/>
      <c r="R213" s="275"/>
      <c r="S213" s="275"/>
      <c r="T213" s="274" t="str">
        <f>Table1[[#This Row],[h_hargasetelahdiskon]]</f>
        <v/>
      </c>
      <c r="V213" s="271"/>
      <c r="W213" s="278" t="str">
        <f ca="1">IF(Table1[[#This Row],[Item Description]]="","",IF(Table1[[#This Row],[//]]="",INDIRECT(ADDRESS(ROW()-1,COLUMN())),Table1[[#This Row],[//]]))</f>
        <v/>
      </c>
      <c r="X213" s="278" t="str">
        <f ca="1">IF(Table1[[#This Row],[h_id]]="","",COUNTIF(Table1[h_id],Table1[[#This Row],[h_id]]))</f>
        <v/>
      </c>
      <c r="Y213" s="274" t="str">
        <f>IF(Table1[Item Description]="","",Table1[[#This Row],[Qty]]*Table1[[#This Row],[Unit Price]])</f>
        <v/>
      </c>
      <c r="Z213" s="274" t="str">
        <f>IF(Table1[[#This Row],[h_hargasebelumdiskon]]="","",IF(Table1[[#This Row],[Disc 1]]="",0,Table1[[#This Row],[h_hargasebelumdiskon]]*Table1[[#This Row],[Disc 1]]))</f>
        <v/>
      </c>
      <c r="AA213" s="274" t="str">
        <f>IF(Table1[[#This Row],[h_hargasebelumdiskon]]="","",IF(Table1[[#This Row],[Disc 2]]="",0,(Table1[[#This Row],[h_hargasebelumdiskon]]-Table1[[#This Row],[h_disc 1]])*Table1[[#This Row],[Disc 2]]))</f>
        <v/>
      </c>
      <c r="AB213" s="274" t="str">
        <f>IF(Table1[Item Description]="","",Table1[[#This Row],[h_disc 1]]+Table1[[#This Row],[h_disc 2]])</f>
        <v/>
      </c>
      <c r="AC213" s="274" t="str">
        <f>IF(Table1[Item Description]="","",Table1[[#This Row],[h_hargasebelumdiskon]]-Table1[[#This Row],[h_diskon]])</f>
        <v/>
      </c>
      <c r="AD213" s="274" t="str">
        <f ca="1">IF(Table1[//]="","",SUMIF(Table1[h_id],Table1[h_id],Table1[h_hargasetelahdiskon]))</f>
        <v/>
      </c>
      <c r="AF213" s="274" t="str">
        <f>Table1[[#This Row],[Item Description]]&amp;Table1[[#This Row],[Unit]]&amp;Table1[[#This Row],[Unit Price]]</f>
        <v/>
      </c>
      <c r="AG213" s="3"/>
      <c r="AH213" s="3"/>
      <c r="AI213" s="3"/>
    </row>
    <row r="214" spans="1:35" x14ac:dyDescent="0.25">
      <c r="A214" s="278" t="str">
        <f ca="1">IF(Table1[[#This Row],[No. Invoice :]]="","",ROW())</f>
        <v/>
      </c>
      <c r="B214" s="278" t="str">
        <f ca="1">IF(Table1[Column3]="","",B$1+COUNT(INDIRECT("B$2:B"&amp;ROW()-1)))</f>
        <v/>
      </c>
      <c r="C214" s="272" t="str">
        <f>IF(Table1[[#This Row],[Column2]]="","",Table1[[#This Row],[Column2]]+C$1-1)</f>
        <v/>
      </c>
      <c r="E214" s="273"/>
      <c r="F214" s="271"/>
      <c r="G214" s="278" t="str">
        <f ca="1">IF(Table1[[#This Row],[h_No. Invoice :]]="","",CONCATENATE("AM"," ",Table1[[#This Row],[h_No. Invoice :]]))</f>
        <v/>
      </c>
      <c r="H214" s="271" t="str">
        <f>IF(Table1[[#This Row],[Column5]]="","",INDEX(Table2[Column1],MATCH(Table1[[#This Row],[Column5]],Table2[a],0)))</f>
        <v/>
      </c>
      <c r="I214" s="279" t="str">
        <f>IF(Table1[[#This Row],[Column3]]=0,"",CONCATENATE(UPPER(Table1[[#This Row],[Column3]])," ",Table1[[#This Row],[Column4]]))</f>
        <v xml:space="preserve"> </v>
      </c>
      <c r="J214" s="278" t="str">
        <f>IF(Table1[[#This Row],[Column5]]="","",INDEX(Table2[e],IF(Table1[[#This Row],[Column5]]="","",MATCH(Table1[[#This Row],[Column5]],Table2[a],0)),))</f>
        <v/>
      </c>
      <c r="K214" s="271"/>
      <c r="L214" s="271"/>
      <c r="O214" s="278" t="str">
        <f>IF(Table1[[#This Row],[h_Item Description]]="","",INDEX([1]!db[NB PAJAK],MATCH(Table1[[#This Row],[h_Item Description]],[1]!db[kode],0)))</f>
        <v/>
      </c>
      <c r="Q214" s="274"/>
      <c r="R214" s="275"/>
      <c r="S214" s="275"/>
      <c r="T214" s="274" t="str">
        <f>Table1[[#This Row],[h_hargasetelahdiskon]]</f>
        <v/>
      </c>
      <c r="V214" s="271"/>
      <c r="W214" s="278" t="str">
        <f ca="1">IF(Table1[[#This Row],[Item Description]]="","",IF(Table1[[#This Row],[//]]="",INDIRECT(ADDRESS(ROW()-1,COLUMN())),Table1[[#This Row],[//]]))</f>
        <v/>
      </c>
      <c r="X214" s="278" t="str">
        <f ca="1">IF(Table1[[#This Row],[h_id]]="","",COUNTIF(Table1[h_id],Table1[[#This Row],[h_id]]))</f>
        <v/>
      </c>
      <c r="Y214" s="274" t="str">
        <f>IF(Table1[Item Description]="","",Table1[[#This Row],[Qty]]*Table1[[#This Row],[Unit Price]])</f>
        <v/>
      </c>
      <c r="Z214" s="274" t="str">
        <f>IF(Table1[[#This Row],[h_hargasebelumdiskon]]="","",IF(Table1[[#This Row],[Disc 1]]="",0,Table1[[#This Row],[h_hargasebelumdiskon]]*Table1[[#This Row],[Disc 1]]))</f>
        <v/>
      </c>
      <c r="AA214" s="274" t="str">
        <f>IF(Table1[[#This Row],[h_hargasebelumdiskon]]="","",IF(Table1[[#This Row],[Disc 2]]="",0,(Table1[[#This Row],[h_hargasebelumdiskon]]-Table1[[#This Row],[h_disc 1]])*Table1[[#This Row],[Disc 2]]))</f>
        <v/>
      </c>
      <c r="AB214" s="274" t="str">
        <f>IF(Table1[Item Description]="","",Table1[[#This Row],[h_disc 1]]+Table1[[#This Row],[h_disc 2]])</f>
        <v/>
      </c>
      <c r="AC214" s="274" t="str">
        <f>IF(Table1[Item Description]="","",Table1[[#This Row],[h_hargasebelumdiskon]]-Table1[[#This Row],[h_diskon]])</f>
        <v/>
      </c>
      <c r="AD214" s="274" t="str">
        <f ca="1">IF(Table1[//]="","",SUMIF(Table1[h_id],Table1[h_id],Table1[h_hargasetelahdiskon]))</f>
        <v/>
      </c>
      <c r="AF214" s="274" t="str">
        <f>Table1[[#This Row],[Item Description]]&amp;Table1[[#This Row],[Unit]]&amp;Table1[[#This Row],[Unit Price]]</f>
        <v/>
      </c>
      <c r="AG214" s="3"/>
      <c r="AH214" s="3"/>
      <c r="AI214" s="3"/>
    </row>
    <row r="215" spans="1:35" x14ac:dyDescent="0.25">
      <c r="A215" s="278" t="str">
        <f ca="1">IF(Table1[[#This Row],[No. Invoice :]]="","",ROW())</f>
        <v/>
      </c>
      <c r="B215" s="278" t="str">
        <f ca="1">IF(Table1[Column3]="","",B$1+COUNT(INDIRECT("B$2:B"&amp;ROW()-1)))</f>
        <v/>
      </c>
      <c r="C215" s="272" t="str">
        <f>IF(Table1[[#This Row],[Column2]]="","",Table1[[#This Row],[Column2]]+C$1-1)</f>
        <v/>
      </c>
      <c r="E215" s="273"/>
      <c r="F215" s="271"/>
      <c r="G215" s="278" t="str">
        <f ca="1">IF(Table1[[#This Row],[h_No. Invoice :]]="","",CONCATENATE("AM"," ",Table1[[#This Row],[h_No. Invoice :]]))</f>
        <v/>
      </c>
      <c r="H215" s="271" t="str">
        <f>IF(Table1[[#This Row],[Column5]]="","",INDEX(Table2[Column1],MATCH(Table1[[#This Row],[Column5]],Table2[a],0)))</f>
        <v/>
      </c>
      <c r="I215" s="279" t="str">
        <f>IF(Table1[[#This Row],[Column3]]=0,"",CONCATENATE(UPPER(Table1[[#This Row],[Column3]])," ",Table1[[#This Row],[Column4]]))</f>
        <v xml:space="preserve"> </v>
      </c>
      <c r="J215" s="278" t="str">
        <f>IF(Table1[[#This Row],[Column5]]="","",INDEX(Table2[e],IF(Table1[[#This Row],[Column5]]="","",MATCH(Table1[[#This Row],[Column5]],Table2[a],0)),))</f>
        <v/>
      </c>
      <c r="K215" s="271"/>
      <c r="L215" s="271"/>
      <c r="O215" s="278" t="str">
        <f>IF(Table1[[#This Row],[h_Item Description]]="","",INDEX([1]!db[NB PAJAK],MATCH(Table1[[#This Row],[h_Item Description]],[1]!db[kode],0)))</f>
        <v/>
      </c>
      <c r="Q215" s="274"/>
      <c r="R215" s="275"/>
      <c r="S215" s="275"/>
      <c r="T215" s="274" t="str">
        <f>Table1[[#This Row],[h_hargasetelahdiskon]]</f>
        <v/>
      </c>
      <c r="V215" s="271"/>
      <c r="W215" s="278" t="str">
        <f ca="1">IF(Table1[[#This Row],[Item Description]]="","",IF(Table1[[#This Row],[//]]="",INDIRECT(ADDRESS(ROW()-1,COLUMN())),Table1[[#This Row],[//]]))</f>
        <v/>
      </c>
      <c r="X215" s="278" t="str">
        <f ca="1">IF(Table1[[#This Row],[h_id]]="","",COUNTIF(Table1[h_id],Table1[[#This Row],[h_id]]))</f>
        <v/>
      </c>
      <c r="Y215" s="274" t="str">
        <f>IF(Table1[Item Description]="","",Table1[[#This Row],[Qty]]*Table1[[#This Row],[Unit Price]])</f>
        <v/>
      </c>
      <c r="Z215" s="274" t="str">
        <f>IF(Table1[[#This Row],[h_hargasebelumdiskon]]="","",IF(Table1[[#This Row],[Disc 1]]="",0,Table1[[#This Row],[h_hargasebelumdiskon]]*Table1[[#This Row],[Disc 1]]))</f>
        <v/>
      </c>
      <c r="AA215" s="274" t="str">
        <f>IF(Table1[[#This Row],[h_hargasebelumdiskon]]="","",IF(Table1[[#This Row],[Disc 2]]="",0,(Table1[[#This Row],[h_hargasebelumdiskon]]-Table1[[#This Row],[h_disc 1]])*Table1[[#This Row],[Disc 2]]))</f>
        <v/>
      </c>
      <c r="AB215" s="274" t="str">
        <f>IF(Table1[Item Description]="","",Table1[[#This Row],[h_disc 1]]+Table1[[#This Row],[h_disc 2]])</f>
        <v/>
      </c>
      <c r="AC215" s="274" t="str">
        <f>IF(Table1[Item Description]="","",Table1[[#This Row],[h_hargasebelumdiskon]]-Table1[[#This Row],[h_diskon]])</f>
        <v/>
      </c>
      <c r="AD215" s="274" t="str">
        <f ca="1">IF(Table1[//]="","",SUMIF(Table1[h_id],Table1[h_id],Table1[h_hargasetelahdiskon]))</f>
        <v/>
      </c>
      <c r="AF215" s="274" t="str">
        <f>Table1[[#This Row],[Item Description]]&amp;Table1[[#This Row],[Unit]]&amp;Table1[[#This Row],[Unit Price]]</f>
        <v/>
      </c>
      <c r="AG215" s="3"/>
      <c r="AH215" s="3"/>
      <c r="AI215" s="3"/>
    </row>
    <row r="216" spans="1:35" x14ac:dyDescent="0.25">
      <c r="A216" s="278" t="str">
        <f ca="1">IF(Table1[[#This Row],[No. Invoice :]]="","",ROW())</f>
        <v/>
      </c>
      <c r="B216" s="278" t="str">
        <f ca="1">IF(Table1[Column3]="","",B$1+COUNT(INDIRECT("B$2:B"&amp;ROW()-1)))</f>
        <v/>
      </c>
      <c r="C216" s="272" t="str">
        <f>IF(Table1[[#This Row],[Column2]]="","",Table1[[#This Row],[Column2]]+C$1-1)</f>
        <v/>
      </c>
      <c r="E216" s="273"/>
      <c r="F216" s="271"/>
      <c r="G216" s="278" t="str">
        <f ca="1">IF(Table1[[#This Row],[h_No. Invoice :]]="","",CONCATENATE("AM"," ",Table1[[#This Row],[h_No. Invoice :]]))</f>
        <v/>
      </c>
      <c r="H216" s="271" t="str">
        <f>IF(Table1[[#This Row],[Column5]]="","",INDEX(Table2[Column1],MATCH(Table1[[#This Row],[Column5]],Table2[a],0)))</f>
        <v/>
      </c>
      <c r="I216" s="279" t="str">
        <f>IF(Table1[[#This Row],[Column3]]=0,"",CONCATENATE(UPPER(Table1[[#This Row],[Column3]])," ",Table1[[#This Row],[Column4]]))</f>
        <v xml:space="preserve"> </v>
      </c>
      <c r="J216" s="278" t="str">
        <f>IF(Table1[[#This Row],[Column5]]="","",INDEX(Table2[e],IF(Table1[[#This Row],[Column5]]="","",MATCH(Table1[[#This Row],[Column5]],Table2[a],0)),))</f>
        <v/>
      </c>
      <c r="K216" s="271"/>
      <c r="L216" s="271"/>
      <c r="O216" s="278" t="str">
        <f>IF(Table1[[#This Row],[h_Item Description]]="","",INDEX([1]!db[NB PAJAK],MATCH(Table1[[#This Row],[h_Item Description]],[1]!db[kode],0)))</f>
        <v/>
      </c>
      <c r="Q216" s="274"/>
      <c r="R216" s="275"/>
      <c r="S216" s="275"/>
      <c r="T216" s="274" t="str">
        <f>Table1[[#This Row],[h_hargasetelahdiskon]]</f>
        <v/>
      </c>
      <c r="V216" s="271"/>
      <c r="W216" s="278" t="str">
        <f ca="1">IF(Table1[[#This Row],[Item Description]]="","",IF(Table1[[#This Row],[//]]="",INDIRECT(ADDRESS(ROW()-1,COLUMN())),Table1[[#This Row],[//]]))</f>
        <v/>
      </c>
      <c r="X216" s="278" t="str">
        <f ca="1">IF(Table1[[#This Row],[h_id]]="","",COUNTIF(Table1[h_id],Table1[[#This Row],[h_id]]))</f>
        <v/>
      </c>
      <c r="Y216" s="274" t="str">
        <f>IF(Table1[Item Description]="","",Table1[[#This Row],[Qty]]*Table1[[#This Row],[Unit Price]])</f>
        <v/>
      </c>
      <c r="Z216" s="274" t="str">
        <f>IF(Table1[[#This Row],[h_hargasebelumdiskon]]="","",IF(Table1[[#This Row],[Disc 1]]="",0,Table1[[#This Row],[h_hargasebelumdiskon]]*Table1[[#This Row],[Disc 1]]))</f>
        <v/>
      </c>
      <c r="AA216" s="274" t="str">
        <f>IF(Table1[[#This Row],[h_hargasebelumdiskon]]="","",IF(Table1[[#This Row],[Disc 2]]="",0,(Table1[[#This Row],[h_hargasebelumdiskon]]-Table1[[#This Row],[h_disc 1]])*Table1[[#This Row],[Disc 2]]))</f>
        <v/>
      </c>
      <c r="AB216" s="274" t="str">
        <f>IF(Table1[Item Description]="","",Table1[[#This Row],[h_disc 1]]+Table1[[#This Row],[h_disc 2]])</f>
        <v/>
      </c>
      <c r="AC216" s="274" t="str">
        <f>IF(Table1[Item Description]="","",Table1[[#This Row],[h_hargasebelumdiskon]]-Table1[[#This Row],[h_diskon]])</f>
        <v/>
      </c>
      <c r="AD216" s="274" t="str">
        <f ca="1">IF(Table1[//]="","",SUMIF(Table1[h_id],Table1[h_id],Table1[h_hargasetelahdiskon]))</f>
        <v/>
      </c>
      <c r="AF216" s="274" t="str">
        <f>Table1[[#This Row],[Item Description]]&amp;Table1[[#This Row],[Unit]]&amp;Table1[[#This Row],[Unit Price]]</f>
        <v/>
      </c>
      <c r="AG216" s="3"/>
      <c r="AH216" s="3"/>
      <c r="AI216" s="3"/>
    </row>
    <row r="217" spans="1:35" x14ac:dyDescent="0.25">
      <c r="A217" s="278" t="str">
        <f ca="1">IF(Table1[[#This Row],[No. Invoice :]]="","",ROW())</f>
        <v/>
      </c>
      <c r="B217" s="278" t="str">
        <f ca="1">IF(Table1[Column3]="","",B$1+COUNT(INDIRECT("B$2:B"&amp;ROW()-1)))</f>
        <v/>
      </c>
      <c r="C217" s="272" t="str">
        <f>IF(Table1[[#This Row],[Column2]]="","",Table1[[#This Row],[Column2]]+C$1-1)</f>
        <v/>
      </c>
      <c r="E217" s="273"/>
      <c r="F217" s="271"/>
      <c r="G217" s="278" t="str">
        <f ca="1">IF(Table1[[#This Row],[h_No. Invoice :]]="","",CONCATENATE("AM"," ",Table1[[#This Row],[h_No. Invoice :]]))</f>
        <v/>
      </c>
      <c r="H217" s="271" t="str">
        <f>IF(Table1[[#This Row],[Column5]]="","",INDEX(Table2[Column1],MATCH(Table1[[#This Row],[Column5]],Table2[a],0)))</f>
        <v/>
      </c>
      <c r="I217" s="279" t="str">
        <f>IF(Table1[[#This Row],[Column3]]=0,"",CONCATENATE(UPPER(Table1[[#This Row],[Column3]])," ",Table1[[#This Row],[Column4]]))</f>
        <v xml:space="preserve"> </v>
      </c>
      <c r="J217" s="278" t="str">
        <f>IF(Table1[[#This Row],[Column5]]="","",INDEX(Table2[e],IF(Table1[[#This Row],[Column5]]="","",MATCH(Table1[[#This Row],[Column5]],Table2[a],0)),))</f>
        <v/>
      </c>
      <c r="K217" s="271"/>
      <c r="L217" s="271"/>
      <c r="O217" s="278" t="str">
        <f>IF(Table1[[#This Row],[h_Item Description]]="","",INDEX([1]!db[NB PAJAK],MATCH(Table1[[#This Row],[h_Item Description]],[1]!db[kode],0)))</f>
        <v/>
      </c>
      <c r="Q217" s="274"/>
      <c r="R217" s="275"/>
      <c r="S217" s="275"/>
      <c r="T217" s="274" t="str">
        <f>Table1[[#This Row],[h_hargasetelahdiskon]]</f>
        <v/>
      </c>
      <c r="V217" s="271"/>
      <c r="W217" s="278" t="str">
        <f ca="1">IF(Table1[[#This Row],[Item Description]]="","",IF(Table1[[#This Row],[//]]="",INDIRECT(ADDRESS(ROW()-1,COLUMN())),Table1[[#This Row],[//]]))</f>
        <v/>
      </c>
      <c r="X217" s="278" t="str">
        <f ca="1">IF(Table1[[#This Row],[h_id]]="","",COUNTIF(Table1[h_id],Table1[[#This Row],[h_id]]))</f>
        <v/>
      </c>
      <c r="Y217" s="274" t="str">
        <f>IF(Table1[Item Description]="","",Table1[[#This Row],[Qty]]*Table1[[#This Row],[Unit Price]])</f>
        <v/>
      </c>
      <c r="Z217" s="274" t="str">
        <f>IF(Table1[[#This Row],[h_hargasebelumdiskon]]="","",IF(Table1[[#This Row],[Disc 1]]="",0,Table1[[#This Row],[h_hargasebelumdiskon]]*Table1[[#This Row],[Disc 1]]))</f>
        <v/>
      </c>
      <c r="AA217" s="274" t="str">
        <f>IF(Table1[[#This Row],[h_hargasebelumdiskon]]="","",IF(Table1[[#This Row],[Disc 2]]="",0,(Table1[[#This Row],[h_hargasebelumdiskon]]-Table1[[#This Row],[h_disc 1]])*Table1[[#This Row],[Disc 2]]))</f>
        <v/>
      </c>
      <c r="AB217" s="274" t="str">
        <f>IF(Table1[Item Description]="","",Table1[[#This Row],[h_disc 1]]+Table1[[#This Row],[h_disc 2]])</f>
        <v/>
      </c>
      <c r="AC217" s="274" t="str">
        <f>IF(Table1[Item Description]="","",Table1[[#This Row],[h_hargasebelumdiskon]]-Table1[[#This Row],[h_diskon]])</f>
        <v/>
      </c>
      <c r="AD217" s="274" t="str">
        <f ca="1">IF(Table1[//]="","",SUMIF(Table1[h_id],Table1[h_id],Table1[h_hargasetelahdiskon]))</f>
        <v/>
      </c>
      <c r="AF217" s="274" t="str">
        <f>Table1[[#This Row],[Item Description]]&amp;Table1[[#This Row],[Unit]]&amp;Table1[[#This Row],[Unit Price]]</f>
        <v/>
      </c>
      <c r="AG217" s="3"/>
      <c r="AH217" s="3"/>
      <c r="AI217" s="3"/>
    </row>
    <row r="218" spans="1:35" x14ac:dyDescent="0.25">
      <c r="A218" s="278" t="str">
        <f ca="1">IF(Table1[[#This Row],[No. Invoice :]]="","",ROW())</f>
        <v/>
      </c>
      <c r="B218" s="278" t="str">
        <f ca="1">IF(Table1[Column3]="","",B$1+COUNT(INDIRECT("B$2:B"&amp;ROW()-1)))</f>
        <v/>
      </c>
      <c r="C218" s="272" t="str">
        <f>IF(Table1[[#This Row],[Column2]]="","",Table1[[#This Row],[Column2]]+C$1-1)</f>
        <v/>
      </c>
      <c r="E218" s="273"/>
      <c r="F218" s="271"/>
      <c r="G218" s="278" t="str">
        <f ca="1">IF(Table1[[#This Row],[h_No. Invoice :]]="","",CONCATENATE("AM"," ",Table1[[#This Row],[h_No. Invoice :]]))</f>
        <v/>
      </c>
      <c r="H218" s="271" t="str">
        <f>IF(Table1[[#This Row],[Column5]]="","",INDEX(Table2[Column1],MATCH(Table1[[#This Row],[Column5]],Table2[a],0)))</f>
        <v/>
      </c>
      <c r="I218" s="279" t="str">
        <f>IF(Table1[[#This Row],[Column3]]=0,"",CONCATENATE(UPPER(Table1[[#This Row],[Column3]])," ",Table1[[#This Row],[Column4]]))</f>
        <v xml:space="preserve"> </v>
      </c>
      <c r="J218" s="278" t="str">
        <f>IF(Table1[[#This Row],[Column5]]="","",INDEX(Table2[e],IF(Table1[[#This Row],[Column5]]="","",MATCH(Table1[[#This Row],[Column5]],Table2[a],0)),))</f>
        <v/>
      </c>
      <c r="K218" s="271"/>
      <c r="L218" s="271"/>
      <c r="O218" s="278" t="str">
        <f>IF(Table1[[#This Row],[h_Item Description]]="","",INDEX([1]!db[NB PAJAK],MATCH(Table1[[#This Row],[h_Item Description]],[1]!db[kode],0)))</f>
        <v/>
      </c>
      <c r="Q218" s="274"/>
      <c r="R218" s="275"/>
      <c r="S218" s="275"/>
      <c r="T218" s="274" t="str">
        <f>Table1[[#This Row],[h_hargasetelahdiskon]]</f>
        <v/>
      </c>
      <c r="V218" s="271"/>
      <c r="W218" s="278" t="str">
        <f ca="1">IF(Table1[[#This Row],[Item Description]]="","",IF(Table1[[#This Row],[//]]="",INDIRECT(ADDRESS(ROW()-1,COLUMN())),Table1[[#This Row],[//]]))</f>
        <v/>
      </c>
      <c r="X218" s="278" t="str">
        <f ca="1">IF(Table1[[#This Row],[h_id]]="","",COUNTIF(Table1[h_id],Table1[[#This Row],[h_id]]))</f>
        <v/>
      </c>
      <c r="Y218" s="274" t="str">
        <f>IF(Table1[Item Description]="","",Table1[[#This Row],[Qty]]*Table1[[#This Row],[Unit Price]])</f>
        <v/>
      </c>
      <c r="Z218" s="274" t="str">
        <f>IF(Table1[[#This Row],[h_hargasebelumdiskon]]="","",IF(Table1[[#This Row],[Disc 1]]="",0,Table1[[#This Row],[h_hargasebelumdiskon]]*Table1[[#This Row],[Disc 1]]))</f>
        <v/>
      </c>
      <c r="AA218" s="274" t="str">
        <f>IF(Table1[[#This Row],[h_hargasebelumdiskon]]="","",IF(Table1[[#This Row],[Disc 2]]="",0,(Table1[[#This Row],[h_hargasebelumdiskon]]-Table1[[#This Row],[h_disc 1]])*Table1[[#This Row],[Disc 2]]))</f>
        <v/>
      </c>
      <c r="AB218" s="274" t="str">
        <f>IF(Table1[Item Description]="","",Table1[[#This Row],[h_disc 1]]+Table1[[#This Row],[h_disc 2]])</f>
        <v/>
      </c>
      <c r="AC218" s="274" t="str">
        <f>IF(Table1[Item Description]="","",Table1[[#This Row],[h_hargasebelumdiskon]]-Table1[[#This Row],[h_diskon]])</f>
        <v/>
      </c>
      <c r="AD218" s="274" t="str">
        <f ca="1">IF(Table1[//]="","",SUMIF(Table1[h_id],Table1[h_id],Table1[h_hargasetelahdiskon]))</f>
        <v/>
      </c>
      <c r="AF218" s="274" t="str">
        <f>Table1[[#This Row],[Item Description]]&amp;Table1[[#This Row],[Unit]]&amp;Table1[[#This Row],[Unit Price]]</f>
        <v/>
      </c>
      <c r="AG218" s="3"/>
      <c r="AH218" s="3"/>
      <c r="AI218" s="3"/>
    </row>
    <row r="219" spans="1:35" x14ac:dyDescent="0.25">
      <c r="A219" s="278" t="str">
        <f ca="1">IF(Table1[[#This Row],[No. Invoice :]]="","",ROW())</f>
        <v/>
      </c>
      <c r="B219" s="278" t="str">
        <f ca="1">IF(Table1[Column3]="","",B$1+COUNT(INDIRECT("B$2:B"&amp;ROW()-1)))</f>
        <v/>
      </c>
      <c r="C219" s="272" t="str">
        <f>IF(Table1[[#This Row],[Column2]]="","",Table1[[#This Row],[Column2]]+C$1-1)</f>
        <v/>
      </c>
      <c r="E219" s="273"/>
      <c r="F219" s="271"/>
      <c r="G219" s="278" t="str">
        <f ca="1">IF(Table1[[#This Row],[h_No. Invoice :]]="","",CONCATENATE("AM"," ",Table1[[#This Row],[h_No. Invoice :]]))</f>
        <v/>
      </c>
      <c r="H219" s="271" t="str">
        <f>IF(Table1[[#This Row],[Column5]]="","",INDEX(Table2[Column1],MATCH(Table1[[#This Row],[Column5]],Table2[a],0)))</f>
        <v/>
      </c>
      <c r="I219" s="279" t="str">
        <f>IF(Table1[[#This Row],[Column3]]=0,"",CONCATENATE(UPPER(Table1[[#This Row],[Column3]])," ",Table1[[#This Row],[Column4]]))</f>
        <v xml:space="preserve"> </v>
      </c>
      <c r="J219" s="278" t="str">
        <f>IF(Table1[[#This Row],[Column5]]="","",INDEX(Table2[e],IF(Table1[[#This Row],[Column5]]="","",MATCH(Table1[[#This Row],[Column5]],Table2[a],0)),))</f>
        <v/>
      </c>
      <c r="K219" s="271"/>
      <c r="L219" s="271"/>
      <c r="O219" s="278" t="str">
        <f>IF(Table1[[#This Row],[h_Item Description]]="","",INDEX([1]!db[NB PAJAK],MATCH(Table1[[#This Row],[h_Item Description]],[1]!db[kode],0)))</f>
        <v/>
      </c>
      <c r="Q219" s="274"/>
      <c r="R219" s="275"/>
      <c r="S219" s="275"/>
      <c r="T219" s="274" t="str">
        <f>Table1[[#This Row],[h_hargasetelahdiskon]]</f>
        <v/>
      </c>
      <c r="V219" s="271"/>
      <c r="W219" s="278" t="str">
        <f ca="1">IF(Table1[[#This Row],[Item Description]]="","",IF(Table1[[#This Row],[//]]="",INDIRECT(ADDRESS(ROW()-1,COLUMN())),Table1[[#This Row],[//]]))</f>
        <v/>
      </c>
      <c r="X219" s="278" t="str">
        <f ca="1">IF(Table1[[#This Row],[h_id]]="","",COUNTIF(Table1[h_id],Table1[[#This Row],[h_id]]))</f>
        <v/>
      </c>
      <c r="Y219" s="274" t="str">
        <f>IF(Table1[Item Description]="","",Table1[[#This Row],[Qty]]*Table1[[#This Row],[Unit Price]])</f>
        <v/>
      </c>
      <c r="Z219" s="274" t="str">
        <f>IF(Table1[[#This Row],[h_hargasebelumdiskon]]="","",IF(Table1[[#This Row],[Disc 1]]="",0,Table1[[#This Row],[h_hargasebelumdiskon]]*Table1[[#This Row],[Disc 1]]))</f>
        <v/>
      </c>
      <c r="AA219" s="274" t="str">
        <f>IF(Table1[[#This Row],[h_hargasebelumdiskon]]="","",IF(Table1[[#This Row],[Disc 2]]="",0,(Table1[[#This Row],[h_hargasebelumdiskon]]-Table1[[#This Row],[h_disc 1]])*Table1[[#This Row],[Disc 2]]))</f>
        <v/>
      </c>
      <c r="AB219" s="274" t="str">
        <f>IF(Table1[Item Description]="","",Table1[[#This Row],[h_disc 1]]+Table1[[#This Row],[h_disc 2]])</f>
        <v/>
      </c>
      <c r="AC219" s="274" t="str">
        <f>IF(Table1[Item Description]="","",Table1[[#This Row],[h_hargasebelumdiskon]]-Table1[[#This Row],[h_diskon]])</f>
        <v/>
      </c>
      <c r="AD219" s="274" t="str">
        <f ca="1">IF(Table1[//]="","",SUMIF(Table1[h_id],Table1[h_id],Table1[h_hargasetelahdiskon]))</f>
        <v/>
      </c>
      <c r="AF219" s="274" t="str">
        <f>Table1[[#This Row],[Item Description]]&amp;Table1[[#This Row],[Unit]]&amp;Table1[[#This Row],[Unit Price]]</f>
        <v/>
      </c>
      <c r="AG219" s="3"/>
      <c r="AH219" s="3"/>
      <c r="AI219" s="3"/>
    </row>
    <row r="220" spans="1:35" x14ac:dyDescent="0.25">
      <c r="A220" s="278" t="str">
        <f ca="1">IF(Table1[[#This Row],[No. Invoice :]]="","",ROW())</f>
        <v/>
      </c>
      <c r="B220" s="278" t="str">
        <f ca="1">IF(Table1[Column3]="","",B$1+COUNT(INDIRECT("B$2:B"&amp;ROW()-1)))</f>
        <v/>
      </c>
      <c r="C220" s="272" t="str">
        <f>IF(Table1[[#This Row],[Column2]]="","",Table1[[#This Row],[Column2]]+C$1-1)</f>
        <v/>
      </c>
      <c r="E220" s="273"/>
      <c r="F220" s="271"/>
      <c r="G220" s="278" t="str">
        <f ca="1">IF(Table1[[#This Row],[h_No. Invoice :]]="","",CONCATENATE("AM"," ",Table1[[#This Row],[h_No. Invoice :]]))</f>
        <v/>
      </c>
      <c r="H220" s="271" t="str">
        <f>IF(Table1[[#This Row],[Column5]]="","",INDEX(Table2[Column1],MATCH(Table1[[#This Row],[Column5]],Table2[a],0)))</f>
        <v/>
      </c>
      <c r="I220" s="279" t="str">
        <f>IF(Table1[[#This Row],[Column3]]=0,"",CONCATENATE(UPPER(Table1[[#This Row],[Column3]])," ",Table1[[#This Row],[Column4]]))</f>
        <v xml:space="preserve"> </v>
      </c>
      <c r="J220" s="278" t="str">
        <f>IF(Table1[[#This Row],[Column5]]="","",INDEX(Table2[e],IF(Table1[[#This Row],[Column5]]="","",MATCH(Table1[[#This Row],[Column5]],Table2[a],0)),))</f>
        <v/>
      </c>
      <c r="K220" s="271"/>
      <c r="L220" s="271"/>
      <c r="O220" s="278" t="str">
        <f>IF(Table1[[#This Row],[h_Item Description]]="","",INDEX([1]!db[NB PAJAK],MATCH(Table1[[#This Row],[h_Item Description]],[1]!db[kode],0)))</f>
        <v/>
      </c>
      <c r="Q220" s="274"/>
      <c r="R220" s="275"/>
      <c r="S220" s="275"/>
      <c r="T220" s="274" t="str">
        <f>Table1[[#This Row],[h_hargasetelahdiskon]]</f>
        <v/>
      </c>
      <c r="V220" s="271"/>
      <c r="W220" s="278" t="str">
        <f ca="1">IF(Table1[[#This Row],[Item Description]]="","",IF(Table1[[#This Row],[//]]="",INDIRECT(ADDRESS(ROW()-1,COLUMN())),Table1[[#This Row],[//]]))</f>
        <v/>
      </c>
      <c r="X220" s="278" t="str">
        <f ca="1">IF(Table1[[#This Row],[h_id]]="","",COUNTIF(Table1[h_id],Table1[[#This Row],[h_id]]))</f>
        <v/>
      </c>
      <c r="Y220" s="274" t="str">
        <f>IF(Table1[Item Description]="","",Table1[[#This Row],[Qty]]*Table1[[#This Row],[Unit Price]])</f>
        <v/>
      </c>
      <c r="Z220" s="274" t="str">
        <f>IF(Table1[[#This Row],[h_hargasebelumdiskon]]="","",IF(Table1[[#This Row],[Disc 1]]="",0,Table1[[#This Row],[h_hargasebelumdiskon]]*Table1[[#This Row],[Disc 1]]))</f>
        <v/>
      </c>
      <c r="AA220" s="274" t="str">
        <f>IF(Table1[[#This Row],[h_hargasebelumdiskon]]="","",IF(Table1[[#This Row],[Disc 2]]="",0,(Table1[[#This Row],[h_hargasebelumdiskon]]-Table1[[#This Row],[h_disc 1]])*Table1[[#This Row],[Disc 2]]))</f>
        <v/>
      </c>
      <c r="AB220" s="274" t="str">
        <f>IF(Table1[Item Description]="","",Table1[[#This Row],[h_disc 1]]+Table1[[#This Row],[h_disc 2]])</f>
        <v/>
      </c>
      <c r="AC220" s="274" t="str">
        <f>IF(Table1[Item Description]="","",Table1[[#This Row],[h_hargasebelumdiskon]]-Table1[[#This Row],[h_diskon]])</f>
        <v/>
      </c>
      <c r="AD220" s="274" t="str">
        <f ca="1">IF(Table1[//]="","",SUMIF(Table1[h_id],Table1[h_id],Table1[h_hargasetelahdiskon]))</f>
        <v/>
      </c>
      <c r="AF220" s="274" t="str">
        <f>Table1[[#This Row],[Item Description]]&amp;Table1[[#This Row],[Unit]]&amp;Table1[[#This Row],[Unit Price]]</f>
        <v/>
      </c>
      <c r="AG220" s="3"/>
      <c r="AH220" s="3"/>
      <c r="AI220" s="3"/>
    </row>
    <row r="221" spans="1:35" x14ac:dyDescent="0.25">
      <c r="A221" s="278" t="str">
        <f ca="1">IF(Table1[[#This Row],[No. Invoice :]]="","",ROW())</f>
        <v/>
      </c>
      <c r="B221" s="278" t="str">
        <f ca="1">IF(Table1[Column3]="","",B$1+COUNT(INDIRECT("B$2:B"&amp;ROW()-1)))</f>
        <v/>
      </c>
      <c r="C221" s="272" t="str">
        <f>IF(Table1[[#This Row],[Column2]]="","",Table1[[#This Row],[Column2]]+C$1-1)</f>
        <v/>
      </c>
      <c r="E221" s="273"/>
      <c r="F221" s="271"/>
      <c r="G221" s="278" t="str">
        <f ca="1">IF(Table1[[#This Row],[h_No. Invoice :]]="","",CONCATENATE("AM"," ",Table1[[#This Row],[h_No. Invoice :]]))</f>
        <v/>
      </c>
      <c r="H221" s="271" t="str">
        <f>IF(Table1[[#This Row],[Column5]]="","",INDEX(Table2[Column1],MATCH(Table1[[#This Row],[Column5]],Table2[a],0)))</f>
        <v/>
      </c>
      <c r="I221" s="279" t="str">
        <f>IF(Table1[[#This Row],[Column3]]=0,"",CONCATENATE(UPPER(Table1[[#This Row],[Column3]])," ",Table1[[#This Row],[Column4]]))</f>
        <v xml:space="preserve"> </v>
      </c>
      <c r="J221" s="278" t="str">
        <f>IF(Table1[[#This Row],[Column5]]="","",INDEX(Table2[e],IF(Table1[[#This Row],[Column5]]="","",MATCH(Table1[[#This Row],[Column5]],Table2[a],0)),))</f>
        <v/>
      </c>
      <c r="K221" s="271"/>
      <c r="L221" s="271"/>
      <c r="O221" s="278" t="str">
        <f>IF(Table1[[#This Row],[h_Item Description]]="","",INDEX([1]!db[NB PAJAK],MATCH(Table1[[#This Row],[h_Item Description]],[1]!db[kode],0)))</f>
        <v/>
      </c>
      <c r="Q221" s="274"/>
      <c r="R221" s="275"/>
      <c r="S221" s="275"/>
      <c r="T221" s="274" t="str">
        <f>Table1[[#This Row],[h_hargasetelahdiskon]]</f>
        <v/>
      </c>
      <c r="V221" s="271"/>
      <c r="W221" s="278" t="str">
        <f ca="1">IF(Table1[[#This Row],[Item Description]]="","",IF(Table1[[#This Row],[//]]="",INDIRECT(ADDRESS(ROW()-1,COLUMN())),Table1[[#This Row],[//]]))</f>
        <v/>
      </c>
      <c r="X221" s="278" t="str">
        <f ca="1">IF(Table1[[#This Row],[h_id]]="","",COUNTIF(Table1[h_id],Table1[[#This Row],[h_id]]))</f>
        <v/>
      </c>
      <c r="Y221" s="274" t="str">
        <f>IF(Table1[Item Description]="","",Table1[[#This Row],[Qty]]*Table1[[#This Row],[Unit Price]])</f>
        <v/>
      </c>
      <c r="Z221" s="274" t="str">
        <f>IF(Table1[[#This Row],[h_hargasebelumdiskon]]="","",IF(Table1[[#This Row],[Disc 1]]="",0,Table1[[#This Row],[h_hargasebelumdiskon]]*Table1[[#This Row],[Disc 1]]))</f>
        <v/>
      </c>
      <c r="AA221" s="274" t="str">
        <f>IF(Table1[[#This Row],[h_hargasebelumdiskon]]="","",IF(Table1[[#This Row],[Disc 2]]="",0,(Table1[[#This Row],[h_hargasebelumdiskon]]-Table1[[#This Row],[h_disc 1]])*Table1[[#This Row],[Disc 2]]))</f>
        <v/>
      </c>
      <c r="AB221" s="274" t="str">
        <f>IF(Table1[Item Description]="","",Table1[[#This Row],[h_disc 1]]+Table1[[#This Row],[h_disc 2]])</f>
        <v/>
      </c>
      <c r="AC221" s="274" t="str">
        <f>IF(Table1[Item Description]="","",Table1[[#This Row],[h_hargasebelumdiskon]]-Table1[[#This Row],[h_diskon]])</f>
        <v/>
      </c>
      <c r="AD221" s="274" t="str">
        <f ca="1">IF(Table1[//]="","",SUMIF(Table1[h_id],Table1[h_id],Table1[h_hargasetelahdiskon]))</f>
        <v/>
      </c>
      <c r="AF221" s="274" t="str">
        <f>Table1[[#This Row],[Item Description]]&amp;Table1[[#This Row],[Unit]]&amp;Table1[[#This Row],[Unit Price]]</f>
        <v/>
      </c>
      <c r="AG221" s="3"/>
      <c r="AH221" s="3"/>
      <c r="AI221" s="3"/>
    </row>
    <row r="222" spans="1:35" x14ac:dyDescent="0.25">
      <c r="A222" s="278" t="str">
        <f ca="1">IF(Table1[[#This Row],[No. Invoice :]]="","",ROW())</f>
        <v/>
      </c>
      <c r="B222" s="278" t="str">
        <f ca="1">IF(Table1[Column3]="","",B$1+COUNT(INDIRECT("B$2:B"&amp;ROW()-1)))</f>
        <v/>
      </c>
      <c r="C222" s="272" t="str">
        <f>IF(Table1[[#This Row],[Column2]]="","",Table1[[#This Row],[Column2]]+C$1-1)</f>
        <v/>
      </c>
      <c r="E222" s="273"/>
      <c r="F222" s="271"/>
      <c r="G222" s="278" t="str">
        <f ca="1">IF(Table1[[#This Row],[h_No. Invoice :]]="","",CONCATENATE("AM"," ",Table1[[#This Row],[h_No. Invoice :]]))</f>
        <v/>
      </c>
      <c r="H222" s="271" t="str">
        <f>IF(Table1[[#This Row],[Column5]]="","",INDEX(Table2[Column1],MATCH(Table1[[#This Row],[Column5]],Table2[a],0)))</f>
        <v/>
      </c>
      <c r="I222" s="279" t="str">
        <f>IF(Table1[[#This Row],[Column3]]=0,"",CONCATENATE(UPPER(Table1[[#This Row],[Column3]])," ",Table1[[#This Row],[Column4]]))</f>
        <v xml:space="preserve"> </v>
      </c>
      <c r="J222" s="278" t="str">
        <f>IF(Table1[[#This Row],[Column5]]="","",INDEX(Table2[e],IF(Table1[[#This Row],[Column5]]="","",MATCH(Table1[[#This Row],[Column5]],Table2[a],0)),))</f>
        <v/>
      </c>
      <c r="K222" s="271"/>
      <c r="L222" s="271"/>
      <c r="O222" s="278" t="str">
        <f>IF(Table1[[#This Row],[h_Item Description]]="","",INDEX([1]!db[NB PAJAK],MATCH(Table1[[#This Row],[h_Item Description]],[1]!db[kode],0)))</f>
        <v/>
      </c>
      <c r="Q222" s="274"/>
      <c r="R222" s="275"/>
      <c r="S222" s="275"/>
      <c r="T222" s="274" t="str">
        <f>Table1[[#This Row],[h_hargasetelahdiskon]]</f>
        <v/>
      </c>
      <c r="V222" s="271"/>
      <c r="W222" s="278" t="str">
        <f ca="1">IF(Table1[[#This Row],[Item Description]]="","",IF(Table1[[#This Row],[//]]="",INDIRECT(ADDRESS(ROW()-1,COLUMN())),Table1[[#This Row],[//]]))</f>
        <v/>
      </c>
      <c r="X222" s="278" t="str">
        <f ca="1">IF(Table1[[#This Row],[h_id]]="","",COUNTIF(Table1[h_id],Table1[[#This Row],[h_id]]))</f>
        <v/>
      </c>
      <c r="Y222" s="274" t="str">
        <f>IF(Table1[Item Description]="","",Table1[[#This Row],[Qty]]*Table1[[#This Row],[Unit Price]])</f>
        <v/>
      </c>
      <c r="Z222" s="274" t="str">
        <f>IF(Table1[[#This Row],[h_hargasebelumdiskon]]="","",IF(Table1[[#This Row],[Disc 1]]="",0,Table1[[#This Row],[h_hargasebelumdiskon]]*Table1[[#This Row],[Disc 1]]))</f>
        <v/>
      </c>
      <c r="AA222" s="274" t="str">
        <f>IF(Table1[[#This Row],[h_hargasebelumdiskon]]="","",IF(Table1[[#This Row],[Disc 2]]="",0,(Table1[[#This Row],[h_hargasebelumdiskon]]-Table1[[#This Row],[h_disc 1]])*Table1[[#This Row],[Disc 2]]))</f>
        <v/>
      </c>
      <c r="AB222" s="274" t="str">
        <f>IF(Table1[Item Description]="","",Table1[[#This Row],[h_disc 1]]+Table1[[#This Row],[h_disc 2]])</f>
        <v/>
      </c>
      <c r="AC222" s="274" t="str">
        <f>IF(Table1[Item Description]="","",Table1[[#This Row],[h_hargasebelumdiskon]]-Table1[[#This Row],[h_diskon]])</f>
        <v/>
      </c>
      <c r="AD222" s="274" t="str">
        <f ca="1">IF(Table1[//]="","",SUMIF(Table1[h_id],Table1[h_id],Table1[h_hargasetelahdiskon]))</f>
        <v/>
      </c>
      <c r="AF222" s="274" t="str">
        <f>Table1[[#This Row],[Item Description]]&amp;Table1[[#This Row],[Unit]]&amp;Table1[[#This Row],[Unit Price]]</f>
        <v/>
      </c>
      <c r="AG222" s="3"/>
      <c r="AH222" s="3"/>
      <c r="AI222" s="3"/>
    </row>
    <row r="223" spans="1:35" x14ac:dyDescent="0.25">
      <c r="A223" s="278" t="str">
        <f ca="1">IF(Table1[[#This Row],[No. Invoice :]]="","",ROW())</f>
        <v/>
      </c>
      <c r="B223" s="278" t="str">
        <f ca="1">IF(Table1[Column3]="","",B$1+COUNT(INDIRECT("B$2:B"&amp;ROW()-1)))</f>
        <v/>
      </c>
      <c r="C223" s="272" t="str">
        <f>IF(Table1[[#This Row],[Column2]]="","",Table1[[#This Row],[Column2]]+C$1-1)</f>
        <v/>
      </c>
      <c r="E223" s="273"/>
      <c r="F223" s="271"/>
      <c r="G223" s="278" t="str">
        <f ca="1">IF(Table1[[#This Row],[h_No. Invoice :]]="","",CONCATENATE("AM"," ",Table1[[#This Row],[h_No. Invoice :]]))</f>
        <v/>
      </c>
      <c r="H223" s="271" t="str">
        <f>IF(Table1[[#This Row],[Column5]]="","",INDEX(Table2[Column1],MATCH(Table1[[#This Row],[Column5]],Table2[a],0)))</f>
        <v/>
      </c>
      <c r="I223" s="279" t="str">
        <f>IF(Table1[[#This Row],[Column3]]=0,"",CONCATENATE(UPPER(Table1[[#This Row],[Column3]])," ",Table1[[#This Row],[Column4]]))</f>
        <v xml:space="preserve"> </v>
      </c>
      <c r="J223" s="278" t="str">
        <f>IF(Table1[[#This Row],[Column5]]="","",INDEX(Table2[e],IF(Table1[[#This Row],[Column5]]="","",MATCH(Table1[[#This Row],[Column5]],Table2[a],0)),))</f>
        <v/>
      </c>
      <c r="K223" s="271"/>
      <c r="L223" s="271"/>
      <c r="O223" s="278" t="str">
        <f>IF(Table1[[#This Row],[h_Item Description]]="","",INDEX([1]!db[NB PAJAK],MATCH(Table1[[#This Row],[h_Item Description]],[1]!db[kode],0)))</f>
        <v/>
      </c>
      <c r="Q223" s="274"/>
      <c r="R223" s="275"/>
      <c r="S223" s="275"/>
      <c r="T223" s="274" t="str">
        <f>Table1[[#This Row],[h_hargasetelahdiskon]]</f>
        <v/>
      </c>
      <c r="V223" s="271"/>
      <c r="W223" s="278" t="str">
        <f ca="1">IF(Table1[[#This Row],[Item Description]]="","",IF(Table1[[#This Row],[//]]="",INDIRECT(ADDRESS(ROW()-1,COLUMN())),Table1[[#This Row],[//]]))</f>
        <v/>
      </c>
      <c r="X223" s="278" t="str">
        <f ca="1">IF(Table1[[#This Row],[h_id]]="","",COUNTIF(Table1[h_id],Table1[[#This Row],[h_id]]))</f>
        <v/>
      </c>
      <c r="Y223" s="274" t="str">
        <f>IF(Table1[Item Description]="","",Table1[[#This Row],[Qty]]*Table1[[#This Row],[Unit Price]])</f>
        <v/>
      </c>
      <c r="Z223" s="274" t="str">
        <f>IF(Table1[[#This Row],[h_hargasebelumdiskon]]="","",IF(Table1[[#This Row],[Disc 1]]="",0,Table1[[#This Row],[h_hargasebelumdiskon]]*Table1[[#This Row],[Disc 1]]))</f>
        <v/>
      </c>
      <c r="AA223" s="274" t="str">
        <f>IF(Table1[[#This Row],[h_hargasebelumdiskon]]="","",IF(Table1[[#This Row],[Disc 2]]="",0,(Table1[[#This Row],[h_hargasebelumdiskon]]-Table1[[#This Row],[h_disc 1]])*Table1[[#This Row],[Disc 2]]))</f>
        <v/>
      </c>
      <c r="AB223" s="274" t="str">
        <f>IF(Table1[Item Description]="","",Table1[[#This Row],[h_disc 1]]+Table1[[#This Row],[h_disc 2]])</f>
        <v/>
      </c>
      <c r="AC223" s="274" t="str">
        <f>IF(Table1[Item Description]="","",Table1[[#This Row],[h_hargasebelumdiskon]]-Table1[[#This Row],[h_diskon]])</f>
        <v/>
      </c>
      <c r="AD223" s="274" t="str">
        <f ca="1">IF(Table1[//]="","",SUMIF(Table1[h_id],Table1[h_id],Table1[h_hargasetelahdiskon]))</f>
        <v/>
      </c>
      <c r="AF223" s="274" t="str">
        <f>Table1[[#This Row],[Item Description]]&amp;Table1[[#This Row],[Unit]]&amp;Table1[[#This Row],[Unit Price]]</f>
        <v/>
      </c>
      <c r="AG223" s="3"/>
      <c r="AH223" s="3"/>
      <c r="AI223" s="3"/>
    </row>
    <row r="224" spans="1:35" x14ac:dyDescent="0.25">
      <c r="A224" s="278" t="str">
        <f ca="1">IF(Table1[[#This Row],[No. Invoice :]]="","",ROW())</f>
        <v/>
      </c>
      <c r="B224" s="278" t="str">
        <f ca="1">IF(Table1[Column3]="","",B$1+COUNT(INDIRECT("B$2:B"&amp;ROW()-1)))</f>
        <v/>
      </c>
      <c r="C224" s="272" t="str">
        <f>IF(Table1[[#This Row],[Column2]]="","",Table1[[#This Row],[Column2]]+C$1-1)</f>
        <v/>
      </c>
      <c r="E224" s="273"/>
      <c r="F224" s="271"/>
      <c r="G224" s="278" t="str">
        <f ca="1">IF(Table1[[#This Row],[h_No. Invoice :]]="","",CONCATENATE("AM"," ",Table1[[#This Row],[h_No. Invoice :]]))</f>
        <v/>
      </c>
      <c r="H224" s="271" t="str">
        <f>IF(Table1[[#This Row],[Column5]]="","",INDEX(Table2[Column1],MATCH(Table1[[#This Row],[Column5]],Table2[a],0)))</f>
        <v/>
      </c>
      <c r="I224" s="279" t="str">
        <f>IF(Table1[[#This Row],[Column3]]=0,"",CONCATENATE(UPPER(Table1[[#This Row],[Column3]])," ",Table1[[#This Row],[Column4]]))</f>
        <v xml:space="preserve"> </v>
      </c>
      <c r="J224" s="278" t="str">
        <f>IF(Table1[[#This Row],[Column5]]="","",INDEX(Table2[e],IF(Table1[[#This Row],[Column5]]="","",MATCH(Table1[[#This Row],[Column5]],Table2[a],0)),))</f>
        <v/>
      </c>
      <c r="K224" s="271"/>
      <c r="L224" s="271"/>
      <c r="O224" s="278" t="str">
        <f>IF(Table1[[#This Row],[h_Item Description]]="","",INDEX([1]!db[NB PAJAK],MATCH(Table1[[#This Row],[h_Item Description]],[1]!db[kode],0)))</f>
        <v/>
      </c>
      <c r="Q224" s="274"/>
      <c r="R224" s="275"/>
      <c r="S224" s="275"/>
      <c r="T224" s="274" t="str">
        <f>Table1[[#This Row],[h_hargasetelahdiskon]]</f>
        <v/>
      </c>
      <c r="V224" s="271"/>
      <c r="W224" s="278" t="str">
        <f ca="1">IF(Table1[[#This Row],[Item Description]]="","",IF(Table1[[#This Row],[//]]="",INDIRECT(ADDRESS(ROW()-1,COLUMN())),Table1[[#This Row],[//]]))</f>
        <v/>
      </c>
      <c r="X224" s="278" t="str">
        <f ca="1">IF(Table1[[#This Row],[h_id]]="","",COUNTIF(Table1[h_id],Table1[[#This Row],[h_id]]))</f>
        <v/>
      </c>
      <c r="Y224" s="274" t="str">
        <f>IF(Table1[Item Description]="","",Table1[[#This Row],[Qty]]*Table1[[#This Row],[Unit Price]])</f>
        <v/>
      </c>
      <c r="Z224" s="274" t="str">
        <f>IF(Table1[[#This Row],[h_hargasebelumdiskon]]="","",IF(Table1[[#This Row],[Disc 1]]="",0,Table1[[#This Row],[h_hargasebelumdiskon]]*Table1[[#This Row],[Disc 1]]))</f>
        <v/>
      </c>
      <c r="AA224" s="274" t="str">
        <f>IF(Table1[[#This Row],[h_hargasebelumdiskon]]="","",IF(Table1[[#This Row],[Disc 2]]="",0,(Table1[[#This Row],[h_hargasebelumdiskon]]-Table1[[#This Row],[h_disc 1]])*Table1[[#This Row],[Disc 2]]))</f>
        <v/>
      </c>
      <c r="AB224" s="274" t="str">
        <f>IF(Table1[Item Description]="","",Table1[[#This Row],[h_disc 1]]+Table1[[#This Row],[h_disc 2]])</f>
        <v/>
      </c>
      <c r="AC224" s="274" t="str">
        <f>IF(Table1[Item Description]="","",Table1[[#This Row],[h_hargasebelumdiskon]]-Table1[[#This Row],[h_diskon]])</f>
        <v/>
      </c>
      <c r="AD224" s="274" t="str">
        <f ca="1">IF(Table1[//]="","",SUMIF(Table1[h_id],Table1[h_id],Table1[h_hargasetelahdiskon]))</f>
        <v/>
      </c>
      <c r="AF224" s="274" t="str">
        <f>Table1[[#This Row],[Item Description]]&amp;Table1[[#This Row],[Unit]]&amp;Table1[[#This Row],[Unit Price]]</f>
        <v/>
      </c>
      <c r="AG224" s="3"/>
      <c r="AH224" s="3"/>
      <c r="AI224" s="3"/>
    </row>
    <row r="225" spans="1:35" x14ac:dyDescent="0.25">
      <c r="A225" s="278" t="str">
        <f ca="1">IF(Table1[[#This Row],[No. Invoice :]]="","",ROW())</f>
        <v/>
      </c>
      <c r="B225" s="278" t="str">
        <f ca="1">IF(Table1[Column3]="","",B$1+COUNT(INDIRECT("B$2:B"&amp;ROW()-1)))</f>
        <v/>
      </c>
      <c r="C225" s="272" t="str">
        <f>IF(Table1[[#This Row],[Column2]]="","",Table1[[#This Row],[Column2]]+C$1-1)</f>
        <v/>
      </c>
      <c r="E225" s="273"/>
      <c r="F225" s="271"/>
      <c r="G225" s="278" t="str">
        <f ca="1">IF(Table1[[#This Row],[h_No. Invoice :]]="","",CONCATENATE("AM"," ",Table1[[#This Row],[h_No. Invoice :]]))</f>
        <v/>
      </c>
      <c r="H225" s="271" t="str">
        <f>IF(Table1[[#This Row],[Column5]]="","",INDEX(Table2[Column1],MATCH(Table1[[#This Row],[Column5]],Table2[a],0)))</f>
        <v/>
      </c>
      <c r="I225" s="279" t="str">
        <f>IF(Table1[[#This Row],[Column3]]=0,"",CONCATENATE(UPPER(Table1[[#This Row],[Column3]])," ",Table1[[#This Row],[Column4]]))</f>
        <v xml:space="preserve"> </v>
      </c>
      <c r="J225" s="278" t="str">
        <f>IF(Table1[[#This Row],[Column5]]="","",INDEX(Table2[e],IF(Table1[[#This Row],[Column5]]="","",MATCH(Table1[[#This Row],[Column5]],Table2[a],0)),))</f>
        <v/>
      </c>
      <c r="K225" s="271"/>
      <c r="L225" s="271"/>
      <c r="O225" s="278" t="str">
        <f>IF(Table1[[#This Row],[h_Item Description]]="","",INDEX([1]!db[NB PAJAK],MATCH(Table1[[#This Row],[h_Item Description]],[1]!db[kode],0)))</f>
        <v/>
      </c>
      <c r="Q225" s="274"/>
      <c r="R225" s="275"/>
      <c r="S225" s="275"/>
      <c r="T225" s="274" t="str">
        <f>Table1[[#This Row],[h_hargasetelahdiskon]]</f>
        <v/>
      </c>
      <c r="V225" s="271"/>
      <c r="W225" s="278" t="str">
        <f ca="1">IF(Table1[[#This Row],[Item Description]]="","",IF(Table1[[#This Row],[//]]="",INDIRECT(ADDRESS(ROW()-1,COLUMN())),Table1[[#This Row],[//]]))</f>
        <v/>
      </c>
      <c r="X225" s="278" t="str">
        <f ca="1">IF(Table1[[#This Row],[h_id]]="","",COUNTIF(Table1[h_id],Table1[[#This Row],[h_id]]))</f>
        <v/>
      </c>
      <c r="Y225" s="274" t="str">
        <f>IF(Table1[Item Description]="","",Table1[[#This Row],[Qty]]*Table1[[#This Row],[Unit Price]])</f>
        <v/>
      </c>
      <c r="Z225" s="274" t="str">
        <f>IF(Table1[[#This Row],[h_hargasebelumdiskon]]="","",IF(Table1[[#This Row],[Disc 1]]="",0,Table1[[#This Row],[h_hargasebelumdiskon]]*Table1[[#This Row],[Disc 1]]))</f>
        <v/>
      </c>
      <c r="AA225" s="274" t="str">
        <f>IF(Table1[[#This Row],[h_hargasebelumdiskon]]="","",IF(Table1[[#This Row],[Disc 2]]="",0,(Table1[[#This Row],[h_hargasebelumdiskon]]-Table1[[#This Row],[h_disc 1]])*Table1[[#This Row],[Disc 2]]))</f>
        <v/>
      </c>
      <c r="AB225" s="274" t="str">
        <f>IF(Table1[Item Description]="","",Table1[[#This Row],[h_disc 1]]+Table1[[#This Row],[h_disc 2]])</f>
        <v/>
      </c>
      <c r="AC225" s="274" t="str">
        <f>IF(Table1[Item Description]="","",Table1[[#This Row],[h_hargasebelumdiskon]]-Table1[[#This Row],[h_diskon]])</f>
        <v/>
      </c>
      <c r="AD225" s="274" t="str">
        <f ca="1">IF(Table1[//]="","",SUMIF(Table1[h_id],Table1[h_id],Table1[h_hargasetelahdiskon]))</f>
        <v/>
      </c>
      <c r="AF225" s="274" t="str">
        <f>Table1[[#This Row],[Item Description]]&amp;Table1[[#This Row],[Unit]]&amp;Table1[[#This Row],[Unit Price]]</f>
        <v/>
      </c>
      <c r="AG225" s="3"/>
      <c r="AH225" s="3"/>
      <c r="AI225" s="3"/>
    </row>
    <row r="226" spans="1:35" x14ac:dyDescent="0.25">
      <c r="A226" s="278" t="str">
        <f ca="1">IF(Table1[[#This Row],[No. Invoice :]]="","",ROW())</f>
        <v/>
      </c>
      <c r="B226" s="278" t="str">
        <f ca="1">IF(Table1[Column3]="","",B$1+COUNT(INDIRECT("B$2:B"&amp;ROW()-1)))</f>
        <v/>
      </c>
      <c r="C226" s="272" t="str">
        <f>IF(Table1[[#This Row],[Column2]]="","",Table1[[#This Row],[Column2]]+C$1-1)</f>
        <v/>
      </c>
      <c r="E226" s="273"/>
      <c r="F226" s="271"/>
      <c r="G226" s="278" t="str">
        <f ca="1">IF(Table1[[#This Row],[h_No. Invoice :]]="","",CONCATENATE("AM"," ",Table1[[#This Row],[h_No. Invoice :]]))</f>
        <v/>
      </c>
      <c r="H226" s="271" t="str">
        <f>IF(Table1[[#This Row],[Column5]]="","",INDEX(Table2[Column1],MATCH(Table1[[#This Row],[Column5]],Table2[a],0)))</f>
        <v/>
      </c>
      <c r="I226" s="279" t="str">
        <f>IF(Table1[[#This Row],[Column3]]=0,"",CONCATENATE(UPPER(Table1[[#This Row],[Column3]])," ",Table1[[#This Row],[Column4]]))</f>
        <v xml:space="preserve"> </v>
      </c>
      <c r="J226" s="278" t="str">
        <f>IF(Table1[[#This Row],[Column5]]="","",INDEX(Table2[e],IF(Table1[[#This Row],[Column5]]="","",MATCH(Table1[[#This Row],[Column5]],Table2[a],0)),))</f>
        <v/>
      </c>
      <c r="K226" s="271"/>
      <c r="L226" s="271"/>
      <c r="O226" s="278" t="str">
        <f>IF(Table1[[#This Row],[h_Item Description]]="","",INDEX([1]!db[NB PAJAK],MATCH(Table1[[#This Row],[h_Item Description]],[1]!db[kode],0)))</f>
        <v/>
      </c>
      <c r="Q226" s="274"/>
      <c r="R226" s="275"/>
      <c r="S226" s="275"/>
      <c r="T226" s="274" t="str">
        <f>Table1[[#This Row],[h_hargasetelahdiskon]]</f>
        <v/>
      </c>
      <c r="V226" s="271"/>
      <c r="W226" s="278" t="str">
        <f ca="1">IF(Table1[[#This Row],[Item Description]]="","",IF(Table1[[#This Row],[//]]="",INDIRECT(ADDRESS(ROW()-1,COLUMN())),Table1[[#This Row],[//]]))</f>
        <v/>
      </c>
      <c r="X226" s="278" t="str">
        <f ca="1">IF(Table1[[#This Row],[h_id]]="","",COUNTIF(Table1[h_id],Table1[[#This Row],[h_id]]))</f>
        <v/>
      </c>
      <c r="Y226" s="274" t="str">
        <f>IF(Table1[Item Description]="","",Table1[[#This Row],[Qty]]*Table1[[#This Row],[Unit Price]])</f>
        <v/>
      </c>
      <c r="Z226" s="274" t="str">
        <f>IF(Table1[[#This Row],[h_hargasebelumdiskon]]="","",IF(Table1[[#This Row],[Disc 1]]="",0,Table1[[#This Row],[h_hargasebelumdiskon]]*Table1[[#This Row],[Disc 1]]))</f>
        <v/>
      </c>
      <c r="AA226" s="274" t="str">
        <f>IF(Table1[[#This Row],[h_hargasebelumdiskon]]="","",IF(Table1[[#This Row],[Disc 2]]="",0,(Table1[[#This Row],[h_hargasebelumdiskon]]-Table1[[#This Row],[h_disc 1]])*Table1[[#This Row],[Disc 2]]))</f>
        <v/>
      </c>
      <c r="AB226" s="274" t="str">
        <f>IF(Table1[Item Description]="","",Table1[[#This Row],[h_disc 1]]+Table1[[#This Row],[h_disc 2]])</f>
        <v/>
      </c>
      <c r="AC226" s="274" t="str">
        <f>IF(Table1[Item Description]="","",Table1[[#This Row],[h_hargasebelumdiskon]]-Table1[[#This Row],[h_diskon]])</f>
        <v/>
      </c>
      <c r="AD226" s="274" t="str">
        <f ca="1">IF(Table1[//]="","",SUMIF(Table1[h_id],Table1[h_id],Table1[h_hargasetelahdiskon]))</f>
        <v/>
      </c>
      <c r="AF226" s="274" t="str">
        <f>Table1[[#This Row],[Item Description]]&amp;Table1[[#This Row],[Unit]]&amp;Table1[[#This Row],[Unit Price]]</f>
        <v/>
      </c>
      <c r="AG226" s="3"/>
      <c r="AH226" s="3"/>
      <c r="AI226" s="3"/>
    </row>
    <row r="227" spans="1:35" x14ac:dyDescent="0.25">
      <c r="A227" s="278" t="str">
        <f ca="1">IF(Table1[[#This Row],[No. Invoice :]]="","",ROW())</f>
        <v/>
      </c>
      <c r="B227" s="278" t="str">
        <f ca="1">IF(Table1[Column3]="","",B$1+COUNT(INDIRECT("B$2:B"&amp;ROW()-1)))</f>
        <v/>
      </c>
      <c r="C227" s="272" t="str">
        <f>IF(Table1[[#This Row],[Column2]]="","",Table1[[#This Row],[Column2]]+C$1-1)</f>
        <v/>
      </c>
      <c r="E227" s="273"/>
      <c r="F227" s="271"/>
      <c r="G227" s="278" t="str">
        <f ca="1">IF(Table1[[#This Row],[h_No. Invoice :]]="","",CONCATENATE("AM"," ",Table1[[#This Row],[h_No. Invoice :]]))</f>
        <v/>
      </c>
      <c r="H227" s="271" t="str">
        <f>IF(Table1[[#This Row],[Column5]]="","",INDEX(Table2[Column1],MATCH(Table1[[#This Row],[Column5]],Table2[a],0)))</f>
        <v/>
      </c>
      <c r="I227" s="279" t="str">
        <f>IF(Table1[[#This Row],[Column3]]=0,"",CONCATENATE(UPPER(Table1[[#This Row],[Column3]])," ",Table1[[#This Row],[Column4]]))</f>
        <v xml:space="preserve"> </v>
      </c>
      <c r="J227" s="278" t="str">
        <f>IF(Table1[[#This Row],[Column5]]="","",INDEX(Table2[e],IF(Table1[[#This Row],[Column5]]="","",MATCH(Table1[[#This Row],[Column5]],Table2[a],0)),))</f>
        <v/>
      </c>
      <c r="K227" s="271"/>
      <c r="L227" s="271"/>
      <c r="O227" s="278" t="str">
        <f>IF(Table1[[#This Row],[h_Item Description]]="","",INDEX([1]!db[NB PAJAK],MATCH(Table1[[#This Row],[h_Item Description]],[1]!db[kode],0)))</f>
        <v/>
      </c>
      <c r="Q227" s="274"/>
      <c r="R227" s="275"/>
      <c r="S227" s="275"/>
      <c r="T227" s="274" t="str">
        <f>Table1[[#This Row],[h_hargasetelahdiskon]]</f>
        <v/>
      </c>
      <c r="V227" s="271"/>
      <c r="W227" s="278" t="str">
        <f ca="1">IF(Table1[[#This Row],[Item Description]]="","",IF(Table1[[#This Row],[//]]="",INDIRECT(ADDRESS(ROW()-1,COLUMN())),Table1[[#This Row],[//]]))</f>
        <v/>
      </c>
      <c r="X227" s="278" t="str">
        <f ca="1">IF(Table1[[#This Row],[h_id]]="","",COUNTIF(Table1[h_id],Table1[[#This Row],[h_id]]))</f>
        <v/>
      </c>
      <c r="Y227" s="274" t="str">
        <f>IF(Table1[Item Description]="","",Table1[[#This Row],[Qty]]*Table1[[#This Row],[Unit Price]])</f>
        <v/>
      </c>
      <c r="Z227" s="274" t="str">
        <f>IF(Table1[[#This Row],[h_hargasebelumdiskon]]="","",IF(Table1[[#This Row],[Disc 1]]="",0,Table1[[#This Row],[h_hargasebelumdiskon]]*Table1[[#This Row],[Disc 1]]))</f>
        <v/>
      </c>
      <c r="AA227" s="274" t="str">
        <f>IF(Table1[[#This Row],[h_hargasebelumdiskon]]="","",IF(Table1[[#This Row],[Disc 2]]="",0,(Table1[[#This Row],[h_hargasebelumdiskon]]-Table1[[#This Row],[h_disc 1]])*Table1[[#This Row],[Disc 2]]))</f>
        <v/>
      </c>
      <c r="AB227" s="274" t="str">
        <f>IF(Table1[Item Description]="","",Table1[[#This Row],[h_disc 1]]+Table1[[#This Row],[h_disc 2]])</f>
        <v/>
      </c>
      <c r="AC227" s="274" t="str">
        <f>IF(Table1[Item Description]="","",Table1[[#This Row],[h_hargasebelumdiskon]]-Table1[[#This Row],[h_diskon]])</f>
        <v/>
      </c>
      <c r="AD227" s="274" t="str">
        <f ca="1">IF(Table1[//]="","",SUMIF(Table1[h_id],Table1[h_id],Table1[h_hargasetelahdiskon]))</f>
        <v/>
      </c>
      <c r="AF227" s="274" t="str">
        <f>Table1[[#This Row],[Item Description]]&amp;Table1[[#This Row],[Unit]]&amp;Table1[[#This Row],[Unit Price]]</f>
        <v/>
      </c>
      <c r="AG227" s="3"/>
      <c r="AH227" s="3"/>
      <c r="AI227" s="3"/>
    </row>
    <row r="228" spans="1:35" x14ac:dyDescent="0.25">
      <c r="A228" s="278" t="str">
        <f ca="1">IF(Table1[[#This Row],[No. Invoice :]]="","",ROW())</f>
        <v/>
      </c>
      <c r="B228" s="278" t="str">
        <f ca="1">IF(Table1[Column3]="","",B$1+COUNT(INDIRECT("B$2:B"&amp;ROW()-1)))</f>
        <v/>
      </c>
      <c r="C228" s="272" t="str">
        <f>IF(Table1[[#This Row],[Column2]]="","",Table1[[#This Row],[Column2]]+C$1-1)</f>
        <v/>
      </c>
      <c r="E228" s="273"/>
      <c r="F228" s="271"/>
      <c r="G228" s="278" t="str">
        <f ca="1">IF(Table1[[#This Row],[h_No. Invoice :]]="","",CONCATENATE("AM"," ",Table1[[#This Row],[h_No. Invoice :]]))</f>
        <v/>
      </c>
      <c r="H228" s="271" t="str">
        <f>IF(Table1[[#This Row],[Column5]]="","",INDEX(Table2[Column1],MATCH(Table1[[#This Row],[Column5]],Table2[a],0)))</f>
        <v/>
      </c>
      <c r="I228" s="279" t="str">
        <f>IF(Table1[[#This Row],[Column3]]=0,"",CONCATENATE(UPPER(Table1[[#This Row],[Column3]])," ",Table1[[#This Row],[Column4]]))</f>
        <v xml:space="preserve"> </v>
      </c>
      <c r="J228" s="278" t="str">
        <f>IF(Table1[[#This Row],[Column5]]="","",INDEX(Table2[e],IF(Table1[[#This Row],[Column5]]="","",MATCH(Table1[[#This Row],[Column5]],Table2[a],0)),))</f>
        <v/>
      </c>
      <c r="K228" s="271"/>
      <c r="L228" s="271"/>
      <c r="O228" s="278" t="str">
        <f>IF(Table1[[#This Row],[h_Item Description]]="","",INDEX([1]!db[NB PAJAK],MATCH(Table1[[#This Row],[h_Item Description]],[1]!db[kode],0)))</f>
        <v/>
      </c>
      <c r="Q228" s="274"/>
      <c r="R228" s="275"/>
      <c r="S228" s="275"/>
      <c r="T228" s="274" t="str">
        <f>Table1[[#This Row],[h_hargasetelahdiskon]]</f>
        <v/>
      </c>
      <c r="V228" s="271"/>
      <c r="W228" s="278" t="str">
        <f ca="1">IF(Table1[[#This Row],[Item Description]]="","",IF(Table1[[#This Row],[//]]="",INDIRECT(ADDRESS(ROW()-1,COLUMN())),Table1[[#This Row],[//]]))</f>
        <v/>
      </c>
      <c r="X228" s="278" t="str">
        <f ca="1">IF(Table1[[#This Row],[h_id]]="","",COUNTIF(Table1[h_id],Table1[[#This Row],[h_id]]))</f>
        <v/>
      </c>
      <c r="Y228" s="274" t="str">
        <f>IF(Table1[Item Description]="","",Table1[[#This Row],[Qty]]*Table1[[#This Row],[Unit Price]])</f>
        <v/>
      </c>
      <c r="Z228" s="274" t="str">
        <f>IF(Table1[[#This Row],[h_hargasebelumdiskon]]="","",IF(Table1[[#This Row],[Disc 1]]="",0,Table1[[#This Row],[h_hargasebelumdiskon]]*Table1[[#This Row],[Disc 1]]))</f>
        <v/>
      </c>
      <c r="AA228" s="274" t="str">
        <f>IF(Table1[[#This Row],[h_hargasebelumdiskon]]="","",IF(Table1[[#This Row],[Disc 2]]="",0,(Table1[[#This Row],[h_hargasebelumdiskon]]-Table1[[#This Row],[h_disc 1]])*Table1[[#This Row],[Disc 2]]))</f>
        <v/>
      </c>
      <c r="AB228" s="274" t="str">
        <f>IF(Table1[Item Description]="","",Table1[[#This Row],[h_disc 1]]+Table1[[#This Row],[h_disc 2]])</f>
        <v/>
      </c>
      <c r="AC228" s="274" t="str">
        <f>IF(Table1[Item Description]="","",Table1[[#This Row],[h_hargasebelumdiskon]]-Table1[[#This Row],[h_diskon]])</f>
        <v/>
      </c>
      <c r="AD228" s="274" t="str">
        <f ca="1">IF(Table1[//]="","",SUMIF(Table1[h_id],Table1[h_id],Table1[h_hargasetelahdiskon]))</f>
        <v/>
      </c>
      <c r="AF228" s="274" t="str">
        <f>Table1[[#This Row],[Item Description]]&amp;Table1[[#This Row],[Unit]]&amp;Table1[[#This Row],[Unit Price]]</f>
        <v/>
      </c>
      <c r="AG228" s="3"/>
      <c r="AH228" s="3"/>
      <c r="AI228" s="3"/>
    </row>
    <row r="229" spans="1:35" x14ac:dyDescent="0.25">
      <c r="A229" s="278" t="str">
        <f ca="1">IF(Table1[[#This Row],[No. Invoice :]]="","",ROW())</f>
        <v/>
      </c>
      <c r="B229" s="278" t="str">
        <f ca="1">IF(Table1[Column3]="","",B$1+COUNT(INDIRECT("B$2:B"&amp;ROW()-1)))</f>
        <v/>
      </c>
      <c r="C229" s="272" t="str">
        <f>IF(Table1[[#This Row],[Column2]]="","",Table1[[#This Row],[Column2]]+C$1-1)</f>
        <v/>
      </c>
      <c r="E229" s="273"/>
      <c r="F229" s="271"/>
      <c r="G229" s="278" t="str">
        <f ca="1">IF(Table1[[#This Row],[h_No. Invoice :]]="","",CONCATENATE("AM"," ",Table1[[#This Row],[h_No. Invoice :]]))</f>
        <v/>
      </c>
      <c r="H229" s="271" t="str">
        <f>IF(Table1[[#This Row],[Column5]]="","",INDEX(Table2[Column1],MATCH(Table1[[#This Row],[Column5]],Table2[a],0)))</f>
        <v/>
      </c>
      <c r="I229" s="279" t="str">
        <f>IF(Table1[[#This Row],[Column3]]=0,"",CONCATENATE(UPPER(Table1[[#This Row],[Column3]])," ",Table1[[#This Row],[Column4]]))</f>
        <v xml:space="preserve"> </v>
      </c>
      <c r="J229" s="278" t="str">
        <f>IF(Table1[[#This Row],[Column5]]="","",INDEX(Table2[e],IF(Table1[[#This Row],[Column5]]="","",MATCH(Table1[[#This Row],[Column5]],Table2[a],0)),))</f>
        <v/>
      </c>
      <c r="K229" s="271"/>
      <c r="L229" s="271"/>
      <c r="O229" s="278" t="str">
        <f>IF(Table1[[#This Row],[h_Item Description]]="","",INDEX([1]!db[NB PAJAK],MATCH(Table1[[#This Row],[h_Item Description]],[1]!db[kode],0)))</f>
        <v/>
      </c>
      <c r="Q229" s="274"/>
      <c r="R229" s="275"/>
      <c r="S229" s="275"/>
      <c r="T229" s="274" t="str">
        <f>Table1[[#This Row],[h_hargasetelahdiskon]]</f>
        <v/>
      </c>
      <c r="V229" s="271"/>
      <c r="W229" s="278" t="str">
        <f ca="1">IF(Table1[[#This Row],[Item Description]]="","",IF(Table1[[#This Row],[//]]="",INDIRECT(ADDRESS(ROW()-1,COLUMN())),Table1[[#This Row],[//]]))</f>
        <v/>
      </c>
      <c r="X229" s="278" t="str">
        <f ca="1">IF(Table1[[#This Row],[h_id]]="","",COUNTIF(Table1[h_id],Table1[[#This Row],[h_id]]))</f>
        <v/>
      </c>
      <c r="Y229" s="274" t="str">
        <f>IF(Table1[Item Description]="","",Table1[[#This Row],[Qty]]*Table1[[#This Row],[Unit Price]])</f>
        <v/>
      </c>
      <c r="Z229" s="274" t="str">
        <f>IF(Table1[[#This Row],[h_hargasebelumdiskon]]="","",IF(Table1[[#This Row],[Disc 1]]="",0,Table1[[#This Row],[h_hargasebelumdiskon]]*Table1[[#This Row],[Disc 1]]))</f>
        <v/>
      </c>
      <c r="AA229" s="274" t="str">
        <f>IF(Table1[[#This Row],[h_hargasebelumdiskon]]="","",IF(Table1[[#This Row],[Disc 2]]="",0,(Table1[[#This Row],[h_hargasebelumdiskon]]-Table1[[#This Row],[h_disc 1]])*Table1[[#This Row],[Disc 2]]))</f>
        <v/>
      </c>
      <c r="AB229" s="274" t="str">
        <f>IF(Table1[Item Description]="","",Table1[[#This Row],[h_disc 1]]+Table1[[#This Row],[h_disc 2]])</f>
        <v/>
      </c>
      <c r="AC229" s="274" t="str">
        <f>IF(Table1[Item Description]="","",Table1[[#This Row],[h_hargasebelumdiskon]]-Table1[[#This Row],[h_diskon]])</f>
        <v/>
      </c>
      <c r="AD229" s="274" t="str">
        <f ca="1">IF(Table1[//]="","",SUMIF(Table1[h_id],Table1[h_id],Table1[h_hargasetelahdiskon]))</f>
        <v/>
      </c>
      <c r="AF229" s="274" t="str">
        <f>Table1[[#This Row],[Item Description]]&amp;Table1[[#This Row],[Unit]]&amp;Table1[[#This Row],[Unit Price]]</f>
        <v/>
      </c>
      <c r="AG229" s="3"/>
      <c r="AH229" s="3"/>
      <c r="AI229" s="3"/>
    </row>
    <row r="230" spans="1:35" x14ac:dyDescent="0.25">
      <c r="A230" s="278" t="str">
        <f ca="1">IF(Table1[[#This Row],[No. Invoice :]]="","",ROW())</f>
        <v/>
      </c>
      <c r="B230" s="278" t="str">
        <f ca="1">IF(Table1[Column3]="","",B$1+COUNT(INDIRECT("B$2:B"&amp;ROW()-1)))</f>
        <v/>
      </c>
      <c r="C230" s="272" t="str">
        <f>IF(Table1[[#This Row],[Column2]]="","",Table1[[#This Row],[Column2]]+C$1-1)</f>
        <v/>
      </c>
      <c r="E230" s="273"/>
      <c r="F230" s="271"/>
      <c r="G230" s="278" t="str">
        <f ca="1">IF(Table1[[#This Row],[h_No. Invoice :]]="","",CONCATENATE("AM"," ",Table1[[#This Row],[h_No. Invoice :]]))</f>
        <v/>
      </c>
      <c r="H230" s="271" t="str">
        <f>IF(Table1[[#This Row],[Column5]]="","",INDEX(Table2[Column1],MATCH(Table1[[#This Row],[Column5]],Table2[a],0)))</f>
        <v/>
      </c>
      <c r="I230" s="279" t="str">
        <f>IF(Table1[[#This Row],[Column3]]=0,"",CONCATENATE(UPPER(Table1[[#This Row],[Column3]])," ",Table1[[#This Row],[Column4]]))</f>
        <v xml:space="preserve"> </v>
      </c>
      <c r="J230" s="278" t="str">
        <f>IF(Table1[[#This Row],[Column5]]="","",INDEX(Table2[e],IF(Table1[[#This Row],[Column5]]="","",MATCH(Table1[[#This Row],[Column5]],Table2[a],0)),))</f>
        <v/>
      </c>
      <c r="K230" s="271"/>
      <c r="L230" s="271"/>
      <c r="O230" s="278" t="str">
        <f>IF(Table1[[#This Row],[h_Item Description]]="","",INDEX([1]!db[NB PAJAK],MATCH(Table1[[#This Row],[h_Item Description]],[1]!db[kode],0)))</f>
        <v/>
      </c>
      <c r="Q230" s="274"/>
      <c r="R230" s="275"/>
      <c r="S230" s="275"/>
      <c r="T230" s="274" t="str">
        <f>Table1[[#This Row],[h_hargasetelahdiskon]]</f>
        <v/>
      </c>
      <c r="V230" s="271"/>
      <c r="W230" s="278" t="str">
        <f ca="1">IF(Table1[[#This Row],[Item Description]]="","",IF(Table1[[#This Row],[//]]="",INDIRECT(ADDRESS(ROW()-1,COLUMN())),Table1[[#This Row],[//]]))</f>
        <v/>
      </c>
      <c r="X230" s="278" t="str">
        <f ca="1">IF(Table1[[#This Row],[h_id]]="","",COUNTIF(Table1[h_id],Table1[[#This Row],[h_id]]))</f>
        <v/>
      </c>
      <c r="Y230" s="274" t="str">
        <f>IF(Table1[Item Description]="","",Table1[[#This Row],[Qty]]*Table1[[#This Row],[Unit Price]])</f>
        <v/>
      </c>
      <c r="Z230" s="274" t="str">
        <f>IF(Table1[[#This Row],[h_hargasebelumdiskon]]="","",IF(Table1[[#This Row],[Disc 1]]="",0,Table1[[#This Row],[h_hargasebelumdiskon]]*Table1[[#This Row],[Disc 1]]))</f>
        <v/>
      </c>
      <c r="AA230" s="274" t="str">
        <f>IF(Table1[[#This Row],[h_hargasebelumdiskon]]="","",IF(Table1[[#This Row],[Disc 2]]="",0,(Table1[[#This Row],[h_hargasebelumdiskon]]-Table1[[#This Row],[h_disc 1]])*Table1[[#This Row],[Disc 2]]))</f>
        <v/>
      </c>
      <c r="AB230" s="274" t="str">
        <f>IF(Table1[Item Description]="","",Table1[[#This Row],[h_disc 1]]+Table1[[#This Row],[h_disc 2]])</f>
        <v/>
      </c>
      <c r="AC230" s="274" t="str">
        <f>IF(Table1[Item Description]="","",Table1[[#This Row],[h_hargasebelumdiskon]]-Table1[[#This Row],[h_diskon]])</f>
        <v/>
      </c>
      <c r="AD230" s="274" t="str">
        <f ca="1">IF(Table1[//]="","",SUMIF(Table1[h_id],Table1[h_id],Table1[h_hargasetelahdiskon]))</f>
        <v/>
      </c>
      <c r="AF230" s="274" t="str">
        <f>Table1[[#This Row],[Item Description]]&amp;Table1[[#This Row],[Unit]]&amp;Table1[[#This Row],[Unit Price]]</f>
        <v/>
      </c>
      <c r="AG230" s="3"/>
      <c r="AH230" s="3"/>
      <c r="AI230" s="3"/>
    </row>
    <row r="231" spans="1:35" x14ac:dyDescent="0.25">
      <c r="A231" s="278" t="str">
        <f ca="1">IF(Table1[[#This Row],[No. Invoice :]]="","",ROW())</f>
        <v/>
      </c>
      <c r="B231" s="278" t="str">
        <f ca="1">IF(Table1[Column3]="","",B$1+COUNT(INDIRECT("B$2:B"&amp;ROW()-1)))</f>
        <v/>
      </c>
      <c r="C231" s="272" t="str">
        <f>IF(Table1[[#This Row],[Column2]]="","",Table1[[#This Row],[Column2]]+C$1-1)</f>
        <v/>
      </c>
      <c r="E231" s="273"/>
      <c r="F231" s="271"/>
      <c r="G231" s="278" t="str">
        <f ca="1">IF(Table1[[#This Row],[h_No. Invoice :]]="","",CONCATENATE("AM"," ",Table1[[#This Row],[h_No. Invoice :]]))</f>
        <v/>
      </c>
      <c r="H231" s="271" t="str">
        <f>IF(Table1[[#This Row],[Column5]]="","",INDEX(Table2[Column1],MATCH(Table1[[#This Row],[Column5]],Table2[a],0)))</f>
        <v/>
      </c>
      <c r="I231" s="279" t="str">
        <f>IF(Table1[[#This Row],[Column3]]=0,"",CONCATENATE(UPPER(Table1[[#This Row],[Column3]])," ",Table1[[#This Row],[Column4]]))</f>
        <v xml:space="preserve"> </v>
      </c>
      <c r="J231" s="278" t="str">
        <f>IF(Table1[[#This Row],[Column5]]="","",INDEX(Table2[e],IF(Table1[[#This Row],[Column5]]="","",MATCH(Table1[[#This Row],[Column5]],Table2[a],0)),))</f>
        <v/>
      </c>
      <c r="K231" s="271"/>
      <c r="L231" s="271"/>
      <c r="O231" s="278" t="str">
        <f>IF(Table1[[#This Row],[h_Item Description]]="","",INDEX([1]!db[NB PAJAK],MATCH(Table1[[#This Row],[h_Item Description]],[1]!db[kode],0)))</f>
        <v/>
      </c>
      <c r="P231" s="278"/>
      <c r="Q231" s="274"/>
      <c r="R231" s="275"/>
      <c r="S231" s="275"/>
      <c r="T231" s="274" t="str">
        <f>Table1[[#This Row],[h_hargasetelahdiskon]]</f>
        <v/>
      </c>
      <c r="V231" s="271"/>
      <c r="W231" s="278" t="str">
        <f ca="1">IF(Table1[[#This Row],[Item Description]]="","",IF(Table1[[#This Row],[//]]="",INDIRECT(ADDRESS(ROW()-1,COLUMN())),Table1[[#This Row],[//]]))</f>
        <v/>
      </c>
      <c r="X231" s="278" t="str">
        <f ca="1">IF(Table1[[#This Row],[h_id]]="","",COUNTIF(Table1[h_id],Table1[[#This Row],[h_id]]))</f>
        <v/>
      </c>
      <c r="Y231" s="274" t="str">
        <f>IF(Table1[Item Description]="","",Table1[[#This Row],[Qty]]*Table1[[#This Row],[Unit Price]])</f>
        <v/>
      </c>
      <c r="Z231" s="274" t="str">
        <f>IF(Table1[[#This Row],[h_hargasebelumdiskon]]="","",IF(Table1[[#This Row],[Disc 1]]="",0,Table1[[#This Row],[h_hargasebelumdiskon]]*Table1[[#This Row],[Disc 1]]))</f>
        <v/>
      </c>
      <c r="AA231" s="274" t="str">
        <f>IF(Table1[[#This Row],[h_hargasebelumdiskon]]="","",IF(Table1[[#This Row],[Disc 2]]="",0,(Table1[[#This Row],[h_hargasebelumdiskon]]-Table1[[#This Row],[h_disc 1]])*Table1[[#This Row],[Disc 2]]))</f>
        <v/>
      </c>
      <c r="AB231" s="274" t="str">
        <f>IF(Table1[Item Description]="","",Table1[[#This Row],[h_disc 1]]+Table1[[#This Row],[h_disc 2]])</f>
        <v/>
      </c>
      <c r="AC231" s="274" t="str">
        <f>IF(Table1[Item Description]="","",Table1[[#This Row],[h_hargasebelumdiskon]]-Table1[[#This Row],[h_diskon]])</f>
        <v/>
      </c>
      <c r="AD231" s="274" t="str">
        <f ca="1">IF(Table1[//]="","",SUMIF(Table1[h_id],Table1[h_id],Table1[h_hargasetelahdiskon]))</f>
        <v/>
      </c>
      <c r="AF231" s="274" t="str">
        <f>Table1[[#This Row],[Item Description]]&amp;Table1[[#This Row],[Unit]]&amp;Table1[[#This Row],[Unit Price]]</f>
        <v/>
      </c>
      <c r="AG231" s="3"/>
      <c r="AH231" s="3"/>
      <c r="AI231" s="3"/>
    </row>
    <row r="232" spans="1:35" x14ac:dyDescent="0.25">
      <c r="A232" s="278" t="str">
        <f ca="1">IF(Table1[[#This Row],[No. Invoice :]]="","",ROW())</f>
        <v/>
      </c>
      <c r="B232" s="278" t="str">
        <f ca="1">IF(Table1[Column3]="","",B$1+COUNT(INDIRECT("B$2:B"&amp;ROW()-1)))</f>
        <v/>
      </c>
      <c r="C232" s="272" t="str">
        <f>IF(Table1[[#This Row],[Column2]]="","",Table1[[#This Row],[Column2]]+C$1-1)</f>
        <v/>
      </c>
      <c r="E232" s="273"/>
      <c r="F232" s="271"/>
      <c r="G232" s="278" t="str">
        <f ca="1">IF(Table1[[#This Row],[h_No. Invoice :]]="","",CONCATENATE("AM"," ",Table1[[#This Row],[h_No. Invoice :]]))</f>
        <v/>
      </c>
      <c r="H232" s="271" t="str">
        <f>IF(Table1[[#This Row],[Column5]]="","",INDEX(Table2[Column1],MATCH(Table1[[#This Row],[Column5]],Table2[a],0)))</f>
        <v/>
      </c>
      <c r="I232" s="279" t="str">
        <f>IF(Table1[[#This Row],[Column3]]=0,"",CONCATENATE(UPPER(Table1[[#This Row],[Column3]])," ",Table1[[#This Row],[Column4]]))</f>
        <v xml:space="preserve"> </v>
      </c>
      <c r="J232" s="278" t="str">
        <f>IF(Table1[[#This Row],[Column5]]="","",INDEX(Table2[e],IF(Table1[[#This Row],[Column5]]="","",MATCH(Table1[[#This Row],[Column5]],Table2[a],0)),))</f>
        <v/>
      </c>
      <c r="K232" s="271"/>
      <c r="L232" s="271"/>
      <c r="O232" s="278" t="str">
        <f>IF(Table1[[#This Row],[h_Item Description]]="","",INDEX([1]!db[NB PAJAK],MATCH(Table1[[#This Row],[h_Item Description]],[1]!db[kode],0)))</f>
        <v/>
      </c>
      <c r="Q232" s="274"/>
      <c r="R232" s="275"/>
      <c r="S232" s="275"/>
      <c r="T232" s="274" t="str">
        <f>Table1[[#This Row],[h_hargasetelahdiskon]]</f>
        <v/>
      </c>
      <c r="V232" s="271"/>
      <c r="W232" s="278" t="str">
        <f ca="1">IF(Table1[[#This Row],[Item Description]]="","",IF(Table1[[#This Row],[//]]="",INDIRECT(ADDRESS(ROW()-1,COLUMN())),Table1[[#This Row],[//]]))</f>
        <v/>
      </c>
      <c r="X232" s="278" t="str">
        <f ca="1">IF(Table1[[#This Row],[h_id]]="","",COUNTIF(Table1[h_id],Table1[[#This Row],[h_id]]))</f>
        <v/>
      </c>
      <c r="Y232" s="274" t="str">
        <f>IF(Table1[Item Description]="","",Table1[[#This Row],[Qty]]*Table1[[#This Row],[Unit Price]])</f>
        <v/>
      </c>
      <c r="Z232" s="274" t="str">
        <f>IF(Table1[[#This Row],[h_hargasebelumdiskon]]="","",IF(Table1[[#This Row],[Disc 1]]="",0,Table1[[#This Row],[h_hargasebelumdiskon]]*Table1[[#This Row],[Disc 1]]))</f>
        <v/>
      </c>
      <c r="AA232" s="274" t="str">
        <f>IF(Table1[[#This Row],[h_hargasebelumdiskon]]="","",IF(Table1[[#This Row],[Disc 2]]="",0,(Table1[[#This Row],[h_hargasebelumdiskon]]-Table1[[#This Row],[h_disc 1]])*Table1[[#This Row],[Disc 2]]))</f>
        <v/>
      </c>
      <c r="AB232" s="274" t="str">
        <f>IF(Table1[Item Description]="","",Table1[[#This Row],[h_disc 1]]+Table1[[#This Row],[h_disc 2]])</f>
        <v/>
      </c>
      <c r="AC232" s="274" t="str">
        <f>IF(Table1[Item Description]="","",Table1[[#This Row],[h_hargasebelumdiskon]]-Table1[[#This Row],[h_diskon]])</f>
        <v/>
      </c>
      <c r="AD232" s="274" t="str">
        <f ca="1">IF(Table1[//]="","",SUMIF(Table1[h_id],Table1[h_id],Table1[h_hargasetelahdiskon]))</f>
        <v/>
      </c>
      <c r="AF232" s="274" t="str">
        <f>Table1[[#This Row],[Item Description]]&amp;Table1[[#This Row],[Unit]]&amp;Table1[[#This Row],[Unit Price]]</f>
        <v/>
      </c>
      <c r="AG232" s="3"/>
      <c r="AH232" s="3"/>
      <c r="AI232" s="3"/>
    </row>
    <row r="233" spans="1:35" x14ac:dyDescent="0.25">
      <c r="A233" s="278" t="str">
        <f ca="1">IF(Table1[[#This Row],[No. Invoice :]]="","",ROW())</f>
        <v/>
      </c>
      <c r="B233" s="278" t="str">
        <f ca="1">IF(Table1[Column3]="","",B$1+COUNT(INDIRECT("B$2:B"&amp;ROW()-1)))</f>
        <v/>
      </c>
      <c r="C233" s="272" t="str">
        <f>IF(Table1[[#This Row],[Column2]]="","",Table1[[#This Row],[Column2]]+C$1-1)</f>
        <v/>
      </c>
      <c r="E233" s="273"/>
      <c r="F233" s="271"/>
      <c r="G233" s="278" t="str">
        <f ca="1">IF(Table1[[#This Row],[h_No. Invoice :]]="","",CONCATENATE("AM"," ",Table1[[#This Row],[h_No. Invoice :]]))</f>
        <v/>
      </c>
      <c r="H233" s="271" t="str">
        <f>IF(Table1[[#This Row],[Column5]]="","",INDEX(Table2[Column1],MATCH(Table1[[#This Row],[Column5]],Table2[a],0)))</f>
        <v/>
      </c>
      <c r="I233" s="279" t="str">
        <f>IF(Table1[[#This Row],[Column3]]=0,"",CONCATENATE(UPPER(Table1[[#This Row],[Column3]])," ",Table1[[#This Row],[Column4]]))</f>
        <v xml:space="preserve"> </v>
      </c>
      <c r="J233" s="278" t="str">
        <f>IF(Table1[[#This Row],[Column5]]="","",INDEX(Table2[e],IF(Table1[[#This Row],[Column5]]="","",MATCH(Table1[[#This Row],[Column5]],Table2[a],0)),))</f>
        <v/>
      </c>
      <c r="K233" s="271"/>
      <c r="L233" s="271"/>
      <c r="O233" s="278" t="str">
        <f>IF(Table1[[#This Row],[h_Item Description]]="","",INDEX([1]!db[NB PAJAK],MATCH(Table1[[#This Row],[h_Item Description]],[1]!db[kode],0)))</f>
        <v/>
      </c>
      <c r="Q233" s="274"/>
      <c r="R233" s="275"/>
      <c r="S233" s="275"/>
      <c r="T233" s="274" t="str">
        <f>Table1[[#This Row],[h_hargasetelahdiskon]]</f>
        <v/>
      </c>
      <c r="V233" s="271"/>
      <c r="W233" s="278" t="str">
        <f ca="1">IF(Table1[[#This Row],[Item Description]]="","",IF(Table1[[#This Row],[//]]="",INDIRECT(ADDRESS(ROW()-1,COLUMN())),Table1[[#This Row],[//]]))</f>
        <v/>
      </c>
      <c r="X233" s="278" t="str">
        <f ca="1">IF(Table1[[#This Row],[h_id]]="","",COUNTIF(Table1[h_id],Table1[[#This Row],[h_id]]))</f>
        <v/>
      </c>
      <c r="Y233" s="274" t="str">
        <f>IF(Table1[Item Description]="","",Table1[[#This Row],[Qty]]*Table1[[#This Row],[Unit Price]])</f>
        <v/>
      </c>
      <c r="Z233" s="274" t="str">
        <f>IF(Table1[[#This Row],[h_hargasebelumdiskon]]="","",IF(Table1[[#This Row],[Disc 1]]="",0,Table1[[#This Row],[h_hargasebelumdiskon]]*Table1[[#This Row],[Disc 1]]))</f>
        <v/>
      </c>
      <c r="AA233" s="274" t="str">
        <f>IF(Table1[[#This Row],[h_hargasebelumdiskon]]="","",IF(Table1[[#This Row],[Disc 2]]="",0,(Table1[[#This Row],[h_hargasebelumdiskon]]-Table1[[#This Row],[h_disc 1]])*Table1[[#This Row],[Disc 2]]))</f>
        <v/>
      </c>
      <c r="AB233" s="274" t="str">
        <f>IF(Table1[Item Description]="","",Table1[[#This Row],[h_disc 1]]+Table1[[#This Row],[h_disc 2]])</f>
        <v/>
      </c>
      <c r="AC233" s="274" t="str">
        <f>IF(Table1[Item Description]="","",Table1[[#This Row],[h_hargasebelumdiskon]]-Table1[[#This Row],[h_diskon]])</f>
        <v/>
      </c>
      <c r="AD233" s="274" t="str">
        <f ca="1">IF(Table1[//]="","",SUMIF(Table1[h_id],Table1[h_id],Table1[h_hargasetelahdiskon]))</f>
        <v/>
      </c>
      <c r="AF233" s="274" t="str">
        <f>Table1[[#This Row],[Item Description]]&amp;Table1[[#This Row],[Unit]]&amp;Table1[[#This Row],[Unit Price]]</f>
        <v/>
      </c>
      <c r="AG233" s="3"/>
      <c r="AH233" s="3"/>
      <c r="AI233" s="3"/>
    </row>
    <row r="234" spans="1:35" x14ac:dyDescent="0.25">
      <c r="A234" s="278" t="str">
        <f ca="1">IF(Table1[[#This Row],[No. Invoice :]]="","",ROW())</f>
        <v/>
      </c>
      <c r="B234" s="278" t="str">
        <f ca="1">IF(Table1[Column3]="","",B$1+COUNT(INDIRECT("B$2:B"&amp;ROW()-1)))</f>
        <v/>
      </c>
      <c r="C234" s="272" t="str">
        <f>IF(Table1[[#This Row],[Column2]]="","",Table1[[#This Row],[Column2]]+C$1-1)</f>
        <v/>
      </c>
      <c r="E234" s="273"/>
      <c r="F234" s="271"/>
      <c r="G234" s="278" t="str">
        <f ca="1">IF(Table1[[#This Row],[h_No. Invoice :]]="","",CONCATENATE("AM"," ",Table1[[#This Row],[h_No. Invoice :]]))</f>
        <v/>
      </c>
      <c r="H234" s="271" t="str">
        <f>IF(Table1[[#This Row],[Column5]]="","",INDEX(Table2[Column1],MATCH(Table1[[#This Row],[Column5]],Table2[a],0)))</f>
        <v/>
      </c>
      <c r="I234" s="279" t="str">
        <f>IF(Table1[[#This Row],[Column3]]=0,"",CONCATENATE(UPPER(Table1[[#This Row],[Column3]])," ",Table1[[#This Row],[Column4]]))</f>
        <v xml:space="preserve"> </v>
      </c>
      <c r="J234" s="278" t="str">
        <f>IF(Table1[[#This Row],[Column5]]="","",INDEX(Table2[e],IF(Table1[[#This Row],[Column5]]="","",MATCH(Table1[[#This Row],[Column5]],Table2[a],0)),))</f>
        <v/>
      </c>
      <c r="K234" s="271"/>
      <c r="L234" s="271"/>
      <c r="O234" s="278" t="str">
        <f>IF(Table1[[#This Row],[h_Item Description]]="","",INDEX([1]!db[NB PAJAK],MATCH(Table1[[#This Row],[h_Item Description]],[1]!db[kode],0)))</f>
        <v/>
      </c>
      <c r="Q234" s="274"/>
      <c r="R234" s="275"/>
      <c r="S234" s="275"/>
      <c r="T234" s="274" t="str">
        <f>Table1[[#This Row],[h_hargasetelahdiskon]]</f>
        <v/>
      </c>
      <c r="V234" s="271"/>
      <c r="W234" s="278" t="str">
        <f ca="1">IF(Table1[[#This Row],[Item Description]]="","",IF(Table1[[#This Row],[//]]="",INDIRECT(ADDRESS(ROW()-1,COLUMN())),Table1[[#This Row],[//]]))</f>
        <v/>
      </c>
      <c r="X234" s="278" t="str">
        <f ca="1">IF(Table1[[#This Row],[h_id]]="","",COUNTIF(Table1[h_id],Table1[[#This Row],[h_id]]))</f>
        <v/>
      </c>
      <c r="Y234" s="274" t="str">
        <f>IF(Table1[Item Description]="","",Table1[[#This Row],[Qty]]*Table1[[#This Row],[Unit Price]])</f>
        <v/>
      </c>
      <c r="Z234" s="274" t="str">
        <f>IF(Table1[[#This Row],[h_hargasebelumdiskon]]="","",IF(Table1[[#This Row],[Disc 1]]="",0,Table1[[#This Row],[h_hargasebelumdiskon]]*Table1[[#This Row],[Disc 1]]))</f>
        <v/>
      </c>
      <c r="AA234" s="274" t="str">
        <f>IF(Table1[[#This Row],[h_hargasebelumdiskon]]="","",IF(Table1[[#This Row],[Disc 2]]="",0,(Table1[[#This Row],[h_hargasebelumdiskon]]-Table1[[#This Row],[h_disc 1]])*Table1[[#This Row],[Disc 2]]))</f>
        <v/>
      </c>
      <c r="AB234" s="274" t="str">
        <f>IF(Table1[Item Description]="","",Table1[[#This Row],[h_disc 1]]+Table1[[#This Row],[h_disc 2]])</f>
        <v/>
      </c>
      <c r="AC234" s="274" t="str">
        <f>IF(Table1[Item Description]="","",Table1[[#This Row],[h_hargasebelumdiskon]]-Table1[[#This Row],[h_diskon]])</f>
        <v/>
      </c>
      <c r="AD234" s="274" t="str">
        <f ca="1">IF(Table1[//]="","",SUMIF(Table1[h_id],Table1[h_id],Table1[h_hargasetelahdiskon]))</f>
        <v/>
      </c>
      <c r="AF234" s="274" t="str">
        <f>Table1[[#This Row],[Item Description]]&amp;Table1[[#This Row],[Unit]]&amp;Table1[[#This Row],[Unit Price]]</f>
        <v/>
      </c>
      <c r="AG234" s="3"/>
      <c r="AH234" s="3"/>
      <c r="AI234" s="3"/>
    </row>
    <row r="235" spans="1:35" x14ac:dyDescent="0.25">
      <c r="A235" s="278" t="str">
        <f ca="1">IF(Table1[[#This Row],[No. Invoice :]]="","",ROW())</f>
        <v/>
      </c>
      <c r="B235" s="278" t="str">
        <f ca="1">IF(Table1[Column3]="","",B$1+COUNT(INDIRECT("B$2:B"&amp;ROW()-1)))</f>
        <v/>
      </c>
      <c r="C235" s="272" t="str">
        <f>IF(Table1[[#This Row],[Column2]]="","",Table1[[#This Row],[Column2]]+C$1-1)</f>
        <v/>
      </c>
      <c r="E235" s="273"/>
      <c r="F235" s="271"/>
      <c r="G235" s="278" t="str">
        <f ca="1">IF(Table1[[#This Row],[h_No. Invoice :]]="","",CONCATENATE("AM"," ",Table1[[#This Row],[h_No. Invoice :]]))</f>
        <v/>
      </c>
      <c r="H235" s="271" t="str">
        <f>IF(Table1[[#This Row],[Column5]]="","",INDEX(Table2[Column1],MATCH(Table1[[#This Row],[Column5]],Table2[a],0)))</f>
        <v/>
      </c>
      <c r="I235" s="279" t="str">
        <f>IF(Table1[[#This Row],[Column3]]=0,"",CONCATENATE(UPPER(Table1[[#This Row],[Column3]])," ",Table1[[#This Row],[Column4]]))</f>
        <v xml:space="preserve"> </v>
      </c>
      <c r="J235" s="278" t="str">
        <f>IF(Table1[[#This Row],[Column5]]="","",INDEX(Table2[e],IF(Table1[[#This Row],[Column5]]="","",MATCH(Table1[[#This Row],[Column5]],Table2[a],0)),))</f>
        <v/>
      </c>
      <c r="K235" s="271"/>
      <c r="L235" s="271"/>
      <c r="O235" s="278" t="str">
        <f>IF(Table1[[#This Row],[h_Item Description]]="","",INDEX([1]!db[NB PAJAK],MATCH(Table1[[#This Row],[h_Item Description]],[1]!db[kode],0)))</f>
        <v/>
      </c>
      <c r="Q235" s="274"/>
      <c r="R235" s="275"/>
      <c r="S235" s="275"/>
      <c r="T235" s="274" t="str">
        <f>Table1[[#This Row],[h_hargasetelahdiskon]]</f>
        <v/>
      </c>
      <c r="V235" s="271"/>
      <c r="W235" s="278" t="str">
        <f ca="1">IF(Table1[[#This Row],[Item Description]]="","",IF(Table1[[#This Row],[//]]="",INDIRECT(ADDRESS(ROW()-1,COLUMN())),Table1[[#This Row],[//]]))</f>
        <v/>
      </c>
      <c r="X235" s="278" t="str">
        <f ca="1">IF(Table1[[#This Row],[h_id]]="","",COUNTIF(Table1[h_id],Table1[[#This Row],[h_id]]))</f>
        <v/>
      </c>
      <c r="Y235" s="274" t="str">
        <f>IF(Table1[Item Description]="","",Table1[[#This Row],[Qty]]*Table1[[#This Row],[Unit Price]])</f>
        <v/>
      </c>
      <c r="Z235" s="274" t="str">
        <f>IF(Table1[[#This Row],[h_hargasebelumdiskon]]="","",IF(Table1[[#This Row],[Disc 1]]="",0,Table1[[#This Row],[h_hargasebelumdiskon]]*Table1[[#This Row],[Disc 1]]))</f>
        <v/>
      </c>
      <c r="AA235" s="274" t="str">
        <f>IF(Table1[[#This Row],[h_hargasebelumdiskon]]="","",IF(Table1[[#This Row],[Disc 2]]="",0,(Table1[[#This Row],[h_hargasebelumdiskon]]-Table1[[#This Row],[h_disc 1]])*Table1[[#This Row],[Disc 2]]))</f>
        <v/>
      </c>
      <c r="AB235" s="274" t="str">
        <f>IF(Table1[Item Description]="","",Table1[[#This Row],[h_disc 1]]+Table1[[#This Row],[h_disc 2]])</f>
        <v/>
      </c>
      <c r="AC235" s="274" t="str">
        <f>IF(Table1[Item Description]="","",Table1[[#This Row],[h_hargasebelumdiskon]]-Table1[[#This Row],[h_diskon]])</f>
        <v/>
      </c>
      <c r="AD235" s="274" t="str">
        <f ca="1">IF(Table1[//]="","",SUMIF(Table1[h_id],Table1[h_id],Table1[h_hargasetelahdiskon]))</f>
        <v/>
      </c>
      <c r="AF235" s="274" t="str">
        <f>Table1[[#This Row],[Item Description]]&amp;Table1[[#This Row],[Unit]]&amp;Table1[[#This Row],[Unit Price]]</f>
        <v/>
      </c>
      <c r="AG235" s="3"/>
      <c r="AH235" s="3"/>
      <c r="AI235" s="3"/>
    </row>
    <row r="236" spans="1:35" x14ac:dyDescent="0.25">
      <c r="A236" s="278" t="str">
        <f ca="1">IF(Table1[[#This Row],[No. Invoice :]]="","",ROW())</f>
        <v/>
      </c>
      <c r="B236" s="278" t="str">
        <f ca="1">IF(Table1[Column3]="","",B$1+COUNT(INDIRECT("B$2:B"&amp;ROW()-1)))</f>
        <v/>
      </c>
      <c r="C236" s="272" t="str">
        <f>IF(Table1[[#This Row],[Column2]]="","",Table1[[#This Row],[Column2]]+C$1-1)</f>
        <v/>
      </c>
      <c r="E236" s="273"/>
      <c r="F236" s="271"/>
      <c r="G236" s="278" t="str">
        <f ca="1">IF(Table1[[#This Row],[h_No. Invoice :]]="","",CONCATENATE("AM"," ",Table1[[#This Row],[h_No. Invoice :]]))</f>
        <v/>
      </c>
      <c r="H236" s="271" t="str">
        <f>IF(Table1[[#This Row],[Column5]]="","",INDEX(Table2[Column1],MATCH(Table1[[#This Row],[Column5]],Table2[a],0)))</f>
        <v/>
      </c>
      <c r="I236" s="279" t="str">
        <f>IF(Table1[[#This Row],[Column3]]=0,"",CONCATENATE(UPPER(Table1[[#This Row],[Column3]])," ",Table1[[#This Row],[Column4]]))</f>
        <v xml:space="preserve"> </v>
      </c>
      <c r="J236" s="278" t="str">
        <f>IF(Table1[[#This Row],[Column5]]="","",INDEX(Table2[e],IF(Table1[[#This Row],[Column5]]="","",MATCH(Table1[[#This Row],[Column5]],Table2[a],0)),))</f>
        <v/>
      </c>
      <c r="K236" s="271"/>
      <c r="L236" s="271"/>
      <c r="O236" s="278" t="str">
        <f>IF(Table1[[#This Row],[h_Item Description]]="","",INDEX([1]!db[NB PAJAK],MATCH(Table1[[#This Row],[h_Item Description]],[1]!db[kode],0)))</f>
        <v/>
      </c>
      <c r="Q236" s="274"/>
      <c r="R236" s="275"/>
      <c r="S236" s="275"/>
      <c r="T236" s="274" t="str">
        <f>Table1[[#This Row],[h_hargasetelahdiskon]]</f>
        <v/>
      </c>
      <c r="V236" s="271"/>
      <c r="W236" s="278" t="str">
        <f ca="1">IF(Table1[[#This Row],[Item Description]]="","",IF(Table1[[#This Row],[//]]="",INDIRECT(ADDRESS(ROW()-1,COLUMN())),Table1[[#This Row],[//]]))</f>
        <v/>
      </c>
      <c r="X236" s="278" t="str">
        <f ca="1">IF(Table1[[#This Row],[h_id]]="","",COUNTIF(Table1[h_id],Table1[[#This Row],[h_id]]))</f>
        <v/>
      </c>
      <c r="Y236" s="274" t="str">
        <f>IF(Table1[Item Description]="","",Table1[[#This Row],[Qty]]*Table1[[#This Row],[Unit Price]])</f>
        <v/>
      </c>
      <c r="Z236" s="274" t="str">
        <f>IF(Table1[[#This Row],[h_hargasebelumdiskon]]="","",IF(Table1[[#This Row],[Disc 1]]="",0,Table1[[#This Row],[h_hargasebelumdiskon]]*Table1[[#This Row],[Disc 1]]))</f>
        <v/>
      </c>
      <c r="AA236" s="274" t="str">
        <f>IF(Table1[[#This Row],[h_hargasebelumdiskon]]="","",IF(Table1[[#This Row],[Disc 2]]="",0,(Table1[[#This Row],[h_hargasebelumdiskon]]-Table1[[#This Row],[h_disc 1]])*Table1[[#This Row],[Disc 2]]))</f>
        <v/>
      </c>
      <c r="AB236" s="274" t="str">
        <f>IF(Table1[Item Description]="","",Table1[[#This Row],[h_disc 1]]+Table1[[#This Row],[h_disc 2]])</f>
        <v/>
      </c>
      <c r="AC236" s="274" t="str">
        <f>IF(Table1[Item Description]="","",Table1[[#This Row],[h_hargasebelumdiskon]]-Table1[[#This Row],[h_diskon]])</f>
        <v/>
      </c>
      <c r="AD236" s="274" t="str">
        <f ca="1">IF(Table1[//]="","",SUMIF(Table1[h_id],Table1[h_id],Table1[h_hargasetelahdiskon]))</f>
        <v/>
      </c>
      <c r="AF236" s="274" t="str">
        <f>Table1[[#This Row],[Item Description]]&amp;Table1[[#This Row],[Unit]]&amp;Table1[[#This Row],[Unit Price]]</f>
        <v/>
      </c>
      <c r="AG236" s="3"/>
      <c r="AH236" s="3"/>
      <c r="AI236" s="3"/>
    </row>
    <row r="237" spans="1:35" x14ac:dyDescent="0.25">
      <c r="A237" s="278" t="str">
        <f ca="1">IF(Table1[[#This Row],[No. Invoice :]]="","",ROW())</f>
        <v/>
      </c>
      <c r="B237" s="278" t="str">
        <f ca="1">IF(Table1[Column3]="","",B$1+COUNT(INDIRECT("B$2:B"&amp;ROW()-1)))</f>
        <v/>
      </c>
      <c r="C237" s="272" t="str">
        <f>IF(Table1[[#This Row],[Column2]]="","",Table1[[#This Row],[Column2]]+C$1-1)</f>
        <v/>
      </c>
      <c r="E237" s="273"/>
      <c r="F237" s="271"/>
      <c r="G237" s="278" t="str">
        <f ca="1">IF(Table1[[#This Row],[h_No. Invoice :]]="","",CONCATENATE("AM"," ",Table1[[#This Row],[h_No. Invoice :]]))</f>
        <v/>
      </c>
      <c r="H237" s="271" t="str">
        <f>IF(Table1[[#This Row],[Column5]]="","",INDEX(Table2[Column1],MATCH(Table1[[#This Row],[Column5]],Table2[a],0)))</f>
        <v/>
      </c>
      <c r="I237" s="279" t="str">
        <f>IF(Table1[[#This Row],[Column3]]=0,"",CONCATENATE(UPPER(Table1[[#This Row],[Column3]])," ",Table1[[#This Row],[Column4]]))</f>
        <v xml:space="preserve"> </v>
      </c>
      <c r="J237" s="278" t="str">
        <f>IF(Table1[[#This Row],[Column5]]="","",INDEX(Table2[e],IF(Table1[[#This Row],[Column5]]="","",MATCH(Table1[[#This Row],[Column5]],Table2[a],0)),))</f>
        <v/>
      </c>
      <c r="K237" s="271"/>
      <c r="L237" s="271"/>
      <c r="O237" s="278" t="str">
        <f>IF(Table1[[#This Row],[h_Item Description]]="","",INDEX([1]!db[NB PAJAK],MATCH(Table1[[#This Row],[h_Item Description]],[1]!db[kode],0)))</f>
        <v/>
      </c>
      <c r="Q237" s="274"/>
      <c r="R237" s="275"/>
      <c r="S237" s="275"/>
      <c r="T237" s="274" t="str">
        <f>Table1[[#This Row],[h_hargasetelahdiskon]]</f>
        <v/>
      </c>
      <c r="V237" s="271"/>
      <c r="W237" s="278" t="str">
        <f ca="1">IF(Table1[[#This Row],[Item Description]]="","",IF(Table1[[#This Row],[//]]="",INDIRECT(ADDRESS(ROW()-1,COLUMN())),Table1[[#This Row],[//]]))</f>
        <v/>
      </c>
      <c r="X237" s="278" t="str">
        <f ca="1">IF(Table1[[#This Row],[h_id]]="","",COUNTIF(Table1[h_id],Table1[[#This Row],[h_id]]))</f>
        <v/>
      </c>
      <c r="Y237" s="274" t="str">
        <f>IF(Table1[Item Description]="","",Table1[[#This Row],[Qty]]*Table1[[#This Row],[Unit Price]])</f>
        <v/>
      </c>
      <c r="Z237" s="274" t="str">
        <f>IF(Table1[[#This Row],[h_hargasebelumdiskon]]="","",IF(Table1[[#This Row],[Disc 1]]="",0,Table1[[#This Row],[h_hargasebelumdiskon]]*Table1[[#This Row],[Disc 1]]))</f>
        <v/>
      </c>
      <c r="AA237" s="274" t="str">
        <f>IF(Table1[[#This Row],[h_hargasebelumdiskon]]="","",IF(Table1[[#This Row],[Disc 2]]="",0,(Table1[[#This Row],[h_hargasebelumdiskon]]-Table1[[#This Row],[h_disc 1]])*Table1[[#This Row],[Disc 2]]))</f>
        <v/>
      </c>
      <c r="AB237" s="274" t="str">
        <f>IF(Table1[Item Description]="","",Table1[[#This Row],[h_disc 1]]+Table1[[#This Row],[h_disc 2]])</f>
        <v/>
      </c>
      <c r="AC237" s="274" t="str">
        <f>IF(Table1[Item Description]="","",Table1[[#This Row],[h_hargasebelumdiskon]]-Table1[[#This Row],[h_diskon]])</f>
        <v/>
      </c>
      <c r="AD237" s="274" t="str">
        <f ca="1">IF(Table1[//]="","",SUMIF(Table1[h_id],Table1[h_id],Table1[h_hargasetelahdiskon]))</f>
        <v/>
      </c>
      <c r="AF237" s="274" t="str">
        <f>Table1[[#This Row],[Item Description]]&amp;Table1[[#This Row],[Unit]]&amp;Table1[[#This Row],[Unit Price]]</f>
        <v/>
      </c>
      <c r="AG237" s="3"/>
      <c r="AH237" s="3"/>
      <c r="AI237" s="3"/>
    </row>
    <row r="238" spans="1:35" x14ac:dyDescent="0.25">
      <c r="A238" s="278" t="str">
        <f ca="1">IF(Table1[[#This Row],[No. Invoice :]]="","",ROW())</f>
        <v/>
      </c>
      <c r="B238" s="278" t="str">
        <f ca="1">IF(Table1[Column3]="","",B$1+COUNT(INDIRECT("B$2:B"&amp;ROW()-1)))</f>
        <v/>
      </c>
      <c r="C238" s="272" t="str">
        <f>IF(Table1[[#This Row],[Column2]]="","",Table1[[#This Row],[Column2]]+C$1-1)</f>
        <v/>
      </c>
      <c r="E238" s="273"/>
      <c r="F238" s="271"/>
      <c r="G238" s="278" t="str">
        <f ca="1">IF(Table1[[#This Row],[h_No. Invoice :]]="","",CONCATENATE("AM"," ",Table1[[#This Row],[h_No. Invoice :]]))</f>
        <v/>
      </c>
      <c r="H238" s="271" t="str">
        <f>IF(Table1[[#This Row],[Column5]]="","",INDEX(Table2[Column1],MATCH(Table1[[#This Row],[Column5]],Table2[a],0)))</f>
        <v/>
      </c>
      <c r="I238" s="279" t="str">
        <f>IF(Table1[[#This Row],[Column3]]=0,"",CONCATENATE(UPPER(Table1[[#This Row],[Column3]])," ",Table1[[#This Row],[Column4]]))</f>
        <v xml:space="preserve"> </v>
      </c>
      <c r="J238" s="278" t="str">
        <f>IF(Table1[[#This Row],[Column5]]="","",INDEX(Table2[e],IF(Table1[[#This Row],[Column5]]="","",MATCH(Table1[[#This Row],[Column5]],Table2[a],0)),))</f>
        <v/>
      </c>
      <c r="K238" s="271"/>
      <c r="L238" s="271"/>
      <c r="O238" s="278" t="str">
        <f>IF(Table1[[#This Row],[h_Item Description]]="","",INDEX([1]!db[NB PAJAK],MATCH(Table1[[#This Row],[h_Item Description]],[1]!db[kode],0)))</f>
        <v/>
      </c>
      <c r="Q238" s="274"/>
      <c r="R238" s="275"/>
      <c r="S238" s="275"/>
      <c r="T238" s="274" t="str">
        <f>Table1[[#This Row],[h_hargasetelahdiskon]]</f>
        <v/>
      </c>
      <c r="V238" s="271"/>
      <c r="W238" s="278" t="str">
        <f ca="1">IF(Table1[[#This Row],[Item Description]]="","",IF(Table1[[#This Row],[//]]="",INDIRECT(ADDRESS(ROW()-1,COLUMN())),Table1[[#This Row],[//]]))</f>
        <v/>
      </c>
      <c r="X238" s="278" t="str">
        <f ca="1">IF(Table1[[#This Row],[h_id]]="","",COUNTIF(Table1[h_id],Table1[[#This Row],[h_id]]))</f>
        <v/>
      </c>
      <c r="Y238" s="274" t="str">
        <f>IF(Table1[Item Description]="","",Table1[[#This Row],[Qty]]*Table1[[#This Row],[Unit Price]])</f>
        <v/>
      </c>
      <c r="Z238" s="274" t="str">
        <f>IF(Table1[[#This Row],[h_hargasebelumdiskon]]="","",IF(Table1[[#This Row],[Disc 1]]="",0,Table1[[#This Row],[h_hargasebelumdiskon]]*Table1[[#This Row],[Disc 1]]))</f>
        <v/>
      </c>
      <c r="AA238" s="274" t="str">
        <f>IF(Table1[[#This Row],[h_hargasebelumdiskon]]="","",IF(Table1[[#This Row],[Disc 2]]="",0,(Table1[[#This Row],[h_hargasebelumdiskon]]-Table1[[#This Row],[h_disc 1]])*Table1[[#This Row],[Disc 2]]))</f>
        <v/>
      </c>
      <c r="AB238" s="274" t="str">
        <f>IF(Table1[Item Description]="","",Table1[[#This Row],[h_disc 1]]+Table1[[#This Row],[h_disc 2]])</f>
        <v/>
      </c>
      <c r="AC238" s="274" t="str">
        <f>IF(Table1[Item Description]="","",Table1[[#This Row],[h_hargasebelumdiskon]]-Table1[[#This Row],[h_diskon]])</f>
        <v/>
      </c>
      <c r="AD238" s="274" t="str">
        <f ca="1">IF(Table1[//]="","",SUMIF(Table1[h_id],Table1[h_id],Table1[h_hargasetelahdiskon]))</f>
        <v/>
      </c>
      <c r="AF238" s="274" t="str">
        <f>Table1[[#This Row],[Item Description]]&amp;Table1[[#This Row],[Unit]]&amp;Table1[[#This Row],[Unit Price]]</f>
        <v/>
      </c>
      <c r="AG238" s="3"/>
      <c r="AH238" s="3"/>
      <c r="AI238" s="3"/>
    </row>
    <row r="239" spans="1:35" x14ac:dyDescent="0.25">
      <c r="A239" s="278" t="str">
        <f ca="1">IF(Table1[[#This Row],[No. Invoice :]]="","",ROW())</f>
        <v/>
      </c>
      <c r="B239" s="278" t="str">
        <f ca="1">IF(Table1[Column3]="","",B$1+COUNT(INDIRECT("B$2:B"&amp;ROW()-1)))</f>
        <v/>
      </c>
      <c r="C239" s="272" t="str">
        <f>IF(Table1[[#This Row],[Column2]]="","",Table1[[#This Row],[Column2]]+C$1-1)</f>
        <v/>
      </c>
      <c r="E239" s="273"/>
      <c r="F239" s="271"/>
      <c r="G239" s="278" t="str">
        <f ca="1">IF(Table1[[#This Row],[h_No. Invoice :]]="","",CONCATENATE("AM"," ",Table1[[#This Row],[h_No. Invoice :]]))</f>
        <v/>
      </c>
      <c r="H239" s="271" t="str">
        <f>IF(Table1[[#This Row],[Column5]]="","",INDEX(Table2[Column1],MATCH(Table1[[#This Row],[Column5]],Table2[a],0)))</f>
        <v/>
      </c>
      <c r="I239" s="279" t="str">
        <f>IF(Table1[[#This Row],[Column3]]=0,"",CONCATENATE(UPPER(Table1[[#This Row],[Column3]])," ",Table1[[#This Row],[Column4]]))</f>
        <v xml:space="preserve"> </v>
      </c>
      <c r="J239" s="278" t="str">
        <f>IF(Table1[[#This Row],[Column5]]="","",INDEX(Table2[e],IF(Table1[[#This Row],[Column5]]="","",MATCH(Table1[[#This Row],[Column5]],Table2[a],0)),))</f>
        <v/>
      </c>
      <c r="K239" s="271"/>
      <c r="L239" s="271"/>
      <c r="O239" s="278" t="str">
        <f>IF(Table1[[#This Row],[h_Item Description]]="","",INDEX([1]!db[NB PAJAK],MATCH(Table1[[#This Row],[h_Item Description]],[1]!db[kode],0)))</f>
        <v/>
      </c>
      <c r="Q239" s="274"/>
      <c r="R239" s="275"/>
      <c r="S239" s="275"/>
      <c r="T239" s="274" t="str">
        <f>Table1[[#This Row],[h_hargasetelahdiskon]]</f>
        <v/>
      </c>
      <c r="V239" s="271"/>
      <c r="W239" s="278" t="str">
        <f ca="1">IF(Table1[[#This Row],[Item Description]]="","",IF(Table1[[#This Row],[//]]="",INDIRECT(ADDRESS(ROW()-1,COLUMN())),Table1[[#This Row],[//]]))</f>
        <v/>
      </c>
      <c r="X239" s="278" t="str">
        <f ca="1">IF(Table1[[#This Row],[h_id]]="","",COUNTIF(Table1[h_id],Table1[[#This Row],[h_id]]))</f>
        <v/>
      </c>
      <c r="Y239" s="274" t="str">
        <f>IF(Table1[Item Description]="","",Table1[[#This Row],[Qty]]*Table1[[#This Row],[Unit Price]])</f>
        <v/>
      </c>
      <c r="Z239" s="274" t="str">
        <f>IF(Table1[[#This Row],[h_hargasebelumdiskon]]="","",IF(Table1[[#This Row],[Disc 1]]="",0,Table1[[#This Row],[h_hargasebelumdiskon]]*Table1[[#This Row],[Disc 1]]))</f>
        <v/>
      </c>
      <c r="AA239" s="274" t="str">
        <f>IF(Table1[[#This Row],[h_hargasebelumdiskon]]="","",IF(Table1[[#This Row],[Disc 2]]="",0,(Table1[[#This Row],[h_hargasebelumdiskon]]-Table1[[#This Row],[h_disc 1]])*Table1[[#This Row],[Disc 2]]))</f>
        <v/>
      </c>
      <c r="AB239" s="274" t="str">
        <f>IF(Table1[Item Description]="","",Table1[[#This Row],[h_disc 1]]+Table1[[#This Row],[h_disc 2]])</f>
        <v/>
      </c>
      <c r="AC239" s="274" t="str">
        <f>IF(Table1[Item Description]="","",Table1[[#This Row],[h_hargasebelumdiskon]]-Table1[[#This Row],[h_diskon]])</f>
        <v/>
      </c>
      <c r="AD239" s="274" t="str">
        <f ca="1">IF(Table1[//]="","",SUMIF(Table1[h_id],Table1[h_id],Table1[h_hargasetelahdiskon]))</f>
        <v/>
      </c>
      <c r="AF239" s="274" t="str">
        <f>Table1[[#This Row],[Item Description]]&amp;Table1[[#This Row],[Unit]]&amp;Table1[[#This Row],[Unit Price]]</f>
        <v/>
      </c>
      <c r="AG239" s="3"/>
      <c r="AH239" s="3"/>
      <c r="AI239" s="3"/>
    </row>
    <row r="240" spans="1:35" x14ac:dyDescent="0.25">
      <c r="A240" s="278" t="str">
        <f ca="1">IF(Table1[[#This Row],[No. Invoice :]]="","",ROW())</f>
        <v/>
      </c>
      <c r="B240" s="278" t="str">
        <f ca="1">IF(Table1[Column3]="","",B$1+COUNT(INDIRECT("B$2:B"&amp;ROW()-1)))</f>
        <v/>
      </c>
      <c r="C240" s="272" t="str">
        <f>IF(Table1[[#This Row],[Column2]]="","",Table1[[#This Row],[Column2]]+C$1-1)</f>
        <v/>
      </c>
      <c r="E240" s="273"/>
      <c r="F240" s="271"/>
      <c r="G240" s="278" t="str">
        <f ca="1">IF(Table1[[#This Row],[h_No. Invoice :]]="","",CONCATENATE("AM"," ",Table1[[#This Row],[h_No. Invoice :]]))</f>
        <v/>
      </c>
      <c r="H240" s="271" t="str">
        <f>IF(Table1[[#This Row],[Column5]]="","",INDEX(Table2[Column1],MATCH(Table1[[#This Row],[Column5]],Table2[a],0)))</f>
        <v/>
      </c>
      <c r="I240" s="279" t="str">
        <f>IF(Table1[[#This Row],[Column3]]=0,"",CONCATENATE(UPPER(Table1[[#This Row],[Column3]])," ",Table1[[#This Row],[Column4]]))</f>
        <v xml:space="preserve"> </v>
      </c>
      <c r="J240" s="278" t="str">
        <f>IF(Table1[[#This Row],[Column5]]="","",INDEX(Table2[e],IF(Table1[[#This Row],[Column5]]="","",MATCH(Table1[[#This Row],[Column5]],Table2[a],0)),))</f>
        <v/>
      </c>
      <c r="K240" s="271"/>
      <c r="L240" s="271"/>
      <c r="O240" s="278" t="str">
        <f>IF(Table1[[#This Row],[h_Item Description]]="","",INDEX([1]!db[NB PAJAK],MATCH(Table1[[#This Row],[h_Item Description]],[1]!db[kode],0)))</f>
        <v/>
      </c>
      <c r="Q240" s="274"/>
      <c r="R240" s="275"/>
      <c r="S240" s="275"/>
      <c r="T240" s="274" t="str">
        <f>Table1[[#This Row],[h_hargasetelahdiskon]]</f>
        <v/>
      </c>
      <c r="V240" s="271"/>
      <c r="W240" s="278" t="str">
        <f ca="1">IF(Table1[[#This Row],[Item Description]]="","",IF(Table1[[#This Row],[//]]="",INDIRECT(ADDRESS(ROW()-1,COLUMN())),Table1[[#This Row],[//]]))</f>
        <v/>
      </c>
      <c r="X240" s="278" t="str">
        <f ca="1">IF(Table1[[#This Row],[h_id]]="","",COUNTIF(Table1[h_id],Table1[[#This Row],[h_id]]))</f>
        <v/>
      </c>
      <c r="Y240" s="274" t="str">
        <f>IF(Table1[Item Description]="","",Table1[[#This Row],[Qty]]*Table1[[#This Row],[Unit Price]])</f>
        <v/>
      </c>
      <c r="Z240" s="274" t="str">
        <f>IF(Table1[[#This Row],[h_hargasebelumdiskon]]="","",IF(Table1[[#This Row],[Disc 1]]="",0,Table1[[#This Row],[h_hargasebelumdiskon]]*Table1[[#This Row],[Disc 1]]))</f>
        <v/>
      </c>
      <c r="AA240" s="274" t="str">
        <f>IF(Table1[[#This Row],[h_hargasebelumdiskon]]="","",IF(Table1[[#This Row],[Disc 2]]="",0,(Table1[[#This Row],[h_hargasebelumdiskon]]-Table1[[#This Row],[h_disc 1]])*Table1[[#This Row],[Disc 2]]))</f>
        <v/>
      </c>
      <c r="AB240" s="274" t="str">
        <f>IF(Table1[Item Description]="","",Table1[[#This Row],[h_disc 1]]+Table1[[#This Row],[h_disc 2]])</f>
        <v/>
      </c>
      <c r="AC240" s="274" t="str">
        <f>IF(Table1[Item Description]="","",Table1[[#This Row],[h_hargasebelumdiskon]]-Table1[[#This Row],[h_diskon]])</f>
        <v/>
      </c>
      <c r="AD240" s="274" t="str">
        <f ca="1">IF(Table1[//]="","",SUMIF(Table1[h_id],Table1[h_id],Table1[h_hargasetelahdiskon]))</f>
        <v/>
      </c>
      <c r="AF240" s="274" t="str">
        <f>Table1[[#This Row],[Item Description]]&amp;Table1[[#This Row],[Unit]]&amp;Table1[[#This Row],[Unit Price]]</f>
        <v/>
      </c>
      <c r="AG240" s="3"/>
      <c r="AH240" s="3"/>
      <c r="AI240" s="3"/>
    </row>
    <row r="241" spans="1:35" x14ac:dyDescent="0.25">
      <c r="A241" s="278" t="str">
        <f ca="1">IF(Table1[[#This Row],[No. Invoice :]]="","",ROW())</f>
        <v/>
      </c>
      <c r="B241" s="278" t="str">
        <f ca="1">IF(Table1[Column3]="","",B$1+COUNT(INDIRECT("B$2:B"&amp;ROW()-1)))</f>
        <v/>
      </c>
      <c r="C241" s="272" t="str">
        <f>IF(Table1[[#This Row],[Column2]]="","",Table1[[#This Row],[Column2]]+C$1-1)</f>
        <v/>
      </c>
      <c r="E241" s="273"/>
      <c r="F241" s="271"/>
      <c r="G241" s="278" t="str">
        <f ca="1">IF(Table1[[#This Row],[h_No. Invoice :]]="","",CONCATENATE("AM"," ",Table1[[#This Row],[h_No. Invoice :]]))</f>
        <v/>
      </c>
      <c r="H241" s="271" t="str">
        <f>IF(Table1[[#This Row],[Column5]]="","",INDEX(Table2[Column1],MATCH(Table1[[#This Row],[Column5]],Table2[a],0)))</f>
        <v/>
      </c>
      <c r="I241" s="279" t="str">
        <f>IF(Table1[[#This Row],[Column3]]=0,"",CONCATENATE(UPPER(Table1[[#This Row],[Column3]])," ",Table1[[#This Row],[Column4]]))</f>
        <v xml:space="preserve"> </v>
      </c>
      <c r="J241" s="278" t="str">
        <f>IF(Table1[[#This Row],[Column5]]="","",INDEX(Table2[e],IF(Table1[[#This Row],[Column5]]="","",MATCH(Table1[[#This Row],[Column5]],Table2[a],0)),))</f>
        <v/>
      </c>
      <c r="K241" s="271"/>
      <c r="L241" s="271"/>
      <c r="O241" s="278" t="str">
        <f>IF(Table1[[#This Row],[h_Item Description]]="","",INDEX([1]!db[NB PAJAK],MATCH(Table1[[#This Row],[h_Item Description]],[1]!db[kode],0)))</f>
        <v/>
      </c>
      <c r="Q241" s="274"/>
      <c r="R241" s="275"/>
      <c r="S241" s="275"/>
      <c r="T241" s="274" t="str">
        <f>Table1[[#This Row],[h_hargasetelahdiskon]]</f>
        <v/>
      </c>
      <c r="V241" s="271"/>
      <c r="W241" s="278" t="str">
        <f ca="1">IF(Table1[[#This Row],[Item Description]]="","",IF(Table1[[#This Row],[//]]="",INDIRECT(ADDRESS(ROW()-1,COLUMN())),Table1[[#This Row],[//]]))</f>
        <v/>
      </c>
      <c r="X241" s="278" t="str">
        <f ca="1">IF(Table1[[#This Row],[h_id]]="","",COUNTIF(Table1[h_id],Table1[[#This Row],[h_id]]))</f>
        <v/>
      </c>
      <c r="Y241" s="274" t="str">
        <f>IF(Table1[Item Description]="","",Table1[[#This Row],[Qty]]*Table1[[#This Row],[Unit Price]])</f>
        <v/>
      </c>
      <c r="Z241" s="274" t="str">
        <f>IF(Table1[[#This Row],[h_hargasebelumdiskon]]="","",IF(Table1[[#This Row],[Disc 1]]="",0,Table1[[#This Row],[h_hargasebelumdiskon]]*Table1[[#This Row],[Disc 1]]))</f>
        <v/>
      </c>
      <c r="AA241" s="274" t="str">
        <f>IF(Table1[[#This Row],[h_hargasebelumdiskon]]="","",IF(Table1[[#This Row],[Disc 2]]="",0,(Table1[[#This Row],[h_hargasebelumdiskon]]-Table1[[#This Row],[h_disc 1]])*Table1[[#This Row],[Disc 2]]))</f>
        <v/>
      </c>
      <c r="AB241" s="274" t="str">
        <f>IF(Table1[Item Description]="","",Table1[[#This Row],[h_disc 1]]+Table1[[#This Row],[h_disc 2]])</f>
        <v/>
      </c>
      <c r="AC241" s="274" t="str">
        <f>IF(Table1[Item Description]="","",Table1[[#This Row],[h_hargasebelumdiskon]]-Table1[[#This Row],[h_diskon]])</f>
        <v/>
      </c>
      <c r="AD241" s="274" t="str">
        <f ca="1">IF(Table1[//]="","",SUMIF(Table1[h_id],Table1[h_id],Table1[h_hargasetelahdiskon]))</f>
        <v/>
      </c>
      <c r="AF241" s="274" t="str">
        <f>Table1[[#This Row],[Item Description]]&amp;Table1[[#This Row],[Unit]]&amp;Table1[[#This Row],[Unit Price]]</f>
        <v/>
      </c>
      <c r="AG241" s="3"/>
      <c r="AH241" s="3"/>
      <c r="AI241" s="3"/>
    </row>
    <row r="242" spans="1:35" x14ac:dyDescent="0.25">
      <c r="A242" s="278" t="str">
        <f ca="1">IF(Table1[[#This Row],[No. Invoice :]]="","",ROW())</f>
        <v/>
      </c>
      <c r="B242" s="278" t="str">
        <f ca="1">IF(Table1[Column3]="","",B$1+COUNT(INDIRECT("B$2:B"&amp;ROW()-1)))</f>
        <v/>
      </c>
      <c r="C242" s="272" t="str">
        <f>IF(Table1[[#This Row],[Column2]]="","",Table1[[#This Row],[Column2]]+C$1-1)</f>
        <v/>
      </c>
      <c r="E242" s="273"/>
      <c r="F242" s="271"/>
      <c r="G242" s="278" t="str">
        <f ca="1">IF(Table1[[#This Row],[h_No. Invoice :]]="","",CONCATENATE("AM"," ",Table1[[#This Row],[h_No. Invoice :]]))</f>
        <v/>
      </c>
      <c r="H242" s="271" t="str">
        <f>IF(Table1[[#This Row],[Column5]]="","",INDEX(Table2[Column1],MATCH(Table1[[#This Row],[Column5]],Table2[a],0)))</f>
        <v/>
      </c>
      <c r="I242" s="279" t="str">
        <f>IF(Table1[[#This Row],[Column3]]=0,"",CONCATENATE(UPPER(Table1[[#This Row],[Column3]])," ",Table1[[#This Row],[Column4]]))</f>
        <v xml:space="preserve"> </v>
      </c>
      <c r="J242" s="278" t="str">
        <f>IF(Table1[[#This Row],[Column5]]="","",INDEX(Table2[e],IF(Table1[[#This Row],[Column5]]="","",MATCH(Table1[[#This Row],[Column5]],Table2[a],0)),))</f>
        <v/>
      </c>
      <c r="K242" s="271"/>
      <c r="L242" s="271"/>
      <c r="O242" s="278" t="str">
        <f>IF(Table1[[#This Row],[h_Item Description]]="","",INDEX([1]!db[NB PAJAK],MATCH(Table1[[#This Row],[h_Item Description]],[1]!db[kode],0)))</f>
        <v/>
      </c>
      <c r="Q242" s="274"/>
      <c r="R242" s="275"/>
      <c r="S242" s="275"/>
      <c r="T242" s="274" t="str">
        <f>Table1[[#This Row],[h_hargasetelahdiskon]]</f>
        <v/>
      </c>
      <c r="V242" s="271"/>
      <c r="W242" s="278" t="str">
        <f ca="1">IF(Table1[[#This Row],[Item Description]]="","",IF(Table1[[#This Row],[//]]="",INDIRECT(ADDRESS(ROW()-1,COLUMN())),Table1[[#This Row],[//]]))</f>
        <v/>
      </c>
      <c r="X242" s="278" t="str">
        <f ca="1">IF(Table1[[#This Row],[h_id]]="","",COUNTIF(Table1[h_id],Table1[[#This Row],[h_id]]))</f>
        <v/>
      </c>
      <c r="Y242" s="274" t="str">
        <f>IF(Table1[Item Description]="","",Table1[[#This Row],[Qty]]*Table1[[#This Row],[Unit Price]])</f>
        <v/>
      </c>
      <c r="Z242" s="274" t="str">
        <f>IF(Table1[[#This Row],[h_hargasebelumdiskon]]="","",IF(Table1[[#This Row],[Disc 1]]="",0,Table1[[#This Row],[h_hargasebelumdiskon]]*Table1[[#This Row],[Disc 1]]))</f>
        <v/>
      </c>
      <c r="AA242" s="274" t="str">
        <f>IF(Table1[[#This Row],[h_hargasebelumdiskon]]="","",IF(Table1[[#This Row],[Disc 2]]="",0,(Table1[[#This Row],[h_hargasebelumdiskon]]-Table1[[#This Row],[h_disc 1]])*Table1[[#This Row],[Disc 2]]))</f>
        <v/>
      </c>
      <c r="AB242" s="274" t="str">
        <f>IF(Table1[Item Description]="","",Table1[[#This Row],[h_disc 1]]+Table1[[#This Row],[h_disc 2]])</f>
        <v/>
      </c>
      <c r="AC242" s="274" t="str">
        <f>IF(Table1[Item Description]="","",Table1[[#This Row],[h_hargasebelumdiskon]]-Table1[[#This Row],[h_diskon]])</f>
        <v/>
      </c>
      <c r="AD242" s="274" t="str">
        <f ca="1">IF(Table1[//]="","",SUMIF(Table1[h_id],Table1[h_id],Table1[h_hargasetelahdiskon]))</f>
        <v/>
      </c>
      <c r="AF242" s="274" t="str">
        <f>Table1[[#This Row],[Item Description]]&amp;Table1[[#This Row],[Unit]]&amp;Table1[[#This Row],[Unit Price]]</f>
        <v/>
      </c>
      <c r="AG242" s="3"/>
      <c r="AH242" s="3"/>
      <c r="AI242" s="3"/>
    </row>
    <row r="243" spans="1:35" ht="16.5" x14ac:dyDescent="0.25">
      <c r="A243" s="278" t="str">
        <f ca="1">IF(Table1[[#This Row],[No. Invoice :]]="","",ROW())</f>
        <v/>
      </c>
      <c r="B243" s="278" t="str">
        <f ca="1">IF(Table1[Column3]="","",B$1+COUNT(INDIRECT("B$2:B"&amp;ROW()-1)))</f>
        <v/>
      </c>
      <c r="C243" s="272" t="str">
        <f>IF(Table1[[#This Row],[Column2]]="","",Table1[[#This Row],[Column2]]+C$1-1)</f>
        <v/>
      </c>
      <c r="E243" s="273"/>
      <c r="F243" s="271"/>
      <c r="G243" s="278" t="str">
        <f ca="1">IF(Table1[[#This Row],[h_No. Invoice :]]="","",CONCATENATE("AM"," ",Table1[[#This Row],[h_No. Invoice :]]))</f>
        <v/>
      </c>
      <c r="H243" s="271" t="str">
        <f>IF(Table1[[#This Row],[Column5]]="","",INDEX(Table2[Column1],MATCH(Table1[[#This Row],[Column5]],Table2[a],0)))</f>
        <v/>
      </c>
      <c r="I243" s="279" t="str">
        <f>IF(Table1[[#This Row],[Column3]]=0,"",CONCATENATE(UPPER(Table1[[#This Row],[Column3]])," ",Table1[[#This Row],[Column4]]))</f>
        <v xml:space="preserve"> </v>
      </c>
      <c r="J243" s="278" t="str">
        <f>IF(Table1[[#This Row],[Column5]]="","",INDEX(Table2[e],IF(Table1[[#This Row],[Column5]]="","",MATCH(Table1[[#This Row],[Column5]],Table2[a],0)),))</f>
        <v/>
      </c>
      <c r="K243" s="271"/>
      <c r="L243" s="271"/>
      <c r="O243" s="278" t="str">
        <f>IF(Table1[[#This Row],[h_Item Description]]="","",INDEX([1]!db[NB PAJAK],MATCH(Table1[[#This Row],[h_Item Description]],[1]!db[kode],0)))</f>
        <v/>
      </c>
      <c r="P243" s="480"/>
      <c r="Q243" s="274"/>
      <c r="R243" s="275"/>
      <c r="S243" s="275"/>
      <c r="T243" s="274" t="str">
        <f>Table1[[#This Row],[h_hargasetelahdiskon]]</f>
        <v/>
      </c>
      <c r="V243" s="271"/>
      <c r="W243" s="278" t="str">
        <f ca="1">IF(Table1[[#This Row],[Item Description]]="","",IF(Table1[[#This Row],[//]]="",INDIRECT(ADDRESS(ROW()-1,COLUMN())),Table1[[#This Row],[//]]))</f>
        <v/>
      </c>
      <c r="X243" s="278" t="str">
        <f ca="1">IF(Table1[[#This Row],[h_id]]="","",COUNTIF(Table1[h_id],Table1[[#This Row],[h_id]]))</f>
        <v/>
      </c>
      <c r="Y243" s="274" t="str">
        <f>IF(Table1[Item Description]="","",Table1[[#This Row],[Qty]]*Table1[[#This Row],[Unit Price]])</f>
        <v/>
      </c>
      <c r="Z243" s="274" t="str">
        <f>IF(Table1[[#This Row],[h_hargasebelumdiskon]]="","",IF(Table1[[#This Row],[Disc 1]]="",0,Table1[[#This Row],[h_hargasebelumdiskon]]*Table1[[#This Row],[Disc 1]]))</f>
        <v/>
      </c>
      <c r="AA243" s="274" t="str">
        <f>IF(Table1[[#This Row],[h_hargasebelumdiskon]]="","",IF(Table1[[#This Row],[Disc 2]]="",0,(Table1[[#This Row],[h_hargasebelumdiskon]]-Table1[[#This Row],[h_disc 1]])*Table1[[#This Row],[Disc 2]]))</f>
        <v/>
      </c>
      <c r="AB243" s="274" t="str">
        <f>IF(Table1[Item Description]="","",Table1[[#This Row],[h_disc 1]]+Table1[[#This Row],[h_disc 2]])</f>
        <v/>
      </c>
      <c r="AC243" s="274" t="str">
        <f>IF(Table1[Item Description]="","",Table1[[#This Row],[h_hargasebelumdiskon]]-Table1[[#This Row],[h_diskon]])</f>
        <v/>
      </c>
      <c r="AD243" s="274" t="str">
        <f ca="1">IF(Table1[//]="","",SUMIF(Table1[h_id],Table1[h_id],Table1[h_hargasetelahdiskon]))</f>
        <v/>
      </c>
      <c r="AF243" s="274" t="str">
        <f>Table1[[#This Row],[Item Description]]&amp;Table1[[#This Row],[Unit]]&amp;Table1[[#This Row],[Unit Price]]</f>
        <v/>
      </c>
      <c r="AG243" s="3"/>
      <c r="AH243" s="3"/>
      <c r="AI243" s="3"/>
    </row>
    <row r="244" spans="1:35" x14ac:dyDescent="0.25">
      <c r="A244" s="278" t="str">
        <f ca="1">IF(Table1[[#This Row],[No. Invoice :]]="","",ROW())</f>
        <v/>
      </c>
      <c r="B244" s="278" t="str">
        <f ca="1">IF(Table1[Column3]="","",B$1+COUNT(INDIRECT("B$2:B"&amp;ROW()-1)))</f>
        <v/>
      </c>
      <c r="C244" s="272" t="str">
        <f>IF(Table1[[#This Row],[Column2]]="","",Table1[[#This Row],[Column2]]+C$1-1)</f>
        <v/>
      </c>
      <c r="E244" s="273"/>
      <c r="F244" s="271"/>
      <c r="G244" s="278" t="str">
        <f ca="1">IF(Table1[[#This Row],[h_No. Invoice :]]="","",CONCATENATE("AM"," ",Table1[[#This Row],[h_No. Invoice :]]))</f>
        <v/>
      </c>
      <c r="H244" s="271" t="str">
        <f>IF(Table1[[#This Row],[Column5]]="","",INDEX(Table2[Column1],MATCH(Table1[[#This Row],[Column5]],Table2[a],0)))</f>
        <v/>
      </c>
      <c r="I244" s="279" t="str">
        <f>IF(Table1[[#This Row],[Column3]]=0,"",CONCATENATE(UPPER(Table1[[#This Row],[Column3]])," ",Table1[[#This Row],[Column4]]))</f>
        <v xml:space="preserve"> </v>
      </c>
      <c r="J244" s="278" t="str">
        <f>IF(Table1[[#This Row],[Column5]]="","",INDEX(Table2[e],IF(Table1[[#This Row],[Column5]]="","",MATCH(Table1[[#This Row],[Column5]],Table2[a],0)),))</f>
        <v/>
      </c>
      <c r="K244" s="271"/>
      <c r="L244" s="271"/>
      <c r="O244" s="278" t="str">
        <f>IF(Table1[[#This Row],[h_Item Description]]="","",INDEX([1]!db[NB PAJAK],MATCH(Table1[[#This Row],[h_Item Description]],[1]!db[kode],0)))</f>
        <v/>
      </c>
      <c r="Q244" s="274"/>
      <c r="R244" s="275"/>
      <c r="S244" s="275"/>
      <c r="T244" s="274" t="str">
        <f>Table1[[#This Row],[h_hargasetelahdiskon]]</f>
        <v/>
      </c>
      <c r="V244" s="271"/>
      <c r="W244" s="278" t="str">
        <f ca="1">IF(Table1[[#This Row],[Item Description]]="","",IF(Table1[[#This Row],[//]]="",INDIRECT(ADDRESS(ROW()-1,COLUMN())),Table1[[#This Row],[//]]))</f>
        <v/>
      </c>
      <c r="X244" s="278" t="str">
        <f ca="1">IF(Table1[[#This Row],[h_id]]="","",COUNTIF(Table1[h_id],Table1[[#This Row],[h_id]]))</f>
        <v/>
      </c>
      <c r="Y244" s="274" t="str">
        <f>IF(Table1[Item Description]="","",Table1[[#This Row],[Qty]]*Table1[[#This Row],[Unit Price]])</f>
        <v/>
      </c>
      <c r="Z244" s="274" t="str">
        <f>IF(Table1[[#This Row],[h_hargasebelumdiskon]]="","",IF(Table1[[#This Row],[Disc 1]]="",0,Table1[[#This Row],[h_hargasebelumdiskon]]*Table1[[#This Row],[Disc 1]]))</f>
        <v/>
      </c>
      <c r="AA244" s="274" t="str">
        <f>IF(Table1[[#This Row],[h_hargasebelumdiskon]]="","",IF(Table1[[#This Row],[Disc 2]]="",0,(Table1[[#This Row],[h_hargasebelumdiskon]]-Table1[[#This Row],[h_disc 1]])*Table1[[#This Row],[Disc 2]]))</f>
        <v/>
      </c>
      <c r="AB244" s="274" t="str">
        <f>IF(Table1[Item Description]="","",Table1[[#This Row],[h_disc 1]]+Table1[[#This Row],[h_disc 2]])</f>
        <v/>
      </c>
      <c r="AC244" s="274" t="str">
        <f>IF(Table1[Item Description]="","",Table1[[#This Row],[h_hargasebelumdiskon]]-Table1[[#This Row],[h_diskon]])</f>
        <v/>
      </c>
      <c r="AD244" s="274" t="str">
        <f ca="1">IF(Table1[//]="","",SUMIF(Table1[h_id],Table1[h_id],Table1[h_hargasetelahdiskon]))</f>
        <v/>
      </c>
      <c r="AF244" s="274" t="str">
        <f>Table1[[#This Row],[Item Description]]&amp;Table1[[#This Row],[Unit]]&amp;Table1[[#This Row],[Unit Price]]</f>
        <v/>
      </c>
      <c r="AG244" s="3"/>
      <c r="AH244" s="3"/>
      <c r="AI244" s="3"/>
    </row>
    <row r="245" spans="1:35" x14ac:dyDescent="0.25">
      <c r="A245" s="278" t="str">
        <f ca="1">IF(Table1[[#This Row],[No. Invoice :]]="","",ROW())</f>
        <v/>
      </c>
      <c r="B245" s="278" t="str">
        <f ca="1">IF(Table1[Column3]="","",B$1+COUNT(INDIRECT("B$2:B"&amp;ROW()-1)))</f>
        <v/>
      </c>
      <c r="C245" s="272" t="str">
        <f>IF(Table1[[#This Row],[Column2]]="","",Table1[[#This Row],[Column2]]+C$1-1)</f>
        <v/>
      </c>
      <c r="E245" s="273"/>
      <c r="F245" s="271"/>
      <c r="G245" s="278" t="str">
        <f ca="1">IF(Table1[[#This Row],[h_No. Invoice :]]="","",CONCATENATE("AM"," ",Table1[[#This Row],[h_No. Invoice :]]))</f>
        <v/>
      </c>
      <c r="H245" s="271" t="str">
        <f>IF(Table1[[#This Row],[Column5]]="","",INDEX(Table2[Column1],MATCH(Table1[[#This Row],[Column5]],Table2[a],0)))</f>
        <v/>
      </c>
      <c r="I245" s="279" t="str">
        <f>IF(Table1[[#This Row],[Column3]]=0,"",CONCATENATE(UPPER(Table1[[#This Row],[Column3]])," ",Table1[[#This Row],[Column4]]))</f>
        <v xml:space="preserve"> </v>
      </c>
      <c r="J245" s="278" t="str">
        <f>IF(Table1[[#This Row],[Column5]]="","",INDEX(Table2[e],IF(Table1[[#This Row],[Column5]]="","",MATCH(Table1[[#This Row],[Column5]],Table2[a],0)),))</f>
        <v/>
      </c>
      <c r="K245" s="271"/>
      <c r="L245" s="271"/>
      <c r="O245" s="278" t="str">
        <f>IF(Table1[[#This Row],[h_Item Description]]="","",INDEX([1]!db[NB PAJAK],MATCH(Table1[[#This Row],[h_Item Description]],[1]!db[kode],0)))</f>
        <v/>
      </c>
      <c r="Q245" s="274"/>
      <c r="R245" s="275"/>
      <c r="S245" s="275"/>
      <c r="T245" s="274" t="str">
        <f>Table1[[#This Row],[h_hargasetelahdiskon]]</f>
        <v/>
      </c>
      <c r="V245" s="271"/>
      <c r="W245" s="278" t="str">
        <f ca="1">IF(Table1[[#This Row],[Item Description]]="","",IF(Table1[[#This Row],[//]]="",INDIRECT(ADDRESS(ROW()-1,COLUMN())),Table1[[#This Row],[//]]))</f>
        <v/>
      </c>
      <c r="X245" s="278" t="str">
        <f ca="1">IF(Table1[[#This Row],[h_id]]="","",COUNTIF(Table1[h_id],Table1[[#This Row],[h_id]]))</f>
        <v/>
      </c>
      <c r="Y245" s="274" t="str">
        <f>IF(Table1[Item Description]="","",Table1[[#This Row],[Qty]]*Table1[[#This Row],[Unit Price]])</f>
        <v/>
      </c>
      <c r="Z245" s="274" t="str">
        <f>IF(Table1[[#This Row],[h_hargasebelumdiskon]]="","",IF(Table1[[#This Row],[Disc 1]]="",0,Table1[[#This Row],[h_hargasebelumdiskon]]*Table1[[#This Row],[Disc 1]]))</f>
        <v/>
      </c>
      <c r="AA245" s="274" t="str">
        <f>IF(Table1[[#This Row],[h_hargasebelumdiskon]]="","",IF(Table1[[#This Row],[Disc 2]]="",0,(Table1[[#This Row],[h_hargasebelumdiskon]]-Table1[[#This Row],[h_disc 1]])*Table1[[#This Row],[Disc 2]]))</f>
        <v/>
      </c>
      <c r="AB245" s="274" t="str">
        <f>IF(Table1[Item Description]="","",Table1[[#This Row],[h_disc 1]]+Table1[[#This Row],[h_disc 2]])</f>
        <v/>
      </c>
      <c r="AC245" s="274" t="str">
        <f>IF(Table1[Item Description]="","",Table1[[#This Row],[h_hargasebelumdiskon]]-Table1[[#This Row],[h_diskon]])</f>
        <v/>
      </c>
      <c r="AD245" s="274" t="str">
        <f ca="1">IF(Table1[//]="","",SUMIF(Table1[h_id],Table1[h_id],Table1[h_hargasetelahdiskon]))</f>
        <v/>
      </c>
      <c r="AF245" s="274" t="str">
        <f>Table1[[#This Row],[Item Description]]&amp;Table1[[#This Row],[Unit]]&amp;Table1[[#This Row],[Unit Price]]</f>
        <v/>
      </c>
      <c r="AG245" s="3"/>
      <c r="AH245" s="3"/>
      <c r="AI245" s="3"/>
    </row>
    <row r="246" spans="1:35" x14ac:dyDescent="0.25">
      <c r="A246" s="278" t="str">
        <f ca="1">IF(Table1[[#This Row],[No. Invoice :]]="","",ROW())</f>
        <v/>
      </c>
      <c r="B246" s="278" t="str">
        <f ca="1">IF(Table1[Column3]="","",B$1+COUNT(INDIRECT("B$2:B"&amp;ROW()-1)))</f>
        <v/>
      </c>
      <c r="C246" s="272" t="str">
        <f>IF(Table1[[#This Row],[Column2]]="","",Table1[[#This Row],[Column2]]+C$1-1)</f>
        <v/>
      </c>
      <c r="E246" s="273"/>
      <c r="F246" s="271"/>
      <c r="G246" s="278" t="str">
        <f ca="1">IF(Table1[[#This Row],[h_No. Invoice :]]="","",CONCATENATE("AM"," ",Table1[[#This Row],[h_No. Invoice :]]))</f>
        <v/>
      </c>
      <c r="H246" s="271" t="str">
        <f>IF(Table1[[#This Row],[Column5]]="","",INDEX(Table2[Column1],MATCH(Table1[[#This Row],[Column5]],Table2[a],0)))</f>
        <v/>
      </c>
      <c r="I246" s="279" t="str">
        <f>IF(Table1[[#This Row],[Column3]]=0,"",CONCATENATE(UPPER(Table1[[#This Row],[Column3]])," ",Table1[[#This Row],[Column4]]))</f>
        <v xml:space="preserve"> </v>
      </c>
      <c r="J246" s="278" t="str">
        <f>IF(Table1[[#This Row],[Column5]]="","",INDEX(Table2[e],IF(Table1[[#This Row],[Column5]]="","",MATCH(Table1[[#This Row],[Column5]],Table2[a],0)),))</f>
        <v/>
      </c>
      <c r="K246" s="271"/>
      <c r="L246" s="271"/>
      <c r="O246" s="278" t="str">
        <f>IF(Table1[[#This Row],[h_Item Description]]="","",INDEX([1]!db[NB PAJAK],MATCH(Table1[[#This Row],[h_Item Description]],[1]!db[kode],0)))</f>
        <v/>
      </c>
      <c r="Q246" s="274"/>
      <c r="R246" s="275"/>
      <c r="S246" s="275"/>
      <c r="T246" s="274" t="str">
        <f>Table1[[#This Row],[h_hargasetelahdiskon]]</f>
        <v/>
      </c>
      <c r="V246" s="271"/>
      <c r="W246" s="278" t="str">
        <f ca="1">IF(Table1[[#This Row],[Item Description]]="","",IF(Table1[[#This Row],[//]]="",INDIRECT(ADDRESS(ROW()-1,COLUMN())),Table1[[#This Row],[//]]))</f>
        <v/>
      </c>
      <c r="X246" s="278" t="str">
        <f ca="1">IF(Table1[[#This Row],[h_id]]="","",COUNTIF(Table1[h_id],Table1[[#This Row],[h_id]]))</f>
        <v/>
      </c>
      <c r="Y246" s="274" t="str">
        <f>IF(Table1[Item Description]="","",Table1[[#This Row],[Qty]]*Table1[[#This Row],[Unit Price]])</f>
        <v/>
      </c>
      <c r="Z246" s="274" t="str">
        <f>IF(Table1[[#This Row],[h_hargasebelumdiskon]]="","",IF(Table1[[#This Row],[Disc 1]]="",0,Table1[[#This Row],[h_hargasebelumdiskon]]*Table1[[#This Row],[Disc 1]]))</f>
        <v/>
      </c>
      <c r="AA246" s="274" t="str">
        <f>IF(Table1[[#This Row],[h_hargasebelumdiskon]]="","",IF(Table1[[#This Row],[Disc 2]]="",0,(Table1[[#This Row],[h_hargasebelumdiskon]]-Table1[[#This Row],[h_disc 1]])*Table1[[#This Row],[Disc 2]]))</f>
        <v/>
      </c>
      <c r="AB246" s="274" t="str">
        <f>IF(Table1[Item Description]="","",Table1[[#This Row],[h_disc 1]]+Table1[[#This Row],[h_disc 2]])</f>
        <v/>
      </c>
      <c r="AC246" s="274" t="str">
        <f>IF(Table1[Item Description]="","",Table1[[#This Row],[h_hargasebelumdiskon]]-Table1[[#This Row],[h_diskon]])</f>
        <v/>
      </c>
      <c r="AD246" s="274" t="str">
        <f ca="1">IF(Table1[//]="","",SUMIF(Table1[h_id],Table1[h_id],Table1[h_hargasetelahdiskon]))</f>
        <v/>
      </c>
      <c r="AF246" s="274" t="str">
        <f>Table1[[#This Row],[Item Description]]&amp;Table1[[#This Row],[Unit]]&amp;Table1[[#This Row],[Unit Price]]</f>
        <v/>
      </c>
      <c r="AG246" s="3"/>
      <c r="AH246" s="3"/>
      <c r="AI246" s="3"/>
    </row>
    <row r="247" spans="1:35" x14ac:dyDescent="0.25">
      <c r="A247" s="278" t="str">
        <f ca="1">IF(Table1[[#This Row],[No. Invoice :]]="","",ROW())</f>
        <v/>
      </c>
      <c r="B247" s="278" t="str">
        <f ca="1">IF(Table1[Column3]="","",B$1+COUNT(INDIRECT("B$2:B"&amp;ROW()-1)))</f>
        <v/>
      </c>
      <c r="C247" s="272" t="str">
        <f>IF(Table1[[#This Row],[Column2]]="","",Table1[[#This Row],[Column2]]+C$1-1)</f>
        <v/>
      </c>
      <c r="E247" s="273"/>
      <c r="F247" s="271"/>
      <c r="G247" s="278" t="str">
        <f ca="1">IF(Table1[[#This Row],[h_No. Invoice :]]="","",CONCATENATE("AM"," ",Table1[[#This Row],[h_No. Invoice :]]))</f>
        <v/>
      </c>
      <c r="H247" s="271" t="str">
        <f>IF(Table1[[#This Row],[Column5]]="","",INDEX(Table2[Column1],MATCH(Table1[[#This Row],[Column5]],Table2[a],0)))</f>
        <v/>
      </c>
      <c r="I247" s="279" t="str">
        <f>IF(Table1[[#This Row],[Column3]]=0,"",CONCATENATE(UPPER(Table1[[#This Row],[Column3]])," ",Table1[[#This Row],[Column4]]))</f>
        <v xml:space="preserve"> </v>
      </c>
      <c r="J247" s="278" t="str">
        <f>IF(Table1[[#This Row],[Column5]]="","",INDEX(Table2[e],IF(Table1[[#This Row],[Column5]]="","",MATCH(Table1[[#This Row],[Column5]],Table2[a],0)),))</f>
        <v/>
      </c>
      <c r="K247" s="271"/>
      <c r="L247" s="271"/>
      <c r="O247" s="278" t="str">
        <f>IF(Table1[[#This Row],[h_Item Description]]="","",INDEX([1]!db[NB PAJAK],MATCH(Table1[[#This Row],[h_Item Description]],[1]!db[kode],0)))</f>
        <v/>
      </c>
      <c r="Q247" s="274"/>
      <c r="R247" s="275"/>
      <c r="S247" s="275"/>
      <c r="T247" s="274" t="str">
        <f>Table1[[#This Row],[h_hargasetelahdiskon]]</f>
        <v/>
      </c>
      <c r="V247" s="271"/>
      <c r="W247" s="278" t="str">
        <f ca="1">IF(Table1[[#This Row],[Item Description]]="","",IF(Table1[[#This Row],[//]]="",INDIRECT(ADDRESS(ROW()-1,COLUMN())),Table1[[#This Row],[//]]))</f>
        <v/>
      </c>
      <c r="X247" s="278" t="str">
        <f ca="1">IF(Table1[[#This Row],[h_id]]="","",COUNTIF(Table1[h_id],Table1[[#This Row],[h_id]]))</f>
        <v/>
      </c>
      <c r="Y247" s="274" t="str">
        <f>IF(Table1[Item Description]="","",Table1[[#This Row],[Qty]]*Table1[[#This Row],[Unit Price]])</f>
        <v/>
      </c>
      <c r="Z247" s="274" t="str">
        <f>IF(Table1[[#This Row],[h_hargasebelumdiskon]]="","",IF(Table1[[#This Row],[Disc 1]]="",0,Table1[[#This Row],[h_hargasebelumdiskon]]*Table1[[#This Row],[Disc 1]]))</f>
        <v/>
      </c>
      <c r="AA247" s="274" t="str">
        <f>IF(Table1[[#This Row],[h_hargasebelumdiskon]]="","",IF(Table1[[#This Row],[Disc 2]]="",0,(Table1[[#This Row],[h_hargasebelumdiskon]]-Table1[[#This Row],[h_disc 1]])*Table1[[#This Row],[Disc 2]]))</f>
        <v/>
      </c>
      <c r="AB247" s="274" t="str">
        <f>IF(Table1[Item Description]="","",Table1[[#This Row],[h_disc 1]]+Table1[[#This Row],[h_disc 2]])</f>
        <v/>
      </c>
      <c r="AC247" s="274" t="str">
        <f>IF(Table1[Item Description]="","",Table1[[#This Row],[h_hargasebelumdiskon]]-Table1[[#This Row],[h_diskon]])</f>
        <v/>
      </c>
      <c r="AD247" s="274" t="str">
        <f ca="1">IF(Table1[//]="","",SUMIF(Table1[h_id],Table1[h_id],Table1[h_hargasetelahdiskon]))</f>
        <v/>
      </c>
      <c r="AF247" s="274" t="str">
        <f>Table1[[#This Row],[Item Description]]&amp;Table1[[#This Row],[Unit]]&amp;Table1[[#This Row],[Unit Price]]</f>
        <v/>
      </c>
      <c r="AG247" s="3"/>
      <c r="AH247" s="3"/>
      <c r="AI247" s="3"/>
    </row>
    <row r="248" spans="1:35" x14ac:dyDescent="0.25">
      <c r="A248" s="278" t="str">
        <f ca="1">IF(Table1[[#This Row],[No. Invoice :]]="","",ROW())</f>
        <v/>
      </c>
      <c r="B248" s="278" t="str">
        <f ca="1">IF(Table1[Column3]="","",B$1+COUNT(INDIRECT("B$2:B"&amp;ROW()-1)))</f>
        <v/>
      </c>
      <c r="C248" s="272" t="str">
        <f>IF(Table1[[#This Row],[Column2]]="","",Table1[[#This Row],[Column2]]+C$1-1)</f>
        <v/>
      </c>
      <c r="E248" s="273"/>
      <c r="F248" s="271"/>
      <c r="G248" s="278" t="str">
        <f ca="1">IF(Table1[[#This Row],[h_No. Invoice :]]="","",CONCATENATE("AM"," ",Table1[[#This Row],[h_No. Invoice :]]))</f>
        <v/>
      </c>
      <c r="H248" s="271" t="str">
        <f>IF(Table1[[#This Row],[Column5]]="","",INDEX(Table2[Column1],MATCH(Table1[[#This Row],[Column5]],Table2[a],0)))</f>
        <v/>
      </c>
      <c r="I248" s="279" t="str">
        <f>IF(Table1[[#This Row],[Column3]]=0,"",CONCATENATE(UPPER(Table1[[#This Row],[Column3]])," ",Table1[[#This Row],[Column4]]))</f>
        <v xml:space="preserve"> </v>
      </c>
      <c r="J248" s="278" t="str">
        <f>IF(Table1[[#This Row],[Column5]]="","",INDEX(Table2[e],IF(Table1[[#This Row],[Column5]]="","",MATCH(Table1[[#This Row],[Column5]],Table2[a],0)),))</f>
        <v/>
      </c>
      <c r="K248" s="271"/>
      <c r="L248" s="271"/>
      <c r="O248" s="278" t="str">
        <f>IF(Table1[[#This Row],[h_Item Description]]="","",INDEX([1]!db[NB PAJAK],MATCH(Table1[[#This Row],[h_Item Description]],[1]!db[kode],0)))</f>
        <v/>
      </c>
      <c r="Q248" s="274"/>
      <c r="R248" s="275"/>
      <c r="S248" s="275"/>
      <c r="T248" s="274" t="str">
        <f>Table1[[#This Row],[h_hargasetelahdiskon]]</f>
        <v/>
      </c>
      <c r="V248" s="271"/>
      <c r="W248" s="278" t="str">
        <f ca="1">IF(Table1[[#This Row],[Item Description]]="","",IF(Table1[[#This Row],[//]]="",INDIRECT(ADDRESS(ROW()-1,COLUMN())),Table1[[#This Row],[//]]))</f>
        <v/>
      </c>
      <c r="X248" s="278" t="str">
        <f ca="1">IF(Table1[[#This Row],[h_id]]="","",COUNTIF(Table1[h_id],Table1[[#This Row],[h_id]]))</f>
        <v/>
      </c>
      <c r="Y248" s="274" t="str">
        <f>IF(Table1[Item Description]="","",Table1[[#This Row],[Qty]]*Table1[[#This Row],[Unit Price]])</f>
        <v/>
      </c>
      <c r="Z248" s="274" t="str">
        <f>IF(Table1[[#This Row],[h_hargasebelumdiskon]]="","",IF(Table1[[#This Row],[Disc 1]]="",0,Table1[[#This Row],[h_hargasebelumdiskon]]*Table1[[#This Row],[Disc 1]]))</f>
        <v/>
      </c>
      <c r="AA248" s="274" t="str">
        <f>IF(Table1[[#This Row],[h_hargasebelumdiskon]]="","",IF(Table1[[#This Row],[Disc 2]]="",0,(Table1[[#This Row],[h_hargasebelumdiskon]]-Table1[[#This Row],[h_disc 1]])*Table1[[#This Row],[Disc 2]]))</f>
        <v/>
      </c>
      <c r="AB248" s="274" t="str">
        <f>IF(Table1[Item Description]="","",Table1[[#This Row],[h_disc 1]]+Table1[[#This Row],[h_disc 2]])</f>
        <v/>
      </c>
      <c r="AC248" s="274" t="str">
        <f>IF(Table1[Item Description]="","",Table1[[#This Row],[h_hargasebelumdiskon]]-Table1[[#This Row],[h_diskon]])</f>
        <v/>
      </c>
      <c r="AD248" s="274" t="str">
        <f ca="1">IF(Table1[//]="","",SUMIF(Table1[h_id],Table1[h_id],Table1[h_hargasetelahdiskon]))</f>
        <v/>
      </c>
      <c r="AF248" s="274" t="str">
        <f>Table1[[#This Row],[Item Description]]&amp;Table1[[#This Row],[Unit]]&amp;Table1[[#This Row],[Unit Price]]</f>
        <v/>
      </c>
      <c r="AG248" s="3"/>
      <c r="AH248" s="3"/>
      <c r="AI248" s="3"/>
    </row>
    <row r="249" spans="1:35" x14ac:dyDescent="0.25">
      <c r="A249" s="278" t="str">
        <f ca="1">IF(Table1[[#This Row],[No. Invoice :]]="","",ROW())</f>
        <v/>
      </c>
      <c r="B249" s="278" t="str">
        <f ca="1">IF(Table1[Column3]="","",B$1+COUNT(INDIRECT("B$2:B"&amp;ROW()-1)))</f>
        <v/>
      </c>
      <c r="C249" s="272" t="str">
        <f>IF(Table1[[#This Row],[Column2]]="","",Table1[[#This Row],[Column2]]+C$1-1)</f>
        <v/>
      </c>
      <c r="E249" s="273"/>
      <c r="F249" s="271"/>
      <c r="G249" s="278" t="str">
        <f ca="1">IF(Table1[[#This Row],[h_No. Invoice :]]="","",CONCATENATE("AM"," ",Table1[[#This Row],[h_No. Invoice :]]))</f>
        <v/>
      </c>
      <c r="H249" s="271" t="str">
        <f>IF(Table1[[#This Row],[Column5]]="","",INDEX(Table2[Column1],MATCH(Table1[[#This Row],[Column5]],Table2[a],0)))</f>
        <v/>
      </c>
      <c r="I249" s="279" t="str">
        <f>IF(Table1[[#This Row],[Column3]]=0,"",CONCATENATE(UPPER(Table1[[#This Row],[Column3]])," ",Table1[[#This Row],[Column4]]))</f>
        <v xml:space="preserve"> </v>
      </c>
      <c r="J249" s="278" t="str">
        <f>IF(Table1[[#This Row],[Column5]]="","",INDEX(Table2[e],IF(Table1[[#This Row],[Column5]]="","",MATCH(Table1[[#This Row],[Column5]],Table2[a],0)),))</f>
        <v/>
      </c>
      <c r="K249" s="271"/>
      <c r="L249" s="271"/>
      <c r="O249" s="278" t="str">
        <f>IF(Table1[[#This Row],[h_Item Description]]="","",INDEX([1]!db[NB PAJAK],MATCH(Table1[[#This Row],[h_Item Description]],[1]!db[kode],0)))</f>
        <v/>
      </c>
      <c r="Q249" s="274"/>
      <c r="R249" s="275"/>
      <c r="S249" s="275"/>
      <c r="T249" s="274" t="str">
        <f>Table1[[#This Row],[h_hargasetelahdiskon]]</f>
        <v/>
      </c>
      <c r="V249" s="271"/>
      <c r="W249" s="278" t="str">
        <f ca="1">IF(Table1[[#This Row],[Item Description]]="","",IF(Table1[[#This Row],[//]]="",INDIRECT(ADDRESS(ROW()-1,COLUMN())),Table1[[#This Row],[//]]))</f>
        <v/>
      </c>
      <c r="X249" s="278" t="str">
        <f ca="1">IF(Table1[[#This Row],[h_id]]="","",COUNTIF(Table1[h_id],Table1[[#This Row],[h_id]]))</f>
        <v/>
      </c>
      <c r="Y249" s="274" t="str">
        <f>IF(Table1[Item Description]="","",Table1[[#This Row],[Qty]]*Table1[[#This Row],[Unit Price]])</f>
        <v/>
      </c>
      <c r="Z249" s="274" t="str">
        <f>IF(Table1[[#This Row],[h_hargasebelumdiskon]]="","",IF(Table1[[#This Row],[Disc 1]]="",0,Table1[[#This Row],[h_hargasebelumdiskon]]*Table1[[#This Row],[Disc 1]]))</f>
        <v/>
      </c>
      <c r="AA249" s="274" t="str">
        <f>IF(Table1[[#This Row],[h_hargasebelumdiskon]]="","",IF(Table1[[#This Row],[Disc 2]]="",0,(Table1[[#This Row],[h_hargasebelumdiskon]]-Table1[[#This Row],[h_disc 1]])*Table1[[#This Row],[Disc 2]]))</f>
        <v/>
      </c>
      <c r="AB249" s="274" t="str">
        <f>IF(Table1[Item Description]="","",Table1[[#This Row],[h_disc 1]]+Table1[[#This Row],[h_disc 2]])</f>
        <v/>
      </c>
      <c r="AC249" s="274" t="str">
        <f>IF(Table1[Item Description]="","",Table1[[#This Row],[h_hargasebelumdiskon]]-Table1[[#This Row],[h_diskon]])</f>
        <v/>
      </c>
      <c r="AD249" s="274" t="str">
        <f ca="1">IF(Table1[//]="","",SUMIF(Table1[h_id],Table1[h_id],Table1[h_hargasetelahdiskon]))</f>
        <v/>
      </c>
      <c r="AF249" s="274" t="str">
        <f>Table1[[#This Row],[Item Description]]&amp;Table1[[#This Row],[Unit]]&amp;Table1[[#This Row],[Unit Price]]</f>
        <v/>
      </c>
      <c r="AG249" s="3"/>
      <c r="AH249" s="3"/>
      <c r="AI249" s="3"/>
    </row>
    <row r="250" spans="1:35" x14ac:dyDescent="0.25">
      <c r="A250" s="278" t="str">
        <f ca="1">IF(Table1[[#This Row],[No. Invoice :]]="","",ROW())</f>
        <v/>
      </c>
      <c r="B250" s="278" t="str">
        <f ca="1">IF(Table1[Column3]="","",B$1+COUNT(INDIRECT("B$2:B"&amp;ROW()-1)))</f>
        <v/>
      </c>
      <c r="C250" s="272" t="str">
        <f>IF(Table1[[#This Row],[Column2]]="","",Table1[[#This Row],[Column2]]+C$1-1)</f>
        <v/>
      </c>
      <c r="E250" s="273"/>
      <c r="F250" s="271"/>
      <c r="G250" s="278" t="str">
        <f ca="1">IF(Table1[[#This Row],[h_No. Invoice :]]="","",CONCATENATE("AM"," ",Table1[[#This Row],[h_No. Invoice :]]))</f>
        <v/>
      </c>
      <c r="H250" s="271" t="str">
        <f>IF(Table1[[#This Row],[Column5]]="","",INDEX(Table2[Column1],MATCH(Table1[[#This Row],[Column5]],Table2[a],0)))</f>
        <v/>
      </c>
      <c r="I250" s="279" t="str">
        <f>IF(Table1[[#This Row],[Column3]]=0,"",CONCATENATE(UPPER(Table1[[#This Row],[Column3]])," ",Table1[[#This Row],[Column4]]))</f>
        <v xml:space="preserve"> </v>
      </c>
      <c r="J250" s="278" t="str">
        <f>IF(Table1[[#This Row],[Column5]]="","",INDEX(Table2[e],IF(Table1[[#This Row],[Column5]]="","",MATCH(Table1[[#This Row],[Column5]],Table2[a],0)),))</f>
        <v/>
      </c>
      <c r="K250" s="271"/>
      <c r="L250" s="271"/>
      <c r="O250" s="278" t="str">
        <f>IF(Table1[[#This Row],[h_Item Description]]="","",INDEX([1]!db[NB PAJAK],MATCH(Table1[[#This Row],[h_Item Description]],[1]!db[kode],0)))</f>
        <v/>
      </c>
      <c r="Q250" s="274"/>
      <c r="R250" s="275"/>
      <c r="S250" s="275"/>
      <c r="T250" s="274" t="str">
        <f>Table1[[#This Row],[h_hargasetelahdiskon]]</f>
        <v/>
      </c>
      <c r="V250" s="271"/>
      <c r="W250" s="278" t="str">
        <f ca="1">IF(Table1[[#This Row],[Item Description]]="","",IF(Table1[[#This Row],[//]]="",INDIRECT(ADDRESS(ROW()-1,COLUMN())),Table1[[#This Row],[//]]))</f>
        <v/>
      </c>
      <c r="X250" s="278" t="str">
        <f ca="1">IF(Table1[[#This Row],[h_id]]="","",COUNTIF(Table1[h_id],Table1[[#This Row],[h_id]]))</f>
        <v/>
      </c>
      <c r="Y250" s="274" t="str">
        <f>IF(Table1[Item Description]="","",Table1[[#This Row],[Qty]]*Table1[[#This Row],[Unit Price]])</f>
        <v/>
      </c>
      <c r="Z250" s="274" t="str">
        <f>IF(Table1[[#This Row],[h_hargasebelumdiskon]]="","",IF(Table1[[#This Row],[Disc 1]]="",0,Table1[[#This Row],[h_hargasebelumdiskon]]*Table1[[#This Row],[Disc 1]]))</f>
        <v/>
      </c>
      <c r="AA250" s="274" t="str">
        <f>IF(Table1[[#This Row],[h_hargasebelumdiskon]]="","",IF(Table1[[#This Row],[Disc 2]]="",0,(Table1[[#This Row],[h_hargasebelumdiskon]]-Table1[[#This Row],[h_disc 1]])*Table1[[#This Row],[Disc 2]]))</f>
        <v/>
      </c>
      <c r="AB250" s="274" t="str">
        <f>IF(Table1[Item Description]="","",Table1[[#This Row],[h_disc 1]]+Table1[[#This Row],[h_disc 2]])</f>
        <v/>
      </c>
      <c r="AC250" s="274" t="str">
        <f>IF(Table1[Item Description]="","",Table1[[#This Row],[h_hargasebelumdiskon]]-Table1[[#This Row],[h_diskon]])</f>
        <v/>
      </c>
      <c r="AD250" s="274" t="str">
        <f ca="1">IF(Table1[//]="","",SUMIF(Table1[h_id],Table1[h_id],Table1[h_hargasetelahdiskon]))</f>
        <v/>
      </c>
      <c r="AF250" s="274" t="str">
        <f>Table1[[#This Row],[Item Description]]&amp;Table1[[#This Row],[Unit]]&amp;Table1[[#This Row],[Unit Price]]</f>
        <v/>
      </c>
      <c r="AG250" s="3"/>
      <c r="AH250" s="3"/>
      <c r="AI250" s="3"/>
    </row>
    <row r="251" spans="1:35" x14ac:dyDescent="0.25">
      <c r="A251" s="278" t="str">
        <f ca="1">IF(Table1[[#This Row],[No. Invoice :]]="","",ROW())</f>
        <v/>
      </c>
      <c r="B251" s="278" t="str">
        <f ca="1">IF(Table1[Column3]="","",B$1+COUNT(INDIRECT("B$2:B"&amp;ROW()-1)))</f>
        <v/>
      </c>
      <c r="C251" s="272" t="str">
        <f>IF(Table1[[#This Row],[Column2]]="","",Table1[[#This Row],[Column2]]+C$1-1)</f>
        <v/>
      </c>
      <c r="E251" s="273"/>
      <c r="F251" s="271"/>
      <c r="G251" s="278" t="str">
        <f ca="1">IF(Table1[[#This Row],[h_No. Invoice :]]="","",CONCATENATE("AM"," ",Table1[[#This Row],[h_No. Invoice :]]))</f>
        <v/>
      </c>
      <c r="H251" s="271" t="str">
        <f>IF(Table1[[#This Row],[Column5]]="","",INDEX(Table2[Column1],MATCH(Table1[[#This Row],[Column5]],Table2[a],0)))</f>
        <v/>
      </c>
      <c r="I251" s="279" t="str">
        <f>IF(Table1[[#This Row],[Column3]]=0,"",CONCATENATE(UPPER(Table1[[#This Row],[Column3]])," ",Table1[[#This Row],[Column4]]))</f>
        <v xml:space="preserve"> </v>
      </c>
      <c r="J251" s="278" t="str">
        <f>IF(Table1[[#This Row],[Column5]]="","",INDEX(Table2[e],IF(Table1[[#This Row],[Column5]]="","",MATCH(Table1[[#This Row],[Column5]],Table2[a],0)),))</f>
        <v/>
      </c>
      <c r="K251" s="271"/>
      <c r="L251" s="271"/>
      <c r="O251" s="278" t="str">
        <f>IF(Table1[[#This Row],[h_Item Description]]="","",INDEX([1]!db[NB PAJAK],MATCH(Table1[[#This Row],[h_Item Description]],[1]!db[kode],0)))</f>
        <v/>
      </c>
      <c r="Q251" s="274"/>
      <c r="R251" s="275"/>
      <c r="S251" s="275"/>
      <c r="T251" s="274" t="str">
        <f>Table1[[#This Row],[h_hargasetelahdiskon]]</f>
        <v/>
      </c>
      <c r="V251" s="271"/>
      <c r="W251" s="278" t="str">
        <f ca="1">IF(Table1[[#This Row],[Item Description]]="","",IF(Table1[[#This Row],[//]]="",INDIRECT(ADDRESS(ROW()-1,COLUMN())),Table1[[#This Row],[//]]))</f>
        <v/>
      </c>
      <c r="X251" s="278" t="str">
        <f ca="1">IF(Table1[[#This Row],[h_id]]="","",COUNTIF(Table1[h_id],Table1[[#This Row],[h_id]]))</f>
        <v/>
      </c>
      <c r="Y251" s="274" t="str">
        <f>IF(Table1[Item Description]="","",Table1[[#This Row],[Qty]]*Table1[[#This Row],[Unit Price]])</f>
        <v/>
      </c>
      <c r="Z251" s="274" t="str">
        <f>IF(Table1[[#This Row],[h_hargasebelumdiskon]]="","",IF(Table1[[#This Row],[Disc 1]]="",0,Table1[[#This Row],[h_hargasebelumdiskon]]*Table1[[#This Row],[Disc 1]]))</f>
        <v/>
      </c>
      <c r="AA251" s="274" t="str">
        <f>IF(Table1[[#This Row],[h_hargasebelumdiskon]]="","",IF(Table1[[#This Row],[Disc 2]]="",0,(Table1[[#This Row],[h_hargasebelumdiskon]]-Table1[[#This Row],[h_disc 1]])*Table1[[#This Row],[Disc 2]]))</f>
        <v/>
      </c>
      <c r="AB251" s="274" t="str">
        <f>IF(Table1[Item Description]="","",Table1[[#This Row],[h_disc 1]]+Table1[[#This Row],[h_disc 2]])</f>
        <v/>
      </c>
      <c r="AC251" s="274" t="str">
        <f>IF(Table1[Item Description]="","",Table1[[#This Row],[h_hargasebelumdiskon]]-Table1[[#This Row],[h_diskon]])</f>
        <v/>
      </c>
      <c r="AD251" s="274" t="str">
        <f ca="1">IF(Table1[//]="","",SUMIF(Table1[h_id],Table1[h_id],Table1[h_hargasetelahdiskon]))</f>
        <v/>
      </c>
      <c r="AF251" s="274" t="str">
        <f>Table1[[#This Row],[Item Description]]&amp;Table1[[#This Row],[Unit]]&amp;Table1[[#This Row],[Unit Price]]</f>
        <v/>
      </c>
      <c r="AG251" s="3"/>
      <c r="AH251" s="3"/>
      <c r="AI251" s="3"/>
    </row>
    <row r="252" spans="1:35" x14ac:dyDescent="0.25">
      <c r="A252" s="278" t="str">
        <f ca="1">IF(Table1[[#This Row],[No. Invoice :]]="","",ROW())</f>
        <v/>
      </c>
      <c r="B252" s="278" t="str">
        <f ca="1">IF(Table1[Column3]="","",B$1+COUNT(INDIRECT("B$2:B"&amp;ROW()-1)))</f>
        <v/>
      </c>
      <c r="C252" s="272" t="str">
        <f>IF(Table1[[#This Row],[Column2]]="","",Table1[[#This Row],[Column2]]+C$1-1)</f>
        <v/>
      </c>
      <c r="E252" s="273"/>
      <c r="F252" s="271"/>
      <c r="G252" s="278" t="str">
        <f ca="1">IF(Table1[[#This Row],[h_No. Invoice :]]="","",CONCATENATE("AM"," ",Table1[[#This Row],[h_No. Invoice :]]))</f>
        <v/>
      </c>
      <c r="H252" s="271" t="str">
        <f>IF(Table1[[#This Row],[Column5]]="","",INDEX(Table2[Column1],MATCH(Table1[[#This Row],[Column5]],Table2[a],0)))</f>
        <v/>
      </c>
      <c r="I252" s="279" t="str">
        <f>IF(Table1[[#This Row],[Column3]]=0,"",CONCATENATE(UPPER(Table1[[#This Row],[Column3]])," ",Table1[[#This Row],[Column4]]))</f>
        <v xml:space="preserve"> </v>
      </c>
      <c r="J252" s="278" t="str">
        <f>IF(Table1[[#This Row],[Column5]]="","",INDEX(Table2[e],IF(Table1[[#This Row],[Column5]]="","",MATCH(Table1[[#This Row],[Column5]],Table2[a],0)),))</f>
        <v/>
      </c>
      <c r="K252" s="271"/>
      <c r="L252" s="271"/>
      <c r="O252" s="278" t="str">
        <f>IF(Table1[[#This Row],[h_Item Description]]="","",INDEX([1]!db[NB PAJAK],MATCH(Table1[[#This Row],[h_Item Description]],[1]!db[kode],0)))</f>
        <v/>
      </c>
      <c r="Q252" s="274"/>
      <c r="R252" s="275"/>
      <c r="S252" s="275"/>
      <c r="T252" s="274" t="str">
        <f>Table1[[#This Row],[h_hargasetelahdiskon]]</f>
        <v/>
      </c>
      <c r="V252" s="271"/>
      <c r="W252" s="278" t="str">
        <f ca="1">IF(Table1[[#This Row],[Item Description]]="","",IF(Table1[[#This Row],[//]]="",INDIRECT(ADDRESS(ROW()-1,COLUMN())),Table1[[#This Row],[//]]))</f>
        <v/>
      </c>
      <c r="X252" s="278" t="str">
        <f ca="1">IF(Table1[[#This Row],[h_id]]="","",COUNTIF(Table1[h_id],Table1[[#This Row],[h_id]]))</f>
        <v/>
      </c>
      <c r="Y252" s="274" t="str">
        <f>IF(Table1[Item Description]="","",Table1[[#This Row],[Qty]]*Table1[[#This Row],[Unit Price]])</f>
        <v/>
      </c>
      <c r="Z252" s="274" t="str">
        <f>IF(Table1[[#This Row],[h_hargasebelumdiskon]]="","",IF(Table1[[#This Row],[Disc 1]]="",0,Table1[[#This Row],[h_hargasebelumdiskon]]*Table1[[#This Row],[Disc 1]]))</f>
        <v/>
      </c>
      <c r="AA252" s="274" t="str">
        <f>IF(Table1[[#This Row],[h_hargasebelumdiskon]]="","",IF(Table1[[#This Row],[Disc 2]]="",0,(Table1[[#This Row],[h_hargasebelumdiskon]]-Table1[[#This Row],[h_disc 1]])*Table1[[#This Row],[Disc 2]]))</f>
        <v/>
      </c>
      <c r="AB252" s="274" t="str">
        <f>IF(Table1[Item Description]="","",Table1[[#This Row],[h_disc 1]]+Table1[[#This Row],[h_disc 2]])</f>
        <v/>
      </c>
      <c r="AC252" s="274" t="str">
        <f>IF(Table1[Item Description]="","",Table1[[#This Row],[h_hargasebelumdiskon]]-Table1[[#This Row],[h_diskon]])</f>
        <v/>
      </c>
      <c r="AD252" s="274" t="str">
        <f ca="1">IF(Table1[//]="","",SUMIF(Table1[h_id],Table1[h_id],Table1[h_hargasetelahdiskon]))</f>
        <v/>
      </c>
      <c r="AF252" s="274" t="str">
        <f>Table1[[#This Row],[Item Description]]&amp;Table1[[#This Row],[Unit]]&amp;Table1[[#This Row],[Unit Price]]</f>
        <v/>
      </c>
      <c r="AG252" s="3"/>
      <c r="AH252" s="3"/>
      <c r="AI252" s="3"/>
    </row>
    <row r="253" spans="1:35" x14ac:dyDescent="0.25">
      <c r="A253" s="278" t="str">
        <f ca="1">IF(Table1[[#This Row],[No. Invoice :]]="","",ROW())</f>
        <v/>
      </c>
      <c r="B253" s="278" t="str">
        <f ca="1">IF(Table1[Column3]="","",B$1+COUNT(INDIRECT("B$2:B"&amp;ROW()-1)))</f>
        <v/>
      </c>
      <c r="C253" s="272" t="str">
        <f>IF(Table1[[#This Row],[Column2]]="","",Table1[[#This Row],[Column2]]+C$1-1)</f>
        <v/>
      </c>
      <c r="E253" s="273"/>
      <c r="F253" s="271"/>
      <c r="G253" s="278" t="str">
        <f ca="1">IF(Table1[[#This Row],[h_No. Invoice :]]="","",CONCATENATE("AM"," ",Table1[[#This Row],[h_No. Invoice :]]))</f>
        <v/>
      </c>
      <c r="H253" s="271" t="str">
        <f>IF(Table1[[#This Row],[Column5]]="","",INDEX(Table2[Column1],MATCH(Table1[[#This Row],[Column5]],Table2[a],0)))</f>
        <v/>
      </c>
      <c r="I253" s="279" t="str">
        <f>IF(Table1[[#This Row],[Column3]]=0,"",CONCATENATE(UPPER(Table1[[#This Row],[Column3]])," ",Table1[[#This Row],[Column4]]))</f>
        <v xml:space="preserve"> </v>
      </c>
      <c r="J253" s="278" t="str">
        <f>IF(Table1[[#This Row],[Column5]]="","",INDEX(Table2[e],IF(Table1[[#This Row],[Column5]]="","",MATCH(Table1[[#This Row],[Column5]],Table2[a],0)),))</f>
        <v/>
      </c>
      <c r="K253" s="271"/>
      <c r="L253" s="271"/>
      <c r="O253" s="278" t="str">
        <f>IF(Table1[[#This Row],[h_Item Description]]="","",INDEX([1]!db[NB PAJAK],MATCH(Table1[[#This Row],[h_Item Description]],[1]!db[kode],0)))</f>
        <v/>
      </c>
      <c r="Q253" s="274"/>
      <c r="R253" s="275"/>
      <c r="S253" s="275"/>
      <c r="T253" s="274" t="str">
        <f>Table1[[#This Row],[h_hargasetelahdiskon]]</f>
        <v/>
      </c>
      <c r="V253" s="271"/>
      <c r="W253" s="278" t="str">
        <f ca="1">IF(Table1[[#This Row],[Item Description]]="","",IF(Table1[[#This Row],[//]]="",INDIRECT(ADDRESS(ROW()-1,COLUMN())),Table1[[#This Row],[//]]))</f>
        <v/>
      </c>
      <c r="X253" s="278" t="str">
        <f ca="1">IF(Table1[[#This Row],[h_id]]="","",COUNTIF(Table1[h_id],Table1[[#This Row],[h_id]]))</f>
        <v/>
      </c>
      <c r="Y253" s="274" t="str">
        <f>IF(Table1[Item Description]="","",Table1[[#This Row],[Qty]]*Table1[[#This Row],[Unit Price]])</f>
        <v/>
      </c>
      <c r="Z253" s="274" t="str">
        <f>IF(Table1[[#This Row],[h_hargasebelumdiskon]]="","",IF(Table1[[#This Row],[Disc 1]]="",0,Table1[[#This Row],[h_hargasebelumdiskon]]*Table1[[#This Row],[Disc 1]]))</f>
        <v/>
      </c>
      <c r="AA253" s="274" t="str">
        <f>IF(Table1[[#This Row],[h_hargasebelumdiskon]]="","",IF(Table1[[#This Row],[Disc 2]]="",0,(Table1[[#This Row],[h_hargasebelumdiskon]]-Table1[[#This Row],[h_disc 1]])*Table1[[#This Row],[Disc 2]]))</f>
        <v/>
      </c>
      <c r="AB253" s="274" t="str">
        <f>IF(Table1[Item Description]="","",Table1[[#This Row],[h_disc 1]]+Table1[[#This Row],[h_disc 2]])</f>
        <v/>
      </c>
      <c r="AC253" s="274" t="str">
        <f>IF(Table1[Item Description]="","",Table1[[#This Row],[h_hargasebelumdiskon]]-Table1[[#This Row],[h_diskon]])</f>
        <v/>
      </c>
      <c r="AD253" s="274" t="str">
        <f ca="1">IF(Table1[//]="","",SUMIF(Table1[h_id],Table1[h_id],Table1[h_hargasetelahdiskon]))</f>
        <v/>
      </c>
      <c r="AF253" s="274" t="str">
        <f>Table1[[#This Row],[Item Description]]&amp;Table1[[#This Row],[Unit]]&amp;Table1[[#This Row],[Unit Price]]</f>
        <v/>
      </c>
      <c r="AG253" s="3"/>
      <c r="AH253" s="3"/>
      <c r="AI253" s="3"/>
    </row>
    <row r="254" spans="1:35" x14ac:dyDescent="0.25">
      <c r="A254" s="278" t="str">
        <f ca="1">IF(Table1[[#This Row],[No. Invoice :]]="","",ROW())</f>
        <v/>
      </c>
      <c r="B254" s="278" t="str">
        <f ca="1">IF(Table1[Column3]="","",B$1+COUNT(INDIRECT("B$2:B"&amp;ROW()-1)))</f>
        <v/>
      </c>
      <c r="C254" s="272" t="str">
        <f>IF(Table1[[#This Row],[Column2]]="","",Table1[[#This Row],[Column2]]+C$1-1)</f>
        <v/>
      </c>
      <c r="E254" s="273"/>
      <c r="F254" s="271"/>
      <c r="G254" s="278" t="str">
        <f ca="1">IF(Table1[[#This Row],[h_No. Invoice :]]="","",CONCATENATE("AM"," ",Table1[[#This Row],[h_No. Invoice :]]))</f>
        <v/>
      </c>
      <c r="H254" s="271" t="str">
        <f>IF(Table1[[#This Row],[Column5]]="","",INDEX(Table2[Column1],MATCH(Table1[[#This Row],[Column5]],Table2[a],0)))</f>
        <v/>
      </c>
      <c r="I254" s="279" t="str">
        <f>IF(Table1[[#This Row],[Column3]]=0,"",CONCATENATE(UPPER(Table1[[#This Row],[Column3]])," ",Table1[[#This Row],[Column4]]))</f>
        <v xml:space="preserve"> </v>
      </c>
      <c r="J254" s="278" t="str">
        <f>IF(Table1[[#This Row],[Column5]]="","",INDEX(Table2[e],IF(Table1[[#This Row],[Column5]]="","",MATCH(Table1[[#This Row],[Column5]],Table2[a],0)),))</f>
        <v/>
      </c>
      <c r="K254" s="271"/>
      <c r="L254" s="271"/>
      <c r="O254" s="278" t="str">
        <f>IF(Table1[[#This Row],[h_Item Description]]="","",INDEX([1]!db[NB PAJAK],MATCH(Table1[[#This Row],[h_Item Description]],[1]!db[kode],0)))</f>
        <v/>
      </c>
      <c r="Q254" s="274"/>
      <c r="R254" s="275"/>
      <c r="S254" s="275"/>
      <c r="T254" s="274" t="str">
        <f>Table1[[#This Row],[h_hargasetelahdiskon]]</f>
        <v/>
      </c>
      <c r="V254" s="271"/>
      <c r="W254" s="278" t="str">
        <f ca="1">IF(Table1[[#This Row],[Item Description]]="","",IF(Table1[[#This Row],[//]]="",INDIRECT(ADDRESS(ROW()-1,COLUMN())),Table1[[#This Row],[//]]))</f>
        <v/>
      </c>
      <c r="X254" s="278" t="str">
        <f ca="1">IF(Table1[[#This Row],[h_id]]="","",COUNTIF(Table1[h_id],Table1[[#This Row],[h_id]]))</f>
        <v/>
      </c>
      <c r="Y254" s="274" t="str">
        <f>IF(Table1[Item Description]="","",Table1[[#This Row],[Qty]]*Table1[[#This Row],[Unit Price]])</f>
        <v/>
      </c>
      <c r="Z254" s="274" t="str">
        <f>IF(Table1[[#This Row],[h_hargasebelumdiskon]]="","",IF(Table1[[#This Row],[Disc 1]]="",0,Table1[[#This Row],[h_hargasebelumdiskon]]*Table1[[#This Row],[Disc 1]]))</f>
        <v/>
      </c>
      <c r="AA254" s="274" t="str">
        <f>IF(Table1[[#This Row],[h_hargasebelumdiskon]]="","",IF(Table1[[#This Row],[Disc 2]]="",0,(Table1[[#This Row],[h_hargasebelumdiskon]]-Table1[[#This Row],[h_disc 1]])*Table1[[#This Row],[Disc 2]]))</f>
        <v/>
      </c>
      <c r="AB254" s="274" t="str">
        <f>IF(Table1[Item Description]="","",Table1[[#This Row],[h_disc 1]]+Table1[[#This Row],[h_disc 2]])</f>
        <v/>
      </c>
      <c r="AC254" s="274" t="str">
        <f>IF(Table1[Item Description]="","",Table1[[#This Row],[h_hargasebelumdiskon]]-Table1[[#This Row],[h_diskon]])</f>
        <v/>
      </c>
      <c r="AD254" s="274" t="str">
        <f ca="1">IF(Table1[//]="","",SUMIF(Table1[h_id],Table1[h_id],Table1[h_hargasetelahdiskon]))</f>
        <v/>
      </c>
      <c r="AF254" s="274" t="str">
        <f>Table1[[#This Row],[Item Description]]&amp;Table1[[#This Row],[Unit]]&amp;Table1[[#This Row],[Unit Price]]</f>
        <v/>
      </c>
      <c r="AG254" s="3"/>
      <c r="AH254" s="3"/>
      <c r="AI254" s="3"/>
    </row>
    <row r="255" spans="1:35" x14ac:dyDescent="0.25">
      <c r="A255" s="278" t="str">
        <f ca="1">IF(Table1[[#This Row],[No. Invoice :]]="","",ROW())</f>
        <v/>
      </c>
      <c r="B255" s="278" t="str">
        <f ca="1">IF(Table1[Column3]="","",B$1+COUNT(INDIRECT("B$2:B"&amp;ROW()-1)))</f>
        <v/>
      </c>
      <c r="C255" s="272" t="str">
        <f>IF(Table1[[#This Row],[Column2]]="","",Table1[[#This Row],[Column2]]+C$1-1)</f>
        <v/>
      </c>
      <c r="E255" s="273"/>
      <c r="F255" s="271"/>
      <c r="G255" s="278" t="str">
        <f ca="1">IF(Table1[[#This Row],[h_No. Invoice :]]="","",CONCATENATE("AM"," ",Table1[[#This Row],[h_No. Invoice :]]))</f>
        <v/>
      </c>
      <c r="H255" s="271" t="str">
        <f>IF(Table1[[#This Row],[Column5]]="","",INDEX(Table2[Column1],MATCH(Table1[[#This Row],[Column5]],Table2[a],0)))</f>
        <v/>
      </c>
      <c r="I255" s="279" t="str">
        <f>IF(Table1[[#This Row],[Column3]]=0,"",CONCATENATE(UPPER(Table1[[#This Row],[Column3]])," ",Table1[[#This Row],[Column4]]))</f>
        <v xml:space="preserve"> </v>
      </c>
      <c r="J255" s="278" t="str">
        <f>IF(Table1[[#This Row],[Column5]]="","",INDEX(Table2[e],IF(Table1[[#This Row],[Column5]]="","",MATCH(Table1[[#This Row],[Column5]],Table2[a],0)),))</f>
        <v/>
      </c>
      <c r="K255" s="271"/>
      <c r="L255" s="271"/>
      <c r="O255" s="278" t="str">
        <f>IF(Table1[[#This Row],[h_Item Description]]="","",INDEX([1]!db[NB PAJAK],MATCH(Table1[[#This Row],[h_Item Description]],[1]!db[kode],0)))</f>
        <v/>
      </c>
      <c r="Q255" s="274"/>
      <c r="R255" s="275"/>
      <c r="S255" s="275"/>
      <c r="T255" s="274" t="str">
        <f>Table1[[#This Row],[h_hargasetelahdiskon]]</f>
        <v/>
      </c>
      <c r="V255" s="271"/>
      <c r="W255" s="278" t="str">
        <f ca="1">IF(Table1[[#This Row],[Item Description]]="","",IF(Table1[[#This Row],[//]]="",INDIRECT(ADDRESS(ROW()-1,COLUMN())),Table1[[#This Row],[//]]))</f>
        <v/>
      </c>
      <c r="X255" s="278" t="str">
        <f ca="1">IF(Table1[[#This Row],[h_id]]="","",COUNTIF(Table1[h_id],Table1[[#This Row],[h_id]]))</f>
        <v/>
      </c>
      <c r="Y255" s="274" t="str">
        <f>IF(Table1[Item Description]="","",Table1[[#This Row],[Qty]]*Table1[[#This Row],[Unit Price]])</f>
        <v/>
      </c>
      <c r="Z255" s="274" t="str">
        <f>IF(Table1[[#This Row],[h_hargasebelumdiskon]]="","",IF(Table1[[#This Row],[Disc 1]]="",0,Table1[[#This Row],[h_hargasebelumdiskon]]*Table1[[#This Row],[Disc 1]]))</f>
        <v/>
      </c>
      <c r="AA255" s="274" t="str">
        <f>IF(Table1[[#This Row],[h_hargasebelumdiskon]]="","",IF(Table1[[#This Row],[Disc 2]]="",0,(Table1[[#This Row],[h_hargasebelumdiskon]]-Table1[[#This Row],[h_disc 1]])*Table1[[#This Row],[Disc 2]]))</f>
        <v/>
      </c>
      <c r="AB255" s="274" t="str">
        <f>IF(Table1[Item Description]="","",Table1[[#This Row],[h_disc 1]]+Table1[[#This Row],[h_disc 2]])</f>
        <v/>
      </c>
      <c r="AC255" s="274" t="str">
        <f>IF(Table1[Item Description]="","",Table1[[#This Row],[h_hargasebelumdiskon]]-Table1[[#This Row],[h_diskon]])</f>
        <v/>
      </c>
      <c r="AD255" s="274" t="str">
        <f ca="1">IF(Table1[//]="","",SUMIF(Table1[h_id],Table1[h_id],Table1[h_hargasetelahdiskon]))</f>
        <v/>
      </c>
      <c r="AF255" s="274" t="str">
        <f>Table1[[#This Row],[Item Description]]&amp;Table1[[#This Row],[Unit]]&amp;Table1[[#This Row],[Unit Price]]</f>
        <v/>
      </c>
      <c r="AG255" s="3"/>
      <c r="AH255" s="3"/>
      <c r="AI255" s="3"/>
    </row>
    <row r="256" spans="1:35" x14ac:dyDescent="0.25">
      <c r="A256" s="278" t="str">
        <f ca="1">IF(Table1[[#This Row],[No. Invoice :]]="","",ROW())</f>
        <v/>
      </c>
      <c r="B256" s="278" t="str">
        <f ca="1">IF(Table1[Column3]="","",B$1+COUNT(INDIRECT("B$2:B"&amp;ROW()-1)))</f>
        <v/>
      </c>
      <c r="C256" s="272" t="str">
        <f>IF(Table1[[#This Row],[Column2]]="","",Table1[[#This Row],[Column2]]+C$1-1)</f>
        <v/>
      </c>
      <c r="E256" s="273"/>
      <c r="F256" s="271"/>
      <c r="G256" s="278" t="str">
        <f ca="1">IF(Table1[[#This Row],[h_No. Invoice :]]="","",CONCATENATE("AM"," ",Table1[[#This Row],[h_No. Invoice :]]))</f>
        <v/>
      </c>
      <c r="H256" s="271" t="str">
        <f>IF(Table1[[#This Row],[Column5]]="","",INDEX(Table2[Column1],MATCH(Table1[[#This Row],[Column5]],Table2[a],0)))</f>
        <v/>
      </c>
      <c r="I256" s="279" t="str">
        <f>IF(Table1[[#This Row],[Column3]]=0,"",CONCATENATE(UPPER(Table1[[#This Row],[Column3]])," ",Table1[[#This Row],[Column4]]))</f>
        <v xml:space="preserve"> </v>
      </c>
      <c r="J256" s="278" t="str">
        <f>IF(Table1[[#This Row],[Column5]]="","",INDEX(Table2[e],IF(Table1[[#This Row],[Column5]]="","",MATCH(Table1[[#This Row],[Column5]],Table2[a],0)),))</f>
        <v/>
      </c>
      <c r="K256" s="271"/>
      <c r="L256" s="271"/>
      <c r="O256" s="278" t="str">
        <f>IF(Table1[[#This Row],[h_Item Description]]="","",INDEX([1]!db[NB PAJAK],MATCH(Table1[[#This Row],[h_Item Description]],[1]!db[kode],0)))</f>
        <v/>
      </c>
      <c r="Q256" s="274"/>
      <c r="R256" s="275"/>
      <c r="S256" s="275"/>
      <c r="T256" s="274" t="str">
        <f>Table1[[#This Row],[h_hargasetelahdiskon]]</f>
        <v/>
      </c>
      <c r="V256" s="271"/>
      <c r="W256" s="278" t="str">
        <f ca="1">IF(Table1[[#This Row],[Item Description]]="","",IF(Table1[[#This Row],[//]]="",INDIRECT(ADDRESS(ROW()-1,COLUMN())),Table1[[#This Row],[//]]))</f>
        <v/>
      </c>
      <c r="X256" s="278" t="str">
        <f ca="1">IF(Table1[[#This Row],[h_id]]="","",COUNTIF(Table1[h_id],Table1[[#This Row],[h_id]]))</f>
        <v/>
      </c>
      <c r="Y256" s="274" t="str">
        <f>IF(Table1[Item Description]="","",Table1[[#This Row],[Qty]]*Table1[[#This Row],[Unit Price]])</f>
        <v/>
      </c>
      <c r="Z256" s="274" t="str">
        <f>IF(Table1[[#This Row],[h_hargasebelumdiskon]]="","",IF(Table1[[#This Row],[Disc 1]]="",0,Table1[[#This Row],[h_hargasebelumdiskon]]*Table1[[#This Row],[Disc 1]]))</f>
        <v/>
      </c>
      <c r="AA256" s="274" t="str">
        <f>IF(Table1[[#This Row],[h_hargasebelumdiskon]]="","",IF(Table1[[#This Row],[Disc 2]]="",0,(Table1[[#This Row],[h_hargasebelumdiskon]]-Table1[[#This Row],[h_disc 1]])*Table1[[#This Row],[Disc 2]]))</f>
        <v/>
      </c>
      <c r="AB256" s="274" t="str">
        <f>IF(Table1[Item Description]="","",Table1[[#This Row],[h_disc 1]]+Table1[[#This Row],[h_disc 2]])</f>
        <v/>
      </c>
      <c r="AC256" s="274" t="str">
        <f>IF(Table1[Item Description]="","",Table1[[#This Row],[h_hargasebelumdiskon]]-Table1[[#This Row],[h_diskon]])</f>
        <v/>
      </c>
      <c r="AD256" s="274" t="str">
        <f ca="1">IF(Table1[//]="","",SUMIF(Table1[h_id],Table1[h_id],Table1[h_hargasetelahdiskon]))</f>
        <v/>
      </c>
      <c r="AF256" s="274" t="str">
        <f>Table1[[#This Row],[Item Description]]&amp;Table1[[#This Row],[Unit]]&amp;Table1[[#This Row],[Unit Price]]</f>
        <v/>
      </c>
      <c r="AG256" s="3"/>
      <c r="AH256" s="3"/>
      <c r="AI256" s="3"/>
    </row>
    <row r="257" spans="1:35" x14ac:dyDescent="0.25">
      <c r="A257" s="278" t="str">
        <f ca="1">IF(Table1[[#This Row],[No. Invoice :]]="","",ROW())</f>
        <v/>
      </c>
      <c r="B257" s="278" t="str">
        <f ca="1">IF(Table1[Column3]="","",B$1+COUNT(INDIRECT("B$2:B"&amp;ROW()-1)))</f>
        <v/>
      </c>
      <c r="C257" s="272" t="str">
        <f>IF(Table1[[#This Row],[Column2]]="","",Table1[[#This Row],[Column2]]+C$1-1)</f>
        <v/>
      </c>
      <c r="E257" s="273"/>
      <c r="F257" s="271"/>
      <c r="G257" s="278" t="str">
        <f ca="1">IF(Table1[[#This Row],[h_No. Invoice :]]="","",CONCATENATE("AM"," ",Table1[[#This Row],[h_No. Invoice :]]))</f>
        <v/>
      </c>
      <c r="H257" s="271" t="str">
        <f>IF(Table1[[#This Row],[Column5]]="","",INDEX(Table2[Column1],MATCH(Table1[[#This Row],[Column5]],Table2[a],0)))</f>
        <v/>
      </c>
      <c r="I257" s="279" t="str">
        <f>IF(Table1[[#This Row],[Column3]]=0,"",CONCATENATE(UPPER(Table1[[#This Row],[Column3]])," ",Table1[[#This Row],[Column4]]))</f>
        <v xml:space="preserve"> </v>
      </c>
      <c r="J257" s="278" t="str">
        <f>IF(Table1[[#This Row],[Column5]]="","",INDEX(Table2[e],IF(Table1[[#This Row],[Column5]]="","",MATCH(Table1[[#This Row],[Column5]],Table2[a],0)),))</f>
        <v/>
      </c>
      <c r="K257" s="271"/>
      <c r="L257" s="271"/>
      <c r="O257" s="278" t="str">
        <f>IF(Table1[[#This Row],[h_Item Description]]="","",INDEX([1]!db[NB PAJAK],MATCH(Table1[[#This Row],[h_Item Description]],[1]!db[kode],0)))</f>
        <v/>
      </c>
      <c r="Q257" s="274"/>
      <c r="R257" s="275"/>
      <c r="S257" s="275"/>
      <c r="T257" s="274" t="str">
        <f>Table1[[#This Row],[h_hargasetelahdiskon]]</f>
        <v/>
      </c>
      <c r="V257" s="271"/>
      <c r="W257" s="278" t="str">
        <f ca="1">IF(Table1[[#This Row],[Item Description]]="","",IF(Table1[[#This Row],[//]]="",INDIRECT(ADDRESS(ROW()-1,COLUMN())),Table1[[#This Row],[//]]))</f>
        <v/>
      </c>
      <c r="X257" s="278" t="str">
        <f ca="1">IF(Table1[[#This Row],[h_id]]="","",COUNTIF(Table1[h_id],Table1[[#This Row],[h_id]]))</f>
        <v/>
      </c>
      <c r="Y257" s="274" t="str">
        <f>IF(Table1[Item Description]="","",Table1[[#This Row],[Qty]]*Table1[[#This Row],[Unit Price]])</f>
        <v/>
      </c>
      <c r="Z257" s="274" t="str">
        <f>IF(Table1[[#This Row],[h_hargasebelumdiskon]]="","",IF(Table1[[#This Row],[Disc 1]]="",0,Table1[[#This Row],[h_hargasebelumdiskon]]*Table1[[#This Row],[Disc 1]]))</f>
        <v/>
      </c>
      <c r="AA257" s="274" t="str">
        <f>IF(Table1[[#This Row],[h_hargasebelumdiskon]]="","",IF(Table1[[#This Row],[Disc 2]]="",0,(Table1[[#This Row],[h_hargasebelumdiskon]]-Table1[[#This Row],[h_disc 1]])*Table1[[#This Row],[Disc 2]]))</f>
        <v/>
      </c>
      <c r="AB257" s="274" t="str">
        <f>IF(Table1[Item Description]="","",Table1[[#This Row],[h_disc 1]]+Table1[[#This Row],[h_disc 2]])</f>
        <v/>
      </c>
      <c r="AC257" s="274" t="str">
        <f>IF(Table1[Item Description]="","",Table1[[#This Row],[h_hargasebelumdiskon]]-Table1[[#This Row],[h_diskon]])</f>
        <v/>
      </c>
      <c r="AD257" s="274" t="str">
        <f ca="1">IF(Table1[//]="","",SUMIF(Table1[h_id],Table1[h_id],Table1[h_hargasetelahdiskon]))</f>
        <v/>
      </c>
      <c r="AF257" s="274" t="str">
        <f>Table1[[#This Row],[Item Description]]&amp;Table1[[#This Row],[Unit]]&amp;Table1[[#This Row],[Unit Price]]</f>
        <v/>
      </c>
      <c r="AG257" s="3"/>
      <c r="AH257" s="3"/>
      <c r="AI257" s="3"/>
    </row>
    <row r="258" spans="1:35" x14ac:dyDescent="0.25">
      <c r="A258" s="278" t="str">
        <f ca="1">IF(Table1[[#This Row],[No. Invoice :]]="","",ROW())</f>
        <v/>
      </c>
      <c r="B258" s="481" t="str">
        <f ca="1">IF(Table1[Column3]="","",B$1+COUNT(INDIRECT("B$2:B"&amp;ROW()-1)))</f>
        <v/>
      </c>
      <c r="C258" s="272" t="str">
        <f>IF(Table1[[#This Row],[Column2]]="","",Table1[[#This Row],[Column2]]+C$1-1)</f>
        <v/>
      </c>
      <c r="D258" s="482"/>
      <c r="E258" s="483"/>
      <c r="F258" s="484"/>
      <c r="G258" s="278" t="str">
        <f ca="1">IF(Table1[[#This Row],[h_No. Invoice :]]="","",CONCATENATE("AM"," ",Table1[[#This Row],[h_No. Invoice :]]))</f>
        <v/>
      </c>
      <c r="H258" s="481" t="str">
        <f>IF(Table1[[#This Row],[Column5]]="","",INDEX(Table2[Column1],MATCH(Table1[[#This Row],[Column5]],Table2[a],0)))</f>
        <v/>
      </c>
      <c r="I258" s="279" t="str">
        <f>IF(Table1[[#This Row],[Column3]]=0,"",CONCATENATE(UPPER(Table1[[#This Row],[Column3]])," ",Table1[[#This Row],[Column4]]))</f>
        <v xml:space="preserve"> </v>
      </c>
      <c r="J258" s="278" t="str">
        <f>IF(Table1[[#This Row],[Column5]]="","",INDEX(Table2[e],IF(Table1[[#This Row],[Column5]]="","",MATCH(Table1[[#This Row],[Column5]],Table2[a],0)),))</f>
        <v/>
      </c>
      <c r="K258" s="271"/>
      <c r="L258" s="271"/>
      <c r="N258" s="484"/>
      <c r="O258" s="481" t="str">
        <f>IF(Table1[[#This Row],[h_Item Description]]="","",INDEX([1]!db[NB PAJAK],MATCH(Table1[[#This Row],[h_Item Description]],[1]!db[kode],0)))</f>
        <v/>
      </c>
      <c r="Q258" s="274"/>
      <c r="R258" s="275"/>
      <c r="S258" s="275"/>
      <c r="T258" s="485" t="str">
        <f>Table1[[#This Row],[h_hargasetelahdiskon]]</f>
        <v/>
      </c>
      <c r="V258" s="271"/>
      <c r="W258" s="278" t="str">
        <f ca="1">IF(Table1[[#This Row],[Item Description]]="","",IF(Table1[[#This Row],[//]]="",INDIRECT(ADDRESS(ROW()-1,COLUMN())),Table1[[#This Row],[//]]))</f>
        <v/>
      </c>
      <c r="X258" s="278" t="str">
        <f ca="1">IF(Table1[[#This Row],[h_id]]="","",COUNTIF(Table1[h_id],Table1[[#This Row],[h_id]]))</f>
        <v/>
      </c>
      <c r="Y258" s="274" t="str">
        <f>IF(Table1[Item Description]="","",Table1[[#This Row],[Qty]]*Table1[[#This Row],[Unit Price]])</f>
        <v/>
      </c>
      <c r="Z258" s="485" t="str">
        <f>IF(Table1[[#This Row],[h_hargasebelumdiskon]]="","",IF(Table1[[#This Row],[Disc 1]]="",0,Table1[[#This Row],[h_hargasebelumdiskon]]*Table1[[#This Row],[Disc 1]]))</f>
        <v/>
      </c>
      <c r="AA258" s="485" t="str">
        <f>IF(Table1[[#This Row],[h_hargasebelumdiskon]]="","",IF(Table1[[#This Row],[Disc 2]]="",0,(Table1[[#This Row],[h_hargasebelumdiskon]]-Table1[[#This Row],[h_disc 1]])*Table1[[#This Row],[Disc 2]]))</f>
        <v/>
      </c>
      <c r="AB258" s="274" t="str">
        <f>IF(Table1[Item Description]="","",Table1[[#This Row],[h_disc 1]]+Table1[[#This Row],[h_disc 2]])</f>
        <v/>
      </c>
      <c r="AC258" s="274" t="str">
        <f>IF(Table1[Item Description]="","",Table1[[#This Row],[h_hargasebelumdiskon]]-Table1[[#This Row],[h_diskon]])</f>
        <v/>
      </c>
      <c r="AD258" s="274" t="str">
        <f ca="1">IF(Table1[//]="","",SUMIF(Table1[h_id],Table1[h_id],Table1[h_hargasetelahdiskon]))</f>
        <v/>
      </c>
      <c r="AF258" s="274" t="str">
        <f>Table1[[#This Row],[Item Description]]&amp;Table1[[#This Row],[Unit]]&amp;Table1[[#This Row],[Unit Price]]</f>
        <v/>
      </c>
      <c r="AG258" s="3"/>
      <c r="AH258" s="3"/>
      <c r="AI258" s="3"/>
    </row>
    <row r="259" spans="1:35" x14ac:dyDescent="0.25">
      <c r="A259" s="278" t="str">
        <f ca="1">IF(Table1[[#This Row],[No. Invoice :]]="","",ROW())</f>
        <v/>
      </c>
      <c r="B259" s="481" t="str">
        <f ca="1">IF(Table1[Column3]="","",B$1+COUNT(INDIRECT("B$2:B"&amp;ROW()-1)))</f>
        <v/>
      </c>
      <c r="C259" s="272" t="str">
        <f>IF(Table1[[#This Row],[Column2]]="","",Table1[[#This Row],[Column2]]+C$1-1)</f>
        <v/>
      </c>
      <c r="D259" s="482"/>
      <c r="E259" s="483"/>
      <c r="F259" s="484"/>
      <c r="G259" s="278" t="str">
        <f ca="1">IF(Table1[[#This Row],[h_No. Invoice :]]="","",CONCATENATE("AM"," ",Table1[[#This Row],[h_No. Invoice :]]))</f>
        <v/>
      </c>
      <c r="H259" s="481" t="str">
        <f>IF(Table1[[#This Row],[Column5]]="","",INDEX(Table2[Column1],MATCH(Table1[[#This Row],[Column5]],Table2[a],0)))</f>
        <v/>
      </c>
      <c r="I259" s="279" t="str">
        <f>IF(Table1[[#This Row],[Column3]]=0,"",CONCATENATE(UPPER(Table1[[#This Row],[Column3]])," ",Table1[[#This Row],[Column4]]))</f>
        <v xml:space="preserve"> </v>
      </c>
      <c r="J259" s="278" t="str">
        <f>IF(Table1[[#This Row],[Column5]]="","",INDEX(Table2[e],IF(Table1[[#This Row],[Column5]]="","",MATCH(Table1[[#This Row],[Column5]],Table2[a],0)),))</f>
        <v/>
      </c>
      <c r="K259" s="271"/>
      <c r="L259" s="271"/>
      <c r="N259" s="484"/>
      <c r="O259" s="481" t="str">
        <f>IF(Table1[[#This Row],[h_Item Description]]="","",INDEX([1]!db[NB PAJAK],MATCH(Table1[[#This Row],[h_Item Description]],[1]!db[kode],0)))</f>
        <v/>
      </c>
      <c r="Q259" s="274"/>
      <c r="R259" s="275"/>
      <c r="S259" s="275"/>
      <c r="T259" s="485" t="str">
        <f>Table1[[#This Row],[h_hargasetelahdiskon]]</f>
        <v/>
      </c>
      <c r="V259" s="271"/>
      <c r="W259" s="278" t="str">
        <f ca="1">IF(Table1[[#This Row],[Item Description]]="","",IF(Table1[[#This Row],[//]]="",INDIRECT(ADDRESS(ROW()-1,COLUMN())),Table1[[#This Row],[//]]))</f>
        <v/>
      </c>
      <c r="X259" s="278" t="str">
        <f ca="1">IF(Table1[[#This Row],[h_id]]="","",COUNTIF(Table1[h_id],Table1[[#This Row],[h_id]]))</f>
        <v/>
      </c>
      <c r="Y259" s="274" t="str">
        <f>IF(Table1[Item Description]="","",Table1[[#This Row],[Qty]]*Table1[[#This Row],[Unit Price]])</f>
        <v/>
      </c>
      <c r="Z259" s="485" t="str">
        <f>IF(Table1[[#This Row],[h_hargasebelumdiskon]]="","",IF(Table1[[#This Row],[Disc 1]]="",0,Table1[[#This Row],[h_hargasebelumdiskon]]*Table1[[#This Row],[Disc 1]]))</f>
        <v/>
      </c>
      <c r="AA259" s="485" t="str">
        <f>IF(Table1[[#This Row],[h_hargasebelumdiskon]]="","",IF(Table1[[#This Row],[Disc 2]]="",0,(Table1[[#This Row],[h_hargasebelumdiskon]]-Table1[[#This Row],[h_disc 1]])*Table1[[#This Row],[Disc 2]]))</f>
        <v/>
      </c>
      <c r="AB259" s="274" t="str">
        <f>IF(Table1[Item Description]="","",Table1[[#This Row],[h_disc 1]]+Table1[[#This Row],[h_disc 2]])</f>
        <v/>
      </c>
      <c r="AC259" s="274" t="str">
        <f>IF(Table1[Item Description]="","",Table1[[#This Row],[h_hargasebelumdiskon]]-Table1[[#This Row],[h_diskon]])</f>
        <v/>
      </c>
      <c r="AD259" s="274" t="str">
        <f ca="1">IF(Table1[//]="","",SUMIF(Table1[h_id],Table1[h_id],Table1[h_hargasetelahdiskon]))</f>
        <v/>
      </c>
      <c r="AF259" s="274" t="str">
        <f>Table1[[#This Row],[Item Description]]&amp;Table1[[#This Row],[Unit]]&amp;Table1[[#This Row],[Unit Price]]</f>
        <v/>
      </c>
      <c r="AG259" s="3"/>
      <c r="AH259" s="3"/>
      <c r="AI259" s="3"/>
    </row>
    <row r="260" spans="1:35" x14ac:dyDescent="0.25">
      <c r="A260" s="278" t="str">
        <f ca="1">IF(Table1[[#This Row],[No. Invoice :]]="","",ROW())</f>
        <v/>
      </c>
      <c r="B260" s="481" t="str">
        <f ca="1">IF(Table1[Column3]="","",B$1+COUNT(INDIRECT("B$2:B"&amp;ROW()-1)))</f>
        <v/>
      </c>
      <c r="C260" s="272" t="str">
        <f>IF(Table1[[#This Row],[Column2]]="","",Table1[[#This Row],[Column2]]+C$1-1)</f>
        <v/>
      </c>
      <c r="D260" s="482"/>
      <c r="E260" s="483"/>
      <c r="F260" s="484"/>
      <c r="G260" s="278" t="str">
        <f ca="1">IF(Table1[[#This Row],[h_No. Invoice :]]="","",CONCATENATE("AM"," ",Table1[[#This Row],[h_No. Invoice :]]))</f>
        <v/>
      </c>
      <c r="H260" s="481" t="str">
        <f>IF(Table1[[#This Row],[Column5]]="","",INDEX(Table2[Column1],MATCH(Table1[[#This Row],[Column5]],Table2[a],0)))</f>
        <v/>
      </c>
      <c r="I260" s="279" t="str">
        <f>IF(Table1[[#This Row],[Column3]]=0,"",CONCATENATE(UPPER(Table1[[#This Row],[Column3]])," ",Table1[[#This Row],[Column4]]))</f>
        <v xml:space="preserve"> </v>
      </c>
      <c r="J260" s="278" t="str">
        <f>IF(Table1[[#This Row],[Column5]]="","",INDEX(Table2[e],IF(Table1[[#This Row],[Column5]]="","",MATCH(Table1[[#This Row],[Column5]],Table2[a],0)),))</f>
        <v/>
      </c>
      <c r="K260" s="271"/>
      <c r="L260" s="271"/>
      <c r="N260" s="484"/>
      <c r="O260" s="481" t="str">
        <f>IF(Table1[[#This Row],[h_Item Description]]="","",INDEX([1]!db[NB PAJAK],MATCH(Table1[[#This Row],[h_Item Description]],[1]!db[kode],0)))</f>
        <v/>
      </c>
      <c r="Q260" s="274"/>
      <c r="R260" s="275"/>
      <c r="S260" s="275"/>
      <c r="T260" s="485" t="str">
        <f>Table1[[#This Row],[h_hargasetelahdiskon]]</f>
        <v/>
      </c>
      <c r="V260" s="271"/>
      <c r="W260" s="278" t="str">
        <f ca="1">IF(Table1[[#This Row],[Item Description]]="","",IF(Table1[[#This Row],[//]]="",INDIRECT(ADDRESS(ROW()-1,COLUMN())),Table1[[#This Row],[//]]))</f>
        <v/>
      </c>
      <c r="X260" s="278" t="str">
        <f ca="1">IF(Table1[[#This Row],[h_id]]="","",COUNTIF(Table1[h_id],Table1[[#This Row],[h_id]]))</f>
        <v/>
      </c>
      <c r="Y260" s="274" t="str">
        <f>IF(Table1[Item Description]="","",Table1[[#This Row],[Qty]]*Table1[[#This Row],[Unit Price]])</f>
        <v/>
      </c>
      <c r="Z260" s="485" t="str">
        <f>IF(Table1[[#This Row],[h_hargasebelumdiskon]]="","",IF(Table1[[#This Row],[Disc 1]]="",0,Table1[[#This Row],[h_hargasebelumdiskon]]*Table1[[#This Row],[Disc 1]]))</f>
        <v/>
      </c>
      <c r="AA260" s="485" t="str">
        <f>IF(Table1[[#This Row],[h_hargasebelumdiskon]]="","",IF(Table1[[#This Row],[Disc 2]]="",0,(Table1[[#This Row],[h_hargasebelumdiskon]]-Table1[[#This Row],[h_disc 1]])*Table1[[#This Row],[Disc 2]]))</f>
        <v/>
      </c>
      <c r="AB260" s="274" t="str">
        <f>IF(Table1[Item Description]="","",Table1[[#This Row],[h_disc 1]]+Table1[[#This Row],[h_disc 2]])</f>
        <v/>
      </c>
      <c r="AC260" s="274" t="str">
        <f>IF(Table1[Item Description]="","",Table1[[#This Row],[h_hargasebelumdiskon]]-Table1[[#This Row],[h_diskon]])</f>
        <v/>
      </c>
      <c r="AD260" s="274" t="str">
        <f ca="1">IF(Table1[//]="","",SUMIF(Table1[h_id],Table1[h_id],Table1[h_hargasetelahdiskon]))</f>
        <v/>
      </c>
      <c r="AF260" s="274" t="str">
        <f>Table1[[#This Row],[Item Description]]&amp;Table1[[#This Row],[Unit]]&amp;Table1[[#This Row],[Unit Price]]</f>
        <v/>
      </c>
      <c r="AG260" s="3"/>
      <c r="AH260" s="3"/>
      <c r="AI260" s="3"/>
    </row>
    <row r="261" spans="1:35" x14ac:dyDescent="0.25">
      <c r="A261" s="278" t="str">
        <f ca="1">IF(Table1[[#This Row],[No. Invoice :]]="","",ROW())</f>
        <v/>
      </c>
      <c r="B261" s="481" t="str">
        <f ca="1">IF(Table1[Column3]="","",B$1+COUNT(INDIRECT("B$2:B"&amp;ROW()-1)))</f>
        <v/>
      </c>
      <c r="C261" s="272" t="str">
        <f>IF(Table1[[#This Row],[Column2]]="","",Table1[[#This Row],[Column2]]+C$1-1)</f>
        <v/>
      </c>
      <c r="D261" s="482"/>
      <c r="E261" s="483"/>
      <c r="F261" s="484"/>
      <c r="G261" s="278" t="str">
        <f ca="1">IF(Table1[[#This Row],[h_No. Invoice :]]="","",CONCATENATE("AM"," ",Table1[[#This Row],[h_No. Invoice :]]))</f>
        <v/>
      </c>
      <c r="H261" s="481" t="str">
        <f>IF(Table1[[#This Row],[Column5]]="","",INDEX(Table2[Column1],MATCH(Table1[[#This Row],[Column5]],Table2[a],0)))</f>
        <v/>
      </c>
      <c r="I261" s="279" t="str">
        <f>IF(Table1[[#This Row],[Column3]]=0,"",CONCATENATE(UPPER(Table1[[#This Row],[Column3]])," ",Table1[[#This Row],[Column4]]))</f>
        <v xml:space="preserve"> </v>
      </c>
      <c r="J261" s="278" t="str">
        <f>IF(Table1[[#This Row],[Column5]]="","",INDEX(Table2[e],IF(Table1[[#This Row],[Column5]]="","",MATCH(Table1[[#This Row],[Column5]],Table2[a],0)),))</f>
        <v/>
      </c>
      <c r="K261" s="271"/>
      <c r="L261" s="271"/>
      <c r="N261" s="484"/>
      <c r="O261" s="481" t="str">
        <f>IF(Table1[[#This Row],[h_Item Description]]="","",INDEX([1]!db[NB PAJAK],MATCH(Table1[[#This Row],[h_Item Description]],[1]!db[kode],0)))</f>
        <v/>
      </c>
      <c r="Q261" s="274"/>
      <c r="R261" s="275"/>
      <c r="S261" s="275"/>
      <c r="T261" s="485" t="str">
        <f>Table1[[#This Row],[h_hargasetelahdiskon]]</f>
        <v/>
      </c>
      <c r="V261" s="271"/>
      <c r="W261" s="278" t="str">
        <f ca="1">IF(Table1[[#This Row],[Item Description]]="","",IF(Table1[[#This Row],[//]]="",INDIRECT(ADDRESS(ROW()-1,COLUMN())),Table1[[#This Row],[//]]))</f>
        <v/>
      </c>
      <c r="X261" s="278" t="str">
        <f ca="1">IF(Table1[[#This Row],[h_id]]="","",COUNTIF(Table1[h_id],Table1[[#This Row],[h_id]]))</f>
        <v/>
      </c>
      <c r="Y261" s="274" t="str">
        <f>IF(Table1[Item Description]="","",Table1[[#This Row],[Qty]]*Table1[[#This Row],[Unit Price]])</f>
        <v/>
      </c>
      <c r="Z261" s="485" t="str">
        <f>IF(Table1[[#This Row],[h_hargasebelumdiskon]]="","",IF(Table1[[#This Row],[Disc 1]]="",0,Table1[[#This Row],[h_hargasebelumdiskon]]*Table1[[#This Row],[Disc 1]]))</f>
        <v/>
      </c>
      <c r="AA261" s="485" t="str">
        <f>IF(Table1[[#This Row],[h_hargasebelumdiskon]]="","",IF(Table1[[#This Row],[Disc 2]]="",0,(Table1[[#This Row],[h_hargasebelumdiskon]]-Table1[[#This Row],[h_disc 1]])*Table1[[#This Row],[Disc 2]]))</f>
        <v/>
      </c>
      <c r="AB261" s="274" t="str">
        <f>IF(Table1[Item Description]="","",Table1[[#This Row],[h_disc 1]]+Table1[[#This Row],[h_disc 2]])</f>
        <v/>
      </c>
      <c r="AC261" s="274" t="str">
        <f>IF(Table1[Item Description]="","",Table1[[#This Row],[h_hargasebelumdiskon]]-Table1[[#This Row],[h_diskon]])</f>
        <v/>
      </c>
      <c r="AD261" s="274" t="str">
        <f ca="1">IF(Table1[//]="","",SUMIF(Table1[h_id],Table1[h_id],Table1[h_hargasetelahdiskon]))</f>
        <v/>
      </c>
      <c r="AF261" s="274" t="str">
        <f>Table1[[#This Row],[Item Description]]&amp;Table1[[#This Row],[Unit]]&amp;Table1[[#This Row],[Unit Price]]</f>
        <v/>
      </c>
      <c r="AG261" s="3"/>
      <c r="AH261" s="3"/>
      <c r="AI261" s="3"/>
    </row>
    <row r="262" spans="1:35" x14ac:dyDescent="0.25">
      <c r="A262" s="278" t="str">
        <f ca="1">IF(Table1[[#This Row],[No. Invoice :]]="","",ROW())</f>
        <v/>
      </c>
      <c r="B262" s="481" t="str">
        <f ca="1">IF(Table1[Column3]="","",B$1+COUNT(INDIRECT("B$2:B"&amp;ROW()-1)))</f>
        <v/>
      </c>
      <c r="C262" s="272" t="str">
        <f>IF(Table1[[#This Row],[Column2]]="","",Table1[[#This Row],[Column2]]+C$1-1)</f>
        <v/>
      </c>
      <c r="D262" s="482"/>
      <c r="E262" s="483"/>
      <c r="F262" s="484"/>
      <c r="G262" s="278" t="str">
        <f ca="1">IF(Table1[[#This Row],[h_No. Invoice :]]="","",CONCATENATE("AM"," ",Table1[[#This Row],[h_No. Invoice :]]))</f>
        <v/>
      </c>
      <c r="H262" s="481" t="str">
        <f>IF(Table1[[#This Row],[Column5]]="","",INDEX(Table2[Column1],MATCH(Table1[[#This Row],[Column5]],Table2[a],0)))</f>
        <v/>
      </c>
      <c r="I262" s="279" t="str">
        <f>IF(Table1[[#This Row],[Column3]]=0,"",CONCATENATE(UPPER(Table1[[#This Row],[Column3]])," ",Table1[[#This Row],[Column4]]))</f>
        <v xml:space="preserve"> </v>
      </c>
      <c r="J262" s="278" t="str">
        <f>IF(Table1[[#This Row],[Column5]]="","",INDEX(Table2[e],IF(Table1[[#This Row],[Column5]]="","",MATCH(Table1[[#This Row],[Column5]],Table2[a],0)),))</f>
        <v/>
      </c>
      <c r="K262" s="271"/>
      <c r="L262" s="271"/>
      <c r="N262" s="484"/>
      <c r="O262" s="481" t="str">
        <f>IF(Table1[[#This Row],[h_Item Description]]="","",INDEX([1]!db[NB PAJAK],MATCH(Table1[[#This Row],[h_Item Description]],[1]!db[kode],0)))</f>
        <v/>
      </c>
      <c r="Q262" s="274"/>
      <c r="R262" s="275"/>
      <c r="S262" s="275"/>
      <c r="T262" s="485" t="str">
        <f>Table1[[#This Row],[h_hargasetelahdiskon]]</f>
        <v/>
      </c>
      <c r="V262" s="271"/>
      <c r="W262" s="278" t="str">
        <f ca="1">IF(Table1[[#This Row],[Item Description]]="","",IF(Table1[[#This Row],[//]]="",INDIRECT(ADDRESS(ROW()-1,COLUMN())),Table1[[#This Row],[//]]))</f>
        <v/>
      </c>
      <c r="X262" s="278" t="str">
        <f ca="1">IF(Table1[[#This Row],[h_id]]="","",COUNTIF(Table1[h_id],Table1[[#This Row],[h_id]]))</f>
        <v/>
      </c>
      <c r="Y262" s="274" t="str">
        <f>IF(Table1[Item Description]="","",Table1[[#This Row],[Qty]]*Table1[[#This Row],[Unit Price]])</f>
        <v/>
      </c>
      <c r="Z262" s="485" t="str">
        <f>IF(Table1[[#This Row],[h_hargasebelumdiskon]]="","",IF(Table1[[#This Row],[Disc 1]]="",0,Table1[[#This Row],[h_hargasebelumdiskon]]*Table1[[#This Row],[Disc 1]]))</f>
        <v/>
      </c>
      <c r="AA262" s="485" t="str">
        <f>IF(Table1[[#This Row],[h_hargasebelumdiskon]]="","",IF(Table1[[#This Row],[Disc 2]]="",0,(Table1[[#This Row],[h_hargasebelumdiskon]]-Table1[[#This Row],[h_disc 1]])*Table1[[#This Row],[Disc 2]]))</f>
        <v/>
      </c>
      <c r="AB262" s="274" t="str">
        <f>IF(Table1[Item Description]="","",Table1[[#This Row],[h_disc 1]]+Table1[[#This Row],[h_disc 2]])</f>
        <v/>
      </c>
      <c r="AC262" s="274" t="str">
        <f>IF(Table1[Item Description]="","",Table1[[#This Row],[h_hargasebelumdiskon]]-Table1[[#This Row],[h_diskon]])</f>
        <v/>
      </c>
      <c r="AD262" s="274" t="str">
        <f ca="1">IF(Table1[//]="","",SUMIF(Table1[h_id],Table1[h_id],Table1[h_hargasetelahdiskon]))</f>
        <v/>
      </c>
      <c r="AF262" s="274" t="str">
        <f>Table1[[#This Row],[Item Description]]&amp;Table1[[#This Row],[Unit]]&amp;Table1[[#This Row],[Unit Price]]</f>
        <v/>
      </c>
      <c r="AG262" s="3"/>
      <c r="AH262" s="3"/>
      <c r="AI262" s="3"/>
    </row>
    <row r="263" spans="1:35" x14ac:dyDescent="0.25">
      <c r="A263" s="278" t="str">
        <f ca="1">IF(Table1[[#This Row],[No. Invoice :]]="","",ROW())</f>
        <v/>
      </c>
      <c r="B263" s="481" t="str">
        <f ca="1">IF(Table1[Column3]="","",B$1+COUNT(INDIRECT("B$2:B"&amp;ROW()-1)))</f>
        <v/>
      </c>
      <c r="C263" s="272" t="str">
        <f>IF(Table1[[#This Row],[Column2]]="","",Table1[[#This Row],[Column2]]+C$1-1)</f>
        <v/>
      </c>
      <c r="D263" s="482"/>
      <c r="E263" s="483"/>
      <c r="F263" s="484"/>
      <c r="G263" s="278" t="str">
        <f ca="1">IF(Table1[[#This Row],[h_No. Invoice :]]="","",CONCATENATE("AM"," ",Table1[[#This Row],[h_No. Invoice :]]))</f>
        <v/>
      </c>
      <c r="H263" s="481" t="str">
        <f>IF(Table1[[#This Row],[Column5]]="","",INDEX(Table2[Column1],MATCH(Table1[[#This Row],[Column5]],Table2[a],0)))</f>
        <v/>
      </c>
      <c r="I263" s="279" t="str">
        <f>IF(Table1[[#This Row],[Column3]]=0,"",CONCATENATE(UPPER(Table1[[#This Row],[Column3]])," ",Table1[[#This Row],[Column4]]))</f>
        <v xml:space="preserve"> </v>
      </c>
      <c r="J263" s="278" t="str">
        <f>IF(Table1[[#This Row],[Column5]]="","",INDEX(Table2[e],IF(Table1[[#This Row],[Column5]]="","",MATCH(Table1[[#This Row],[Column5]],Table2[a],0)),))</f>
        <v/>
      </c>
      <c r="K263" s="271"/>
      <c r="L263" s="271"/>
      <c r="N263" s="484"/>
      <c r="O263" s="481" t="str">
        <f>IF(Table1[[#This Row],[h_Item Description]]="","",INDEX([1]!db[NB PAJAK],MATCH(Table1[[#This Row],[h_Item Description]],[1]!db[kode],0)))</f>
        <v/>
      </c>
      <c r="Q263" s="274"/>
      <c r="R263" s="275"/>
      <c r="S263" s="275"/>
      <c r="T263" s="485" t="str">
        <f>Table1[[#This Row],[h_hargasetelahdiskon]]</f>
        <v/>
      </c>
      <c r="V263" s="271"/>
      <c r="W263" s="278" t="str">
        <f ca="1">IF(Table1[[#This Row],[Item Description]]="","",IF(Table1[[#This Row],[//]]="",INDIRECT(ADDRESS(ROW()-1,COLUMN())),Table1[[#This Row],[//]]))</f>
        <v/>
      </c>
      <c r="X263" s="278" t="str">
        <f ca="1">IF(Table1[[#This Row],[h_id]]="","",COUNTIF(Table1[h_id],Table1[[#This Row],[h_id]]))</f>
        <v/>
      </c>
      <c r="Y263" s="274" t="str">
        <f>IF(Table1[Item Description]="","",Table1[[#This Row],[Qty]]*Table1[[#This Row],[Unit Price]])</f>
        <v/>
      </c>
      <c r="Z263" s="485" t="str">
        <f>IF(Table1[[#This Row],[h_hargasebelumdiskon]]="","",IF(Table1[[#This Row],[Disc 1]]="",0,Table1[[#This Row],[h_hargasebelumdiskon]]*Table1[[#This Row],[Disc 1]]))</f>
        <v/>
      </c>
      <c r="AA263" s="485" t="str">
        <f>IF(Table1[[#This Row],[h_hargasebelumdiskon]]="","",IF(Table1[[#This Row],[Disc 2]]="",0,(Table1[[#This Row],[h_hargasebelumdiskon]]-Table1[[#This Row],[h_disc 1]])*Table1[[#This Row],[Disc 2]]))</f>
        <v/>
      </c>
      <c r="AB263" s="274" t="str">
        <f>IF(Table1[Item Description]="","",Table1[[#This Row],[h_disc 1]]+Table1[[#This Row],[h_disc 2]])</f>
        <v/>
      </c>
      <c r="AC263" s="274" t="str">
        <f>IF(Table1[Item Description]="","",Table1[[#This Row],[h_hargasebelumdiskon]]-Table1[[#This Row],[h_diskon]])</f>
        <v/>
      </c>
      <c r="AD263" s="274" t="str">
        <f ca="1">IF(Table1[//]="","",SUMIF(Table1[h_id],Table1[h_id],Table1[h_hargasetelahdiskon]))</f>
        <v/>
      </c>
      <c r="AF263" s="274" t="str">
        <f>Table1[[#This Row],[Item Description]]&amp;Table1[[#This Row],[Unit]]&amp;Table1[[#This Row],[Unit Price]]</f>
        <v/>
      </c>
      <c r="AG263" s="3"/>
      <c r="AH263" s="3"/>
      <c r="AI263" s="3"/>
    </row>
    <row r="264" spans="1:35" x14ac:dyDescent="0.25">
      <c r="A264" s="278" t="str">
        <f ca="1">IF(Table1[[#This Row],[No. Invoice :]]="","",ROW())</f>
        <v/>
      </c>
      <c r="B264" s="278" t="str">
        <f ca="1">IF(Table1[Column3]="","",B$1+COUNT(INDIRECT("B$2:B"&amp;ROW()-1)))</f>
        <v/>
      </c>
      <c r="C264" s="272" t="str">
        <f>IF(Table1[[#This Row],[Column2]]="","",Table1[[#This Row],[Column2]]+C$1-1)</f>
        <v/>
      </c>
      <c r="E264" s="273"/>
      <c r="F264" s="271"/>
      <c r="G264" s="278" t="str">
        <f ca="1">IF(Table1[[#This Row],[h_No. Invoice :]]="","",CONCATENATE("AM"," ",Table1[[#This Row],[h_No. Invoice :]]))</f>
        <v/>
      </c>
      <c r="H264" s="271" t="str">
        <f>IF(Table1[[#This Row],[Column5]]="","",INDEX(Table2[Column1],MATCH(Table1[[#This Row],[Column5]],Table2[a],0)))</f>
        <v/>
      </c>
      <c r="I264" s="279" t="str">
        <f>IF(Table1[[#This Row],[Column3]]=0,"",CONCATENATE(UPPER(Table1[[#This Row],[Column3]])," ",Table1[[#This Row],[Column4]]))</f>
        <v xml:space="preserve"> </v>
      </c>
      <c r="J264" s="278" t="str">
        <f>IF(Table1[[#This Row],[Column5]]="","",INDEX(Table2[e],IF(Table1[[#This Row],[Column5]]="","",MATCH(Table1[[#This Row],[Column5]],Table2[a],0)),))</f>
        <v/>
      </c>
      <c r="K264" s="271"/>
      <c r="L264" s="271"/>
      <c r="O264" s="278" t="str">
        <f>IF(Table1[[#This Row],[h_Item Description]]="","",INDEX([1]!db[NB PAJAK],MATCH(Table1[[#This Row],[h_Item Description]],[1]!db[kode],0)))</f>
        <v/>
      </c>
      <c r="Q264" s="274"/>
      <c r="R264" s="275"/>
      <c r="S264" s="275"/>
      <c r="T264" s="274" t="str">
        <f>Table1[[#This Row],[h_hargasetelahdiskon]]</f>
        <v/>
      </c>
      <c r="V264" s="271"/>
      <c r="W264" s="278" t="str">
        <f ca="1">IF(Table1[[#This Row],[Item Description]]="","",IF(Table1[[#This Row],[//]]="",INDIRECT(ADDRESS(ROW()-1,COLUMN())),Table1[[#This Row],[//]]))</f>
        <v/>
      </c>
      <c r="X264" s="278" t="str">
        <f ca="1">IF(Table1[[#This Row],[h_id]]="","",COUNTIF(Table1[h_id],Table1[[#This Row],[h_id]]))</f>
        <v/>
      </c>
      <c r="Y264" s="274" t="str">
        <f>IF(Table1[Item Description]="","",Table1[[#This Row],[Qty]]*Table1[[#This Row],[Unit Price]])</f>
        <v/>
      </c>
      <c r="Z264" s="274" t="str">
        <f>IF(Table1[[#This Row],[h_hargasebelumdiskon]]="","",IF(Table1[[#This Row],[Disc 1]]="",0,Table1[[#This Row],[h_hargasebelumdiskon]]*Table1[[#This Row],[Disc 1]]))</f>
        <v/>
      </c>
      <c r="AA264" s="274" t="str">
        <f>IF(Table1[[#This Row],[h_hargasebelumdiskon]]="","",IF(Table1[[#This Row],[Disc 2]]="",0,(Table1[[#This Row],[h_hargasebelumdiskon]]-Table1[[#This Row],[h_disc 1]])*Table1[[#This Row],[Disc 2]]))</f>
        <v/>
      </c>
      <c r="AB264" s="274" t="str">
        <f>IF(Table1[Item Description]="","",Table1[[#This Row],[h_disc 1]]+Table1[[#This Row],[h_disc 2]])</f>
        <v/>
      </c>
      <c r="AC264" s="274" t="str">
        <f>IF(Table1[Item Description]="","",Table1[[#This Row],[h_hargasebelumdiskon]]-Table1[[#This Row],[h_diskon]])</f>
        <v/>
      </c>
      <c r="AD264" s="274" t="str">
        <f ca="1">IF(Table1[//]="","",SUMIF(Table1[h_id],Table1[h_id],Table1[h_hargasetelahdiskon]))</f>
        <v/>
      </c>
      <c r="AF264" s="274" t="str">
        <f>Table1[[#This Row],[Item Description]]&amp;Table1[[#This Row],[Unit]]&amp;Table1[[#This Row],[Unit Price]]</f>
        <v/>
      </c>
      <c r="AG264" s="3"/>
      <c r="AH264" s="3"/>
      <c r="AI264" s="3"/>
    </row>
    <row r="265" spans="1:35" x14ac:dyDescent="0.25">
      <c r="A265" s="278" t="str">
        <f ca="1">IF(Table1[[#This Row],[No. Invoice :]]="","",ROW())</f>
        <v/>
      </c>
      <c r="B265" s="278" t="str">
        <f ca="1">IF(Table1[Column3]="","",B$1+COUNT(INDIRECT("B$2:B"&amp;ROW()-1)))</f>
        <v/>
      </c>
      <c r="C265" s="272" t="str">
        <f>IF(Table1[[#This Row],[Column2]]="","",Table1[[#This Row],[Column2]]+C$1-1)</f>
        <v/>
      </c>
      <c r="E265" s="273"/>
      <c r="F265" s="271"/>
      <c r="G265" s="278" t="str">
        <f ca="1">IF(Table1[[#This Row],[h_No. Invoice :]]="","",CONCATENATE("AM"," ",Table1[[#This Row],[h_No. Invoice :]]))</f>
        <v/>
      </c>
      <c r="H265" s="271" t="str">
        <f>IF(Table1[[#This Row],[Column5]]="","",INDEX(Table2[Column1],MATCH(Table1[[#This Row],[Column5]],Table2[a],0)))</f>
        <v/>
      </c>
      <c r="I265" s="279" t="str">
        <f>IF(Table1[[#This Row],[Column3]]=0,"",CONCATENATE(UPPER(Table1[[#This Row],[Column3]])," ",Table1[[#This Row],[Column4]]))</f>
        <v xml:space="preserve"> </v>
      </c>
      <c r="J265" s="278" t="str">
        <f>IF(Table1[[#This Row],[Column5]]="","",INDEX(Table2[e],IF(Table1[[#This Row],[Column5]]="","",MATCH(Table1[[#This Row],[Column5]],Table2[a],0)),))</f>
        <v/>
      </c>
      <c r="K265" s="271"/>
      <c r="L265" s="271"/>
      <c r="O265" s="278" t="str">
        <f>IF(Table1[[#This Row],[h_Item Description]]="","",INDEX([1]!db[NB PAJAK],MATCH(Table1[[#This Row],[h_Item Description]],[1]!db[kode],0)))</f>
        <v/>
      </c>
      <c r="Q265" s="274"/>
      <c r="R265" s="275"/>
      <c r="S265" s="275"/>
      <c r="T265" s="274" t="str">
        <f>Table1[[#This Row],[h_hargasetelahdiskon]]</f>
        <v/>
      </c>
      <c r="V265" s="271"/>
      <c r="W265" s="278" t="str">
        <f ca="1">IF(Table1[[#This Row],[Item Description]]="","",IF(Table1[[#This Row],[//]]="",INDIRECT(ADDRESS(ROW()-1,COLUMN())),Table1[[#This Row],[//]]))</f>
        <v/>
      </c>
      <c r="X265" s="278" t="str">
        <f ca="1">IF(Table1[[#This Row],[h_id]]="","",COUNTIF(Table1[h_id],Table1[[#This Row],[h_id]]))</f>
        <v/>
      </c>
      <c r="Y265" s="274" t="str">
        <f>IF(Table1[Item Description]="","",Table1[[#This Row],[Qty]]*Table1[[#This Row],[Unit Price]])</f>
        <v/>
      </c>
      <c r="Z265" s="274" t="str">
        <f>IF(Table1[[#This Row],[h_hargasebelumdiskon]]="","",IF(Table1[[#This Row],[Disc 1]]="",0,Table1[[#This Row],[h_hargasebelumdiskon]]*Table1[[#This Row],[Disc 1]]))</f>
        <v/>
      </c>
      <c r="AA265" s="274" t="str">
        <f>IF(Table1[[#This Row],[h_hargasebelumdiskon]]="","",IF(Table1[[#This Row],[Disc 2]]="",0,(Table1[[#This Row],[h_hargasebelumdiskon]]-Table1[[#This Row],[h_disc 1]])*Table1[[#This Row],[Disc 2]]))</f>
        <v/>
      </c>
      <c r="AB265" s="274" t="str">
        <f>IF(Table1[Item Description]="","",Table1[[#This Row],[h_disc 1]]+Table1[[#This Row],[h_disc 2]])</f>
        <v/>
      </c>
      <c r="AC265" s="274" t="str">
        <f>IF(Table1[Item Description]="","",Table1[[#This Row],[h_hargasebelumdiskon]]-Table1[[#This Row],[h_diskon]])</f>
        <v/>
      </c>
      <c r="AD265" s="274" t="str">
        <f ca="1">IF(Table1[//]="","",SUMIF(Table1[h_id],Table1[h_id],Table1[h_hargasetelahdiskon]))</f>
        <v/>
      </c>
      <c r="AF265" s="274" t="str">
        <f>Table1[[#This Row],[Item Description]]&amp;Table1[[#This Row],[Unit]]&amp;Table1[[#This Row],[Unit Price]]</f>
        <v/>
      </c>
      <c r="AG265" s="3"/>
      <c r="AH265" s="3"/>
      <c r="AI265" s="3"/>
    </row>
    <row r="266" spans="1:35" x14ac:dyDescent="0.25">
      <c r="A266" s="278" t="str">
        <f ca="1">IF(Table1[[#This Row],[No. Invoice :]]="","",ROW())</f>
        <v/>
      </c>
      <c r="B266" s="278" t="str">
        <f ca="1">IF(Table1[Column3]="","",B$1+COUNT(INDIRECT("B$2:B"&amp;ROW()-1)))</f>
        <v/>
      </c>
      <c r="C266" s="272" t="str">
        <f>IF(Table1[[#This Row],[Column2]]="","",Table1[[#This Row],[Column2]]+C$1-1)</f>
        <v/>
      </c>
      <c r="E266" s="273"/>
      <c r="F266" s="271"/>
      <c r="G266" s="278" t="str">
        <f ca="1">IF(Table1[[#This Row],[h_No. Invoice :]]="","",CONCATENATE("AM"," ",Table1[[#This Row],[h_No. Invoice :]]))</f>
        <v/>
      </c>
      <c r="H266" s="271" t="str">
        <f>IF(Table1[[#This Row],[Column5]]="","",INDEX(Table2[Column1],MATCH(Table1[[#This Row],[Column5]],Table2[a],0)))</f>
        <v/>
      </c>
      <c r="I266" s="279" t="str">
        <f>IF(Table1[[#This Row],[Column3]]=0,"",CONCATENATE(UPPER(Table1[[#This Row],[Column3]])," ",Table1[[#This Row],[Column4]]))</f>
        <v xml:space="preserve"> </v>
      </c>
      <c r="J266" s="278" t="str">
        <f>IF(Table1[[#This Row],[Column5]]="","",INDEX(Table2[e],IF(Table1[[#This Row],[Column5]]="","",MATCH(Table1[[#This Row],[Column5]],Table2[a],0)),))</f>
        <v/>
      </c>
      <c r="K266" s="271"/>
      <c r="L266" s="271"/>
      <c r="O266" s="278" t="str">
        <f>IF(Table1[[#This Row],[h_Item Description]]="","",INDEX([1]!db[NB PAJAK],MATCH(Table1[[#This Row],[h_Item Description]],[1]!db[kode],0)))</f>
        <v/>
      </c>
      <c r="Q266" s="274"/>
      <c r="R266" s="275"/>
      <c r="S266" s="275"/>
      <c r="T266" s="274" t="str">
        <f>Table1[[#This Row],[h_hargasetelahdiskon]]</f>
        <v/>
      </c>
      <c r="V266" s="271"/>
      <c r="W266" s="278" t="str">
        <f ca="1">IF(Table1[[#This Row],[Item Description]]="","",IF(Table1[[#This Row],[//]]="",INDIRECT(ADDRESS(ROW()-1,COLUMN())),Table1[[#This Row],[//]]))</f>
        <v/>
      </c>
      <c r="X266" s="278" t="str">
        <f ca="1">IF(Table1[[#This Row],[h_id]]="","",COUNTIF(Table1[h_id],Table1[[#This Row],[h_id]]))</f>
        <v/>
      </c>
      <c r="Y266" s="274" t="str">
        <f>IF(Table1[Item Description]="","",Table1[[#This Row],[Qty]]*Table1[[#This Row],[Unit Price]])</f>
        <v/>
      </c>
      <c r="Z266" s="274" t="str">
        <f>IF(Table1[[#This Row],[h_hargasebelumdiskon]]="","",IF(Table1[[#This Row],[Disc 1]]="",0,Table1[[#This Row],[h_hargasebelumdiskon]]*Table1[[#This Row],[Disc 1]]))</f>
        <v/>
      </c>
      <c r="AA266" s="274" t="str">
        <f>IF(Table1[[#This Row],[h_hargasebelumdiskon]]="","",IF(Table1[[#This Row],[Disc 2]]="",0,(Table1[[#This Row],[h_hargasebelumdiskon]]-Table1[[#This Row],[h_disc 1]])*Table1[[#This Row],[Disc 2]]))</f>
        <v/>
      </c>
      <c r="AB266" s="274" t="str">
        <f>IF(Table1[Item Description]="","",Table1[[#This Row],[h_disc 1]]+Table1[[#This Row],[h_disc 2]])</f>
        <v/>
      </c>
      <c r="AC266" s="274" t="str">
        <f>IF(Table1[Item Description]="","",Table1[[#This Row],[h_hargasebelumdiskon]]-Table1[[#This Row],[h_diskon]])</f>
        <v/>
      </c>
      <c r="AD266" s="274" t="str">
        <f ca="1">IF(Table1[//]="","",SUMIF(Table1[h_id],Table1[h_id],Table1[h_hargasetelahdiskon]))</f>
        <v/>
      </c>
      <c r="AF266" s="274" t="str">
        <f>Table1[[#This Row],[Item Description]]&amp;Table1[[#This Row],[Unit]]&amp;Table1[[#This Row],[Unit Price]]</f>
        <v/>
      </c>
      <c r="AG266" s="3"/>
      <c r="AH266" s="3"/>
      <c r="AI266" s="3"/>
    </row>
    <row r="267" spans="1:35" x14ac:dyDescent="0.25">
      <c r="A267" s="278" t="str">
        <f ca="1">IF(Table1[[#This Row],[No. Invoice :]]="","",ROW())</f>
        <v/>
      </c>
      <c r="B267" s="278" t="str">
        <f ca="1">IF(Table1[Column3]="","",B$1+COUNT(INDIRECT("B$2:B"&amp;ROW()-1)))</f>
        <v/>
      </c>
      <c r="C267" s="272" t="str">
        <f>IF(Table1[[#This Row],[Column2]]="","",Table1[[#This Row],[Column2]]+C$1-1)</f>
        <v/>
      </c>
      <c r="E267" s="273"/>
      <c r="F267" s="271"/>
      <c r="G267" s="278" t="str">
        <f ca="1">IF(Table1[[#This Row],[h_No. Invoice :]]="","",CONCATENATE("AM"," ",Table1[[#This Row],[h_No. Invoice :]]))</f>
        <v/>
      </c>
      <c r="H267" s="271" t="str">
        <f>IF(Table1[[#This Row],[Column5]]="","",INDEX(Table2[Column1],MATCH(Table1[[#This Row],[Column5]],Table2[a],0)))</f>
        <v/>
      </c>
      <c r="I267" s="279" t="str">
        <f>IF(Table1[[#This Row],[Column3]]=0,"",CONCATENATE(UPPER(Table1[[#This Row],[Column3]])," ",Table1[[#This Row],[Column4]]))</f>
        <v xml:space="preserve"> </v>
      </c>
      <c r="J267" s="278" t="str">
        <f>IF(Table1[[#This Row],[Column5]]="","",INDEX(Table2[e],IF(Table1[[#This Row],[Column5]]="","",MATCH(Table1[[#This Row],[Column5]],Table2[a],0)),))</f>
        <v/>
      </c>
      <c r="K267" s="271"/>
      <c r="L267" s="271"/>
      <c r="O267" s="278" t="str">
        <f>IF(Table1[[#This Row],[h_Item Description]]="","",INDEX([1]!db[NB PAJAK],MATCH(Table1[[#This Row],[h_Item Description]],[1]!db[kode],0)))</f>
        <v/>
      </c>
      <c r="Q267" s="274"/>
      <c r="R267" s="275"/>
      <c r="S267" s="275"/>
      <c r="T267" s="274" t="str">
        <f>Table1[[#This Row],[h_hargasetelahdiskon]]</f>
        <v/>
      </c>
      <c r="V267" s="271"/>
      <c r="W267" s="278" t="str">
        <f ca="1">IF(Table1[[#This Row],[Item Description]]="","",IF(Table1[[#This Row],[//]]="",INDIRECT(ADDRESS(ROW()-1,COLUMN())),Table1[[#This Row],[//]]))</f>
        <v/>
      </c>
      <c r="X267" s="278" t="str">
        <f ca="1">IF(Table1[[#This Row],[h_id]]="","",COUNTIF(Table1[h_id],Table1[[#This Row],[h_id]]))</f>
        <v/>
      </c>
      <c r="Y267" s="274" t="str">
        <f>IF(Table1[Item Description]="","",Table1[[#This Row],[Qty]]*Table1[[#This Row],[Unit Price]])</f>
        <v/>
      </c>
      <c r="Z267" s="274" t="str">
        <f>IF(Table1[[#This Row],[h_hargasebelumdiskon]]="","",IF(Table1[[#This Row],[Disc 1]]="",0,Table1[[#This Row],[h_hargasebelumdiskon]]*Table1[[#This Row],[Disc 1]]))</f>
        <v/>
      </c>
      <c r="AA267" s="274" t="str">
        <f>IF(Table1[[#This Row],[h_hargasebelumdiskon]]="","",IF(Table1[[#This Row],[Disc 2]]="",0,(Table1[[#This Row],[h_hargasebelumdiskon]]-Table1[[#This Row],[h_disc 1]])*Table1[[#This Row],[Disc 2]]))</f>
        <v/>
      </c>
      <c r="AB267" s="274" t="str">
        <f>IF(Table1[Item Description]="","",Table1[[#This Row],[h_disc 1]]+Table1[[#This Row],[h_disc 2]])</f>
        <v/>
      </c>
      <c r="AC267" s="274" t="str">
        <f>IF(Table1[Item Description]="","",Table1[[#This Row],[h_hargasebelumdiskon]]-Table1[[#This Row],[h_diskon]])</f>
        <v/>
      </c>
      <c r="AD267" s="274" t="str">
        <f ca="1">IF(Table1[//]="","",SUMIF(Table1[h_id],Table1[h_id],Table1[h_hargasetelahdiskon]))</f>
        <v/>
      </c>
      <c r="AF267" s="274" t="str">
        <f>Table1[[#This Row],[Item Description]]&amp;Table1[[#This Row],[Unit]]&amp;Table1[[#This Row],[Unit Price]]</f>
        <v/>
      </c>
      <c r="AG267" s="3"/>
      <c r="AH267" s="3"/>
      <c r="AI267" s="3"/>
    </row>
    <row r="268" spans="1:35" x14ac:dyDescent="0.25">
      <c r="A268" s="278" t="str">
        <f ca="1">IF(Table1[[#This Row],[No. Invoice :]]="","",ROW())</f>
        <v/>
      </c>
      <c r="B268" s="278" t="str">
        <f ca="1">IF(Table1[Column3]="","",B$1+COUNT(INDIRECT("B$2:B"&amp;ROW()-1)))</f>
        <v/>
      </c>
      <c r="C268" s="272" t="str">
        <f>IF(Table1[[#This Row],[Column2]]="","",Table1[[#This Row],[Column2]]+C$1-1)</f>
        <v/>
      </c>
      <c r="E268" s="273"/>
      <c r="F268" s="271"/>
      <c r="G268" s="278" t="str">
        <f ca="1">IF(Table1[[#This Row],[h_No. Invoice :]]="","",CONCATENATE("AM"," ",Table1[[#This Row],[h_No. Invoice :]]))</f>
        <v/>
      </c>
      <c r="H268" s="271" t="str">
        <f>IF(Table1[[#This Row],[Column5]]="","",INDEX(Table2[Column1],MATCH(Table1[[#This Row],[Column5]],Table2[a],0)))</f>
        <v/>
      </c>
      <c r="I268" s="279" t="str">
        <f>IF(Table1[[#This Row],[Column3]]=0,"",CONCATENATE(UPPER(Table1[[#This Row],[Column3]])," ",Table1[[#This Row],[Column4]]))</f>
        <v xml:space="preserve"> </v>
      </c>
      <c r="J268" s="278" t="str">
        <f>IF(Table1[[#This Row],[Column5]]="","",INDEX(Table2[e],IF(Table1[[#This Row],[Column5]]="","",MATCH(Table1[[#This Row],[Column5]],Table2[a],0)),))</f>
        <v/>
      </c>
      <c r="K268" s="271"/>
      <c r="L268" s="271"/>
      <c r="O268" s="278" t="str">
        <f>IF(Table1[[#This Row],[h_Item Description]]="","",INDEX([1]!db[NB PAJAK],MATCH(Table1[[#This Row],[h_Item Description]],[1]!db[kode],0)))</f>
        <v/>
      </c>
      <c r="Q268" s="274"/>
      <c r="R268" s="275"/>
      <c r="S268" s="275"/>
      <c r="T268" s="274" t="str">
        <f>Table1[[#This Row],[h_hargasetelahdiskon]]</f>
        <v/>
      </c>
      <c r="V268" s="271"/>
      <c r="W268" s="278" t="str">
        <f ca="1">IF(Table1[[#This Row],[Item Description]]="","",IF(Table1[[#This Row],[//]]="",INDIRECT(ADDRESS(ROW()-1,COLUMN())),Table1[[#This Row],[//]]))</f>
        <v/>
      </c>
      <c r="X268" s="278" t="str">
        <f ca="1">IF(Table1[[#This Row],[h_id]]="","",COUNTIF(Table1[h_id],Table1[[#This Row],[h_id]]))</f>
        <v/>
      </c>
      <c r="Y268" s="274" t="str">
        <f>IF(Table1[Item Description]="","",Table1[[#This Row],[Qty]]*Table1[[#This Row],[Unit Price]])</f>
        <v/>
      </c>
      <c r="Z268" s="274" t="str">
        <f>IF(Table1[[#This Row],[h_hargasebelumdiskon]]="","",IF(Table1[[#This Row],[Disc 1]]="",0,Table1[[#This Row],[h_hargasebelumdiskon]]*Table1[[#This Row],[Disc 1]]))</f>
        <v/>
      </c>
      <c r="AA268" s="274" t="str">
        <f>IF(Table1[[#This Row],[h_hargasebelumdiskon]]="","",IF(Table1[[#This Row],[Disc 2]]="",0,(Table1[[#This Row],[h_hargasebelumdiskon]]-Table1[[#This Row],[h_disc 1]])*Table1[[#This Row],[Disc 2]]))</f>
        <v/>
      </c>
      <c r="AB268" s="274" t="str">
        <f>IF(Table1[Item Description]="","",Table1[[#This Row],[h_disc 1]]+Table1[[#This Row],[h_disc 2]])</f>
        <v/>
      </c>
      <c r="AC268" s="274" t="str">
        <f>IF(Table1[Item Description]="","",Table1[[#This Row],[h_hargasebelumdiskon]]-Table1[[#This Row],[h_diskon]])</f>
        <v/>
      </c>
      <c r="AD268" s="274" t="str">
        <f ca="1">IF(Table1[//]="","",SUMIF(Table1[h_id],Table1[h_id],Table1[h_hargasetelahdiskon]))</f>
        <v/>
      </c>
      <c r="AF268" s="274" t="str">
        <f>Table1[[#This Row],[Item Description]]&amp;Table1[[#This Row],[Unit]]&amp;Table1[[#This Row],[Unit Price]]</f>
        <v/>
      </c>
      <c r="AG268" s="3"/>
      <c r="AH268" s="3"/>
      <c r="AI268" s="3"/>
    </row>
    <row r="269" spans="1:35" x14ac:dyDescent="0.25">
      <c r="A269" s="278" t="str">
        <f ca="1">IF(Table1[[#This Row],[No. Invoice :]]="","",ROW())</f>
        <v/>
      </c>
      <c r="B269" s="278" t="str">
        <f ca="1">IF(Table1[Column3]="","",B$1+COUNT(INDIRECT("B$2:B"&amp;ROW()-1)))</f>
        <v/>
      </c>
      <c r="C269" s="272" t="str">
        <f>IF(Table1[[#This Row],[Column2]]="","",Table1[[#This Row],[Column2]]+C$1-1)</f>
        <v/>
      </c>
      <c r="E269" s="273"/>
      <c r="F269" s="271"/>
      <c r="G269" s="278" t="str">
        <f ca="1">IF(Table1[[#This Row],[h_No. Invoice :]]="","",CONCATENATE("AM"," ",Table1[[#This Row],[h_No. Invoice :]]))</f>
        <v/>
      </c>
      <c r="H269" s="271" t="str">
        <f>IF(Table1[[#This Row],[Column5]]="","",INDEX(Table2[Column1],MATCH(Table1[[#This Row],[Column5]],Table2[a],0)))</f>
        <v/>
      </c>
      <c r="I269" s="279" t="str">
        <f>IF(Table1[[#This Row],[Column3]]=0,"",CONCATENATE(UPPER(Table1[[#This Row],[Column3]])," ",Table1[[#This Row],[Column4]]))</f>
        <v xml:space="preserve"> </v>
      </c>
      <c r="J269" s="278" t="str">
        <f>IF(Table1[[#This Row],[Column5]]="","",INDEX(Table2[e],IF(Table1[[#This Row],[Column5]]="","",MATCH(Table1[[#This Row],[Column5]],Table2[a],0)),))</f>
        <v/>
      </c>
      <c r="K269" s="271"/>
      <c r="L269" s="271"/>
      <c r="O269" s="278" t="str">
        <f>IF(Table1[[#This Row],[h_Item Description]]="","",INDEX([1]!db[NB PAJAK],MATCH(Table1[[#This Row],[h_Item Description]],[1]!db[kode],0)))</f>
        <v/>
      </c>
      <c r="Q269" s="274"/>
      <c r="R269" s="275"/>
      <c r="S269" s="275"/>
      <c r="T269" s="274" t="str">
        <f>Table1[[#This Row],[h_hargasetelahdiskon]]</f>
        <v/>
      </c>
      <c r="V269" s="271"/>
      <c r="W269" s="278" t="str">
        <f ca="1">IF(Table1[[#This Row],[Item Description]]="","",IF(Table1[[#This Row],[//]]="",INDIRECT(ADDRESS(ROW()-1,COLUMN())),Table1[[#This Row],[//]]))</f>
        <v/>
      </c>
      <c r="X269" s="278" t="str">
        <f ca="1">IF(Table1[[#This Row],[h_id]]="","",COUNTIF(Table1[h_id],Table1[[#This Row],[h_id]]))</f>
        <v/>
      </c>
      <c r="Y269" s="274" t="str">
        <f>IF(Table1[Item Description]="","",Table1[[#This Row],[Qty]]*Table1[[#This Row],[Unit Price]])</f>
        <v/>
      </c>
      <c r="Z269" s="274" t="str">
        <f>IF(Table1[[#This Row],[h_hargasebelumdiskon]]="","",IF(Table1[[#This Row],[Disc 1]]="",0,Table1[[#This Row],[h_hargasebelumdiskon]]*Table1[[#This Row],[Disc 1]]))</f>
        <v/>
      </c>
      <c r="AA269" s="274" t="str">
        <f>IF(Table1[[#This Row],[h_hargasebelumdiskon]]="","",IF(Table1[[#This Row],[Disc 2]]="",0,(Table1[[#This Row],[h_hargasebelumdiskon]]-Table1[[#This Row],[h_disc 1]])*Table1[[#This Row],[Disc 2]]))</f>
        <v/>
      </c>
      <c r="AB269" s="274" t="str">
        <f>IF(Table1[Item Description]="","",Table1[[#This Row],[h_disc 1]]+Table1[[#This Row],[h_disc 2]])</f>
        <v/>
      </c>
      <c r="AC269" s="274" t="str">
        <f>IF(Table1[Item Description]="","",Table1[[#This Row],[h_hargasebelumdiskon]]-Table1[[#This Row],[h_diskon]])</f>
        <v/>
      </c>
      <c r="AD269" s="274" t="str">
        <f ca="1">IF(Table1[//]="","",SUMIF(Table1[h_id],Table1[h_id],Table1[h_hargasetelahdiskon]))</f>
        <v/>
      </c>
      <c r="AF269" s="274" t="str">
        <f>Table1[[#This Row],[Item Description]]&amp;Table1[[#This Row],[Unit]]&amp;Table1[[#This Row],[Unit Price]]</f>
        <v/>
      </c>
      <c r="AG269" s="3"/>
      <c r="AH269" s="3"/>
      <c r="AI269" s="3"/>
    </row>
    <row r="270" spans="1:35" x14ac:dyDescent="0.25">
      <c r="A270" s="278" t="str">
        <f ca="1">IF(Table1[[#This Row],[No. Invoice :]]="","",ROW())</f>
        <v/>
      </c>
      <c r="B270" s="278" t="str">
        <f ca="1">IF(Table1[Column3]="","",B$1+COUNT(INDIRECT("B$2:B"&amp;ROW()-1)))</f>
        <v/>
      </c>
      <c r="C270" s="272" t="str">
        <f>IF(Table1[[#This Row],[Column2]]="","",Table1[[#This Row],[Column2]]+C$1-1)</f>
        <v/>
      </c>
      <c r="E270" s="273"/>
      <c r="F270" s="271"/>
      <c r="G270" s="278" t="str">
        <f ca="1">IF(Table1[[#This Row],[h_No. Invoice :]]="","",CONCATENATE("AM"," ",Table1[[#This Row],[h_No. Invoice :]]))</f>
        <v/>
      </c>
      <c r="H270" s="271" t="str">
        <f>IF(Table1[[#This Row],[Column5]]="","",INDEX(Table2[Column1],MATCH(Table1[[#This Row],[Column5]],Table2[a],0)))</f>
        <v/>
      </c>
      <c r="I270" s="279" t="str">
        <f>IF(Table1[[#This Row],[Column3]]=0,"",CONCATENATE(UPPER(Table1[[#This Row],[Column3]])," ",Table1[[#This Row],[Column4]]))</f>
        <v xml:space="preserve"> </v>
      </c>
      <c r="J270" s="278" t="str">
        <f>IF(Table1[[#This Row],[Column5]]="","",INDEX(Table2[e],IF(Table1[[#This Row],[Column5]]="","",MATCH(Table1[[#This Row],[Column5]],Table2[a],0)),))</f>
        <v/>
      </c>
      <c r="K270" s="271"/>
      <c r="L270" s="271"/>
      <c r="O270" s="278" t="str">
        <f>IF(Table1[[#This Row],[h_Item Description]]="","",INDEX([1]!db[NB PAJAK],MATCH(Table1[[#This Row],[h_Item Description]],[1]!db[kode],0)))</f>
        <v/>
      </c>
      <c r="Q270" s="274"/>
      <c r="R270" s="275"/>
      <c r="S270" s="275"/>
      <c r="T270" s="274" t="str">
        <f>Table1[[#This Row],[h_hargasetelahdiskon]]</f>
        <v/>
      </c>
      <c r="V270" s="271"/>
      <c r="W270" s="278" t="str">
        <f ca="1">IF(Table1[[#This Row],[Item Description]]="","",IF(Table1[[#This Row],[//]]="",INDIRECT(ADDRESS(ROW()-1,COLUMN())),Table1[[#This Row],[//]]))</f>
        <v/>
      </c>
      <c r="X270" s="278" t="str">
        <f ca="1">IF(Table1[[#This Row],[h_id]]="","",COUNTIF(Table1[h_id],Table1[[#This Row],[h_id]]))</f>
        <v/>
      </c>
      <c r="Y270" s="274" t="str">
        <f>IF(Table1[Item Description]="","",Table1[[#This Row],[Qty]]*Table1[[#This Row],[Unit Price]])</f>
        <v/>
      </c>
      <c r="Z270" s="274" t="str">
        <f>IF(Table1[[#This Row],[h_hargasebelumdiskon]]="","",IF(Table1[[#This Row],[Disc 1]]="",0,Table1[[#This Row],[h_hargasebelumdiskon]]*Table1[[#This Row],[Disc 1]]))</f>
        <v/>
      </c>
      <c r="AA270" s="274" t="str">
        <f>IF(Table1[[#This Row],[h_hargasebelumdiskon]]="","",IF(Table1[[#This Row],[Disc 2]]="",0,(Table1[[#This Row],[h_hargasebelumdiskon]]-Table1[[#This Row],[h_disc 1]])*Table1[[#This Row],[Disc 2]]))</f>
        <v/>
      </c>
      <c r="AB270" s="274" t="str">
        <f>IF(Table1[Item Description]="","",Table1[[#This Row],[h_disc 1]]+Table1[[#This Row],[h_disc 2]])</f>
        <v/>
      </c>
      <c r="AC270" s="274" t="str">
        <f>IF(Table1[Item Description]="","",Table1[[#This Row],[h_hargasebelumdiskon]]-Table1[[#This Row],[h_diskon]])</f>
        <v/>
      </c>
      <c r="AD270" s="274" t="str">
        <f ca="1">IF(Table1[//]="","",SUMIF(Table1[h_id],Table1[h_id],Table1[h_hargasetelahdiskon]))</f>
        <v/>
      </c>
      <c r="AF270" s="274" t="str">
        <f>Table1[[#This Row],[Item Description]]&amp;Table1[[#This Row],[Unit]]&amp;Table1[[#This Row],[Unit Price]]</f>
        <v/>
      </c>
      <c r="AG270" s="3"/>
      <c r="AH270" s="3"/>
      <c r="AI270" s="3"/>
    </row>
    <row r="271" spans="1:35" x14ac:dyDescent="0.25">
      <c r="A271" s="278" t="str">
        <f ca="1">IF(Table1[[#This Row],[No. Invoice :]]="","",ROW())</f>
        <v/>
      </c>
      <c r="B271" s="278" t="str">
        <f ca="1">IF(Table1[Column3]="","",B$1+COUNT(INDIRECT("B$2:B"&amp;ROW()-1)))</f>
        <v/>
      </c>
      <c r="C271" s="272" t="str">
        <f>IF(Table1[[#This Row],[Column2]]="","",Table1[[#This Row],[Column2]]+C$1-1)</f>
        <v/>
      </c>
      <c r="E271" s="273"/>
      <c r="F271" s="271"/>
      <c r="G271" s="278" t="str">
        <f ca="1">IF(Table1[[#This Row],[h_No. Invoice :]]="","",CONCATENATE("AM"," ",Table1[[#This Row],[h_No. Invoice :]]))</f>
        <v/>
      </c>
      <c r="H271" s="271" t="str">
        <f>IF(Table1[[#This Row],[Column5]]="","",INDEX(Table2[Column1],MATCH(Table1[[#This Row],[Column5]],Table2[a],0)))</f>
        <v/>
      </c>
      <c r="I271" s="279" t="str">
        <f>IF(Table1[[#This Row],[Column3]]=0,"",CONCATENATE(UPPER(Table1[[#This Row],[Column3]])," ",Table1[[#This Row],[Column4]]))</f>
        <v xml:space="preserve"> </v>
      </c>
      <c r="J271" s="278" t="str">
        <f>IF(Table1[[#This Row],[Column5]]="","",INDEX(Table2[e],IF(Table1[[#This Row],[Column5]]="","",MATCH(Table1[[#This Row],[Column5]],Table2[a],0)),))</f>
        <v/>
      </c>
      <c r="K271" s="271"/>
      <c r="L271" s="271"/>
      <c r="O271" s="278" t="str">
        <f>IF(Table1[[#This Row],[h_Item Description]]="","",INDEX([1]!db[NB PAJAK],MATCH(Table1[[#This Row],[h_Item Description]],[1]!db[kode],0)))</f>
        <v/>
      </c>
      <c r="Q271" s="274"/>
      <c r="R271" s="275"/>
      <c r="S271" s="275"/>
      <c r="T271" s="274" t="str">
        <f>Table1[[#This Row],[h_hargasetelahdiskon]]</f>
        <v/>
      </c>
      <c r="V271" s="271"/>
      <c r="W271" s="278" t="str">
        <f ca="1">IF(Table1[[#This Row],[Item Description]]="","",IF(Table1[[#This Row],[//]]="",INDIRECT(ADDRESS(ROW()-1,COLUMN())),Table1[[#This Row],[//]]))</f>
        <v/>
      </c>
      <c r="X271" s="278" t="str">
        <f ca="1">IF(Table1[[#This Row],[h_id]]="","",COUNTIF(Table1[h_id],Table1[[#This Row],[h_id]]))</f>
        <v/>
      </c>
      <c r="Y271" s="274" t="str">
        <f>IF(Table1[Item Description]="","",Table1[[#This Row],[Qty]]*Table1[[#This Row],[Unit Price]])</f>
        <v/>
      </c>
      <c r="Z271" s="274" t="str">
        <f>IF(Table1[[#This Row],[h_hargasebelumdiskon]]="","",IF(Table1[[#This Row],[Disc 1]]="",0,Table1[[#This Row],[h_hargasebelumdiskon]]*Table1[[#This Row],[Disc 1]]))</f>
        <v/>
      </c>
      <c r="AA271" s="274" t="str">
        <f>IF(Table1[[#This Row],[h_hargasebelumdiskon]]="","",IF(Table1[[#This Row],[Disc 2]]="",0,(Table1[[#This Row],[h_hargasebelumdiskon]]-Table1[[#This Row],[h_disc 1]])*Table1[[#This Row],[Disc 2]]))</f>
        <v/>
      </c>
      <c r="AB271" s="274" t="str">
        <f>IF(Table1[Item Description]="","",Table1[[#This Row],[h_disc 1]]+Table1[[#This Row],[h_disc 2]])</f>
        <v/>
      </c>
      <c r="AC271" s="274" t="str">
        <f>IF(Table1[Item Description]="","",Table1[[#This Row],[h_hargasebelumdiskon]]-Table1[[#This Row],[h_diskon]])</f>
        <v/>
      </c>
      <c r="AD271" s="274" t="str">
        <f ca="1">IF(Table1[//]="","",SUMIF(Table1[h_id],Table1[h_id],Table1[h_hargasetelahdiskon]))</f>
        <v/>
      </c>
      <c r="AF271" s="274" t="str">
        <f>Table1[[#This Row],[Item Description]]&amp;Table1[[#This Row],[Unit]]&amp;Table1[[#This Row],[Unit Price]]</f>
        <v/>
      </c>
      <c r="AG271" s="3"/>
      <c r="AH271" s="3"/>
      <c r="AI271" s="3"/>
    </row>
    <row r="272" spans="1:35" x14ac:dyDescent="0.25">
      <c r="A272" s="278" t="str">
        <f ca="1">IF(Table1[[#This Row],[No. Invoice :]]="","",ROW())</f>
        <v/>
      </c>
      <c r="B272" s="278" t="str">
        <f ca="1">IF(Table1[Column3]="","",B$1+COUNT(INDIRECT("B$2:B"&amp;ROW()-1)))</f>
        <v/>
      </c>
      <c r="C272" s="272" t="str">
        <f>IF(Table1[[#This Row],[Column2]]="","",Table1[[#This Row],[Column2]]+C$1-1)</f>
        <v/>
      </c>
      <c r="E272" s="273"/>
      <c r="F272" s="271"/>
      <c r="G272" s="278" t="str">
        <f ca="1">IF(Table1[[#This Row],[h_No. Invoice :]]="","",CONCATENATE("AM"," ",Table1[[#This Row],[h_No. Invoice :]]))</f>
        <v/>
      </c>
      <c r="H272" s="271" t="str">
        <f>IF(Table1[[#This Row],[Column5]]="","",INDEX(Table2[Column1],MATCH(Table1[[#This Row],[Column5]],Table2[a],0)))</f>
        <v/>
      </c>
      <c r="I272" s="279" t="str">
        <f>IF(Table1[[#This Row],[Column3]]=0,"",CONCATENATE(UPPER(Table1[[#This Row],[Column3]])," ",Table1[[#This Row],[Column4]]))</f>
        <v xml:space="preserve"> </v>
      </c>
      <c r="J272" s="278" t="str">
        <f>IF(Table1[[#This Row],[Column5]]="","",INDEX(Table2[e],IF(Table1[[#This Row],[Column5]]="","",MATCH(Table1[[#This Row],[Column5]],Table2[a],0)),))</f>
        <v/>
      </c>
      <c r="K272" s="271"/>
      <c r="L272" s="271"/>
      <c r="O272" s="278" t="str">
        <f>IF(Table1[[#This Row],[h_Item Description]]="","",INDEX([1]!db[NB PAJAK],MATCH(Table1[[#This Row],[h_Item Description]],[1]!db[kode],0)))</f>
        <v/>
      </c>
      <c r="Q272" s="274"/>
      <c r="R272" s="275"/>
      <c r="S272" s="275"/>
      <c r="T272" s="274" t="str">
        <f>Table1[[#This Row],[h_hargasetelahdiskon]]</f>
        <v/>
      </c>
      <c r="V272" s="271"/>
      <c r="W272" s="278" t="str">
        <f ca="1">IF(Table1[[#This Row],[Item Description]]="","",IF(Table1[[#This Row],[//]]="",INDIRECT(ADDRESS(ROW()-1,COLUMN())),Table1[[#This Row],[//]]))</f>
        <v/>
      </c>
      <c r="X272" s="278" t="str">
        <f ca="1">IF(Table1[[#This Row],[h_id]]="","",COUNTIF(Table1[h_id],Table1[[#This Row],[h_id]]))</f>
        <v/>
      </c>
      <c r="Y272" s="274" t="str">
        <f>IF(Table1[Item Description]="","",Table1[[#This Row],[Qty]]*Table1[[#This Row],[Unit Price]])</f>
        <v/>
      </c>
      <c r="Z272" s="274" t="str">
        <f>IF(Table1[[#This Row],[h_hargasebelumdiskon]]="","",IF(Table1[[#This Row],[Disc 1]]="",0,Table1[[#This Row],[h_hargasebelumdiskon]]*Table1[[#This Row],[Disc 1]]))</f>
        <v/>
      </c>
      <c r="AA272" s="274" t="str">
        <f>IF(Table1[[#This Row],[h_hargasebelumdiskon]]="","",IF(Table1[[#This Row],[Disc 2]]="",0,(Table1[[#This Row],[h_hargasebelumdiskon]]-Table1[[#This Row],[h_disc 1]])*Table1[[#This Row],[Disc 2]]))</f>
        <v/>
      </c>
      <c r="AB272" s="274" t="str">
        <f>IF(Table1[Item Description]="","",Table1[[#This Row],[h_disc 1]]+Table1[[#This Row],[h_disc 2]])</f>
        <v/>
      </c>
      <c r="AC272" s="274" t="str">
        <f>IF(Table1[Item Description]="","",Table1[[#This Row],[h_hargasebelumdiskon]]-Table1[[#This Row],[h_diskon]])</f>
        <v/>
      </c>
      <c r="AD272" s="274" t="str">
        <f ca="1">IF(Table1[//]="","",SUMIF(Table1[h_id],Table1[h_id],Table1[h_hargasetelahdiskon]))</f>
        <v/>
      </c>
      <c r="AF272" s="274" t="str">
        <f>Table1[[#This Row],[Item Description]]&amp;Table1[[#This Row],[Unit]]&amp;Table1[[#This Row],[Unit Price]]</f>
        <v/>
      </c>
      <c r="AG272" s="3"/>
      <c r="AH272" s="3"/>
      <c r="AI272" s="3"/>
    </row>
    <row r="273" spans="1:35" x14ac:dyDescent="0.25">
      <c r="A273" s="278" t="str">
        <f ca="1">IF(Table1[[#This Row],[No. Invoice :]]="","",ROW())</f>
        <v/>
      </c>
      <c r="B273" s="278" t="str">
        <f ca="1">IF(Table1[Column3]="","",B$1+COUNT(INDIRECT("B$2:B"&amp;ROW()-1)))</f>
        <v/>
      </c>
      <c r="C273" s="272" t="str">
        <f>IF(Table1[[#This Row],[Column2]]="","",Table1[[#This Row],[Column2]]+C$1-1)</f>
        <v/>
      </c>
      <c r="E273" s="273"/>
      <c r="F273" s="271"/>
      <c r="G273" s="278" t="str">
        <f ca="1">IF(Table1[[#This Row],[h_No. Invoice :]]="","",CONCATENATE("AM"," ",Table1[[#This Row],[h_No. Invoice :]]))</f>
        <v/>
      </c>
      <c r="H273" s="271" t="str">
        <f>IF(Table1[[#This Row],[Column5]]="","",INDEX(Table2[Column1],MATCH(Table1[[#This Row],[Column5]],Table2[a],0)))</f>
        <v/>
      </c>
      <c r="I273" s="279" t="str">
        <f>IF(Table1[[#This Row],[Column3]]=0,"",CONCATENATE(UPPER(Table1[[#This Row],[Column3]])," ",Table1[[#This Row],[Column4]]))</f>
        <v xml:space="preserve"> </v>
      </c>
      <c r="J273" s="278" t="str">
        <f>IF(Table1[[#This Row],[Column5]]="","",INDEX(Table2[e],IF(Table1[[#This Row],[Column5]]="","",MATCH(Table1[[#This Row],[Column5]],Table2[a],0)),))</f>
        <v/>
      </c>
      <c r="K273" s="271"/>
      <c r="L273" s="271"/>
      <c r="O273" s="278" t="str">
        <f>IF(Table1[[#This Row],[h_Item Description]]="","",INDEX([1]!db[NB PAJAK],MATCH(Table1[[#This Row],[h_Item Description]],[1]!db[kode],0)))</f>
        <v/>
      </c>
      <c r="Q273" s="274"/>
      <c r="R273" s="275"/>
      <c r="S273" s="275"/>
      <c r="T273" s="274" t="str">
        <f>Table1[[#This Row],[h_hargasetelahdiskon]]</f>
        <v/>
      </c>
      <c r="V273" s="271"/>
      <c r="W273" s="278" t="str">
        <f ca="1">IF(Table1[[#This Row],[Item Description]]="","",IF(Table1[[#This Row],[//]]="",INDIRECT(ADDRESS(ROW()-1,COLUMN())),Table1[[#This Row],[//]]))</f>
        <v/>
      </c>
      <c r="X273" s="278" t="str">
        <f ca="1">IF(Table1[[#This Row],[h_id]]="","",COUNTIF(Table1[h_id],Table1[[#This Row],[h_id]]))</f>
        <v/>
      </c>
      <c r="Y273" s="274" t="str">
        <f>IF(Table1[Item Description]="","",Table1[[#This Row],[Qty]]*Table1[[#This Row],[Unit Price]])</f>
        <v/>
      </c>
      <c r="Z273" s="274" t="str">
        <f>IF(Table1[[#This Row],[h_hargasebelumdiskon]]="","",IF(Table1[[#This Row],[Disc 1]]="",0,Table1[[#This Row],[h_hargasebelumdiskon]]*Table1[[#This Row],[Disc 1]]))</f>
        <v/>
      </c>
      <c r="AA273" s="274" t="str">
        <f>IF(Table1[[#This Row],[h_hargasebelumdiskon]]="","",IF(Table1[[#This Row],[Disc 2]]="",0,(Table1[[#This Row],[h_hargasebelumdiskon]]-Table1[[#This Row],[h_disc 1]])*Table1[[#This Row],[Disc 2]]))</f>
        <v/>
      </c>
      <c r="AB273" s="274" t="str">
        <f>IF(Table1[Item Description]="","",Table1[[#This Row],[h_disc 1]]+Table1[[#This Row],[h_disc 2]])</f>
        <v/>
      </c>
      <c r="AC273" s="274" t="str">
        <f>IF(Table1[Item Description]="","",Table1[[#This Row],[h_hargasebelumdiskon]]-Table1[[#This Row],[h_diskon]])</f>
        <v/>
      </c>
      <c r="AD273" s="274" t="str">
        <f ca="1">IF(Table1[//]="","",SUMIF(Table1[h_id],Table1[h_id],Table1[h_hargasetelahdiskon]))</f>
        <v/>
      </c>
      <c r="AF273" s="274" t="str">
        <f>Table1[[#This Row],[Item Description]]&amp;Table1[[#This Row],[Unit]]&amp;Table1[[#This Row],[Unit Price]]</f>
        <v/>
      </c>
      <c r="AG273" s="3"/>
      <c r="AH273" s="3"/>
      <c r="AI273" s="3"/>
    </row>
    <row r="274" spans="1:35" x14ac:dyDescent="0.25">
      <c r="A274" s="278" t="str">
        <f ca="1">IF(Table1[[#This Row],[No. Invoice :]]="","",ROW())</f>
        <v/>
      </c>
      <c r="B274" s="278" t="str">
        <f ca="1">IF(Table1[Column3]="","",B$1+COUNT(INDIRECT("B$2:B"&amp;ROW()-1)))</f>
        <v/>
      </c>
      <c r="C274" s="272" t="str">
        <f>IF(Table1[[#This Row],[Column2]]="","",Table1[[#This Row],[Column2]]+C$1-1)</f>
        <v/>
      </c>
      <c r="E274" s="273"/>
      <c r="F274" s="271"/>
      <c r="G274" s="278" t="str">
        <f ca="1">IF(Table1[[#This Row],[h_No. Invoice :]]="","",CONCATENATE("AM"," ",Table1[[#This Row],[h_No. Invoice :]]))</f>
        <v/>
      </c>
      <c r="H274" s="271" t="str">
        <f>IF(Table1[[#This Row],[Column5]]="","",INDEX(Table2[Column1],MATCH(Table1[[#This Row],[Column5]],Table2[a],0)))</f>
        <v/>
      </c>
      <c r="I274" s="279" t="str">
        <f>IF(Table1[[#This Row],[Column3]]=0,"",CONCATENATE(UPPER(Table1[[#This Row],[Column3]])," ",Table1[[#This Row],[Column4]]))</f>
        <v xml:space="preserve"> </v>
      </c>
      <c r="J274" s="278" t="str">
        <f>IF(Table1[[#This Row],[Column5]]="","",INDEX(Table2[e],IF(Table1[[#This Row],[Column5]]="","",MATCH(Table1[[#This Row],[Column5]],Table2[a],0)),))</f>
        <v/>
      </c>
      <c r="K274" s="271"/>
      <c r="L274" s="271"/>
      <c r="O274" s="278" t="str">
        <f>IF(Table1[[#This Row],[h_Item Description]]="","",INDEX([1]!db[NB PAJAK],MATCH(Table1[[#This Row],[h_Item Description]],[1]!db[kode],0)))</f>
        <v/>
      </c>
      <c r="Q274" s="274"/>
      <c r="R274" s="275"/>
      <c r="S274" s="275"/>
      <c r="T274" s="274" t="str">
        <f>Table1[[#This Row],[h_hargasetelahdiskon]]</f>
        <v/>
      </c>
      <c r="V274" s="271"/>
      <c r="W274" s="278" t="str">
        <f ca="1">IF(Table1[[#This Row],[Item Description]]="","",IF(Table1[[#This Row],[//]]="",INDIRECT(ADDRESS(ROW()-1,COLUMN())),Table1[[#This Row],[//]]))</f>
        <v/>
      </c>
      <c r="X274" s="278" t="str">
        <f ca="1">IF(Table1[[#This Row],[h_id]]="","",COUNTIF(Table1[h_id],Table1[[#This Row],[h_id]]))</f>
        <v/>
      </c>
      <c r="Y274" s="274" t="str">
        <f>IF(Table1[Item Description]="","",Table1[[#This Row],[Qty]]*Table1[[#This Row],[Unit Price]])</f>
        <v/>
      </c>
      <c r="Z274" s="274" t="str">
        <f>IF(Table1[[#This Row],[h_hargasebelumdiskon]]="","",IF(Table1[[#This Row],[Disc 1]]="",0,Table1[[#This Row],[h_hargasebelumdiskon]]*Table1[[#This Row],[Disc 1]]))</f>
        <v/>
      </c>
      <c r="AA274" s="274" t="str">
        <f>IF(Table1[[#This Row],[h_hargasebelumdiskon]]="","",IF(Table1[[#This Row],[Disc 2]]="",0,(Table1[[#This Row],[h_hargasebelumdiskon]]-Table1[[#This Row],[h_disc 1]])*Table1[[#This Row],[Disc 2]]))</f>
        <v/>
      </c>
      <c r="AB274" s="274" t="str">
        <f>IF(Table1[Item Description]="","",Table1[[#This Row],[h_disc 1]]+Table1[[#This Row],[h_disc 2]])</f>
        <v/>
      </c>
      <c r="AC274" s="274" t="str">
        <f>IF(Table1[Item Description]="","",Table1[[#This Row],[h_hargasebelumdiskon]]-Table1[[#This Row],[h_diskon]])</f>
        <v/>
      </c>
      <c r="AD274" s="274" t="str">
        <f ca="1">IF(Table1[//]="","",SUMIF(Table1[h_id],Table1[h_id],Table1[h_hargasetelahdiskon]))</f>
        <v/>
      </c>
      <c r="AF274" s="274" t="str">
        <f>Table1[[#This Row],[Item Description]]&amp;Table1[[#This Row],[Unit]]&amp;Table1[[#This Row],[Unit Price]]</f>
        <v/>
      </c>
      <c r="AG274" s="3"/>
      <c r="AH274" s="3"/>
      <c r="AI274" s="3"/>
    </row>
    <row r="275" spans="1:35" x14ac:dyDescent="0.25">
      <c r="A275" s="278" t="str">
        <f ca="1">IF(Table1[[#This Row],[No. Invoice :]]="","",ROW())</f>
        <v/>
      </c>
      <c r="B275" s="278" t="str">
        <f ca="1">IF(Table1[Column3]="","",B$1+COUNT(INDIRECT("B$2:B"&amp;ROW()-1)))</f>
        <v/>
      </c>
      <c r="C275" s="272" t="str">
        <f>IF(Table1[[#This Row],[Column2]]="","",Table1[[#This Row],[Column2]]+C$1-1)</f>
        <v/>
      </c>
      <c r="E275" s="273"/>
      <c r="F275" s="271"/>
      <c r="G275" s="278" t="str">
        <f ca="1">IF(Table1[[#This Row],[h_No. Invoice :]]="","",CONCATENATE("AM"," ",Table1[[#This Row],[h_No. Invoice :]]))</f>
        <v/>
      </c>
      <c r="H275" s="271" t="str">
        <f>IF(Table1[[#This Row],[Column5]]="","",INDEX(Table2[Column1],MATCH(Table1[[#This Row],[Column5]],Table2[a],0)))</f>
        <v/>
      </c>
      <c r="I275" s="279" t="str">
        <f>IF(Table1[[#This Row],[Column3]]=0,"",CONCATENATE(UPPER(Table1[[#This Row],[Column3]])," ",Table1[[#This Row],[Column4]]))</f>
        <v xml:space="preserve"> </v>
      </c>
      <c r="J275" s="278" t="str">
        <f>IF(Table1[[#This Row],[Column5]]="","",INDEX(Table2[e],IF(Table1[[#This Row],[Column5]]="","",MATCH(Table1[[#This Row],[Column5]],Table2[a],0)),))</f>
        <v/>
      </c>
      <c r="K275" s="271"/>
      <c r="L275" s="271"/>
      <c r="O275" s="278" t="str">
        <f>IF(Table1[[#This Row],[h_Item Description]]="","",INDEX([1]!db[NB PAJAK],MATCH(Table1[[#This Row],[h_Item Description]],[1]!db[kode],0)))</f>
        <v/>
      </c>
      <c r="Q275" s="274"/>
      <c r="R275" s="275"/>
      <c r="S275" s="275"/>
      <c r="T275" s="274" t="str">
        <f>Table1[[#This Row],[h_hargasetelahdiskon]]</f>
        <v/>
      </c>
      <c r="V275" s="271"/>
      <c r="W275" s="278" t="str">
        <f ca="1">IF(Table1[[#This Row],[Item Description]]="","",IF(Table1[[#This Row],[//]]="",INDIRECT(ADDRESS(ROW()-1,COLUMN())),Table1[[#This Row],[//]]))</f>
        <v/>
      </c>
      <c r="X275" s="278" t="str">
        <f ca="1">IF(Table1[[#This Row],[h_id]]="","",COUNTIF(Table1[h_id],Table1[[#This Row],[h_id]]))</f>
        <v/>
      </c>
      <c r="Y275" s="274" t="str">
        <f>IF(Table1[Item Description]="","",Table1[[#This Row],[Qty]]*Table1[[#This Row],[Unit Price]])</f>
        <v/>
      </c>
      <c r="Z275" s="274" t="str">
        <f>IF(Table1[[#This Row],[h_hargasebelumdiskon]]="","",IF(Table1[[#This Row],[Disc 1]]="",0,Table1[[#This Row],[h_hargasebelumdiskon]]*Table1[[#This Row],[Disc 1]]))</f>
        <v/>
      </c>
      <c r="AA275" s="274" t="str">
        <f>IF(Table1[[#This Row],[h_hargasebelumdiskon]]="","",IF(Table1[[#This Row],[Disc 2]]="",0,(Table1[[#This Row],[h_hargasebelumdiskon]]-Table1[[#This Row],[h_disc 1]])*Table1[[#This Row],[Disc 2]]))</f>
        <v/>
      </c>
      <c r="AB275" s="274" t="str">
        <f>IF(Table1[Item Description]="","",Table1[[#This Row],[h_disc 1]]+Table1[[#This Row],[h_disc 2]])</f>
        <v/>
      </c>
      <c r="AC275" s="274" t="str">
        <f>IF(Table1[Item Description]="","",Table1[[#This Row],[h_hargasebelumdiskon]]-Table1[[#This Row],[h_diskon]])</f>
        <v/>
      </c>
      <c r="AD275" s="274" t="str">
        <f ca="1">IF(Table1[//]="","",SUMIF(Table1[h_id],Table1[h_id],Table1[h_hargasetelahdiskon]))</f>
        <v/>
      </c>
      <c r="AF275" s="274" t="str">
        <f>Table1[[#This Row],[Item Description]]&amp;Table1[[#This Row],[Unit]]&amp;Table1[[#This Row],[Unit Price]]</f>
        <v/>
      </c>
      <c r="AG275" s="3"/>
      <c r="AH275" s="3"/>
      <c r="AI275" s="3"/>
    </row>
    <row r="276" spans="1:35" x14ac:dyDescent="0.25">
      <c r="A276" s="278" t="str">
        <f ca="1">IF(Table1[[#This Row],[No. Invoice :]]="","",ROW())</f>
        <v/>
      </c>
      <c r="B276" s="278" t="str">
        <f ca="1">IF(Table1[Column3]="","",B$1+COUNT(INDIRECT("B$2:B"&amp;ROW()-1)))</f>
        <v/>
      </c>
      <c r="C276" s="272" t="str">
        <f>IF(Table1[[#This Row],[Column2]]="","",Table1[[#This Row],[Column2]]+C$1-1)</f>
        <v/>
      </c>
      <c r="E276" s="273"/>
      <c r="F276" s="271"/>
      <c r="G276" s="278" t="str">
        <f ca="1">IF(Table1[[#This Row],[h_No. Invoice :]]="","",CONCATENATE("AM"," ",Table1[[#This Row],[h_No. Invoice :]]))</f>
        <v/>
      </c>
      <c r="H276" s="271" t="str">
        <f>IF(Table1[[#This Row],[Column5]]="","",INDEX(Table2[Column1],MATCH(Table1[[#This Row],[Column5]],Table2[a],0)))</f>
        <v/>
      </c>
      <c r="I276" s="279" t="str">
        <f>IF(Table1[[#This Row],[Column3]]=0,"",CONCATENATE(UPPER(Table1[[#This Row],[Column3]])," ",Table1[[#This Row],[Column4]]))</f>
        <v xml:space="preserve"> </v>
      </c>
      <c r="J276" s="278" t="str">
        <f>IF(Table1[[#This Row],[Column5]]="","",INDEX(Table2[e],IF(Table1[[#This Row],[Column5]]="","",MATCH(Table1[[#This Row],[Column5]],Table2[a],0)),))</f>
        <v/>
      </c>
      <c r="K276" s="271"/>
      <c r="L276" s="271"/>
      <c r="O276" s="278" t="str">
        <f>IF(Table1[[#This Row],[h_Item Description]]="","",INDEX([1]!db[NB PAJAK],MATCH(Table1[[#This Row],[h_Item Description]],[1]!db[kode],0)))</f>
        <v/>
      </c>
      <c r="Q276" s="274"/>
      <c r="R276" s="275"/>
      <c r="S276" s="275"/>
      <c r="T276" s="274" t="str">
        <f>Table1[[#This Row],[h_hargasetelahdiskon]]</f>
        <v/>
      </c>
      <c r="V276" s="271"/>
      <c r="W276" s="278" t="str">
        <f ca="1">IF(Table1[[#This Row],[Item Description]]="","",IF(Table1[[#This Row],[//]]="",INDIRECT(ADDRESS(ROW()-1,COLUMN())),Table1[[#This Row],[//]]))</f>
        <v/>
      </c>
      <c r="X276" s="278" t="str">
        <f ca="1">IF(Table1[[#This Row],[h_id]]="","",COUNTIF(Table1[h_id],Table1[[#This Row],[h_id]]))</f>
        <v/>
      </c>
      <c r="Y276" s="274" t="str">
        <f>IF(Table1[Item Description]="","",Table1[[#This Row],[Qty]]*Table1[[#This Row],[Unit Price]])</f>
        <v/>
      </c>
      <c r="Z276" s="274" t="str">
        <f>IF(Table1[[#This Row],[h_hargasebelumdiskon]]="","",IF(Table1[[#This Row],[Disc 1]]="",0,Table1[[#This Row],[h_hargasebelumdiskon]]*Table1[[#This Row],[Disc 1]]))</f>
        <v/>
      </c>
      <c r="AA276" s="274" t="str">
        <f>IF(Table1[[#This Row],[h_hargasebelumdiskon]]="","",IF(Table1[[#This Row],[Disc 2]]="",0,(Table1[[#This Row],[h_hargasebelumdiskon]]-Table1[[#This Row],[h_disc 1]])*Table1[[#This Row],[Disc 2]]))</f>
        <v/>
      </c>
      <c r="AB276" s="274" t="str">
        <f>IF(Table1[Item Description]="","",Table1[[#This Row],[h_disc 1]]+Table1[[#This Row],[h_disc 2]])</f>
        <v/>
      </c>
      <c r="AC276" s="274" t="str">
        <f>IF(Table1[Item Description]="","",Table1[[#This Row],[h_hargasebelumdiskon]]-Table1[[#This Row],[h_diskon]])</f>
        <v/>
      </c>
      <c r="AD276" s="274" t="str">
        <f ca="1">IF(Table1[//]="","",SUMIF(Table1[h_id],Table1[h_id],Table1[h_hargasetelahdiskon]))</f>
        <v/>
      </c>
      <c r="AF276" s="274" t="str">
        <f>Table1[[#This Row],[Item Description]]&amp;Table1[[#This Row],[Unit]]&amp;Table1[[#This Row],[Unit Price]]</f>
        <v/>
      </c>
      <c r="AG276" s="3"/>
      <c r="AH276" s="3"/>
      <c r="AI276" s="3"/>
    </row>
    <row r="277" spans="1:35" x14ac:dyDescent="0.25">
      <c r="A277" s="278" t="str">
        <f ca="1">IF(Table1[[#This Row],[No. Invoice :]]="","",ROW())</f>
        <v/>
      </c>
      <c r="B277" s="278" t="str">
        <f ca="1">IF(Table1[Column3]="","",B$1+COUNT(INDIRECT("B$2:B"&amp;ROW()-1)))</f>
        <v/>
      </c>
      <c r="C277" s="272" t="str">
        <f>IF(Table1[[#This Row],[Column2]]="","",Table1[[#This Row],[Column2]]+C$1-1)</f>
        <v/>
      </c>
      <c r="E277" s="273"/>
      <c r="F277" s="271"/>
      <c r="G277" s="278" t="str">
        <f ca="1">IF(Table1[[#This Row],[h_No. Invoice :]]="","",CONCATENATE("AM"," ",Table1[[#This Row],[h_No. Invoice :]]))</f>
        <v/>
      </c>
      <c r="H277" s="271" t="str">
        <f>IF(Table1[[#This Row],[Column5]]="","",INDEX(Table2[Column1],MATCH(Table1[[#This Row],[Column5]],Table2[a],0)))</f>
        <v/>
      </c>
      <c r="I277" s="279" t="str">
        <f>IF(Table1[[#This Row],[Column3]]=0,"",CONCATENATE(UPPER(Table1[[#This Row],[Column3]])," ",Table1[[#This Row],[Column4]]))</f>
        <v xml:space="preserve"> </v>
      </c>
      <c r="J277" s="278" t="str">
        <f>IF(Table1[[#This Row],[Column5]]="","",INDEX(Table2[e],IF(Table1[[#This Row],[Column5]]="","",MATCH(Table1[[#This Row],[Column5]],Table2[a],0)),))</f>
        <v/>
      </c>
      <c r="K277" s="271"/>
      <c r="L277" s="271"/>
      <c r="O277" s="278" t="str">
        <f>IF(Table1[[#This Row],[h_Item Description]]="","",INDEX([1]!db[NB PAJAK],MATCH(Table1[[#This Row],[h_Item Description]],[1]!db[kode],0)))</f>
        <v/>
      </c>
      <c r="Q277" s="274"/>
      <c r="R277" s="275"/>
      <c r="S277" s="275"/>
      <c r="T277" s="274" t="str">
        <f>Table1[[#This Row],[h_hargasetelahdiskon]]</f>
        <v/>
      </c>
      <c r="V277" s="271"/>
      <c r="W277" s="278" t="str">
        <f ca="1">IF(Table1[[#This Row],[Item Description]]="","",IF(Table1[[#This Row],[//]]="",INDIRECT(ADDRESS(ROW()-1,COLUMN())),Table1[[#This Row],[//]]))</f>
        <v/>
      </c>
      <c r="X277" s="278" t="str">
        <f ca="1">IF(Table1[[#This Row],[h_id]]="","",COUNTIF(Table1[h_id],Table1[[#This Row],[h_id]]))</f>
        <v/>
      </c>
      <c r="Y277" s="274" t="str">
        <f>IF(Table1[Item Description]="","",Table1[[#This Row],[Qty]]*Table1[[#This Row],[Unit Price]])</f>
        <v/>
      </c>
      <c r="Z277" s="274" t="str">
        <f>IF(Table1[[#This Row],[h_hargasebelumdiskon]]="","",IF(Table1[[#This Row],[Disc 1]]="",0,Table1[[#This Row],[h_hargasebelumdiskon]]*Table1[[#This Row],[Disc 1]]))</f>
        <v/>
      </c>
      <c r="AA277" s="274" t="str">
        <f>IF(Table1[[#This Row],[h_hargasebelumdiskon]]="","",IF(Table1[[#This Row],[Disc 2]]="",0,(Table1[[#This Row],[h_hargasebelumdiskon]]-Table1[[#This Row],[h_disc 1]])*Table1[[#This Row],[Disc 2]]))</f>
        <v/>
      </c>
      <c r="AB277" s="274" t="str">
        <f>IF(Table1[Item Description]="","",Table1[[#This Row],[h_disc 1]]+Table1[[#This Row],[h_disc 2]])</f>
        <v/>
      </c>
      <c r="AC277" s="274" t="str">
        <f>IF(Table1[Item Description]="","",Table1[[#This Row],[h_hargasebelumdiskon]]-Table1[[#This Row],[h_diskon]])</f>
        <v/>
      </c>
      <c r="AD277" s="274" t="str">
        <f ca="1">IF(Table1[//]="","",SUMIF(Table1[h_id],Table1[h_id],Table1[h_hargasetelahdiskon]))</f>
        <v/>
      </c>
      <c r="AF277" s="274" t="str">
        <f>Table1[[#This Row],[Item Description]]&amp;Table1[[#This Row],[Unit]]&amp;Table1[[#This Row],[Unit Price]]</f>
        <v/>
      </c>
      <c r="AG277" s="3"/>
      <c r="AH277" s="3"/>
      <c r="AI277" s="3"/>
    </row>
    <row r="278" spans="1:35" x14ac:dyDescent="0.25">
      <c r="A278" s="278" t="str">
        <f ca="1">IF(Table1[[#This Row],[No. Invoice :]]="","",ROW())</f>
        <v/>
      </c>
      <c r="B278" s="278" t="str">
        <f ca="1">IF(Table1[Column3]="","",B$1+COUNT(INDIRECT("B$2:B"&amp;ROW()-1)))</f>
        <v/>
      </c>
      <c r="C278" s="272" t="str">
        <f>IF(Table1[[#This Row],[Column2]]="","",Table1[[#This Row],[Column2]]+C$1-1)</f>
        <v/>
      </c>
      <c r="E278" s="273"/>
      <c r="F278" s="271"/>
      <c r="G278" s="278" t="str">
        <f ca="1">IF(Table1[[#This Row],[h_No. Invoice :]]="","",CONCATENATE("AM"," ",Table1[[#This Row],[h_No. Invoice :]]))</f>
        <v/>
      </c>
      <c r="H278" s="271" t="str">
        <f>IF(Table1[[#This Row],[Column5]]="","",INDEX(Table2[Column1],MATCH(Table1[[#This Row],[Column5]],Table2[a],0)))</f>
        <v/>
      </c>
      <c r="I278" s="279" t="str">
        <f>IF(Table1[[#This Row],[Column3]]=0,"",CONCATENATE(UPPER(Table1[[#This Row],[Column3]])," ",Table1[[#This Row],[Column4]]))</f>
        <v xml:space="preserve"> </v>
      </c>
      <c r="J278" s="278" t="str">
        <f>IF(Table1[[#This Row],[Column5]]="","",INDEX(Table2[e],IF(Table1[[#This Row],[Column5]]="","",MATCH(Table1[[#This Row],[Column5]],Table2[a],0)),))</f>
        <v/>
      </c>
      <c r="K278" s="271"/>
      <c r="L278" s="271"/>
      <c r="O278" s="278" t="str">
        <f>IF(Table1[[#This Row],[h_Item Description]]="","",INDEX([1]!db[NB PAJAK],MATCH(Table1[[#This Row],[h_Item Description]],[1]!db[kode],0)))</f>
        <v/>
      </c>
      <c r="Q278" s="274"/>
      <c r="R278" s="275"/>
      <c r="S278" s="275"/>
      <c r="T278" s="274" t="str">
        <f>Table1[[#This Row],[h_hargasetelahdiskon]]</f>
        <v/>
      </c>
      <c r="V278" s="271"/>
      <c r="W278" s="278" t="str">
        <f ca="1">IF(Table1[[#This Row],[Item Description]]="","",IF(Table1[[#This Row],[//]]="",INDIRECT(ADDRESS(ROW()-1,COLUMN())),Table1[[#This Row],[//]]))</f>
        <v/>
      </c>
      <c r="X278" s="278" t="str">
        <f ca="1">IF(Table1[[#This Row],[h_id]]="","",COUNTIF(Table1[h_id],Table1[[#This Row],[h_id]]))</f>
        <v/>
      </c>
      <c r="Y278" s="274" t="str">
        <f>IF(Table1[Item Description]="","",Table1[[#This Row],[Qty]]*Table1[[#This Row],[Unit Price]])</f>
        <v/>
      </c>
      <c r="Z278" s="274" t="str">
        <f>IF(Table1[[#This Row],[h_hargasebelumdiskon]]="","",IF(Table1[[#This Row],[Disc 1]]="",0,Table1[[#This Row],[h_hargasebelumdiskon]]*Table1[[#This Row],[Disc 1]]))</f>
        <v/>
      </c>
      <c r="AA278" s="274" t="str">
        <f>IF(Table1[[#This Row],[h_hargasebelumdiskon]]="","",IF(Table1[[#This Row],[Disc 2]]="",0,(Table1[[#This Row],[h_hargasebelumdiskon]]-Table1[[#This Row],[h_disc 1]])*Table1[[#This Row],[Disc 2]]))</f>
        <v/>
      </c>
      <c r="AB278" s="274" t="str">
        <f>IF(Table1[Item Description]="","",Table1[[#This Row],[h_disc 1]]+Table1[[#This Row],[h_disc 2]])</f>
        <v/>
      </c>
      <c r="AC278" s="274" t="str">
        <f>IF(Table1[Item Description]="","",Table1[[#This Row],[h_hargasebelumdiskon]]-Table1[[#This Row],[h_diskon]])</f>
        <v/>
      </c>
      <c r="AD278" s="274" t="str">
        <f ca="1">IF(Table1[//]="","",SUMIF(Table1[h_id],Table1[h_id],Table1[h_hargasetelahdiskon]))</f>
        <v/>
      </c>
      <c r="AF278" s="274" t="str">
        <f>Table1[[#This Row],[Item Description]]&amp;Table1[[#This Row],[Unit]]&amp;Table1[[#This Row],[Unit Price]]</f>
        <v/>
      </c>
      <c r="AG278" s="3"/>
      <c r="AH278" s="3"/>
      <c r="AI278" s="3"/>
    </row>
    <row r="279" spans="1:35" x14ac:dyDescent="0.25">
      <c r="A279" s="278" t="str">
        <f ca="1">IF(Table1[[#This Row],[No. Invoice :]]="","",ROW())</f>
        <v/>
      </c>
      <c r="B279" s="278" t="str">
        <f ca="1">IF(Table1[Column3]="","",B$1+COUNT(INDIRECT("B$2:B"&amp;ROW()-1)))</f>
        <v/>
      </c>
      <c r="C279" s="272" t="str">
        <f>IF(Table1[[#This Row],[Column2]]="","",Table1[[#This Row],[Column2]]+C$1-1)</f>
        <v/>
      </c>
      <c r="E279" s="273"/>
      <c r="F279" s="271"/>
      <c r="G279" s="278" t="str">
        <f ca="1">IF(Table1[[#This Row],[h_No. Invoice :]]="","",CONCATENATE("AM"," ",Table1[[#This Row],[h_No. Invoice :]]))</f>
        <v/>
      </c>
      <c r="H279" s="271" t="str">
        <f>IF(Table1[[#This Row],[Column5]]="","",INDEX(Table2[Column1],MATCH(Table1[[#This Row],[Column5]],Table2[a],0)))</f>
        <v/>
      </c>
      <c r="I279" s="279" t="str">
        <f>IF(Table1[[#This Row],[Column3]]=0,"",CONCATENATE(UPPER(Table1[[#This Row],[Column3]])," ",Table1[[#This Row],[Column4]]))</f>
        <v xml:space="preserve"> </v>
      </c>
      <c r="J279" s="278" t="str">
        <f>IF(Table1[[#This Row],[Column5]]="","",INDEX(Table2[e],IF(Table1[[#This Row],[Column5]]="","",MATCH(Table1[[#This Row],[Column5]],Table2[a],0)),))</f>
        <v/>
      </c>
      <c r="K279" s="271"/>
      <c r="L279" s="271"/>
      <c r="O279" s="278" t="str">
        <f>IF(Table1[[#This Row],[h_Item Description]]="","",INDEX([1]!db[NB PAJAK],MATCH(Table1[[#This Row],[h_Item Description]],[1]!db[kode],0)))</f>
        <v/>
      </c>
      <c r="Q279" s="274"/>
      <c r="R279" s="275"/>
      <c r="S279" s="275"/>
      <c r="T279" s="274" t="str">
        <f>Table1[[#This Row],[h_hargasetelahdiskon]]</f>
        <v/>
      </c>
      <c r="V279" s="271"/>
      <c r="W279" s="278" t="str">
        <f ca="1">IF(Table1[[#This Row],[Item Description]]="","",IF(Table1[[#This Row],[//]]="",INDIRECT(ADDRESS(ROW()-1,COLUMN())),Table1[[#This Row],[//]]))</f>
        <v/>
      </c>
      <c r="X279" s="278" t="str">
        <f ca="1">IF(Table1[[#This Row],[h_id]]="","",COUNTIF(Table1[h_id],Table1[[#This Row],[h_id]]))</f>
        <v/>
      </c>
      <c r="Y279" s="274" t="str">
        <f>IF(Table1[Item Description]="","",Table1[[#This Row],[Qty]]*Table1[[#This Row],[Unit Price]])</f>
        <v/>
      </c>
      <c r="Z279" s="274" t="str">
        <f>IF(Table1[[#This Row],[h_hargasebelumdiskon]]="","",IF(Table1[[#This Row],[Disc 1]]="",0,Table1[[#This Row],[h_hargasebelumdiskon]]*Table1[[#This Row],[Disc 1]]))</f>
        <v/>
      </c>
      <c r="AA279" s="274" t="str">
        <f>IF(Table1[[#This Row],[h_hargasebelumdiskon]]="","",IF(Table1[[#This Row],[Disc 2]]="",0,(Table1[[#This Row],[h_hargasebelumdiskon]]-Table1[[#This Row],[h_disc 1]])*Table1[[#This Row],[Disc 2]]))</f>
        <v/>
      </c>
      <c r="AB279" s="274" t="str">
        <f>IF(Table1[Item Description]="","",Table1[[#This Row],[h_disc 1]]+Table1[[#This Row],[h_disc 2]])</f>
        <v/>
      </c>
      <c r="AC279" s="274" t="str">
        <f>IF(Table1[Item Description]="","",Table1[[#This Row],[h_hargasebelumdiskon]]-Table1[[#This Row],[h_diskon]])</f>
        <v/>
      </c>
      <c r="AD279" s="274" t="str">
        <f ca="1">IF(Table1[//]="","",SUMIF(Table1[h_id],Table1[h_id],Table1[h_hargasetelahdiskon]))</f>
        <v/>
      </c>
      <c r="AF279" s="274" t="str">
        <f>Table1[[#This Row],[Item Description]]&amp;Table1[[#This Row],[Unit]]&amp;Table1[[#This Row],[Unit Price]]</f>
        <v/>
      </c>
      <c r="AG279" s="3"/>
      <c r="AH279" s="3"/>
      <c r="AI279" s="3"/>
    </row>
    <row r="280" spans="1:35" x14ac:dyDescent="0.25">
      <c r="A280" s="278" t="str">
        <f ca="1">IF(Table1[[#This Row],[No. Invoice :]]="","",ROW())</f>
        <v/>
      </c>
      <c r="B280" s="278" t="str">
        <f ca="1">IF(Table1[Column3]="","",B$1+COUNT(INDIRECT("B$2:B"&amp;ROW()-1)))</f>
        <v/>
      </c>
      <c r="C280" s="272" t="str">
        <f>IF(Table1[[#This Row],[Column2]]="","",Table1[[#This Row],[Column2]]+C$1-1)</f>
        <v/>
      </c>
      <c r="E280" s="273"/>
      <c r="F280" s="271"/>
      <c r="G280" s="278" t="str">
        <f ca="1">IF(Table1[[#This Row],[h_No. Invoice :]]="","",CONCATENATE("AM"," ",Table1[[#This Row],[h_No. Invoice :]]))</f>
        <v/>
      </c>
      <c r="H280" s="271" t="str">
        <f>IF(Table1[[#This Row],[Column5]]="","",INDEX(Table2[Column1],MATCH(Table1[[#This Row],[Column5]],Table2[a],0)))</f>
        <v/>
      </c>
      <c r="I280" s="279" t="str">
        <f>IF(Table1[[#This Row],[Column3]]=0,"",CONCATENATE(UPPER(Table1[[#This Row],[Column3]])," ",Table1[[#This Row],[Column4]]))</f>
        <v xml:space="preserve"> </v>
      </c>
      <c r="J280" s="278" t="str">
        <f>IF(Table1[[#This Row],[Column5]]="","",INDEX(Table2[e],IF(Table1[[#This Row],[Column5]]="","",MATCH(Table1[[#This Row],[Column5]],Table2[a],0)),))</f>
        <v/>
      </c>
      <c r="K280" s="271"/>
      <c r="L280" s="271"/>
      <c r="O280" s="278" t="str">
        <f>IF(Table1[[#This Row],[h_Item Description]]="","",INDEX([1]!db[NB PAJAK],MATCH(Table1[[#This Row],[h_Item Description]],[1]!db[kode],0)))</f>
        <v/>
      </c>
      <c r="Q280" s="274"/>
      <c r="R280" s="275"/>
      <c r="S280" s="275"/>
      <c r="T280" s="274" t="str">
        <f>Table1[[#This Row],[h_hargasetelahdiskon]]</f>
        <v/>
      </c>
      <c r="V280" s="271"/>
      <c r="W280" s="278" t="str">
        <f ca="1">IF(Table1[[#This Row],[Item Description]]="","",IF(Table1[[#This Row],[//]]="",INDIRECT(ADDRESS(ROW()-1,COLUMN())),Table1[[#This Row],[//]]))</f>
        <v/>
      </c>
      <c r="X280" s="278" t="str">
        <f ca="1">IF(Table1[[#This Row],[h_id]]="","",COUNTIF(Table1[h_id],Table1[[#This Row],[h_id]]))</f>
        <v/>
      </c>
      <c r="Y280" s="274" t="str">
        <f>IF(Table1[Item Description]="","",Table1[[#This Row],[Qty]]*Table1[[#This Row],[Unit Price]])</f>
        <v/>
      </c>
      <c r="Z280" s="274" t="str">
        <f>IF(Table1[[#This Row],[h_hargasebelumdiskon]]="","",IF(Table1[[#This Row],[Disc 1]]="",0,Table1[[#This Row],[h_hargasebelumdiskon]]*Table1[[#This Row],[Disc 1]]))</f>
        <v/>
      </c>
      <c r="AA280" s="274" t="str">
        <f>IF(Table1[[#This Row],[h_hargasebelumdiskon]]="","",IF(Table1[[#This Row],[Disc 2]]="",0,(Table1[[#This Row],[h_hargasebelumdiskon]]-Table1[[#This Row],[h_disc 1]])*Table1[[#This Row],[Disc 2]]))</f>
        <v/>
      </c>
      <c r="AB280" s="274" t="str">
        <f>IF(Table1[Item Description]="","",Table1[[#This Row],[h_disc 1]]+Table1[[#This Row],[h_disc 2]])</f>
        <v/>
      </c>
      <c r="AC280" s="274" t="str">
        <f>IF(Table1[Item Description]="","",Table1[[#This Row],[h_hargasebelumdiskon]]-Table1[[#This Row],[h_diskon]])</f>
        <v/>
      </c>
      <c r="AD280" s="274" t="str">
        <f ca="1">IF(Table1[//]="","",SUMIF(Table1[h_id],Table1[h_id],Table1[h_hargasetelahdiskon]))</f>
        <v/>
      </c>
      <c r="AF280" s="274" t="str">
        <f>Table1[[#This Row],[Item Description]]&amp;Table1[[#This Row],[Unit]]&amp;Table1[[#This Row],[Unit Price]]</f>
        <v/>
      </c>
      <c r="AG280" s="3"/>
      <c r="AH280" s="3"/>
      <c r="AI280" s="3"/>
    </row>
    <row r="281" spans="1:35" x14ac:dyDescent="0.25">
      <c r="A281" s="278" t="str">
        <f ca="1">IF(Table1[[#This Row],[No. Invoice :]]="","",ROW())</f>
        <v/>
      </c>
      <c r="B281" s="278" t="str">
        <f ca="1">IF(Table1[Column3]="","",B$1+COUNT(INDIRECT("B$2:B"&amp;ROW()-1)))</f>
        <v/>
      </c>
      <c r="C281" s="272" t="str">
        <f>IF(Table1[[#This Row],[Column2]]="","",Table1[[#This Row],[Column2]]+C$1-1)</f>
        <v/>
      </c>
      <c r="E281" s="273"/>
      <c r="F281" s="271"/>
      <c r="G281" s="278" t="str">
        <f ca="1">IF(Table1[[#This Row],[h_No. Invoice :]]="","",CONCATENATE("AM"," ",Table1[[#This Row],[h_No. Invoice :]]))</f>
        <v/>
      </c>
      <c r="H281" s="271" t="str">
        <f>IF(Table1[[#This Row],[Column5]]="","",INDEX(Table2[Column1],MATCH(Table1[[#This Row],[Column5]],Table2[a],0)))</f>
        <v/>
      </c>
      <c r="I281" s="279" t="str">
        <f>IF(Table1[[#This Row],[Column3]]=0,"",CONCATENATE(UPPER(Table1[[#This Row],[Column3]])," ",Table1[[#This Row],[Column4]]))</f>
        <v xml:space="preserve"> </v>
      </c>
      <c r="J281" s="278" t="str">
        <f>IF(Table1[[#This Row],[Column5]]="","",INDEX(Table2[e],IF(Table1[[#This Row],[Column5]]="","",MATCH(Table1[[#This Row],[Column5]],Table2[a],0)),))</f>
        <v/>
      </c>
      <c r="K281" s="271"/>
      <c r="L281" s="271"/>
      <c r="O281" s="278" t="str">
        <f>IF(Table1[[#This Row],[h_Item Description]]="","",INDEX([1]!db[NB PAJAK],MATCH(Table1[[#This Row],[h_Item Description]],[1]!db[kode],0)))</f>
        <v/>
      </c>
      <c r="Q281" s="274"/>
      <c r="R281" s="275"/>
      <c r="S281" s="275"/>
      <c r="T281" s="274" t="str">
        <f>Table1[[#This Row],[h_hargasetelahdiskon]]</f>
        <v/>
      </c>
      <c r="V281" s="271"/>
      <c r="W281" s="278" t="str">
        <f ca="1">IF(Table1[[#This Row],[Item Description]]="","",IF(Table1[[#This Row],[//]]="",INDIRECT(ADDRESS(ROW()-1,COLUMN())),Table1[[#This Row],[//]]))</f>
        <v/>
      </c>
      <c r="X281" s="278" t="str">
        <f ca="1">IF(Table1[[#This Row],[h_id]]="","",COUNTIF(Table1[h_id],Table1[[#This Row],[h_id]]))</f>
        <v/>
      </c>
      <c r="Y281" s="274" t="str">
        <f>IF(Table1[Item Description]="","",Table1[[#This Row],[Qty]]*Table1[[#This Row],[Unit Price]])</f>
        <v/>
      </c>
      <c r="Z281" s="274" t="str">
        <f>IF(Table1[[#This Row],[h_hargasebelumdiskon]]="","",IF(Table1[[#This Row],[Disc 1]]="",0,Table1[[#This Row],[h_hargasebelumdiskon]]*Table1[[#This Row],[Disc 1]]))</f>
        <v/>
      </c>
      <c r="AA281" s="274" t="str">
        <f>IF(Table1[[#This Row],[h_hargasebelumdiskon]]="","",IF(Table1[[#This Row],[Disc 2]]="",0,(Table1[[#This Row],[h_hargasebelumdiskon]]-Table1[[#This Row],[h_disc 1]])*Table1[[#This Row],[Disc 2]]))</f>
        <v/>
      </c>
      <c r="AB281" s="274" t="str">
        <f>IF(Table1[Item Description]="","",Table1[[#This Row],[h_disc 1]]+Table1[[#This Row],[h_disc 2]])</f>
        <v/>
      </c>
      <c r="AC281" s="274" t="str">
        <f>IF(Table1[Item Description]="","",Table1[[#This Row],[h_hargasebelumdiskon]]-Table1[[#This Row],[h_diskon]])</f>
        <v/>
      </c>
      <c r="AD281" s="274" t="str">
        <f ca="1">IF(Table1[//]="","",SUMIF(Table1[h_id],Table1[h_id],Table1[h_hargasetelahdiskon]))</f>
        <v/>
      </c>
      <c r="AF281" s="274" t="str">
        <f>Table1[[#This Row],[Item Description]]&amp;Table1[[#This Row],[Unit]]&amp;Table1[[#This Row],[Unit Price]]</f>
        <v/>
      </c>
      <c r="AG281" s="3"/>
      <c r="AH281" s="3"/>
      <c r="AI281" s="3"/>
    </row>
    <row r="282" spans="1:35" x14ac:dyDescent="0.25">
      <c r="A282" s="278" t="str">
        <f ca="1">IF(Table1[[#This Row],[No. Invoice :]]="","",ROW())</f>
        <v/>
      </c>
      <c r="B282" s="481" t="str">
        <f ca="1">IF(Table1[Column3]="","",B$1+COUNT(INDIRECT("B$2:B"&amp;ROW()-1)))</f>
        <v/>
      </c>
      <c r="C282" s="272" t="str">
        <f>IF(Table1[[#This Row],[Column2]]="","",Table1[[#This Row],[Column2]]+C$1-1)</f>
        <v/>
      </c>
      <c r="D282" s="482"/>
      <c r="E282" s="483"/>
      <c r="F282" s="484"/>
      <c r="G282" s="278" t="str">
        <f ca="1">IF(Table1[[#This Row],[h_No. Invoice :]]="","",CONCATENATE("AM"," ",Table1[[#This Row],[h_No. Invoice :]]))</f>
        <v/>
      </c>
      <c r="H282" s="481" t="str">
        <f>IF(Table1[[#This Row],[Column5]]="","",INDEX(Table2[Column1],MATCH(Table1[[#This Row],[Column5]],Table2[a],0)))</f>
        <v/>
      </c>
      <c r="I282" s="279" t="str">
        <f>IF(Table1[[#This Row],[Column3]]=0,"",CONCATENATE(UPPER(Table1[[#This Row],[Column3]])," ",Table1[[#This Row],[Column4]]))</f>
        <v xml:space="preserve"> </v>
      </c>
      <c r="J282" s="278" t="str">
        <f>IF(Table1[[#This Row],[Column5]]="","",INDEX(Table2[e],IF(Table1[[#This Row],[Column5]]="","",MATCH(Table1[[#This Row],[Column5]],Table2[a],0)),))</f>
        <v/>
      </c>
      <c r="K282" s="271"/>
      <c r="L282" s="271"/>
      <c r="N282" s="484"/>
      <c r="O282" s="481" t="str">
        <f>IF(Table1[[#This Row],[h_Item Description]]="","",INDEX([1]!db[NB PAJAK],MATCH(Table1[[#This Row],[h_Item Description]],[1]!db[kode],0)))</f>
        <v/>
      </c>
      <c r="Q282" s="274"/>
      <c r="R282" s="275"/>
      <c r="S282" s="275"/>
      <c r="T282" s="485" t="str">
        <f>Table1[[#This Row],[h_hargasetelahdiskon]]</f>
        <v/>
      </c>
      <c r="V282" s="271"/>
      <c r="W282" s="278" t="str">
        <f ca="1">IF(Table1[[#This Row],[Item Description]]="","",IF(Table1[[#This Row],[//]]="",INDIRECT(ADDRESS(ROW()-1,COLUMN())),Table1[[#This Row],[//]]))</f>
        <v/>
      </c>
      <c r="X282" s="278" t="str">
        <f ca="1">IF(Table1[[#This Row],[h_id]]="","",COUNTIF(Table1[h_id],Table1[[#This Row],[h_id]]))</f>
        <v/>
      </c>
      <c r="Y282" s="274" t="str">
        <f>IF(Table1[Item Description]="","",Table1[[#This Row],[Qty]]*Table1[[#This Row],[Unit Price]])</f>
        <v/>
      </c>
      <c r="Z282" s="485" t="str">
        <f>IF(Table1[[#This Row],[h_hargasebelumdiskon]]="","",IF(Table1[[#This Row],[Disc 1]]="",0,Table1[[#This Row],[h_hargasebelumdiskon]]*Table1[[#This Row],[Disc 1]]))</f>
        <v/>
      </c>
      <c r="AA282" s="485" t="str">
        <f>IF(Table1[[#This Row],[h_hargasebelumdiskon]]="","",IF(Table1[[#This Row],[Disc 2]]="",0,(Table1[[#This Row],[h_hargasebelumdiskon]]-Table1[[#This Row],[h_disc 1]])*Table1[[#This Row],[Disc 2]]))</f>
        <v/>
      </c>
      <c r="AB282" s="274" t="str">
        <f>IF(Table1[Item Description]="","",Table1[[#This Row],[h_disc 1]]+Table1[[#This Row],[h_disc 2]])</f>
        <v/>
      </c>
      <c r="AC282" s="274" t="str">
        <f>IF(Table1[Item Description]="","",Table1[[#This Row],[h_hargasebelumdiskon]]-Table1[[#This Row],[h_diskon]])</f>
        <v/>
      </c>
      <c r="AD282" s="274" t="str">
        <f ca="1">IF(Table1[//]="","",SUMIF(Table1[h_id],Table1[h_id],Table1[h_hargasetelahdiskon]))</f>
        <v/>
      </c>
      <c r="AF282" s="274" t="str">
        <f>Table1[[#This Row],[Item Description]]&amp;Table1[[#This Row],[Unit]]&amp;Table1[[#This Row],[Unit Price]]</f>
        <v/>
      </c>
      <c r="AG282" s="3"/>
      <c r="AH282" s="3"/>
      <c r="AI282" s="3"/>
    </row>
    <row r="283" spans="1:35" x14ac:dyDescent="0.25">
      <c r="A283" s="278" t="str">
        <f ca="1">IF(Table1[[#This Row],[No. Invoice :]]="","",ROW())</f>
        <v/>
      </c>
      <c r="B283" s="278" t="str">
        <f ca="1">IF(Table1[Column3]="","",B$1+COUNT(INDIRECT("B$2:B"&amp;ROW()-1)))</f>
        <v/>
      </c>
      <c r="C283" s="272" t="str">
        <f>IF(Table1[[#This Row],[Column2]]="","",Table1[[#This Row],[Column2]]+C$1-1)</f>
        <v/>
      </c>
      <c r="E283" s="273"/>
      <c r="F283" s="271"/>
      <c r="G283" s="278" t="str">
        <f ca="1">IF(Table1[[#This Row],[h_No. Invoice :]]="","",CONCATENATE("AM"," ",Table1[[#This Row],[h_No. Invoice :]]))</f>
        <v/>
      </c>
      <c r="H283" s="271" t="str">
        <f>IF(Table1[[#This Row],[Column5]]="","",INDEX(Table2[Column1],MATCH(Table1[[#This Row],[Column5]],Table2[a],0)))</f>
        <v/>
      </c>
      <c r="I283" s="279" t="str">
        <f>IF(Table1[[#This Row],[Column3]]=0,"",CONCATENATE(UPPER(Table1[[#This Row],[Column3]])," ",Table1[[#This Row],[Column4]]))</f>
        <v xml:space="preserve"> </v>
      </c>
      <c r="J283" s="278" t="str">
        <f>IF(Table1[[#This Row],[Column5]]="","",INDEX(Table2[e],IF(Table1[[#This Row],[Column5]]="","",MATCH(Table1[[#This Row],[Column5]],Table2[a],0)),))</f>
        <v/>
      </c>
      <c r="K283" s="271"/>
      <c r="L283" s="271"/>
      <c r="O283" s="278" t="str">
        <f>IF(Table1[[#This Row],[h_Item Description]]="","",INDEX([1]!db[NB PAJAK],MATCH(Table1[[#This Row],[h_Item Description]],[1]!db[kode],0)))</f>
        <v/>
      </c>
      <c r="Q283" s="274"/>
      <c r="R283" s="275"/>
      <c r="S283" s="275"/>
      <c r="T283" s="274" t="str">
        <f>Table1[[#This Row],[h_hargasetelahdiskon]]</f>
        <v/>
      </c>
      <c r="V283" s="271"/>
      <c r="W283" s="278" t="str">
        <f ca="1">IF(Table1[[#This Row],[Item Description]]="","",IF(Table1[[#This Row],[//]]="",INDIRECT(ADDRESS(ROW()-1,COLUMN())),Table1[[#This Row],[//]]))</f>
        <v/>
      </c>
      <c r="X283" s="278" t="str">
        <f ca="1">IF(Table1[[#This Row],[h_id]]="","",COUNTIF(Table1[h_id],Table1[[#This Row],[h_id]]))</f>
        <v/>
      </c>
      <c r="Y283" s="274" t="str">
        <f>IF(Table1[Item Description]="","",Table1[[#This Row],[Qty]]*Table1[[#This Row],[Unit Price]])</f>
        <v/>
      </c>
      <c r="Z283" s="274" t="str">
        <f>IF(Table1[[#This Row],[h_hargasebelumdiskon]]="","",IF(Table1[[#This Row],[Disc 1]]="",0,Table1[[#This Row],[h_hargasebelumdiskon]]*Table1[[#This Row],[Disc 1]]))</f>
        <v/>
      </c>
      <c r="AA283" s="274" t="str">
        <f>IF(Table1[[#This Row],[h_hargasebelumdiskon]]="","",IF(Table1[[#This Row],[Disc 2]]="",0,(Table1[[#This Row],[h_hargasebelumdiskon]]-Table1[[#This Row],[h_disc 1]])*Table1[[#This Row],[Disc 2]]))</f>
        <v/>
      </c>
      <c r="AB283" s="274" t="str">
        <f>IF(Table1[Item Description]="","",Table1[[#This Row],[h_disc 1]]+Table1[[#This Row],[h_disc 2]])</f>
        <v/>
      </c>
      <c r="AC283" s="274" t="str">
        <f>IF(Table1[Item Description]="","",Table1[[#This Row],[h_hargasebelumdiskon]]-Table1[[#This Row],[h_diskon]])</f>
        <v/>
      </c>
      <c r="AD283" s="274" t="str">
        <f ca="1">IF(Table1[//]="","",SUMIF(Table1[h_id],Table1[h_id],Table1[h_hargasetelahdiskon]))</f>
        <v/>
      </c>
      <c r="AF283" s="274" t="str">
        <f>Table1[[#This Row],[Item Description]]&amp;Table1[[#This Row],[Unit]]&amp;Table1[[#This Row],[Unit Price]]</f>
        <v/>
      </c>
      <c r="AG283" s="3"/>
      <c r="AH283" s="3"/>
      <c r="AI283" s="3"/>
    </row>
    <row r="284" spans="1:35" x14ac:dyDescent="0.25">
      <c r="A284" s="278" t="str">
        <f ca="1">IF(Table1[[#This Row],[No. Invoice :]]="","",ROW())</f>
        <v/>
      </c>
      <c r="B284" s="278" t="str">
        <f ca="1">IF(Table1[Column3]="","",B$1+COUNT(INDIRECT("B$2:B"&amp;ROW()-1)))</f>
        <v/>
      </c>
      <c r="C284" s="272" t="str">
        <f>IF(Table1[[#This Row],[Column2]]="","",Table1[[#This Row],[Column2]]+C$1-1)</f>
        <v/>
      </c>
      <c r="E284" s="273"/>
      <c r="F284" s="271"/>
      <c r="G284" s="278" t="str">
        <f ca="1">IF(Table1[[#This Row],[h_No. Invoice :]]="","",CONCATENATE("AM"," ",Table1[[#This Row],[h_No. Invoice :]]))</f>
        <v/>
      </c>
      <c r="H284" s="271" t="str">
        <f>IF(Table1[[#This Row],[Column5]]="","",INDEX(Table2[Column1],MATCH(Table1[[#This Row],[Column5]],Table2[a],0)))</f>
        <v/>
      </c>
      <c r="I284" s="279" t="str">
        <f>IF(Table1[[#This Row],[Column3]]=0,"",CONCATENATE(UPPER(Table1[[#This Row],[Column3]])," ",Table1[[#This Row],[Column4]]))</f>
        <v xml:space="preserve"> </v>
      </c>
      <c r="J284" s="278" t="str">
        <f>IF(Table1[[#This Row],[Column5]]="","",INDEX(Table2[e],IF(Table1[[#This Row],[Column5]]="","",MATCH(Table1[[#This Row],[Column5]],Table2[a],0)),))</f>
        <v/>
      </c>
      <c r="K284" s="271"/>
      <c r="L284" s="271"/>
      <c r="O284" s="278" t="str">
        <f>IF(Table1[[#This Row],[h_Item Description]]="","",INDEX([1]!db[NB PAJAK],MATCH(Table1[[#This Row],[h_Item Description]],[1]!db[kode],0)))</f>
        <v/>
      </c>
      <c r="Q284" s="274"/>
      <c r="R284" s="275"/>
      <c r="S284" s="275"/>
      <c r="T284" s="274" t="str">
        <f>Table1[[#This Row],[h_hargasetelahdiskon]]</f>
        <v/>
      </c>
      <c r="V284" s="271"/>
      <c r="W284" s="278" t="str">
        <f ca="1">IF(Table1[[#This Row],[Item Description]]="","",IF(Table1[[#This Row],[//]]="",INDIRECT(ADDRESS(ROW()-1,COLUMN())),Table1[[#This Row],[//]]))</f>
        <v/>
      </c>
      <c r="X284" s="278" t="str">
        <f ca="1">IF(Table1[[#This Row],[h_id]]="","",COUNTIF(Table1[h_id],Table1[[#This Row],[h_id]]))</f>
        <v/>
      </c>
      <c r="Y284" s="274" t="str">
        <f>IF(Table1[Item Description]="","",Table1[[#This Row],[Qty]]*Table1[[#This Row],[Unit Price]])</f>
        <v/>
      </c>
      <c r="Z284" s="274" t="str">
        <f>IF(Table1[[#This Row],[h_hargasebelumdiskon]]="","",IF(Table1[[#This Row],[Disc 1]]="",0,Table1[[#This Row],[h_hargasebelumdiskon]]*Table1[[#This Row],[Disc 1]]))</f>
        <v/>
      </c>
      <c r="AA284" s="274" t="str">
        <f>IF(Table1[[#This Row],[h_hargasebelumdiskon]]="","",IF(Table1[[#This Row],[Disc 2]]="",0,(Table1[[#This Row],[h_hargasebelumdiskon]]-Table1[[#This Row],[h_disc 1]])*Table1[[#This Row],[Disc 2]]))</f>
        <v/>
      </c>
      <c r="AB284" s="274" t="str">
        <f>IF(Table1[Item Description]="","",Table1[[#This Row],[h_disc 1]]+Table1[[#This Row],[h_disc 2]])</f>
        <v/>
      </c>
      <c r="AC284" s="274" t="str">
        <f>IF(Table1[Item Description]="","",Table1[[#This Row],[h_hargasebelumdiskon]]-Table1[[#This Row],[h_diskon]])</f>
        <v/>
      </c>
      <c r="AD284" s="274" t="str">
        <f ca="1">IF(Table1[//]="","",SUMIF(Table1[h_id],Table1[h_id],Table1[h_hargasetelahdiskon]))</f>
        <v/>
      </c>
      <c r="AF284" s="274" t="str">
        <f>Table1[[#This Row],[Item Description]]&amp;Table1[[#This Row],[Unit]]&amp;Table1[[#This Row],[Unit Price]]</f>
        <v/>
      </c>
      <c r="AG284" s="3"/>
      <c r="AH284" s="3"/>
      <c r="AI284" s="3"/>
    </row>
    <row r="285" spans="1:35" x14ac:dyDescent="0.25">
      <c r="A285" s="278" t="str">
        <f ca="1">IF(Table1[[#This Row],[No. Invoice :]]="","",ROW())</f>
        <v/>
      </c>
      <c r="B285" s="481" t="str">
        <f ca="1">IF(Table1[Column3]="","",B$1+COUNT(INDIRECT("B$2:B"&amp;ROW()-1)))</f>
        <v/>
      </c>
      <c r="C285" s="272" t="str">
        <f>IF(Table1[[#This Row],[Column2]]="","",Table1[[#This Row],[Column2]]+C$1-1)</f>
        <v/>
      </c>
      <c r="D285" s="482"/>
      <c r="E285" s="483"/>
      <c r="F285" s="484"/>
      <c r="G285" s="278" t="str">
        <f ca="1">IF(Table1[[#This Row],[h_No. Invoice :]]="","",CONCATENATE("AM"," ",Table1[[#This Row],[h_No. Invoice :]]))</f>
        <v/>
      </c>
      <c r="H285" s="481" t="str">
        <f>IF(Table1[[#This Row],[Column5]]="","",INDEX(Table2[Column1],MATCH(Table1[[#This Row],[Column5]],Table2[a],0)))</f>
        <v/>
      </c>
      <c r="I285" s="279" t="str">
        <f>IF(Table1[[#This Row],[Column3]]=0,"",CONCATENATE(UPPER(Table1[[#This Row],[Column3]])," ",Table1[[#This Row],[Column4]]))</f>
        <v xml:space="preserve"> </v>
      </c>
      <c r="J285" s="278" t="str">
        <f>IF(Table1[[#This Row],[Column5]]="","",INDEX(Table2[e],IF(Table1[[#This Row],[Column5]]="","",MATCH(Table1[[#This Row],[Column5]],Table2[a],0)),))</f>
        <v/>
      </c>
      <c r="K285" s="271"/>
      <c r="L285" s="271"/>
      <c r="N285" s="484"/>
      <c r="O285" s="481" t="str">
        <f>IF(Table1[[#This Row],[h_Item Description]]="","",INDEX([1]!db[NB PAJAK],MATCH(Table1[[#This Row],[h_Item Description]],[1]!db[kode],0)))</f>
        <v/>
      </c>
      <c r="Q285" s="274"/>
      <c r="R285" s="275"/>
      <c r="S285" s="275"/>
      <c r="T285" s="485" t="str">
        <f>Table1[[#This Row],[h_hargasetelahdiskon]]</f>
        <v/>
      </c>
      <c r="V285" s="271"/>
      <c r="W285" s="278" t="str">
        <f ca="1">IF(Table1[[#This Row],[Item Description]]="","",IF(Table1[[#This Row],[//]]="",INDIRECT(ADDRESS(ROW()-1,COLUMN())),Table1[[#This Row],[//]]))</f>
        <v/>
      </c>
      <c r="X285" s="278" t="str">
        <f ca="1">IF(Table1[[#This Row],[h_id]]="","",COUNTIF(Table1[h_id],Table1[[#This Row],[h_id]]))</f>
        <v/>
      </c>
      <c r="Y285" s="274" t="str">
        <f>IF(Table1[Item Description]="","",Table1[[#This Row],[Qty]]*Table1[[#This Row],[Unit Price]])</f>
        <v/>
      </c>
      <c r="Z285" s="485" t="str">
        <f>IF(Table1[[#This Row],[h_hargasebelumdiskon]]="","",IF(Table1[[#This Row],[Disc 1]]="",0,Table1[[#This Row],[h_hargasebelumdiskon]]*Table1[[#This Row],[Disc 1]]))</f>
        <v/>
      </c>
      <c r="AA285" s="485" t="str">
        <f>IF(Table1[[#This Row],[h_hargasebelumdiskon]]="","",IF(Table1[[#This Row],[Disc 2]]="",0,(Table1[[#This Row],[h_hargasebelumdiskon]]-Table1[[#This Row],[h_disc 1]])*Table1[[#This Row],[Disc 2]]))</f>
        <v/>
      </c>
      <c r="AB285" s="274" t="str">
        <f>IF(Table1[Item Description]="","",Table1[[#This Row],[h_disc 1]]+Table1[[#This Row],[h_disc 2]])</f>
        <v/>
      </c>
      <c r="AC285" s="274" t="str">
        <f>IF(Table1[Item Description]="","",Table1[[#This Row],[h_hargasebelumdiskon]]-Table1[[#This Row],[h_diskon]])</f>
        <v/>
      </c>
      <c r="AD285" s="274" t="str">
        <f ca="1">IF(Table1[//]="","",SUMIF(Table1[h_id],Table1[h_id],Table1[h_hargasetelahdiskon]))</f>
        <v/>
      </c>
      <c r="AF285" s="274" t="str">
        <f>Table1[[#This Row],[Item Description]]&amp;Table1[[#This Row],[Unit]]&amp;Table1[[#This Row],[Unit Price]]</f>
        <v/>
      </c>
      <c r="AG285" s="3"/>
      <c r="AH285" s="3"/>
      <c r="AI285" s="3"/>
    </row>
    <row r="286" spans="1:35" x14ac:dyDescent="0.25">
      <c r="A286" s="278" t="str">
        <f ca="1">IF(Table1[[#This Row],[No. Invoice :]]="","",ROW())</f>
        <v/>
      </c>
      <c r="B286" s="481" t="str">
        <f ca="1">IF(Table1[Column3]="","",B$1+COUNT(INDIRECT("B$2:B"&amp;ROW()-1)))</f>
        <v/>
      </c>
      <c r="C286" s="272" t="str">
        <f>IF(Table1[[#This Row],[Column2]]="","",Table1[[#This Row],[Column2]]+C$1-1)</f>
        <v/>
      </c>
      <c r="D286" s="482"/>
      <c r="E286" s="483"/>
      <c r="F286" s="484"/>
      <c r="G286" s="278" t="str">
        <f ca="1">IF(Table1[[#This Row],[h_No. Invoice :]]="","",CONCATENATE("AM"," ",Table1[[#This Row],[h_No. Invoice :]]))</f>
        <v/>
      </c>
      <c r="H286" s="481" t="str">
        <f>IF(Table1[[#This Row],[Column5]]="","",INDEX(Table2[Column1],MATCH(Table1[[#This Row],[Column5]],Table2[a],0)))</f>
        <v/>
      </c>
      <c r="I286" s="279" t="str">
        <f>IF(Table1[[#This Row],[Column3]]=0,"",CONCATENATE(UPPER(Table1[[#This Row],[Column3]])," ",Table1[[#This Row],[Column4]]))</f>
        <v xml:space="preserve"> </v>
      </c>
      <c r="J286" s="278" t="str">
        <f>IF(Table1[[#This Row],[Column5]]="","",INDEX(Table2[e],IF(Table1[[#This Row],[Column5]]="","",MATCH(Table1[[#This Row],[Column5]],Table2[a],0)),))</f>
        <v/>
      </c>
      <c r="K286" s="271"/>
      <c r="L286" s="271"/>
      <c r="N286" s="484"/>
      <c r="O286" s="481" t="str">
        <f>IF(Table1[[#This Row],[h_Item Description]]="","",INDEX([1]!db[NB PAJAK],MATCH(Table1[[#This Row],[h_Item Description]],[1]!db[kode],0)))</f>
        <v/>
      </c>
      <c r="Q286" s="274"/>
      <c r="R286" s="275"/>
      <c r="S286" s="275"/>
      <c r="T286" s="485" t="str">
        <f>Table1[[#This Row],[h_hargasetelahdiskon]]</f>
        <v/>
      </c>
      <c r="V286" s="271"/>
      <c r="W286" s="278" t="str">
        <f ca="1">IF(Table1[[#This Row],[Item Description]]="","",IF(Table1[[#This Row],[//]]="",INDIRECT(ADDRESS(ROW()-1,COLUMN())),Table1[[#This Row],[//]]))</f>
        <v/>
      </c>
      <c r="X286" s="278" t="str">
        <f ca="1">IF(Table1[[#This Row],[h_id]]="","",COUNTIF(Table1[h_id],Table1[[#This Row],[h_id]]))</f>
        <v/>
      </c>
      <c r="Y286" s="274" t="str">
        <f>IF(Table1[Item Description]="","",Table1[[#This Row],[Qty]]*Table1[[#This Row],[Unit Price]])</f>
        <v/>
      </c>
      <c r="Z286" s="485" t="str">
        <f>IF(Table1[[#This Row],[h_hargasebelumdiskon]]="","",IF(Table1[[#This Row],[Disc 1]]="",0,Table1[[#This Row],[h_hargasebelumdiskon]]*Table1[[#This Row],[Disc 1]]))</f>
        <v/>
      </c>
      <c r="AA286" s="485" t="str">
        <f>IF(Table1[[#This Row],[h_hargasebelumdiskon]]="","",IF(Table1[[#This Row],[Disc 2]]="",0,(Table1[[#This Row],[h_hargasebelumdiskon]]-Table1[[#This Row],[h_disc 1]])*Table1[[#This Row],[Disc 2]]))</f>
        <v/>
      </c>
      <c r="AB286" s="274" t="str">
        <f>IF(Table1[Item Description]="","",Table1[[#This Row],[h_disc 1]]+Table1[[#This Row],[h_disc 2]])</f>
        <v/>
      </c>
      <c r="AC286" s="274" t="str">
        <f>IF(Table1[Item Description]="","",Table1[[#This Row],[h_hargasebelumdiskon]]-Table1[[#This Row],[h_diskon]])</f>
        <v/>
      </c>
      <c r="AD286" s="274" t="str">
        <f ca="1">IF(Table1[//]="","",SUMIF(Table1[h_id],Table1[h_id],Table1[h_hargasetelahdiskon]))</f>
        <v/>
      </c>
      <c r="AF286" s="274" t="str">
        <f>Table1[[#This Row],[Item Description]]&amp;Table1[[#This Row],[Unit]]&amp;Table1[[#This Row],[Unit Price]]</f>
        <v/>
      </c>
      <c r="AG286" s="3"/>
      <c r="AH286" s="3"/>
      <c r="AI286" s="3"/>
    </row>
    <row r="287" spans="1:35" x14ac:dyDescent="0.25">
      <c r="A287" s="278" t="str">
        <f ca="1">IF(Table1[[#This Row],[No. Invoice :]]="","",ROW())</f>
        <v/>
      </c>
      <c r="B287" s="278" t="str">
        <f ca="1">IF(Table1[Column3]="","",B$1+COUNT(INDIRECT("B$2:B"&amp;ROW()-1)))</f>
        <v/>
      </c>
      <c r="C287" s="272" t="str">
        <f>IF(Table1[[#This Row],[Column2]]="","",Table1[[#This Row],[Column2]]+C$1-1)</f>
        <v/>
      </c>
      <c r="E287" s="273"/>
      <c r="F287" s="271"/>
      <c r="G287" s="278" t="str">
        <f ca="1">IF(Table1[[#This Row],[h_No. Invoice :]]="","",CONCATENATE("AM"," ",Table1[[#This Row],[h_No. Invoice :]]))</f>
        <v/>
      </c>
      <c r="H287" s="271" t="str">
        <f>IF(Table1[[#This Row],[Column5]]="","",INDEX(Table2[Column1],MATCH(Table1[[#This Row],[Column5]],Table2[a],0)))</f>
        <v/>
      </c>
      <c r="I287" s="279" t="str">
        <f>IF(Table1[[#This Row],[Column3]]=0,"",CONCATENATE(UPPER(Table1[[#This Row],[Column3]])," ",Table1[[#This Row],[Column4]]))</f>
        <v xml:space="preserve"> </v>
      </c>
      <c r="J287" s="278" t="str">
        <f>IF(Table1[[#This Row],[Column5]]="","",INDEX(Table2[e],IF(Table1[[#This Row],[Column5]]="","",MATCH(Table1[[#This Row],[Column5]],Table2[a],0)),))</f>
        <v/>
      </c>
      <c r="K287" s="271"/>
      <c r="L287" s="271"/>
      <c r="O287" s="278" t="str">
        <f>IF(Table1[[#This Row],[h_Item Description]]="","",INDEX([1]!db[NB PAJAK],MATCH(Table1[[#This Row],[h_Item Description]],[1]!db[kode],0)))</f>
        <v/>
      </c>
      <c r="Q287" s="274"/>
      <c r="R287" s="275"/>
      <c r="S287" s="275"/>
      <c r="T287" s="274" t="str">
        <f>Table1[[#This Row],[h_hargasetelahdiskon]]</f>
        <v/>
      </c>
      <c r="V287" s="271"/>
      <c r="W287" s="278" t="str">
        <f ca="1">IF(Table1[[#This Row],[Item Description]]="","",IF(Table1[[#This Row],[//]]="",INDIRECT(ADDRESS(ROW()-1,COLUMN())),Table1[[#This Row],[//]]))</f>
        <v/>
      </c>
      <c r="X287" s="278" t="str">
        <f ca="1">IF(Table1[[#This Row],[h_id]]="","",COUNTIF(Table1[h_id],Table1[[#This Row],[h_id]]))</f>
        <v/>
      </c>
      <c r="Y287" s="274" t="str">
        <f>IF(Table1[Item Description]="","",Table1[[#This Row],[Qty]]*Table1[[#This Row],[Unit Price]])</f>
        <v/>
      </c>
      <c r="Z287" s="274" t="str">
        <f>IF(Table1[[#This Row],[h_hargasebelumdiskon]]="","",IF(Table1[[#This Row],[Disc 1]]="",0,Table1[[#This Row],[h_hargasebelumdiskon]]*Table1[[#This Row],[Disc 1]]))</f>
        <v/>
      </c>
      <c r="AA287" s="274" t="str">
        <f>IF(Table1[[#This Row],[h_hargasebelumdiskon]]="","",IF(Table1[[#This Row],[Disc 2]]="",0,(Table1[[#This Row],[h_hargasebelumdiskon]]-Table1[[#This Row],[h_disc 1]])*Table1[[#This Row],[Disc 2]]))</f>
        <v/>
      </c>
      <c r="AB287" s="274" t="str">
        <f>IF(Table1[Item Description]="","",Table1[[#This Row],[h_disc 1]]+Table1[[#This Row],[h_disc 2]])</f>
        <v/>
      </c>
      <c r="AC287" s="274" t="str">
        <f>IF(Table1[Item Description]="","",Table1[[#This Row],[h_hargasebelumdiskon]]-Table1[[#This Row],[h_diskon]])</f>
        <v/>
      </c>
      <c r="AD287" s="274" t="str">
        <f ca="1">IF(Table1[//]="","",SUMIF(Table1[h_id],Table1[h_id],Table1[h_hargasetelahdiskon]))</f>
        <v/>
      </c>
      <c r="AF287" s="274" t="str">
        <f>Table1[[#This Row],[Item Description]]&amp;Table1[[#This Row],[Unit]]&amp;Table1[[#This Row],[Unit Price]]</f>
        <v/>
      </c>
      <c r="AG287" s="3"/>
      <c r="AH287" s="3"/>
      <c r="AI287" s="3"/>
    </row>
    <row r="288" spans="1:35" x14ac:dyDescent="0.25">
      <c r="A288" s="278" t="str">
        <f ca="1">IF(Table1[[#This Row],[No. Invoice :]]="","",ROW())</f>
        <v/>
      </c>
      <c r="B288" s="278" t="str">
        <f ca="1">IF(Table1[Column3]="","",B$1+COUNT(INDIRECT("B$2:B"&amp;ROW()-1)))</f>
        <v/>
      </c>
      <c r="C288" s="272" t="str">
        <f>IF(Table1[[#This Row],[Column2]]="","",Table1[[#This Row],[Column2]]+C$1-1)</f>
        <v/>
      </c>
      <c r="E288" s="273"/>
      <c r="F288" s="271"/>
      <c r="G288" s="278" t="str">
        <f ca="1">IF(Table1[[#This Row],[h_No. Invoice :]]="","",CONCATENATE("AM"," ",Table1[[#This Row],[h_No. Invoice :]]))</f>
        <v/>
      </c>
      <c r="H288" s="271" t="str">
        <f>IF(Table1[[#This Row],[Column5]]="","",INDEX(Table2[Column1],MATCH(Table1[[#This Row],[Column5]],Table2[a],0)))</f>
        <v/>
      </c>
      <c r="I288" s="279" t="str">
        <f>IF(Table1[[#This Row],[Column3]]=0,"",CONCATENATE(UPPER(Table1[[#This Row],[Column3]])," ",Table1[[#This Row],[Column4]]))</f>
        <v xml:space="preserve"> </v>
      </c>
      <c r="J288" s="278" t="str">
        <f>IF(Table1[[#This Row],[Column5]]="","",INDEX(Table2[e],IF(Table1[[#This Row],[Column5]]="","",MATCH(Table1[[#This Row],[Column5]],Table2[a],0)),))</f>
        <v/>
      </c>
      <c r="K288" s="271"/>
      <c r="L288" s="271"/>
      <c r="O288" s="278" t="str">
        <f>IF(Table1[[#This Row],[h_Item Description]]="","",INDEX([1]!db[NB PAJAK],MATCH(Table1[[#This Row],[h_Item Description]],[1]!db[kode],0)))</f>
        <v/>
      </c>
      <c r="Q288" s="274"/>
      <c r="R288" s="275"/>
      <c r="S288" s="275"/>
      <c r="T288" s="274" t="str">
        <f>Table1[[#This Row],[h_hargasetelahdiskon]]</f>
        <v/>
      </c>
      <c r="V288" s="271"/>
      <c r="W288" s="278" t="str">
        <f ca="1">IF(Table1[[#This Row],[Item Description]]="","",IF(Table1[[#This Row],[//]]="",INDIRECT(ADDRESS(ROW()-1,COLUMN())),Table1[[#This Row],[//]]))</f>
        <v/>
      </c>
      <c r="X288" s="278" t="str">
        <f ca="1">IF(Table1[[#This Row],[h_id]]="","",COUNTIF(Table1[h_id],Table1[[#This Row],[h_id]]))</f>
        <v/>
      </c>
      <c r="Y288" s="274" t="str">
        <f>IF(Table1[Item Description]="","",Table1[[#This Row],[Qty]]*Table1[[#This Row],[Unit Price]])</f>
        <v/>
      </c>
      <c r="Z288" s="274" t="str">
        <f>IF(Table1[[#This Row],[h_hargasebelumdiskon]]="","",IF(Table1[[#This Row],[Disc 1]]="",0,Table1[[#This Row],[h_hargasebelumdiskon]]*Table1[[#This Row],[Disc 1]]))</f>
        <v/>
      </c>
      <c r="AA288" s="274" t="str">
        <f>IF(Table1[[#This Row],[h_hargasebelumdiskon]]="","",IF(Table1[[#This Row],[Disc 2]]="",0,(Table1[[#This Row],[h_hargasebelumdiskon]]-Table1[[#This Row],[h_disc 1]])*Table1[[#This Row],[Disc 2]]))</f>
        <v/>
      </c>
      <c r="AB288" s="274" t="str">
        <f>IF(Table1[Item Description]="","",Table1[[#This Row],[h_disc 1]]+Table1[[#This Row],[h_disc 2]])</f>
        <v/>
      </c>
      <c r="AC288" s="274" t="str">
        <f>IF(Table1[Item Description]="","",Table1[[#This Row],[h_hargasebelumdiskon]]-Table1[[#This Row],[h_diskon]])</f>
        <v/>
      </c>
      <c r="AD288" s="274" t="str">
        <f ca="1">IF(Table1[//]="","",SUMIF(Table1[h_id],Table1[h_id],Table1[h_hargasetelahdiskon]))</f>
        <v/>
      </c>
      <c r="AF288" s="274" t="str">
        <f>Table1[[#This Row],[Item Description]]&amp;Table1[[#This Row],[Unit]]&amp;Table1[[#This Row],[Unit Price]]</f>
        <v/>
      </c>
      <c r="AG288" s="3"/>
      <c r="AH288" s="3"/>
      <c r="AI288" s="3"/>
    </row>
    <row r="289" spans="1:35" x14ac:dyDescent="0.25">
      <c r="A289" s="278" t="str">
        <f ca="1">IF(Table1[[#This Row],[No. Invoice :]]="","",ROW())</f>
        <v/>
      </c>
      <c r="B289" s="481" t="str">
        <f ca="1">IF(Table1[Column3]="","",B$1+COUNT(INDIRECT("B$2:B"&amp;ROW()-1)))</f>
        <v/>
      </c>
      <c r="C289" s="272" t="str">
        <f>IF(Table1[[#This Row],[Column2]]="","",Table1[[#This Row],[Column2]]+C$1-1)</f>
        <v/>
      </c>
      <c r="D289" s="482"/>
      <c r="E289" s="483"/>
      <c r="F289" s="484"/>
      <c r="G289" s="278" t="str">
        <f ca="1">IF(Table1[[#This Row],[h_No. Invoice :]]="","",CONCATENATE("AM"," ",Table1[[#This Row],[h_No. Invoice :]]))</f>
        <v/>
      </c>
      <c r="H289" s="481" t="str">
        <f>IF(Table1[[#This Row],[Column5]]="","",INDEX(Table2[Column1],MATCH(Table1[[#This Row],[Column5]],Table2[a],0)))</f>
        <v/>
      </c>
      <c r="I289" s="279" t="str">
        <f>IF(Table1[[#This Row],[Column3]]=0,"",CONCATENATE(UPPER(Table1[[#This Row],[Column3]])," ",Table1[[#This Row],[Column4]]))</f>
        <v xml:space="preserve"> </v>
      </c>
      <c r="J289" s="278" t="str">
        <f>IF(Table1[[#This Row],[Column5]]="","",INDEX(Table2[e],IF(Table1[[#This Row],[Column5]]="","",MATCH(Table1[[#This Row],[Column5]],Table2[a],0)),))</f>
        <v/>
      </c>
      <c r="K289" s="271"/>
      <c r="L289" s="271"/>
      <c r="N289" s="484"/>
      <c r="O289" s="481" t="str">
        <f>IF(Table1[[#This Row],[h_Item Description]]="","",INDEX([1]!db[NB PAJAK],MATCH(Table1[[#This Row],[h_Item Description]],[1]!db[kode],0)))</f>
        <v/>
      </c>
      <c r="Q289" s="274"/>
      <c r="R289" s="275"/>
      <c r="S289" s="275"/>
      <c r="T289" s="485" t="str">
        <f>Table1[[#This Row],[h_hargasetelahdiskon]]</f>
        <v/>
      </c>
      <c r="V289" s="271"/>
      <c r="W289" s="278" t="str">
        <f ca="1">IF(Table1[[#This Row],[Item Description]]="","",IF(Table1[[#This Row],[//]]="",INDIRECT(ADDRESS(ROW()-1,COLUMN())),Table1[[#This Row],[//]]))</f>
        <v/>
      </c>
      <c r="X289" s="278" t="str">
        <f ca="1">IF(Table1[[#This Row],[h_id]]="","",COUNTIF(Table1[h_id],Table1[[#This Row],[h_id]]))</f>
        <v/>
      </c>
      <c r="Y289" s="274" t="str">
        <f>IF(Table1[Item Description]="","",Table1[[#This Row],[Qty]]*Table1[[#This Row],[Unit Price]])</f>
        <v/>
      </c>
      <c r="Z289" s="485" t="str">
        <f>IF(Table1[[#This Row],[h_hargasebelumdiskon]]="","",IF(Table1[[#This Row],[Disc 1]]="",0,Table1[[#This Row],[h_hargasebelumdiskon]]*Table1[[#This Row],[Disc 1]]))</f>
        <v/>
      </c>
      <c r="AA289" s="485" t="str">
        <f>IF(Table1[[#This Row],[h_hargasebelumdiskon]]="","",IF(Table1[[#This Row],[Disc 2]]="",0,(Table1[[#This Row],[h_hargasebelumdiskon]]-Table1[[#This Row],[h_disc 1]])*Table1[[#This Row],[Disc 2]]))</f>
        <v/>
      </c>
      <c r="AB289" s="274" t="str">
        <f>IF(Table1[Item Description]="","",Table1[[#This Row],[h_disc 1]]+Table1[[#This Row],[h_disc 2]])</f>
        <v/>
      </c>
      <c r="AC289" s="274" t="str">
        <f>IF(Table1[Item Description]="","",Table1[[#This Row],[h_hargasebelumdiskon]]-Table1[[#This Row],[h_diskon]])</f>
        <v/>
      </c>
      <c r="AD289" s="274" t="str">
        <f ca="1">IF(Table1[//]="","",SUMIF(Table1[h_id],Table1[h_id],Table1[h_hargasetelahdiskon]))</f>
        <v/>
      </c>
      <c r="AF289" s="274" t="str">
        <f>Table1[[#This Row],[Item Description]]&amp;Table1[[#This Row],[Unit]]&amp;Table1[[#This Row],[Unit Price]]</f>
        <v/>
      </c>
      <c r="AG289" s="3"/>
      <c r="AH289" s="3"/>
      <c r="AI289" s="3"/>
    </row>
    <row r="290" spans="1:35" x14ac:dyDescent="0.25">
      <c r="A290" s="278" t="str">
        <f ca="1">IF(Table1[[#This Row],[No. Invoice :]]="","",ROW())</f>
        <v/>
      </c>
      <c r="B290" s="481" t="str">
        <f ca="1">IF(Table1[Column3]="","",B$1+COUNT(INDIRECT("B$2:B"&amp;ROW()-1)))</f>
        <v/>
      </c>
      <c r="C290" s="272" t="str">
        <f>IF(Table1[[#This Row],[Column2]]="","",Table1[[#This Row],[Column2]]+C$1-1)</f>
        <v/>
      </c>
      <c r="D290" s="482"/>
      <c r="E290" s="483"/>
      <c r="F290" s="484"/>
      <c r="G290" s="278" t="str">
        <f ca="1">IF(Table1[[#This Row],[h_No. Invoice :]]="","",CONCATENATE("AM"," ",Table1[[#This Row],[h_No. Invoice :]]))</f>
        <v/>
      </c>
      <c r="H290" s="481" t="str">
        <f>IF(Table1[[#This Row],[Column5]]="","",INDEX(Table2[Column1],MATCH(Table1[[#This Row],[Column5]],Table2[a],0)))</f>
        <v/>
      </c>
      <c r="I290" s="279" t="str">
        <f>IF(Table1[[#This Row],[Column3]]=0,"",CONCATENATE(UPPER(Table1[[#This Row],[Column3]])," ",Table1[[#This Row],[Column4]]))</f>
        <v xml:space="preserve"> </v>
      </c>
      <c r="J290" s="278" t="str">
        <f>IF(Table1[[#This Row],[Column5]]="","",INDEX(Table2[e],IF(Table1[[#This Row],[Column5]]="","",MATCH(Table1[[#This Row],[Column5]],Table2[a],0)),))</f>
        <v/>
      </c>
      <c r="K290" s="271"/>
      <c r="L290" s="271"/>
      <c r="N290" s="484"/>
      <c r="O290" s="481" t="str">
        <f>IF(Table1[[#This Row],[h_Item Description]]="","",INDEX([1]!db[NB PAJAK],MATCH(Table1[[#This Row],[h_Item Description]],[1]!db[kode],0)))</f>
        <v/>
      </c>
      <c r="Q290" s="274"/>
      <c r="R290" s="275"/>
      <c r="S290" s="275"/>
      <c r="T290" s="485" t="str">
        <f>Table1[[#This Row],[h_hargasetelahdiskon]]</f>
        <v/>
      </c>
      <c r="V290" s="271"/>
      <c r="W290" s="278" t="str">
        <f ca="1">IF(Table1[[#This Row],[Item Description]]="","",IF(Table1[[#This Row],[//]]="",INDIRECT(ADDRESS(ROW()-1,COLUMN())),Table1[[#This Row],[//]]))</f>
        <v/>
      </c>
      <c r="X290" s="278" t="str">
        <f ca="1">IF(Table1[[#This Row],[h_id]]="","",COUNTIF(Table1[h_id],Table1[[#This Row],[h_id]]))</f>
        <v/>
      </c>
      <c r="Y290" s="274" t="str">
        <f>IF(Table1[Item Description]="","",Table1[[#This Row],[Qty]]*Table1[[#This Row],[Unit Price]])</f>
        <v/>
      </c>
      <c r="Z290" s="485" t="str">
        <f>IF(Table1[[#This Row],[h_hargasebelumdiskon]]="","",IF(Table1[[#This Row],[Disc 1]]="",0,Table1[[#This Row],[h_hargasebelumdiskon]]*Table1[[#This Row],[Disc 1]]))</f>
        <v/>
      </c>
      <c r="AA290" s="485" t="str">
        <f>IF(Table1[[#This Row],[h_hargasebelumdiskon]]="","",IF(Table1[[#This Row],[Disc 2]]="",0,(Table1[[#This Row],[h_hargasebelumdiskon]]-Table1[[#This Row],[h_disc 1]])*Table1[[#This Row],[Disc 2]]))</f>
        <v/>
      </c>
      <c r="AB290" s="274" t="str">
        <f>IF(Table1[Item Description]="","",Table1[[#This Row],[h_disc 1]]+Table1[[#This Row],[h_disc 2]])</f>
        <v/>
      </c>
      <c r="AC290" s="274" t="str">
        <f>IF(Table1[Item Description]="","",Table1[[#This Row],[h_hargasebelumdiskon]]-Table1[[#This Row],[h_diskon]])</f>
        <v/>
      </c>
      <c r="AD290" s="274" t="str">
        <f ca="1">IF(Table1[//]="","",SUMIF(Table1[h_id],Table1[h_id],Table1[h_hargasetelahdiskon]))</f>
        <v/>
      </c>
      <c r="AF290" s="274" t="str">
        <f>Table1[[#This Row],[Item Description]]&amp;Table1[[#This Row],[Unit]]&amp;Table1[[#This Row],[Unit Price]]</f>
        <v/>
      </c>
      <c r="AG290" s="3"/>
      <c r="AH290" s="3"/>
      <c r="AI290" s="3"/>
    </row>
    <row r="291" spans="1:35" x14ac:dyDescent="0.25">
      <c r="A291" s="278" t="str">
        <f ca="1">IF(Table1[[#This Row],[No. Invoice :]]="","",ROW())</f>
        <v/>
      </c>
      <c r="B291" s="481" t="str">
        <f ca="1">IF(Table1[Column3]="","",B$1+COUNT(INDIRECT("B$2:B"&amp;ROW()-1)))</f>
        <v/>
      </c>
      <c r="C291" s="272" t="str">
        <f>IF(Table1[[#This Row],[Column2]]="","",Table1[[#This Row],[Column2]]+C$1-1)</f>
        <v/>
      </c>
      <c r="D291" s="482"/>
      <c r="E291" s="483"/>
      <c r="F291" s="484"/>
      <c r="G291" s="278" t="str">
        <f ca="1">IF(Table1[[#This Row],[h_No. Invoice :]]="","",CONCATENATE("AM"," ",Table1[[#This Row],[h_No. Invoice :]]))</f>
        <v/>
      </c>
      <c r="H291" s="481" t="str">
        <f>IF(Table1[[#This Row],[Column5]]="","",INDEX(Table2[Column1],MATCH(Table1[[#This Row],[Column5]],Table2[a],0)))</f>
        <v/>
      </c>
      <c r="I291" s="279" t="str">
        <f>IF(Table1[[#This Row],[Column3]]=0,"",CONCATENATE(UPPER(Table1[[#This Row],[Column3]])," ",Table1[[#This Row],[Column4]]))</f>
        <v xml:space="preserve"> </v>
      </c>
      <c r="J291" s="278" t="str">
        <f>IF(Table1[[#This Row],[Column5]]="","",INDEX(Table2[e],IF(Table1[[#This Row],[Column5]]="","",MATCH(Table1[[#This Row],[Column5]],Table2[a],0)),))</f>
        <v/>
      </c>
      <c r="K291" s="271"/>
      <c r="L291" s="271"/>
      <c r="N291" s="484"/>
      <c r="O291" s="481" t="str">
        <f>IF(Table1[[#This Row],[h_Item Description]]="","",INDEX([1]!db[NB PAJAK],MATCH(Table1[[#This Row],[h_Item Description]],[1]!db[kode],0)))</f>
        <v/>
      </c>
      <c r="Q291" s="274"/>
      <c r="R291" s="275"/>
      <c r="S291" s="275"/>
      <c r="T291" s="485" t="str">
        <f>Table1[[#This Row],[h_hargasetelahdiskon]]</f>
        <v/>
      </c>
      <c r="V291" s="271"/>
      <c r="W291" s="278" t="str">
        <f ca="1">IF(Table1[[#This Row],[Item Description]]="","",IF(Table1[[#This Row],[//]]="",INDIRECT(ADDRESS(ROW()-1,COLUMN())),Table1[[#This Row],[//]]))</f>
        <v/>
      </c>
      <c r="X291" s="278" t="str">
        <f ca="1">IF(Table1[[#This Row],[h_id]]="","",COUNTIF(Table1[h_id],Table1[[#This Row],[h_id]]))</f>
        <v/>
      </c>
      <c r="Y291" s="274" t="str">
        <f>IF(Table1[Item Description]="","",Table1[[#This Row],[Qty]]*Table1[[#This Row],[Unit Price]])</f>
        <v/>
      </c>
      <c r="Z291" s="485" t="str">
        <f>IF(Table1[[#This Row],[h_hargasebelumdiskon]]="","",IF(Table1[[#This Row],[Disc 1]]="",0,Table1[[#This Row],[h_hargasebelumdiskon]]*Table1[[#This Row],[Disc 1]]))</f>
        <v/>
      </c>
      <c r="AA291" s="485" t="str">
        <f>IF(Table1[[#This Row],[h_hargasebelumdiskon]]="","",IF(Table1[[#This Row],[Disc 2]]="",0,(Table1[[#This Row],[h_hargasebelumdiskon]]-Table1[[#This Row],[h_disc 1]])*Table1[[#This Row],[Disc 2]]))</f>
        <v/>
      </c>
      <c r="AB291" s="274" t="str">
        <f>IF(Table1[Item Description]="","",Table1[[#This Row],[h_disc 1]]+Table1[[#This Row],[h_disc 2]])</f>
        <v/>
      </c>
      <c r="AC291" s="274" t="str">
        <f>IF(Table1[Item Description]="","",Table1[[#This Row],[h_hargasebelumdiskon]]-Table1[[#This Row],[h_diskon]])</f>
        <v/>
      </c>
      <c r="AD291" s="274" t="str">
        <f ca="1">IF(Table1[//]="","",SUMIF(Table1[h_id],Table1[h_id],Table1[h_hargasetelahdiskon]))</f>
        <v/>
      </c>
      <c r="AF291" s="274" t="str">
        <f>Table1[[#This Row],[Item Description]]&amp;Table1[[#This Row],[Unit]]&amp;Table1[[#This Row],[Unit Price]]</f>
        <v/>
      </c>
      <c r="AG291" s="3"/>
      <c r="AH291" s="3"/>
      <c r="AI291" s="3"/>
    </row>
    <row r="292" spans="1:35" x14ac:dyDescent="0.25">
      <c r="A292" s="278" t="str">
        <f ca="1">IF(Table1[[#This Row],[No. Invoice :]]="","",ROW())</f>
        <v/>
      </c>
      <c r="B292" s="481" t="str">
        <f ca="1">IF(Table1[Column3]="","",B$1+COUNT(INDIRECT("B$2:B"&amp;ROW()-1)))</f>
        <v/>
      </c>
      <c r="C292" s="272" t="str">
        <f>IF(Table1[[#This Row],[Column2]]="","",Table1[[#This Row],[Column2]]+C$1-1)</f>
        <v/>
      </c>
      <c r="D292" s="482"/>
      <c r="E292" s="483"/>
      <c r="F292" s="484"/>
      <c r="G292" s="278" t="str">
        <f ca="1">IF(Table1[[#This Row],[h_No. Invoice :]]="","",CONCATENATE("AM"," ",Table1[[#This Row],[h_No. Invoice :]]))</f>
        <v/>
      </c>
      <c r="H292" s="481" t="str">
        <f>IF(Table1[[#This Row],[Column5]]="","",INDEX(Table2[Column1],MATCH(Table1[[#This Row],[Column5]],Table2[a],0)))</f>
        <v/>
      </c>
      <c r="I292" s="279" t="str">
        <f>IF(Table1[[#This Row],[Column3]]=0,"",CONCATENATE(UPPER(Table1[[#This Row],[Column3]])," ",Table1[[#This Row],[Column4]]))</f>
        <v xml:space="preserve"> </v>
      </c>
      <c r="J292" s="278" t="str">
        <f>IF(Table1[[#This Row],[Column5]]="","",INDEX(Table2[e],IF(Table1[[#This Row],[Column5]]="","",MATCH(Table1[[#This Row],[Column5]],Table2[a],0)),))</f>
        <v/>
      </c>
      <c r="K292" s="271"/>
      <c r="L292" s="271"/>
      <c r="N292" s="484"/>
      <c r="O292" s="481" t="str">
        <f>IF(Table1[[#This Row],[h_Item Description]]="","",INDEX([1]!db[NB PAJAK],MATCH(Table1[[#This Row],[h_Item Description]],[1]!db[kode],0)))</f>
        <v/>
      </c>
      <c r="Q292" s="274"/>
      <c r="R292" s="275"/>
      <c r="S292" s="275"/>
      <c r="T292" s="485" t="str">
        <f>Table1[[#This Row],[h_hargasetelahdiskon]]</f>
        <v/>
      </c>
      <c r="V292" s="271"/>
      <c r="W292" s="278" t="str">
        <f ca="1">IF(Table1[[#This Row],[Item Description]]="","",IF(Table1[[#This Row],[//]]="",INDIRECT(ADDRESS(ROW()-1,COLUMN())),Table1[[#This Row],[//]]))</f>
        <v/>
      </c>
      <c r="X292" s="278" t="str">
        <f ca="1">IF(Table1[[#This Row],[h_id]]="","",COUNTIF(Table1[h_id],Table1[[#This Row],[h_id]]))</f>
        <v/>
      </c>
      <c r="Y292" s="274" t="str">
        <f>IF(Table1[Item Description]="","",Table1[[#This Row],[Qty]]*Table1[[#This Row],[Unit Price]])</f>
        <v/>
      </c>
      <c r="Z292" s="485" t="str">
        <f>IF(Table1[[#This Row],[h_hargasebelumdiskon]]="","",IF(Table1[[#This Row],[Disc 1]]="",0,Table1[[#This Row],[h_hargasebelumdiskon]]*Table1[[#This Row],[Disc 1]]))</f>
        <v/>
      </c>
      <c r="AA292" s="485" t="str">
        <f>IF(Table1[[#This Row],[h_hargasebelumdiskon]]="","",IF(Table1[[#This Row],[Disc 2]]="",0,(Table1[[#This Row],[h_hargasebelumdiskon]]-Table1[[#This Row],[h_disc 1]])*Table1[[#This Row],[Disc 2]]))</f>
        <v/>
      </c>
      <c r="AB292" s="274" t="str">
        <f>IF(Table1[Item Description]="","",Table1[[#This Row],[h_disc 1]]+Table1[[#This Row],[h_disc 2]])</f>
        <v/>
      </c>
      <c r="AC292" s="274" t="str">
        <f>IF(Table1[Item Description]="","",Table1[[#This Row],[h_hargasebelumdiskon]]-Table1[[#This Row],[h_diskon]])</f>
        <v/>
      </c>
      <c r="AD292" s="274" t="str">
        <f ca="1">IF(Table1[//]="","",SUMIF(Table1[h_id],Table1[h_id],Table1[h_hargasetelahdiskon]))</f>
        <v/>
      </c>
      <c r="AF292" s="274" t="str">
        <f>Table1[[#This Row],[Item Description]]&amp;Table1[[#This Row],[Unit]]&amp;Table1[[#This Row],[Unit Price]]</f>
        <v/>
      </c>
      <c r="AG292" s="3"/>
      <c r="AH292" s="3"/>
      <c r="AI292" s="3"/>
    </row>
    <row r="293" spans="1:35" x14ac:dyDescent="0.25">
      <c r="A293" s="278" t="str">
        <f ca="1">IF(Table1[[#This Row],[No. Invoice :]]="","",ROW())</f>
        <v/>
      </c>
      <c r="B293" s="278" t="str">
        <f ca="1">IF(Table1[Column3]="","",B$1+COUNT(INDIRECT("B$2:B"&amp;ROW()-1)))</f>
        <v/>
      </c>
      <c r="C293" s="272" t="str">
        <f>IF(Table1[[#This Row],[Column2]]="","",Table1[[#This Row],[Column2]]+C$1-1)</f>
        <v/>
      </c>
      <c r="E293" s="273"/>
      <c r="F293" s="271"/>
      <c r="G293" s="278" t="str">
        <f ca="1">IF(Table1[[#This Row],[h_No. Invoice :]]="","",CONCATENATE("AM"," ",Table1[[#This Row],[h_No. Invoice :]]))</f>
        <v/>
      </c>
      <c r="H293" s="271" t="str">
        <f>IF(Table1[[#This Row],[Column5]]="","",INDEX(Table2[Column1],MATCH(Table1[[#This Row],[Column5]],Table2[a],0)))</f>
        <v/>
      </c>
      <c r="I293" s="279" t="str">
        <f>IF(Table1[[#This Row],[Column3]]=0,"",CONCATENATE(UPPER(Table1[[#This Row],[Column3]])," ",Table1[[#This Row],[Column4]]))</f>
        <v xml:space="preserve"> </v>
      </c>
      <c r="J293" s="278" t="str">
        <f>IF(Table1[[#This Row],[Column5]]="","",INDEX(Table2[e],IF(Table1[[#This Row],[Column5]]="","",MATCH(Table1[[#This Row],[Column5]],Table2[a],0)),))</f>
        <v/>
      </c>
      <c r="K293" s="271"/>
      <c r="L293" s="271"/>
      <c r="O293" s="278" t="str">
        <f>IF(Table1[[#This Row],[h_Item Description]]="","",INDEX([1]!db[NB PAJAK],MATCH(Table1[[#This Row],[h_Item Description]],[1]!db[kode],0)))</f>
        <v/>
      </c>
      <c r="Q293" s="274"/>
      <c r="R293" s="275"/>
      <c r="S293" s="275"/>
      <c r="T293" s="274" t="str">
        <f>Table1[[#This Row],[h_hargasetelahdiskon]]</f>
        <v/>
      </c>
      <c r="V293" s="271"/>
      <c r="W293" s="278" t="str">
        <f ca="1">IF(Table1[[#This Row],[Item Description]]="","",IF(Table1[[#This Row],[//]]="",INDIRECT(ADDRESS(ROW()-1,COLUMN())),Table1[[#This Row],[//]]))</f>
        <v/>
      </c>
      <c r="X293" s="278" t="str">
        <f ca="1">IF(Table1[[#This Row],[h_id]]="","",COUNTIF(Table1[h_id],Table1[[#This Row],[h_id]]))</f>
        <v/>
      </c>
      <c r="Y293" s="274" t="str">
        <f>IF(Table1[Item Description]="","",Table1[[#This Row],[Qty]]*Table1[[#This Row],[Unit Price]])</f>
        <v/>
      </c>
      <c r="Z293" s="274" t="str">
        <f>IF(Table1[[#This Row],[h_hargasebelumdiskon]]="","",IF(Table1[[#This Row],[Disc 1]]="",0,Table1[[#This Row],[h_hargasebelumdiskon]]*Table1[[#This Row],[Disc 1]]))</f>
        <v/>
      </c>
      <c r="AA293" s="274" t="str">
        <f>IF(Table1[[#This Row],[h_hargasebelumdiskon]]="","",IF(Table1[[#This Row],[Disc 2]]="",0,(Table1[[#This Row],[h_hargasebelumdiskon]]-Table1[[#This Row],[h_disc 1]])*Table1[[#This Row],[Disc 2]]))</f>
        <v/>
      </c>
      <c r="AB293" s="274" t="str">
        <f>IF(Table1[Item Description]="","",Table1[[#This Row],[h_disc 1]]+Table1[[#This Row],[h_disc 2]])</f>
        <v/>
      </c>
      <c r="AC293" s="274" t="str">
        <f>IF(Table1[Item Description]="","",Table1[[#This Row],[h_hargasebelumdiskon]]-Table1[[#This Row],[h_diskon]])</f>
        <v/>
      </c>
      <c r="AD293" s="274" t="str">
        <f ca="1">IF(Table1[//]="","",SUMIF(Table1[h_id],Table1[h_id],Table1[h_hargasetelahdiskon]))</f>
        <v/>
      </c>
      <c r="AF293" s="274" t="str">
        <f>Table1[[#This Row],[Item Description]]&amp;Table1[[#This Row],[Unit]]&amp;Table1[[#This Row],[Unit Price]]</f>
        <v/>
      </c>
      <c r="AG293" s="3"/>
      <c r="AH293" s="3"/>
      <c r="AI293" s="3"/>
    </row>
    <row r="294" spans="1:35" x14ac:dyDescent="0.25">
      <c r="A294" s="278" t="str">
        <f ca="1">IF(Table1[[#This Row],[No. Invoice :]]="","",ROW())</f>
        <v/>
      </c>
      <c r="B294" s="278" t="str">
        <f ca="1">IF(Table1[Column3]="","",B$1+COUNT(INDIRECT("B$2:B"&amp;ROW()-1)))</f>
        <v/>
      </c>
      <c r="C294" s="272" t="str">
        <f>IF(Table1[[#This Row],[Column2]]="","",Table1[[#This Row],[Column2]]+C$1-1)</f>
        <v/>
      </c>
      <c r="E294" s="273"/>
      <c r="F294" s="271"/>
      <c r="G294" s="278" t="str">
        <f ca="1">IF(Table1[[#This Row],[h_No. Invoice :]]="","",CONCATENATE("AM"," ",Table1[[#This Row],[h_No. Invoice :]]))</f>
        <v/>
      </c>
      <c r="H294" s="271" t="str">
        <f>IF(Table1[[#This Row],[Column5]]="","",INDEX(Table2[Column1],MATCH(Table1[[#This Row],[Column5]],Table2[a],0)))</f>
        <v/>
      </c>
      <c r="I294" s="279" t="str">
        <f>IF(Table1[[#This Row],[Column3]]=0,"",CONCATENATE(UPPER(Table1[[#This Row],[Column3]])," ",Table1[[#This Row],[Column4]]))</f>
        <v xml:space="preserve"> </v>
      </c>
      <c r="J294" s="278" t="str">
        <f>IF(Table1[[#This Row],[Column5]]="","",INDEX(Table2[e],IF(Table1[[#This Row],[Column5]]="","",MATCH(Table1[[#This Row],[Column5]],Table2[a],0)),))</f>
        <v/>
      </c>
      <c r="K294" s="271"/>
      <c r="L294" s="271"/>
      <c r="O294" s="278" t="str">
        <f>IF(Table1[[#This Row],[h_Item Description]]="","",INDEX([1]!db[NB PAJAK],MATCH(Table1[[#This Row],[h_Item Description]],[1]!db[kode],0)))</f>
        <v/>
      </c>
      <c r="Q294" s="274"/>
      <c r="R294" s="275"/>
      <c r="S294" s="275"/>
      <c r="T294" s="274" t="str">
        <f>Table1[[#This Row],[h_hargasetelahdiskon]]</f>
        <v/>
      </c>
      <c r="V294" s="271"/>
      <c r="W294" s="278" t="str">
        <f ca="1">IF(Table1[[#This Row],[Item Description]]="","",IF(Table1[[#This Row],[//]]="",INDIRECT(ADDRESS(ROW()-1,COLUMN())),Table1[[#This Row],[//]]))</f>
        <v/>
      </c>
      <c r="X294" s="278" t="str">
        <f ca="1">IF(Table1[[#This Row],[h_id]]="","",COUNTIF(Table1[h_id],Table1[[#This Row],[h_id]]))</f>
        <v/>
      </c>
      <c r="Y294" s="274" t="str">
        <f>IF(Table1[Item Description]="","",Table1[[#This Row],[Qty]]*Table1[[#This Row],[Unit Price]])</f>
        <v/>
      </c>
      <c r="Z294" s="274" t="str">
        <f>IF(Table1[[#This Row],[h_hargasebelumdiskon]]="","",IF(Table1[[#This Row],[Disc 1]]="",0,Table1[[#This Row],[h_hargasebelumdiskon]]*Table1[[#This Row],[Disc 1]]))</f>
        <v/>
      </c>
      <c r="AA294" s="274" t="str">
        <f>IF(Table1[[#This Row],[h_hargasebelumdiskon]]="","",IF(Table1[[#This Row],[Disc 2]]="",0,(Table1[[#This Row],[h_hargasebelumdiskon]]-Table1[[#This Row],[h_disc 1]])*Table1[[#This Row],[Disc 2]]))</f>
        <v/>
      </c>
      <c r="AB294" s="274" t="str">
        <f>IF(Table1[Item Description]="","",Table1[[#This Row],[h_disc 1]]+Table1[[#This Row],[h_disc 2]])</f>
        <v/>
      </c>
      <c r="AC294" s="274" t="str">
        <f>IF(Table1[Item Description]="","",Table1[[#This Row],[h_hargasebelumdiskon]]-Table1[[#This Row],[h_diskon]])</f>
        <v/>
      </c>
      <c r="AD294" s="274" t="str">
        <f ca="1">IF(Table1[//]="","",SUMIF(Table1[h_id],Table1[h_id],Table1[h_hargasetelahdiskon]))</f>
        <v/>
      </c>
      <c r="AF294" s="274" t="str">
        <f>Table1[[#This Row],[Item Description]]&amp;Table1[[#This Row],[Unit]]&amp;Table1[[#This Row],[Unit Price]]</f>
        <v/>
      </c>
      <c r="AG294" s="3"/>
      <c r="AH294" s="3"/>
      <c r="AI294" s="3"/>
    </row>
    <row r="295" spans="1:35" x14ac:dyDescent="0.25">
      <c r="A295" s="278" t="str">
        <f ca="1">IF(Table1[[#This Row],[No. Invoice :]]="","",ROW())</f>
        <v/>
      </c>
      <c r="B295" s="481" t="str">
        <f ca="1">IF(Table1[Column3]="","",B$1+COUNT(INDIRECT("B$2:B"&amp;ROW()-1)))</f>
        <v/>
      </c>
      <c r="C295" s="272" t="str">
        <f>IF(Table1[[#This Row],[Column2]]="","",Table1[[#This Row],[Column2]]+C$1-1)</f>
        <v/>
      </c>
      <c r="D295" s="482"/>
      <c r="E295" s="483"/>
      <c r="F295" s="484"/>
      <c r="G295" s="278" t="str">
        <f ca="1">IF(Table1[[#This Row],[h_No. Invoice :]]="","",CONCATENATE("AM"," ",Table1[[#This Row],[h_No. Invoice :]]))</f>
        <v/>
      </c>
      <c r="H295" s="481" t="str">
        <f>IF(Table1[[#This Row],[Column5]]="","",INDEX(Table2[Column1],MATCH(Table1[[#This Row],[Column5]],Table2[a],0)))</f>
        <v/>
      </c>
      <c r="I295" s="279" t="str">
        <f>IF(Table1[[#This Row],[Column3]]=0,"",CONCATENATE(UPPER(Table1[[#This Row],[Column3]])," ",Table1[[#This Row],[Column4]]))</f>
        <v xml:space="preserve"> </v>
      </c>
      <c r="J295" s="278" t="str">
        <f>IF(Table1[[#This Row],[Column5]]="","",INDEX(Table2[e],IF(Table1[[#This Row],[Column5]]="","",MATCH(Table1[[#This Row],[Column5]],Table2[a],0)),))</f>
        <v/>
      </c>
      <c r="K295" s="271"/>
      <c r="L295" s="271"/>
      <c r="N295" s="484"/>
      <c r="O295" s="481" t="str">
        <f>IF(Table1[[#This Row],[h_Item Description]]="","",INDEX([1]!db[NB PAJAK],MATCH(Table1[[#This Row],[h_Item Description]],[1]!db[kode],0)))</f>
        <v/>
      </c>
      <c r="Q295" s="274"/>
      <c r="R295" s="275"/>
      <c r="S295" s="275"/>
      <c r="T295" s="485" t="str">
        <f>Table1[[#This Row],[h_hargasetelahdiskon]]</f>
        <v/>
      </c>
      <c r="V295" s="271"/>
      <c r="W295" s="278" t="str">
        <f ca="1">IF(Table1[[#This Row],[Item Description]]="","",IF(Table1[[#This Row],[//]]="",INDIRECT(ADDRESS(ROW()-1,COLUMN())),Table1[[#This Row],[//]]))</f>
        <v/>
      </c>
      <c r="X295" s="278" t="str">
        <f ca="1">IF(Table1[[#This Row],[h_id]]="","",COUNTIF(Table1[h_id],Table1[[#This Row],[h_id]]))</f>
        <v/>
      </c>
      <c r="Y295" s="274" t="str">
        <f>IF(Table1[Item Description]="","",Table1[[#This Row],[Qty]]*Table1[[#This Row],[Unit Price]])</f>
        <v/>
      </c>
      <c r="Z295" s="485" t="str">
        <f>IF(Table1[[#This Row],[h_hargasebelumdiskon]]="","",IF(Table1[[#This Row],[Disc 1]]="",0,Table1[[#This Row],[h_hargasebelumdiskon]]*Table1[[#This Row],[Disc 1]]))</f>
        <v/>
      </c>
      <c r="AA295" s="485" t="str">
        <f>IF(Table1[[#This Row],[h_hargasebelumdiskon]]="","",IF(Table1[[#This Row],[Disc 2]]="",0,(Table1[[#This Row],[h_hargasebelumdiskon]]-Table1[[#This Row],[h_disc 1]])*Table1[[#This Row],[Disc 2]]))</f>
        <v/>
      </c>
      <c r="AB295" s="274" t="str">
        <f>IF(Table1[Item Description]="","",Table1[[#This Row],[h_disc 1]]+Table1[[#This Row],[h_disc 2]])</f>
        <v/>
      </c>
      <c r="AC295" s="274" t="str">
        <f>IF(Table1[Item Description]="","",Table1[[#This Row],[h_hargasebelumdiskon]]-Table1[[#This Row],[h_diskon]])</f>
        <v/>
      </c>
      <c r="AD295" s="274" t="str">
        <f ca="1">IF(Table1[//]="","",SUMIF(Table1[h_id],Table1[h_id],Table1[h_hargasetelahdiskon]))</f>
        <v/>
      </c>
      <c r="AF295" s="274" t="str">
        <f>Table1[[#This Row],[Item Description]]&amp;Table1[[#This Row],[Unit]]&amp;Table1[[#This Row],[Unit Price]]</f>
        <v/>
      </c>
      <c r="AG295" s="3"/>
      <c r="AH295" s="3"/>
      <c r="AI295" s="3"/>
    </row>
    <row r="296" spans="1:35" x14ac:dyDescent="0.25">
      <c r="A296" s="278" t="str">
        <f ca="1">IF(Table1[[#This Row],[No. Invoice :]]="","",ROW())</f>
        <v/>
      </c>
      <c r="B296" s="481" t="str">
        <f ca="1">IF(Table1[Column3]="","",B$1+COUNT(INDIRECT("B$2:B"&amp;ROW()-1)))</f>
        <v/>
      </c>
      <c r="C296" s="272" t="str">
        <f>IF(Table1[[#This Row],[Column2]]="","",Table1[[#This Row],[Column2]]+C$1-1)</f>
        <v/>
      </c>
      <c r="D296" s="482"/>
      <c r="E296" s="483"/>
      <c r="F296" s="484"/>
      <c r="G296" s="278" t="str">
        <f ca="1">IF(Table1[[#This Row],[h_No. Invoice :]]="","",CONCATENATE("AM"," ",Table1[[#This Row],[h_No. Invoice :]]))</f>
        <v/>
      </c>
      <c r="H296" s="481" t="str">
        <f>IF(Table1[[#This Row],[Column5]]="","",INDEX(Table2[Column1],MATCH(Table1[[#This Row],[Column5]],Table2[a],0)))</f>
        <v/>
      </c>
      <c r="I296" s="279" t="str">
        <f>IF(Table1[[#This Row],[Column3]]=0,"",CONCATENATE(UPPER(Table1[[#This Row],[Column3]])," ",Table1[[#This Row],[Column4]]))</f>
        <v xml:space="preserve"> </v>
      </c>
      <c r="J296" s="278" t="str">
        <f>IF(Table1[[#This Row],[Column5]]="","",INDEX(Table2[e],IF(Table1[[#This Row],[Column5]]="","",MATCH(Table1[[#This Row],[Column5]],Table2[a],0)),))</f>
        <v/>
      </c>
      <c r="K296" s="271"/>
      <c r="L296" s="271"/>
      <c r="N296" s="484"/>
      <c r="O296" s="481" t="str">
        <f>IF(Table1[[#This Row],[h_Item Description]]="","",INDEX([1]!db[NB PAJAK],MATCH(Table1[[#This Row],[h_Item Description]],[1]!db[kode],0)))</f>
        <v/>
      </c>
      <c r="Q296" s="274"/>
      <c r="R296" s="275"/>
      <c r="S296" s="275"/>
      <c r="T296" s="485" t="str">
        <f>Table1[[#This Row],[h_hargasetelahdiskon]]</f>
        <v/>
      </c>
      <c r="V296" s="271"/>
      <c r="W296" s="278" t="str">
        <f ca="1">IF(Table1[[#This Row],[Item Description]]="","",IF(Table1[[#This Row],[//]]="",INDIRECT(ADDRESS(ROW()-1,COLUMN())),Table1[[#This Row],[//]]))</f>
        <v/>
      </c>
      <c r="X296" s="278" t="str">
        <f ca="1">IF(Table1[[#This Row],[h_id]]="","",COUNTIF(Table1[h_id],Table1[[#This Row],[h_id]]))</f>
        <v/>
      </c>
      <c r="Y296" s="274" t="str">
        <f>IF(Table1[Item Description]="","",Table1[[#This Row],[Qty]]*Table1[[#This Row],[Unit Price]])</f>
        <v/>
      </c>
      <c r="Z296" s="485" t="str">
        <f>IF(Table1[[#This Row],[h_hargasebelumdiskon]]="","",IF(Table1[[#This Row],[Disc 1]]="",0,Table1[[#This Row],[h_hargasebelumdiskon]]*Table1[[#This Row],[Disc 1]]))</f>
        <v/>
      </c>
      <c r="AA296" s="485" t="str">
        <f>IF(Table1[[#This Row],[h_hargasebelumdiskon]]="","",IF(Table1[[#This Row],[Disc 2]]="",0,(Table1[[#This Row],[h_hargasebelumdiskon]]-Table1[[#This Row],[h_disc 1]])*Table1[[#This Row],[Disc 2]]))</f>
        <v/>
      </c>
      <c r="AB296" s="274" t="str">
        <f>IF(Table1[Item Description]="","",Table1[[#This Row],[h_disc 1]]+Table1[[#This Row],[h_disc 2]])</f>
        <v/>
      </c>
      <c r="AC296" s="274" t="str">
        <f>IF(Table1[Item Description]="","",Table1[[#This Row],[h_hargasebelumdiskon]]-Table1[[#This Row],[h_diskon]])</f>
        <v/>
      </c>
      <c r="AD296" s="274" t="str">
        <f ca="1">IF(Table1[//]="","",SUMIF(Table1[h_id],Table1[h_id],Table1[h_hargasetelahdiskon]))</f>
        <v/>
      </c>
      <c r="AF296" s="274" t="str">
        <f>Table1[[#This Row],[Item Description]]&amp;Table1[[#This Row],[Unit]]&amp;Table1[[#This Row],[Unit Price]]</f>
        <v/>
      </c>
      <c r="AG296" s="3"/>
      <c r="AH296" s="3"/>
      <c r="AI296" s="3"/>
    </row>
    <row r="297" spans="1:35" x14ac:dyDescent="0.25">
      <c r="A297" s="278" t="str">
        <f ca="1">IF(Table1[[#This Row],[No. Invoice :]]="","",ROW())</f>
        <v/>
      </c>
      <c r="B297" s="481" t="str">
        <f ca="1">IF(Table1[Column3]="","",B$1+COUNT(INDIRECT("B$2:B"&amp;ROW()-1)))</f>
        <v/>
      </c>
      <c r="C297" s="272" t="str">
        <f>IF(Table1[[#This Row],[Column2]]="","",Table1[[#This Row],[Column2]]+C$1-1)</f>
        <v/>
      </c>
      <c r="D297" s="482"/>
      <c r="E297" s="483"/>
      <c r="F297" s="484"/>
      <c r="G297" s="278" t="str">
        <f ca="1">IF(Table1[[#This Row],[h_No. Invoice :]]="","",CONCATENATE("AM"," ",Table1[[#This Row],[h_No. Invoice :]]))</f>
        <v/>
      </c>
      <c r="H297" s="481" t="str">
        <f>IF(Table1[[#This Row],[Column5]]="","",INDEX(Table2[Column1],MATCH(Table1[[#This Row],[Column5]],Table2[a],0)))</f>
        <v/>
      </c>
      <c r="I297" s="279" t="str">
        <f>IF(Table1[[#This Row],[Column3]]=0,"",CONCATENATE(UPPER(Table1[[#This Row],[Column3]])," ",Table1[[#This Row],[Column4]]))</f>
        <v xml:space="preserve"> </v>
      </c>
      <c r="J297" s="278" t="str">
        <f>IF(Table1[[#This Row],[Column5]]="","",INDEX(Table2[e],IF(Table1[[#This Row],[Column5]]="","",MATCH(Table1[[#This Row],[Column5]],Table2[a],0)),))</f>
        <v/>
      </c>
      <c r="K297" s="271"/>
      <c r="L297" s="271"/>
      <c r="N297" s="484"/>
      <c r="O297" s="481" t="str">
        <f>IF(Table1[[#This Row],[h_Item Description]]="","",INDEX([1]!db[NB PAJAK],MATCH(Table1[[#This Row],[h_Item Description]],[1]!db[kode],0)))</f>
        <v/>
      </c>
      <c r="Q297" s="274"/>
      <c r="R297" s="275"/>
      <c r="S297" s="275"/>
      <c r="T297" s="485" t="str">
        <f>Table1[[#This Row],[h_hargasetelahdiskon]]</f>
        <v/>
      </c>
      <c r="V297" s="271"/>
      <c r="W297" s="278" t="str">
        <f ca="1">IF(Table1[[#This Row],[Item Description]]="","",IF(Table1[[#This Row],[//]]="",INDIRECT(ADDRESS(ROW()-1,COLUMN())),Table1[[#This Row],[//]]))</f>
        <v/>
      </c>
      <c r="X297" s="278" t="str">
        <f ca="1">IF(Table1[[#This Row],[h_id]]="","",COUNTIF(Table1[h_id],Table1[[#This Row],[h_id]]))</f>
        <v/>
      </c>
      <c r="Y297" s="274" t="str">
        <f>IF(Table1[Item Description]="","",Table1[[#This Row],[Qty]]*Table1[[#This Row],[Unit Price]])</f>
        <v/>
      </c>
      <c r="Z297" s="485" t="str">
        <f>IF(Table1[[#This Row],[h_hargasebelumdiskon]]="","",IF(Table1[[#This Row],[Disc 1]]="",0,Table1[[#This Row],[h_hargasebelumdiskon]]*Table1[[#This Row],[Disc 1]]))</f>
        <v/>
      </c>
      <c r="AA297" s="485" t="str">
        <f>IF(Table1[[#This Row],[h_hargasebelumdiskon]]="","",IF(Table1[[#This Row],[Disc 2]]="",0,(Table1[[#This Row],[h_hargasebelumdiskon]]-Table1[[#This Row],[h_disc 1]])*Table1[[#This Row],[Disc 2]]))</f>
        <v/>
      </c>
      <c r="AB297" s="274" t="str">
        <f>IF(Table1[Item Description]="","",Table1[[#This Row],[h_disc 1]]+Table1[[#This Row],[h_disc 2]])</f>
        <v/>
      </c>
      <c r="AC297" s="274" t="str">
        <f>IF(Table1[Item Description]="","",Table1[[#This Row],[h_hargasebelumdiskon]]-Table1[[#This Row],[h_diskon]])</f>
        <v/>
      </c>
      <c r="AD297" s="274" t="str">
        <f ca="1">IF(Table1[//]="","",SUMIF(Table1[h_id],Table1[h_id],Table1[h_hargasetelahdiskon]))</f>
        <v/>
      </c>
      <c r="AF297" s="274" t="str">
        <f>Table1[[#This Row],[Item Description]]&amp;Table1[[#This Row],[Unit]]&amp;Table1[[#This Row],[Unit Price]]</f>
        <v/>
      </c>
      <c r="AG297" s="3"/>
      <c r="AH297" s="3"/>
      <c r="AI297" s="3"/>
    </row>
    <row r="298" spans="1:35" x14ac:dyDescent="0.25">
      <c r="A298" s="278" t="str">
        <f ca="1">IF(Table1[[#This Row],[No. Invoice :]]="","",ROW())</f>
        <v/>
      </c>
      <c r="B298" s="481" t="str">
        <f ca="1">IF(Table1[Column3]="","",B$1+COUNT(INDIRECT("B$2:B"&amp;ROW()-1)))</f>
        <v/>
      </c>
      <c r="C298" s="272" t="str">
        <f>IF(Table1[[#This Row],[Column2]]="","",Table1[[#This Row],[Column2]]+C$1-1)</f>
        <v/>
      </c>
      <c r="D298" s="482"/>
      <c r="E298" s="483"/>
      <c r="F298" s="484"/>
      <c r="G298" s="278" t="str">
        <f ca="1">IF(Table1[[#This Row],[h_No. Invoice :]]="","",CONCATENATE("AM"," ",Table1[[#This Row],[h_No. Invoice :]]))</f>
        <v/>
      </c>
      <c r="H298" s="481" t="str">
        <f>IF(Table1[[#This Row],[Column5]]="","",INDEX(Table2[Column1],MATCH(Table1[[#This Row],[Column5]],Table2[a],0)))</f>
        <v/>
      </c>
      <c r="I298" s="279" t="str">
        <f>IF(Table1[[#This Row],[Column3]]=0,"",CONCATENATE(UPPER(Table1[[#This Row],[Column3]])," ",Table1[[#This Row],[Column4]]))</f>
        <v xml:space="preserve"> </v>
      </c>
      <c r="J298" s="278" t="str">
        <f>IF(Table1[[#This Row],[Column5]]="","",INDEX(Table2[e],IF(Table1[[#This Row],[Column5]]="","",MATCH(Table1[[#This Row],[Column5]],Table2[a],0)),))</f>
        <v/>
      </c>
      <c r="K298" s="271"/>
      <c r="L298" s="271"/>
      <c r="N298" s="484"/>
      <c r="O298" s="481" t="str">
        <f>IF(Table1[[#This Row],[h_Item Description]]="","",INDEX([1]!db[NB PAJAK],MATCH(Table1[[#This Row],[h_Item Description]],[1]!db[kode],0)))</f>
        <v/>
      </c>
      <c r="Q298" s="274"/>
      <c r="R298" s="275"/>
      <c r="S298" s="275"/>
      <c r="T298" s="485" t="str">
        <f>Table1[[#This Row],[h_hargasetelahdiskon]]</f>
        <v/>
      </c>
      <c r="V298" s="271"/>
      <c r="W298" s="278" t="str">
        <f ca="1">IF(Table1[[#This Row],[Item Description]]="","",IF(Table1[[#This Row],[//]]="",INDIRECT(ADDRESS(ROW()-1,COLUMN())),Table1[[#This Row],[//]]))</f>
        <v/>
      </c>
      <c r="X298" s="278" t="str">
        <f ca="1">IF(Table1[[#This Row],[h_id]]="","",COUNTIF(Table1[h_id],Table1[[#This Row],[h_id]]))</f>
        <v/>
      </c>
      <c r="Y298" s="274" t="str">
        <f>IF(Table1[Item Description]="","",Table1[[#This Row],[Qty]]*Table1[[#This Row],[Unit Price]])</f>
        <v/>
      </c>
      <c r="Z298" s="485" t="str">
        <f>IF(Table1[[#This Row],[h_hargasebelumdiskon]]="","",IF(Table1[[#This Row],[Disc 1]]="",0,Table1[[#This Row],[h_hargasebelumdiskon]]*Table1[[#This Row],[Disc 1]]))</f>
        <v/>
      </c>
      <c r="AA298" s="485" t="str">
        <f>IF(Table1[[#This Row],[h_hargasebelumdiskon]]="","",IF(Table1[[#This Row],[Disc 2]]="",0,(Table1[[#This Row],[h_hargasebelumdiskon]]-Table1[[#This Row],[h_disc 1]])*Table1[[#This Row],[Disc 2]]))</f>
        <v/>
      </c>
      <c r="AB298" s="274" t="str">
        <f>IF(Table1[Item Description]="","",Table1[[#This Row],[h_disc 1]]+Table1[[#This Row],[h_disc 2]])</f>
        <v/>
      </c>
      <c r="AC298" s="274" t="str">
        <f>IF(Table1[Item Description]="","",Table1[[#This Row],[h_hargasebelumdiskon]]-Table1[[#This Row],[h_diskon]])</f>
        <v/>
      </c>
      <c r="AD298" s="274" t="str">
        <f ca="1">IF(Table1[//]="","",SUMIF(Table1[h_id],Table1[h_id],Table1[h_hargasetelahdiskon]))</f>
        <v/>
      </c>
      <c r="AF298" s="274" t="str">
        <f>Table1[[#This Row],[Item Description]]&amp;Table1[[#This Row],[Unit]]&amp;Table1[[#This Row],[Unit Price]]</f>
        <v/>
      </c>
      <c r="AG298" s="3"/>
      <c r="AH298" s="3"/>
      <c r="AI298" s="3"/>
    </row>
    <row r="299" spans="1:35" x14ac:dyDescent="0.25">
      <c r="A299" s="278" t="str">
        <f ca="1">IF(Table1[[#This Row],[No. Invoice :]]="","",ROW())</f>
        <v/>
      </c>
      <c r="B299" s="481" t="str">
        <f ca="1">IF(Table1[Column3]="","",B$1+COUNT(INDIRECT("B$2:B"&amp;ROW()-1)))</f>
        <v/>
      </c>
      <c r="C299" s="272" t="str">
        <f>IF(Table1[[#This Row],[Column2]]="","",Table1[[#This Row],[Column2]]+C$1-1)</f>
        <v/>
      </c>
      <c r="D299" s="482"/>
      <c r="E299" s="483"/>
      <c r="F299" s="484"/>
      <c r="G299" s="278" t="str">
        <f ca="1">IF(Table1[[#This Row],[h_No. Invoice :]]="","",CONCATENATE("AM"," ",Table1[[#This Row],[h_No. Invoice :]]))</f>
        <v/>
      </c>
      <c r="H299" s="481" t="str">
        <f>IF(Table1[[#This Row],[Column5]]="","",INDEX(Table2[Column1],MATCH(Table1[[#This Row],[Column5]],Table2[a],0)))</f>
        <v/>
      </c>
      <c r="I299" s="279" t="str">
        <f>IF(Table1[[#This Row],[Column3]]=0,"",CONCATENATE(UPPER(Table1[[#This Row],[Column3]])," ",Table1[[#This Row],[Column4]]))</f>
        <v xml:space="preserve"> </v>
      </c>
      <c r="J299" s="278" t="str">
        <f>IF(Table1[[#This Row],[Column5]]="","",INDEX(Table2[e],IF(Table1[[#This Row],[Column5]]="","",MATCH(Table1[[#This Row],[Column5]],Table2[a],0)),))</f>
        <v/>
      </c>
      <c r="K299" s="271"/>
      <c r="L299" s="271"/>
      <c r="N299" s="484"/>
      <c r="O299" s="481" t="str">
        <f>IF(Table1[[#This Row],[h_Item Description]]="","",INDEX([1]!db[NB PAJAK],MATCH(Table1[[#This Row],[h_Item Description]],[1]!db[kode],0)))</f>
        <v/>
      </c>
      <c r="Q299" s="274"/>
      <c r="R299" s="275"/>
      <c r="S299" s="275"/>
      <c r="T299" s="485" t="str">
        <f>Table1[[#This Row],[h_hargasetelahdiskon]]</f>
        <v/>
      </c>
      <c r="V299" s="271"/>
      <c r="W299" s="278" t="str">
        <f ca="1">IF(Table1[[#This Row],[Item Description]]="","",IF(Table1[[#This Row],[//]]="",INDIRECT(ADDRESS(ROW()-1,COLUMN())),Table1[[#This Row],[//]]))</f>
        <v/>
      </c>
      <c r="X299" s="278" t="str">
        <f ca="1">IF(Table1[[#This Row],[h_id]]="","",COUNTIF(Table1[h_id],Table1[[#This Row],[h_id]]))</f>
        <v/>
      </c>
      <c r="Y299" s="274" t="str">
        <f>IF(Table1[Item Description]="","",Table1[[#This Row],[Qty]]*Table1[[#This Row],[Unit Price]])</f>
        <v/>
      </c>
      <c r="Z299" s="485" t="str">
        <f>IF(Table1[[#This Row],[h_hargasebelumdiskon]]="","",IF(Table1[[#This Row],[Disc 1]]="",0,Table1[[#This Row],[h_hargasebelumdiskon]]*Table1[[#This Row],[Disc 1]]))</f>
        <v/>
      </c>
      <c r="AA299" s="485" t="str">
        <f>IF(Table1[[#This Row],[h_hargasebelumdiskon]]="","",IF(Table1[[#This Row],[Disc 2]]="",0,(Table1[[#This Row],[h_hargasebelumdiskon]]-Table1[[#This Row],[h_disc 1]])*Table1[[#This Row],[Disc 2]]))</f>
        <v/>
      </c>
      <c r="AB299" s="274" t="str">
        <f>IF(Table1[Item Description]="","",Table1[[#This Row],[h_disc 1]]+Table1[[#This Row],[h_disc 2]])</f>
        <v/>
      </c>
      <c r="AC299" s="274" t="str">
        <f>IF(Table1[Item Description]="","",Table1[[#This Row],[h_hargasebelumdiskon]]-Table1[[#This Row],[h_diskon]])</f>
        <v/>
      </c>
      <c r="AD299" s="274" t="str">
        <f ca="1">IF(Table1[//]="","",SUMIF(Table1[h_id],Table1[h_id],Table1[h_hargasetelahdiskon]))</f>
        <v/>
      </c>
      <c r="AF299" s="274" t="str">
        <f>Table1[[#This Row],[Item Description]]&amp;Table1[[#This Row],[Unit]]&amp;Table1[[#This Row],[Unit Price]]</f>
        <v/>
      </c>
      <c r="AG299" s="3"/>
      <c r="AH299" s="3"/>
      <c r="AI299" s="3"/>
    </row>
    <row r="300" spans="1:35" x14ac:dyDescent="0.25">
      <c r="A300" s="278" t="str">
        <f ca="1">IF(Table1[[#This Row],[No. Invoice :]]="","",ROW())</f>
        <v/>
      </c>
      <c r="B300" s="481" t="str">
        <f ca="1">IF(Table1[Column3]="","",B$1+COUNT(INDIRECT("B$2:B"&amp;ROW()-1)))</f>
        <v/>
      </c>
      <c r="C300" s="272" t="str">
        <f>IF(Table1[[#This Row],[Column2]]="","",Table1[[#This Row],[Column2]]+C$1-1)</f>
        <v/>
      </c>
      <c r="D300" s="482"/>
      <c r="E300" s="483"/>
      <c r="F300" s="484"/>
      <c r="G300" s="278" t="str">
        <f ca="1">IF(Table1[[#This Row],[h_No. Invoice :]]="","",CONCATENATE("AM"," ",Table1[[#This Row],[h_No. Invoice :]]))</f>
        <v/>
      </c>
      <c r="H300" s="481" t="str">
        <f>IF(Table1[[#This Row],[Column5]]="","",INDEX(Table2[Column1],MATCH(Table1[[#This Row],[Column5]],Table2[a],0)))</f>
        <v/>
      </c>
      <c r="I300" s="279" t="str">
        <f>IF(Table1[[#This Row],[Column3]]=0,"",CONCATENATE(UPPER(Table1[[#This Row],[Column3]])," ",Table1[[#This Row],[Column4]]))</f>
        <v xml:space="preserve"> </v>
      </c>
      <c r="J300" s="278" t="str">
        <f>IF(Table1[[#This Row],[Column5]]="","",INDEX(Table2[e],IF(Table1[[#This Row],[Column5]]="","",MATCH(Table1[[#This Row],[Column5]],Table2[a],0)),))</f>
        <v/>
      </c>
      <c r="K300" s="271"/>
      <c r="L300" s="271"/>
      <c r="N300" s="484"/>
      <c r="O300" s="481" t="str">
        <f>IF(Table1[[#This Row],[h_Item Description]]="","",INDEX([1]!db[NB PAJAK],MATCH(Table1[[#This Row],[h_Item Description]],[1]!db[kode],0)))</f>
        <v/>
      </c>
      <c r="Q300" s="274"/>
      <c r="R300" s="275"/>
      <c r="S300" s="275"/>
      <c r="T300" s="485" t="str">
        <f>Table1[[#This Row],[h_hargasetelahdiskon]]</f>
        <v/>
      </c>
      <c r="V300" s="271"/>
      <c r="W300" s="278" t="str">
        <f ca="1">IF(Table1[[#This Row],[Item Description]]="","",IF(Table1[[#This Row],[//]]="",INDIRECT(ADDRESS(ROW()-1,COLUMN())),Table1[[#This Row],[//]]))</f>
        <v/>
      </c>
      <c r="X300" s="278" t="str">
        <f ca="1">IF(Table1[[#This Row],[h_id]]="","",COUNTIF(Table1[h_id],Table1[[#This Row],[h_id]]))</f>
        <v/>
      </c>
      <c r="Y300" s="274" t="str">
        <f>IF(Table1[Item Description]="","",Table1[[#This Row],[Qty]]*Table1[[#This Row],[Unit Price]])</f>
        <v/>
      </c>
      <c r="Z300" s="485" t="str">
        <f>IF(Table1[[#This Row],[h_hargasebelumdiskon]]="","",IF(Table1[[#This Row],[Disc 1]]="",0,Table1[[#This Row],[h_hargasebelumdiskon]]*Table1[[#This Row],[Disc 1]]))</f>
        <v/>
      </c>
      <c r="AA300" s="485" t="str">
        <f>IF(Table1[[#This Row],[h_hargasebelumdiskon]]="","",IF(Table1[[#This Row],[Disc 2]]="",0,(Table1[[#This Row],[h_hargasebelumdiskon]]-Table1[[#This Row],[h_disc 1]])*Table1[[#This Row],[Disc 2]]))</f>
        <v/>
      </c>
      <c r="AB300" s="274" t="str">
        <f>IF(Table1[Item Description]="","",Table1[[#This Row],[h_disc 1]]+Table1[[#This Row],[h_disc 2]])</f>
        <v/>
      </c>
      <c r="AC300" s="274" t="str">
        <f>IF(Table1[Item Description]="","",Table1[[#This Row],[h_hargasebelumdiskon]]-Table1[[#This Row],[h_diskon]])</f>
        <v/>
      </c>
      <c r="AD300" s="274" t="str">
        <f ca="1">IF(Table1[//]="","",SUMIF(Table1[h_id],Table1[h_id],Table1[h_hargasetelahdiskon]))</f>
        <v/>
      </c>
      <c r="AF300" s="274" t="str">
        <f>Table1[[#This Row],[Item Description]]&amp;Table1[[#This Row],[Unit]]&amp;Table1[[#This Row],[Unit Price]]</f>
        <v/>
      </c>
      <c r="AG300" s="3"/>
      <c r="AH300" s="3"/>
      <c r="AI300" s="3"/>
    </row>
    <row r="301" spans="1:35" x14ac:dyDescent="0.25">
      <c r="A301" s="278" t="str">
        <f ca="1">IF(Table1[[#This Row],[No. Invoice :]]="","",ROW())</f>
        <v/>
      </c>
      <c r="B301" s="481" t="str">
        <f ca="1">IF(Table1[Column3]="","",B$1+COUNT(INDIRECT("B$2:B"&amp;ROW()-1)))</f>
        <v/>
      </c>
      <c r="C301" s="272" t="str">
        <f>IF(Table1[[#This Row],[Column2]]="","",Table1[[#This Row],[Column2]]+C$1-1)</f>
        <v/>
      </c>
      <c r="D301" s="482"/>
      <c r="E301" s="483"/>
      <c r="F301" s="484"/>
      <c r="G301" s="278" t="str">
        <f ca="1">IF(Table1[[#This Row],[h_No. Invoice :]]="","",CONCATENATE("AM"," ",Table1[[#This Row],[h_No. Invoice :]]))</f>
        <v/>
      </c>
      <c r="H301" s="481" t="str">
        <f>IF(Table1[[#This Row],[Column5]]="","",INDEX(Table2[Column1],MATCH(Table1[[#This Row],[Column5]],Table2[a],0)))</f>
        <v/>
      </c>
      <c r="I301" s="279" t="str">
        <f>IF(Table1[[#This Row],[Column3]]=0,"",CONCATENATE(UPPER(Table1[[#This Row],[Column3]])," ",Table1[[#This Row],[Column4]]))</f>
        <v xml:space="preserve"> </v>
      </c>
      <c r="J301" s="278" t="str">
        <f>IF(Table1[[#This Row],[Column5]]="","",INDEX(Table2[e],IF(Table1[[#This Row],[Column5]]="","",MATCH(Table1[[#This Row],[Column5]],Table2[a],0)),))</f>
        <v/>
      </c>
      <c r="K301" s="271"/>
      <c r="L301" s="271"/>
      <c r="N301" s="484"/>
      <c r="O301" s="481" t="str">
        <f>IF(Table1[[#This Row],[h_Item Description]]="","",INDEX([1]!db[NB PAJAK],MATCH(Table1[[#This Row],[h_Item Description]],[1]!db[kode],0)))</f>
        <v/>
      </c>
      <c r="Q301" s="274"/>
      <c r="R301" s="275"/>
      <c r="S301" s="275"/>
      <c r="T301" s="485" t="str">
        <f>Table1[[#This Row],[h_hargasetelahdiskon]]</f>
        <v/>
      </c>
      <c r="V301" s="271"/>
      <c r="W301" s="278" t="str">
        <f ca="1">IF(Table1[[#This Row],[Item Description]]="","",IF(Table1[[#This Row],[//]]="",INDIRECT(ADDRESS(ROW()-1,COLUMN())),Table1[[#This Row],[//]]))</f>
        <v/>
      </c>
      <c r="X301" s="278" t="str">
        <f ca="1">IF(Table1[[#This Row],[h_id]]="","",COUNTIF(Table1[h_id],Table1[[#This Row],[h_id]]))</f>
        <v/>
      </c>
      <c r="Y301" s="274" t="str">
        <f>IF(Table1[Item Description]="","",Table1[[#This Row],[Qty]]*Table1[[#This Row],[Unit Price]])</f>
        <v/>
      </c>
      <c r="Z301" s="485" t="str">
        <f>IF(Table1[[#This Row],[h_hargasebelumdiskon]]="","",IF(Table1[[#This Row],[Disc 1]]="",0,Table1[[#This Row],[h_hargasebelumdiskon]]*Table1[[#This Row],[Disc 1]]))</f>
        <v/>
      </c>
      <c r="AA301" s="485" t="str">
        <f>IF(Table1[[#This Row],[h_hargasebelumdiskon]]="","",IF(Table1[[#This Row],[Disc 2]]="",0,(Table1[[#This Row],[h_hargasebelumdiskon]]-Table1[[#This Row],[h_disc 1]])*Table1[[#This Row],[Disc 2]]))</f>
        <v/>
      </c>
      <c r="AB301" s="274" t="str">
        <f>IF(Table1[Item Description]="","",Table1[[#This Row],[h_disc 1]]+Table1[[#This Row],[h_disc 2]])</f>
        <v/>
      </c>
      <c r="AC301" s="274" t="str">
        <f>IF(Table1[Item Description]="","",Table1[[#This Row],[h_hargasebelumdiskon]]-Table1[[#This Row],[h_diskon]])</f>
        <v/>
      </c>
      <c r="AD301" s="274" t="str">
        <f ca="1">IF(Table1[//]="","",SUMIF(Table1[h_id],Table1[h_id],Table1[h_hargasetelahdiskon]))</f>
        <v/>
      </c>
      <c r="AF301" s="274" t="str">
        <f>Table1[[#This Row],[Item Description]]&amp;Table1[[#This Row],[Unit]]&amp;Table1[[#This Row],[Unit Price]]</f>
        <v/>
      </c>
      <c r="AG301" s="3"/>
      <c r="AH301" s="3"/>
      <c r="AI301" s="3"/>
    </row>
    <row r="302" spans="1:35" x14ac:dyDescent="0.25">
      <c r="A302" s="278" t="str">
        <f ca="1">IF(Table1[[#This Row],[No. Invoice :]]="","",ROW())</f>
        <v/>
      </c>
      <c r="B302" s="481" t="str">
        <f ca="1">IF(Table1[Column3]="","",B$1+COUNT(INDIRECT("B$2:B"&amp;ROW()-1)))</f>
        <v/>
      </c>
      <c r="C302" s="272" t="str">
        <f>IF(Table1[[#This Row],[Column2]]="","",Table1[[#This Row],[Column2]]+C$1-1)</f>
        <v/>
      </c>
      <c r="D302" s="482"/>
      <c r="E302" s="483"/>
      <c r="F302" s="484"/>
      <c r="G302" s="278" t="str">
        <f ca="1">IF(Table1[[#This Row],[h_No. Invoice :]]="","",CONCATENATE("AM"," ",Table1[[#This Row],[h_No. Invoice :]]))</f>
        <v/>
      </c>
      <c r="H302" s="481" t="str">
        <f>IF(Table1[[#This Row],[Column5]]="","",INDEX(Table2[Column1],MATCH(Table1[[#This Row],[Column5]],Table2[a],0)))</f>
        <v/>
      </c>
      <c r="I302" s="279" t="str">
        <f>IF(Table1[[#This Row],[Column3]]=0,"",CONCATENATE(UPPER(Table1[[#This Row],[Column3]])," ",Table1[[#This Row],[Column4]]))</f>
        <v xml:space="preserve"> </v>
      </c>
      <c r="J302" s="278" t="str">
        <f>IF(Table1[[#This Row],[Column5]]="","",INDEX(Table2[e],IF(Table1[[#This Row],[Column5]]="","",MATCH(Table1[[#This Row],[Column5]],Table2[a],0)),))</f>
        <v/>
      </c>
      <c r="K302" s="271"/>
      <c r="L302" s="271"/>
      <c r="N302" s="484"/>
      <c r="O302" s="481" t="str">
        <f>IF(Table1[[#This Row],[h_Item Description]]="","",INDEX([1]!db[NB PAJAK],MATCH(Table1[[#This Row],[h_Item Description]],[1]!db[kode],0)))</f>
        <v/>
      </c>
      <c r="Q302" s="274"/>
      <c r="R302" s="275"/>
      <c r="S302" s="275"/>
      <c r="T302" s="485" t="str">
        <f>Table1[[#This Row],[h_hargasetelahdiskon]]</f>
        <v/>
      </c>
      <c r="V302" s="271"/>
      <c r="W302" s="278" t="str">
        <f ca="1">IF(Table1[[#This Row],[Item Description]]="","",IF(Table1[[#This Row],[//]]="",INDIRECT(ADDRESS(ROW()-1,COLUMN())),Table1[[#This Row],[//]]))</f>
        <v/>
      </c>
      <c r="X302" s="278" t="str">
        <f ca="1">IF(Table1[[#This Row],[h_id]]="","",COUNTIF(Table1[h_id],Table1[[#This Row],[h_id]]))</f>
        <v/>
      </c>
      <c r="Y302" s="274" t="str">
        <f>IF(Table1[Item Description]="","",Table1[[#This Row],[Qty]]*Table1[[#This Row],[Unit Price]])</f>
        <v/>
      </c>
      <c r="Z302" s="485" t="str">
        <f>IF(Table1[[#This Row],[h_hargasebelumdiskon]]="","",IF(Table1[[#This Row],[Disc 1]]="",0,Table1[[#This Row],[h_hargasebelumdiskon]]*Table1[[#This Row],[Disc 1]]))</f>
        <v/>
      </c>
      <c r="AA302" s="485" t="str">
        <f>IF(Table1[[#This Row],[h_hargasebelumdiskon]]="","",IF(Table1[[#This Row],[Disc 2]]="",0,(Table1[[#This Row],[h_hargasebelumdiskon]]-Table1[[#This Row],[h_disc 1]])*Table1[[#This Row],[Disc 2]]))</f>
        <v/>
      </c>
      <c r="AB302" s="274" t="str">
        <f>IF(Table1[Item Description]="","",Table1[[#This Row],[h_disc 1]]+Table1[[#This Row],[h_disc 2]])</f>
        <v/>
      </c>
      <c r="AC302" s="274" t="str">
        <f>IF(Table1[Item Description]="","",Table1[[#This Row],[h_hargasebelumdiskon]]-Table1[[#This Row],[h_diskon]])</f>
        <v/>
      </c>
      <c r="AD302" s="274" t="str">
        <f ca="1">IF(Table1[//]="","",SUMIF(Table1[h_id],Table1[h_id],Table1[h_hargasetelahdiskon]))</f>
        <v/>
      </c>
      <c r="AF302" s="274" t="str">
        <f>Table1[[#This Row],[Item Description]]&amp;Table1[[#This Row],[Unit]]&amp;Table1[[#This Row],[Unit Price]]</f>
        <v/>
      </c>
      <c r="AG302" s="3"/>
      <c r="AH302" s="3"/>
      <c r="AI302" s="3"/>
    </row>
    <row r="303" spans="1:35" x14ac:dyDescent="0.25">
      <c r="A303" s="278" t="str">
        <f ca="1">IF(Table1[[#This Row],[No. Invoice :]]="","",ROW())</f>
        <v/>
      </c>
      <c r="B303" s="481" t="str">
        <f ca="1">IF(Table1[Column3]="","",B$1+COUNT(INDIRECT("B$2:B"&amp;ROW()-1)))</f>
        <v/>
      </c>
      <c r="C303" s="272" t="str">
        <f>IF(Table1[[#This Row],[Column2]]="","",Table1[[#This Row],[Column2]]+C$1-1)</f>
        <v/>
      </c>
      <c r="D303" s="482"/>
      <c r="E303" s="483"/>
      <c r="F303" s="484"/>
      <c r="G303" s="278" t="str">
        <f ca="1">IF(Table1[[#This Row],[h_No. Invoice :]]="","",CONCATENATE("AM"," ",Table1[[#This Row],[h_No. Invoice :]]))</f>
        <v/>
      </c>
      <c r="H303" s="481" t="str">
        <f>IF(Table1[[#This Row],[Column5]]="","",INDEX(Table2[Column1],MATCH(Table1[[#This Row],[Column5]],Table2[a],0)))</f>
        <v/>
      </c>
      <c r="I303" s="279" t="str">
        <f>IF(Table1[[#This Row],[Column3]]=0,"",CONCATENATE(UPPER(Table1[[#This Row],[Column3]])," ",Table1[[#This Row],[Column4]]))</f>
        <v xml:space="preserve"> </v>
      </c>
      <c r="J303" s="278" t="str">
        <f>IF(Table1[[#This Row],[Column5]]="","",INDEX(Table2[e],IF(Table1[[#This Row],[Column5]]="","",MATCH(Table1[[#This Row],[Column5]],Table2[a],0)),))</f>
        <v/>
      </c>
      <c r="K303" s="271"/>
      <c r="L303" s="271"/>
      <c r="N303" s="484"/>
      <c r="O303" s="481" t="str">
        <f>IF(Table1[[#This Row],[h_Item Description]]="","",INDEX([1]!db[NB PAJAK],MATCH(Table1[[#This Row],[h_Item Description]],[1]!db[kode],0)))</f>
        <v/>
      </c>
      <c r="Q303" s="274"/>
      <c r="R303" s="275"/>
      <c r="S303" s="275"/>
      <c r="T303" s="485" t="str">
        <f>Table1[[#This Row],[h_hargasetelahdiskon]]</f>
        <v/>
      </c>
      <c r="V303" s="271"/>
      <c r="W303" s="278" t="str">
        <f ca="1">IF(Table1[[#This Row],[Item Description]]="","",IF(Table1[[#This Row],[//]]="",INDIRECT(ADDRESS(ROW()-1,COLUMN())),Table1[[#This Row],[//]]))</f>
        <v/>
      </c>
      <c r="X303" s="278" t="str">
        <f ca="1">IF(Table1[[#This Row],[h_id]]="","",COUNTIF(Table1[h_id],Table1[[#This Row],[h_id]]))</f>
        <v/>
      </c>
      <c r="Y303" s="274" t="str">
        <f>IF(Table1[Item Description]="","",Table1[[#This Row],[Qty]]*Table1[[#This Row],[Unit Price]])</f>
        <v/>
      </c>
      <c r="Z303" s="485" t="str">
        <f>IF(Table1[[#This Row],[h_hargasebelumdiskon]]="","",IF(Table1[[#This Row],[Disc 1]]="",0,Table1[[#This Row],[h_hargasebelumdiskon]]*Table1[[#This Row],[Disc 1]]))</f>
        <v/>
      </c>
      <c r="AA303" s="485" t="str">
        <f>IF(Table1[[#This Row],[h_hargasebelumdiskon]]="","",IF(Table1[[#This Row],[Disc 2]]="",0,(Table1[[#This Row],[h_hargasebelumdiskon]]-Table1[[#This Row],[h_disc 1]])*Table1[[#This Row],[Disc 2]]))</f>
        <v/>
      </c>
      <c r="AB303" s="274" t="str">
        <f>IF(Table1[Item Description]="","",Table1[[#This Row],[h_disc 1]]+Table1[[#This Row],[h_disc 2]])</f>
        <v/>
      </c>
      <c r="AC303" s="274" t="str">
        <f>IF(Table1[Item Description]="","",Table1[[#This Row],[h_hargasebelumdiskon]]-Table1[[#This Row],[h_diskon]])</f>
        <v/>
      </c>
      <c r="AD303" s="274" t="str">
        <f ca="1">IF(Table1[//]="","",SUMIF(Table1[h_id],Table1[h_id],Table1[h_hargasetelahdiskon]))</f>
        <v/>
      </c>
      <c r="AF303" s="274" t="str">
        <f>Table1[[#This Row],[Item Description]]&amp;Table1[[#This Row],[Unit]]&amp;Table1[[#This Row],[Unit Price]]</f>
        <v/>
      </c>
      <c r="AG303" s="3"/>
      <c r="AH303" s="3"/>
      <c r="AI303" s="3"/>
    </row>
    <row r="304" spans="1:35" x14ac:dyDescent="0.25">
      <c r="A304" s="278" t="str">
        <f ca="1">IF(Table1[[#This Row],[No. Invoice :]]="","",ROW())</f>
        <v/>
      </c>
      <c r="B304" s="278" t="str">
        <f ca="1">IF(Table1[Column3]="","",B$1+COUNT(INDIRECT("B$2:B"&amp;ROW()-1)))</f>
        <v/>
      </c>
      <c r="C304" s="272" t="str">
        <f>IF(Table1[[#This Row],[Column2]]="","",Table1[[#This Row],[Column2]]+C$1-1)</f>
        <v/>
      </c>
      <c r="E304" s="273"/>
      <c r="F304" s="271"/>
      <c r="G304" s="278" t="str">
        <f ca="1">IF(Table1[[#This Row],[h_No. Invoice :]]="","",CONCATENATE("AM"," ",Table1[[#This Row],[h_No. Invoice :]]))</f>
        <v/>
      </c>
      <c r="H304" s="271" t="str">
        <f>IF(Table1[[#This Row],[Column5]]="","",INDEX(Table2[Column1],MATCH(Table1[[#This Row],[Column5]],Table2[a],0)))</f>
        <v/>
      </c>
      <c r="I304" s="279" t="str">
        <f>IF(Table1[[#This Row],[Column3]]=0,"",CONCATENATE(UPPER(Table1[[#This Row],[Column3]])," ",Table1[[#This Row],[Column4]]))</f>
        <v xml:space="preserve"> </v>
      </c>
      <c r="J304" s="278" t="str">
        <f>IF(Table1[[#This Row],[Column5]]="","",INDEX(Table2[e],IF(Table1[[#This Row],[Column5]]="","",MATCH(Table1[[#This Row],[Column5]],Table2[a],0)),))</f>
        <v/>
      </c>
      <c r="K304" s="271"/>
      <c r="L304" s="271"/>
      <c r="O304" s="278" t="str">
        <f>IF(Table1[[#This Row],[h_Item Description]]="","",INDEX([1]!db[NB PAJAK],MATCH(Table1[[#This Row],[h_Item Description]],[1]!db[kode],0)))</f>
        <v/>
      </c>
      <c r="Q304" s="274"/>
      <c r="R304" s="275"/>
      <c r="S304" s="275"/>
      <c r="T304" s="274" t="str">
        <f>Table1[[#This Row],[h_hargasetelahdiskon]]</f>
        <v/>
      </c>
      <c r="V304" s="271"/>
      <c r="W304" s="278" t="str">
        <f ca="1">IF(Table1[[#This Row],[Item Description]]="","",IF(Table1[[#This Row],[//]]="",INDIRECT(ADDRESS(ROW()-1,COLUMN())),Table1[[#This Row],[//]]))</f>
        <v/>
      </c>
      <c r="X304" s="278" t="str">
        <f ca="1">IF(Table1[[#This Row],[h_id]]="","",COUNTIF(Table1[h_id],Table1[[#This Row],[h_id]]))</f>
        <v/>
      </c>
      <c r="Y304" s="274" t="str">
        <f>IF(Table1[Item Description]="","",Table1[[#This Row],[Qty]]*Table1[[#This Row],[Unit Price]])</f>
        <v/>
      </c>
      <c r="Z304" s="274" t="str">
        <f>IF(Table1[[#This Row],[h_hargasebelumdiskon]]="","",IF(Table1[[#This Row],[Disc 1]]="",0,Table1[[#This Row],[h_hargasebelumdiskon]]*Table1[[#This Row],[Disc 1]]))</f>
        <v/>
      </c>
      <c r="AA304" s="274" t="str">
        <f>IF(Table1[[#This Row],[h_hargasebelumdiskon]]="","",IF(Table1[[#This Row],[Disc 2]]="",0,(Table1[[#This Row],[h_hargasebelumdiskon]]-Table1[[#This Row],[h_disc 1]])*Table1[[#This Row],[Disc 2]]))</f>
        <v/>
      </c>
      <c r="AB304" s="274" t="str">
        <f>IF(Table1[Item Description]="","",Table1[[#This Row],[h_disc 1]]+Table1[[#This Row],[h_disc 2]])</f>
        <v/>
      </c>
      <c r="AC304" s="274" t="str">
        <f>IF(Table1[Item Description]="","",Table1[[#This Row],[h_hargasebelumdiskon]]-Table1[[#This Row],[h_diskon]])</f>
        <v/>
      </c>
      <c r="AD304" s="274" t="str">
        <f ca="1">IF(Table1[//]="","",SUMIF(Table1[h_id],Table1[h_id],Table1[h_hargasetelahdiskon]))</f>
        <v/>
      </c>
      <c r="AF304" s="274" t="str">
        <f>Table1[[#This Row],[Item Description]]&amp;Table1[[#This Row],[Unit]]&amp;Table1[[#This Row],[Unit Price]]</f>
        <v/>
      </c>
      <c r="AG304" s="3"/>
      <c r="AH304" s="3"/>
      <c r="AI304" s="3"/>
    </row>
    <row r="305" spans="1:35" x14ac:dyDescent="0.25">
      <c r="A305" s="278" t="str">
        <f ca="1">IF(Table1[[#This Row],[No. Invoice :]]="","",ROW())</f>
        <v/>
      </c>
      <c r="B305" s="278" t="str">
        <f ca="1">IF(Table1[Column3]="","",B$1+COUNT(INDIRECT("B$2:B"&amp;ROW()-1)))</f>
        <v/>
      </c>
      <c r="C305" s="272" t="str">
        <f>IF(Table1[[#This Row],[Column2]]="","",Table1[[#This Row],[Column2]]+C$1-1)</f>
        <v/>
      </c>
      <c r="E305" s="273"/>
      <c r="F305" s="271"/>
      <c r="G305" s="278" t="str">
        <f ca="1">IF(Table1[[#This Row],[h_No. Invoice :]]="","",CONCATENATE("AM"," ",Table1[[#This Row],[h_No. Invoice :]]))</f>
        <v/>
      </c>
      <c r="H305" s="271" t="str">
        <f>IF(Table1[[#This Row],[Column5]]="","",INDEX(Table2[Column1],MATCH(Table1[[#This Row],[Column5]],Table2[a],0)))</f>
        <v/>
      </c>
      <c r="I305" s="279" t="str">
        <f>IF(Table1[[#This Row],[Column3]]=0,"",CONCATENATE(UPPER(Table1[[#This Row],[Column3]])," ",Table1[[#This Row],[Column4]]))</f>
        <v xml:space="preserve"> </v>
      </c>
      <c r="J305" s="278" t="str">
        <f>IF(Table1[[#This Row],[Column5]]="","",INDEX(Table2[e],IF(Table1[[#This Row],[Column5]]="","",MATCH(Table1[[#This Row],[Column5]],Table2[a],0)),))</f>
        <v/>
      </c>
      <c r="K305" s="271"/>
      <c r="L305" s="271"/>
      <c r="O305" s="278" t="str">
        <f>IF(Table1[[#This Row],[h_Item Description]]="","",INDEX([1]!db[NB PAJAK],MATCH(Table1[[#This Row],[h_Item Description]],[1]!db[kode],0)))</f>
        <v/>
      </c>
      <c r="Q305" s="274"/>
      <c r="R305" s="275"/>
      <c r="S305" s="275"/>
      <c r="T305" s="274" t="str">
        <f>Table1[[#This Row],[h_hargasetelahdiskon]]</f>
        <v/>
      </c>
      <c r="V305" s="271"/>
      <c r="W305" s="278" t="str">
        <f ca="1">IF(Table1[[#This Row],[Item Description]]="","",IF(Table1[[#This Row],[//]]="",INDIRECT(ADDRESS(ROW()-1,COLUMN())),Table1[[#This Row],[//]]))</f>
        <v/>
      </c>
      <c r="X305" s="278" t="str">
        <f ca="1">IF(Table1[[#This Row],[h_id]]="","",COUNTIF(Table1[h_id],Table1[[#This Row],[h_id]]))</f>
        <v/>
      </c>
      <c r="Y305" s="274" t="str">
        <f>IF(Table1[Item Description]="","",Table1[[#This Row],[Qty]]*Table1[[#This Row],[Unit Price]])</f>
        <v/>
      </c>
      <c r="Z305" s="274" t="str">
        <f>IF(Table1[[#This Row],[h_hargasebelumdiskon]]="","",IF(Table1[[#This Row],[Disc 1]]="",0,Table1[[#This Row],[h_hargasebelumdiskon]]*Table1[[#This Row],[Disc 1]]))</f>
        <v/>
      </c>
      <c r="AA305" s="274" t="str">
        <f>IF(Table1[[#This Row],[h_hargasebelumdiskon]]="","",IF(Table1[[#This Row],[Disc 2]]="",0,(Table1[[#This Row],[h_hargasebelumdiskon]]-Table1[[#This Row],[h_disc 1]])*Table1[[#This Row],[Disc 2]]))</f>
        <v/>
      </c>
      <c r="AB305" s="274" t="str">
        <f>IF(Table1[Item Description]="","",Table1[[#This Row],[h_disc 1]]+Table1[[#This Row],[h_disc 2]])</f>
        <v/>
      </c>
      <c r="AC305" s="274" t="str">
        <f>IF(Table1[Item Description]="","",Table1[[#This Row],[h_hargasebelumdiskon]]-Table1[[#This Row],[h_diskon]])</f>
        <v/>
      </c>
      <c r="AD305" s="274" t="str">
        <f ca="1">IF(Table1[//]="","",SUMIF(Table1[h_id],Table1[h_id],Table1[h_hargasetelahdiskon]))</f>
        <v/>
      </c>
      <c r="AF305" s="274" t="str">
        <f>Table1[[#This Row],[Item Description]]&amp;Table1[[#This Row],[Unit]]&amp;Table1[[#This Row],[Unit Price]]</f>
        <v/>
      </c>
      <c r="AG305" s="3"/>
      <c r="AH305" s="3"/>
      <c r="AI305" s="3"/>
    </row>
    <row r="306" spans="1:35" x14ac:dyDescent="0.25">
      <c r="A306" s="278" t="str">
        <f ca="1">IF(Table1[[#This Row],[No. Invoice :]]="","",ROW())</f>
        <v/>
      </c>
      <c r="B306" s="278" t="str">
        <f ca="1">IF(Table1[Column3]="","",B$1+COUNT(INDIRECT("B$2:B"&amp;ROW()-1)))</f>
        <v/>
      </c>
      <c r="C306" s="272" t="str">
        <f>IF(Table1[[#This Row],[Column2]]="","",Table1[[#This Row],[Column2]]+C$1-1)</f>
        <v/>
      </c>
      <c r="E306" s="273"/>
      <c r="F306" s="271"/>
      <c r="G306" s="278" t="str">
        <f ca="1">IF(Table1[[#This Row],[h_No. Invoice :]]="","",CONCATENATE("AM"," ",Table1[[#This Row],[h_No. Invoice :]]))</f>
        <v/>
      </c>
      <c r="H306" s="271" t="str">
        <f>IF(Table1[[#This Row],[Column5]]="","",INDEX(Table2[Column1],MATCH(Table1[[#This Row],[Column5]],Table2[a],0)))</f>
        <v/>
      </c>
      <c r="I306" s="279" t="str">
        <f>IF(Table1[[#This Row],[Column3]]=0,"",CONCATENATE(UPPER(Table1[[#This Row],[Column3]])," ",Table1[[#This Row],[Column4]]))</f>
        <v xml:space="preserve"> </v>
      </c>
      <c r="J306" s="278" t="str">
        <f>IF(Table1[[#This Row],[Column5]]="","",INDEX(Table2[e],IF(Table1[[#This Row],[Column5]]="","",MATCH(Table1[[#This Row],[Column5]],Table2[a],0)),))</f>
        <v/>
      </c>
      <c r="K306" s="271"/>
      <c r="L306" s="271"/>
      <c r="O306" s="278" t="str">
        <f>IF(Table1[[#This Row],[h_Item Description]]="","",INDEX([1]!db[NB PAJAK],MATCH(Table1[[#This Row],[h_Item Description]],[1]!db[kode],0)))</f>
        <v/>
      </c>
      <c r="Q306" s="274"/>
      <c r="R306" s="275"/>
      <c r="S306" s="275"/>
      <c r="T306" s="274" t="str">
        <f>Table1[[#This Row],[h_hargasetelahdiskon]]</f>
        <v/>
      </c>
      <c r="V306" s="271"/>
      <c r="W306" s="278" t="str">
        <f ca="1">IF(Table1[[#This Row],[Item Description]]="","",IF(Table1[[#This Row],[//]]="",INDIRECT(ADDRESS(ROW()-1,COLUMN())),Table1[[#This Row],[//]]))</f>
        <v/>
      </c>
      <c r="X306" s="278" t="str">
        <f ca="1">IF(Table1[[#This Row],[h_id]]="","",COUNTIF(Table1[h_id],Table1[[#This Row],[h_id]]))</f>
        <v/>
      </c>
      <c r="Y306" s="274" t="str">
        <f>IF(Table1[Item Description]="","",Table1[[#This Row],[Qty]]*Table1[[#This Row],[Unit Price]])</f>
        <v/>
      </c>
      <c r="Z306" s="274" t="str">
        <f>IF(Table1[[#This Row],[h_hargasebelumdiskon]]="","",IF(Table1[[#This Row],[Disc 1]]="",0,Table1[[#This Row],[h_hargasebelumdiskon]]*Table1[[#This Row],[Disc 1]]))</f>
        <v/>
      </c>
      <c r="AA306" s="274" t="str">
        <f>IF(Table1[[#This Row],[h_hargasebelumdiskon]]="","",IF(Table1[[#This Row],[Disc 2]]="",0,(Table1[[#This Row],[h_hargasebelumdiskon]]-Table1[[#This Row],[h_disc 1]])*Table1[[#This Row],[Disc 2]]))</f>
        <v/>
      </c>
      <c r="AB306" s="274" t="str">
        <f>IF(Table1[Item Description]="","",Table1[[#This Row],[h_disc 1]]+Table1[[#This Row],[h_disc 2]])</f>
        <v/>
      </c>
      <c r="AC306" s="274" t="str">
        <f>IF(Table1[Item Description]="","",Table1[[#This Row],[h_hargasebelumdiskon]]-Table1[[#This Row],[h_diskon]])</f>
        <v/>
      </c>
      <c r="AD306" s="274" t="str">
        <f ca="1">IF(Table1[//]="","",SUMIF(Table1[h_id],Table1[h_id],Table1[h_hargasetelahdiskon]))</f>
        <v/>
      </c>
      <c r="AF306" s="274" t="str">
        <f>Table1[[#This Row],[Item Description]]&amp;Table1[[#This Row],[Unit]]&amp;Table1[[#This Row],[Unit Price]]</f>
        <v/>
      </c>
      <c r="AG306" s="3"/>
      <c r="AH306" s="3"/>
      <c r="AI306" s="3"/>
    </row>
    <row r="307" spans="1:35" x14ac:dyDescent="0.25">
      <c r="A307" s="278" t="str">
        <f ca="1">IF(Table1[[#This Row],[No. Invoice :]]="","",ROW())</f>
        <v/>
      </c>
      <c r="B307" s="278" t="str">
        <f ca="1">IF(Table1[Column3]="","",B$1+COUNT(INDIRECT("B$2:B"&amp;ROW()-1)))</f>
        <v/>
      </c>
      <c r="C307" s="272" t="str">
        <f>IF(Table1[[#This Row],[Column2]]="","",Table1[[#This Row],[Column2]]+C$1-1)</f>
        <v/>
      </c>
      <c r="E307" s="273"/>
      <c r="F307" s="271"/>
      <c r="G307" s="278" t="str">
        <f ca="1">IF(Table1[[#This Row],[h_No. Invoice :]]="","",CONCATENATE("AM"," ",Table1[[#This Row],[h_No. Invoice :]]))</f>
        <v/>
      </c>
      <c r="H307" s="271" t="str">
        <f>IF(Table1[[#This Row],[Column5]]="","",INDEX(Table2[Column1],MATCH(Table1[[#This Row],[Column5]],Table2[a],0)))</f>
        <v/>
      </c>
      <c r="I307" s="279" t="str">
        <f>IF(Table1[[#This Row],[Column3]]=0,"",CONCATENATE(UPPER(Table1[[#This Row],[Column3]])," ",Table1[[#This Row],[Column4]]))</f>
        <v xml:space="preserve"> </v>
      </c>
      <c r="J307" s="278" t="str">
        <f>IF(Table1[[#This Row],[Column5]]="","",INDEX(Table2[e],IF(Table1[[#This Row],[Column5]]="","",MATCH(Table1[[#This Row],[Column5]],Table2[a],0)),))</f>
        <v/>
      </c>
      <c r="K307" s="271"/>
      <c r="L307" s="271"/>
      <c r="O307" s="278" t="str">
        <f>IF(Table1[[#This Row],[h_Item Description]]="","",INDEX([1]!db[NB PAJAK],MATCH(Table1[[#This Row],[h_Item Description]],[1]!db[kode],0)))</f>
        <v/>
      </c>
      <c r="Q307" s="274"/>
      <c r="R307" s="275"/>
      <c r="S307" s="275"/>
      <c r="T307" s="274" t="str">
        <f>Table1[[#This Row],[h_hargasetelahdiskon]]</f>
        <v/>
      </c>
      <c r="V307" s="271"/>
      <c r="W307" s="278" t="str">
        <f ca="1">IF(Table1[[#This Row],[Item Description]]="","",IF(Table1[[#This Row],[//]]="",INDIRECT(ADDRESS(ROW()-1,COLUMN())),Table1[[#This Row],[//]]))</f>
        <v/>
      </c>
      <c r="X307" s="278" t="str">
        <f ca="1">IF(Table1[[#This Row],[h_id]]="","",COUNTIF(Table1[h_id],Table1[[#This Row],[h_id]]))</f>
        <v/>
      </c>
      <c r="Y307" s="274" t="str">
        <f>IF(Table1[Item Description]="","",Table1[[#This Row],[Qty]]*Table1[[#This Row],[Unit Price]])</f>
        <v/>
      </c>
      <c r="Z307" s="274" t="str">
        <f>IF(Table1[[#This Row],[h_hargasebelumdiskon]]="","",IF(Table1[[#This Row],[Disc 1]]="",0,Table1[[#This Row],[h_hargasebelumdiskon]]*Table1[[#This Row],[Disc 1]]))</f>
        <v/>
      </c>
      <c r="AA307" s="274" t="str">
        <f>IF(Table1[[#This Row],[h_hargasebelumdiskon]]="","",IF(Table1[[#This Row],[Disc 2]]="",0,(Table1[[#This Row],[h_hargasebelumdiskon]]-Table1[[#This Row],[h_disc 1]])*Table1[[#This Row],[Disc 2]]))</f>
        <v/>
      </c>
      <c r="AB307" s="274" t="str">
        <f>IF(Table1[Item Description]="","",Table1[[#This Row],[h_disc 1]]+Table1[[#This Row],[h_disc 2]])</f>
        <v/>
      </c>
      <c r="AC307" s="274" t="str">
        <f>IF(Table1[Item Description]="","",Table1[[#This Row],[h_hargasebelumdiskon]]-Table1[[#This Row],[h_diskon]])</f>
        <v/>
      </c>
      <c r="AD307" s="274" t="str">
        <f ca="1">IF(Table1[//]="","",SUMIF(Table1[h_id],Table1[h_id],Table1[h_hargasetelahdiskon]))</f>
        <v/>
      </c>
      <c r="AF307" s="274" t="str">
        <f>Table1[[#This Row],[Item Description]]&amp;Table1[[#This Row],[Unit]]&amp;Table1[[#This Row],[Unit Price]]</f>
        <v/>
      </c>
      <c r="AG307" s="3"/>
      <c r="AH307" s="3"/>
      <c r="AI307" s="3"/>
    </row>
    <row r="308" spans="1:35" x14ac:dyDescent="0.25">
      <c r="A308" s="278" t="str">
        <f ca="1">IF(Table1[[#This Row],[No. Invoice :]]="","",ROW())</f>
        <v/>
      </c>
      <c r="B308" s="278" t="str">
        <f ca="1">IF(Table1[Column3]="","",B$1+COUNT(INDIRECT("B$2:B"&amp;ROW()-1)))</f>
        <v/>
      </c>
      <c r="C308" s="272" t="str">
        <f>IF(Table1[[#This Row],[Column2]]="","",Table1[[#This Row],[Column2]]+C$1-1)</f>
        <v/>
      </c>
      <c r="E308" s="273"/>
      <c r="F308" s="271"/>
      <c r="G308" s="278" t="str">
        <f ca="1">IF(Table1[[#This Row],[h_No. Invoice :]]="","",CONCATENATE("AM"," ",Table1[[#This Row],[h_No. Invoice :]]))</f>
        <v/>
      </c>
      <c r="H308" s="271" t="str">
        <f>IF(Table1[[#This Row],[Column5]]="","",INDEX(Table2[Column1],MATCH(Table1[[#This Row],[Column5]],Table2[a],0)))</f>
        <v/>
      </c>
      <c r="I308" s="279" t="str">
        <f>IF(Table1[[#This Row],[Column3]]=0,"",CONCATENATE(UPPER(Table1[[#This Row],[Column3]])," ",Table1[[#This Row],[Column4]]))</f>
        <v xml:space="preserve"> </v>
      </c>
      <c r="J308" s="278" t="str">
        <f>IF(Table1[[#This Row],[Column5]]="","",INDEX(Table2[e],IF(Table1[[#This Row],[Column5]]="","",MATCH(Table1[[#This Row],[Column5]],Table2[a],0)),))</f>
        <v/>
      </c>
      <c r="K308" s="271"/>
      <c r="L308" s="271"/>
      <c r="O308" s="278" t="str">
        <f>IF(Table1[[#This Row],[h_Item Description]]="","",INDEX([1]!db[NB PAJAK],MATCH(Table1[[#This Row],[h_Item Description]],[1]!db[kode],0)))</f>
        <v/>
      </c>
      <c r="Q308" s="274"/>
      <c r="R308" s="275"/>
      <c r="S308" s="275"/>
      <c r="T308" s="274" t="str">
        <f>Table1[[#This Row],[h_hargasetelahdiskon]]</f>
        <v/>
      </c>
      <c r="V308" s="271"/>
      <c r="W308" s="278" t="str">
        <f ca="1">IF(Table1[[#This Row],[Item Description]]="","",IF(Table1[[#This Row],[//]]="",INDIRECT(ADDRESS(ROW()-1,COLUMN())),Table1[[#This Row],[//]]))</f>
        <v/>
      </c>
      <c r="X308" s="278" t="str">
        <f ca="1">IF(Table1[[#This Row],[h_id]]="","",COUNTIF(Table1[h_id],Table1[[#This Row],[h_id]]))</f>
        <v/>
      </c>
      <c r="Y308" s="274" t="str">
        <f>IF(Table1[Item Description]="","",Table1[[#This Row],[Qty]]*Table1[[#This Row],[Unit Price]])</f>
        <v/>
      </c>
      <c r="Z308" s="274" t="str">
        <f>IF(Table1[[#This Row],[h_hargasebelumdiskon]]="","",IF(Table1[[#This Row],[Disc 1]]="",0,Table1[[#This Row],[h_hargasebelumdiskon]]*Table1[[#This Row],[Disc 1]]))</f>
        <v/>
      </c>
      <c r="AA308" s="274" t="str">
        <f>IF(Table1[[#This Row],[h_hargasebelumdiskon]]="","",IF(Table1[[#This Row],[Disc 2]]="",0,(Table1[[#This Row],[h_hargasebelumdiskon]]-Table1[[#This Row],[h_disc 1]])*Table1[[#This Row],[Disc 2]]))</f>
        <v/>
      </c>
      <c r="AB308" s="274" t="str">
        <f>IF(Table1[Item Description]="","",Table1[[#This Row],[h_disc 1]]+Table1[[#This Row],[h_disc 2]])</f>
        <v/>
      </c>
      <c r="AC308" s="274" t="str">
        <f>IF(Table1[Item Description]="","",Table1[[#This Row],[h_hargasebelumdiskon]]-Table1[[#This Row],[h_diskon]])</f>
        <v/>
      </c>
      <c r="AD308" s="274" t="str">
        <f ca="1">IF(Table1[//]="","",SUMIF(Table1[h_id],Table1[h_id],Table1[h_hargasetelahdiskon]))</f>
        <v/>
      </c>
      <c r="AF308" s="274" t="str">
        <f>Table1[[#This Row],[Item Description]]&amp;Table1[[#This Row],[Unit]]&amp;Table1[[#This Row],[Unit Price]]</f>
        <v/>
      </c>
      <c r="AG308" s="3"/>
      <c r="AH308" s="3"/>
      <c r="AI308" s="3"/>
    </row>
    <row r="309" spans="1:35" x14ac:dyDescent="0.25">
      <c r="A309" s="278" t="str">
        <f ca="1">IF(Table1[[#This Row],[No. Invoice :]]="","",ROW())</f>
        <v/>
      </c>
      <c r="B309" s="278" t="str">
        <f ca="1">IF(Table1[Column3]="","",B$1+COUNT(INDIRECT("B$2:B"&amp;ROW()-1)))</f>
        <v/>
      </c>
      <c r="C309" s="272" t="str">
        <f>IF(Table1[[#This Row],[Column2]]="","",Table1[[#This Row],[Column2]]+C$1-1)</f>
        <v/>
      </c>
      <c r="E309" s="273"/>
      <c r="F309" s="271"/>
      <c r="G309" s="278" t="str">
        <f ca="1">IF(Table1[[#This Row],[h_No. Invoice :]]="","",CONCATENATE("AM"," ",Table1[[#This Row],[h_No. Invoice :]]))</f>
        <v/>
      </c>
      <c r="H309" s="271" t="str">
        <f>IF(Table1[[#This Row],[Column5]]="","",INDEX(Table2[Column1],MATCH(Table1[[#This Row],[Column5]],Table2[a],0)))</f>
        <v/>
      </c>
      <c r="I309" s="279" t="str">
        <f>IF(Table1[[#This Row],[Column3]]=0,"",CONCATENATE(UPPER(Table1[[#This Row],[Column3]])," ",Table1[[#This Row],[Column4]]))</f>
        <v xml:space="preserve"> </v>
      </c>
      <c r="J309" s="278" t="str">
        <f>IF(Table1[[#This Row],[Column5]]="","",INDEX(Table2[e],IF(Table1[[#This Row],[Column5]]="","",MATCH(Table1[[#This Row],[Column5]],Table2[a],0)),))</f>
        <v/>
      </c>
      <c r="K309" s="271"/>
      <c r="L309" s="271"/>
      <c r="O309" s="278" t="str">
        <f>IF(Table1[[#This Row],[h_Item Description]]="","",INDEX([1]!db[NB PAJAK],MATCH(Table1[[#This Row],[h_Item Description]],[1]!db[kode],0)))</f>
        <v/>
      </c>
      <c r="Q309" s="274"/>
      <c r="R309" s="275"/>
      <c r="S309" s="275"/>
      <c r="T309" s="274" t="str">
        <f>Table1[[#This Row],[h_hargasetelahdiskon]]</f>
        <v/>
      </c>
      <c r="V309" s="271"/>
      <c r="W309" s="278" t="str">
        <f ca="1">IF(Table1[[#This Row],[Item Description]]="","",IF(Table1[[#This Row],[//]]="",INDIRECT(ADDRESS(ROW()-1,COLUMN())),Table1[[#This Row],[//]]))</f>
        <v/>
      </c>
      <c r="X309" s="278" t="str">
        <f ca="1">IF(Table1[[#This Row],[h_id]]="","",COUNTIF(Table1[h_id],Table1[[#This Row],[h_id]]))</f>
        <v/>
      </c>
      <c r="Y309" s="274" t="str">
        <f>IF(Table1[Item Description]="","",Table1[[#This Row],[Qty]]*Table1[[#This Row],[Unit Price]])</f>
        <v/>
      </c>
      <c r="Z309" s="274" t="str">
        <f>IF(Table1[[#This Row],[h_hargasebelumdiskon]]="","",IF(Table1[[#This Row],[Disc 1]]="",0,Table1[[#This Row],[h_hargasebelumdiskon]]*Table1[[#This Row],[Disc 1]]))</f>
        <v/>
      </c>
      <c r="AA309" s="274" t="str">
        <f>IF(Table1[[#This Row],[h_hargasebelumdiskon]]="","",IF(Table1[[#This Row],[Disc 2]]="",0,(Table1[[#This Row],[h_hargasebelumdiskon]]-Table1[[#This Row],[h_disc 1]])*Table1[[#This Row],[Disc 2]]))</f>
        <v/>
      </c>
      <c r="AB309" s="274" t="str">
        <f>IF(Table1[Item Description]="","",Table1[[#This Row],[h_disc 1]]+Table1[[#This Row],[h_disc 2]])</f>
        <v/>
      </c>
      <c r="AC309" s="274" t="str">
        <f>IF(Table1[Item Description]="","",Table1[[#This Row],[h_hargasebelumdiskon]]-Table1[[#This Row],[h_diskon]])</f>
        <v/>
      </c>
      <c r="AD309" s="274" t="str">
        <f ca="1">IF(Table1[//]="","",SUMIF(Table1[h_id],Table1[h_id],Table1[h_hargasetelahdiskon]))</f>
        <v/>
      </c>
      <c r="AF309" s="274" t="str">
        <f>Table1[[#This Row],[Item Description]]&amp;Table1[[#This Row],[Unit]]&amp;Table1[[#This Row],[Unit Price]]</f>
        <v/>
      </c>
      <c r="AG309" s="3"/>
      <c r="AH309" s="3"/>
      <c r="AI309" s="3"/>
    </row>
    <row r="310" spans="1:35" x14ac:dyDescent="0.25">
      <c r="A310" s="278" t="str">
        <f ca="1">IF(Table1[[#This Row],[No. Invoice :]]="","",ROW())</f>
        <v/>
      </c>
      <c r="B310" s="481" t="str">
        <f ca="1">IF(Table1[Column3]="","",B$1+COUNT(INDIRECT("B$2:B"&amp;ROW()-1)))</f>
        <v/>
      </c>
      <c r="C310" s="272" t="str">
        <f>IF(Table1[[#This Row],[Column2]]="","",Table1[[#This Row],[Column2]]+C$1-1)</f>
        <v/>
      </c>
      <c r="D310" s="482"/>
      <c r="E310" s="483"/>
      <c r="F310" s="484"/>
      <c r="G310" s="278" t="str">
        <f ca="1">IF(Table1[[#This Row],[h_No. Invoice :]]="","",CONCATENATE("AM"," ",Table1[[#This Row],[h_No. Invoice :]]))</f>
        <v/>
      </c>
      <c r="H310" s="481" t="str">
        <f>IF(Table1[[#This Row],[Column5]]="","",INDEX(Table2[Column1],MATCH(Table1[[#This Row],[Column5]],Table2[a],0)))</f>
        <v/>
      </c>
      <c r="I310" s="279" t="str">
        <f>IF(Table1[[#This Row],[Column3]]=0,"",CONCATENATE(UPPER(Table1[[#This Row],[Column3]])," ",Table1[[#This Row],[Column4]]))</f>
        <v xml:space="preserve"> </v>
      </c>
      <c r="J310" s="278" t="str">
        <f>IF(Table1[[#This Row],[Column5]]="","",INDEX(Table2[e],IF(Table1[[#This Row],[Column5]]="","",MATCH(Table1[[#This Row],[Column5]],Table2[a],0)),))</f>
        <v/>
      </c>
      <c r="K310" s="271"/>
      <c r="L310" s="271"/>
      <c r="N310" s="484"/>
      <c r="O310" s="481" t="str">
        <f>IF(Table1[[#This Row],[h_Item Description]]="","",INDEX([1]!db[NB PAJAK],MATCH(Table1[[#This Row],[h_Item Description]],[1]!db[kode],0)))</f>
        <v/>
      </c>
      <c r="Q310" s="274"/>
      <c r="R310" s="275"/>
      <c r="S310" s="275"/>
      <c r="T310" s="485" t="str">
        <f>Table1[[#This Row],[h_hargasetelahdiskon]]</f>
        <v/>
      </c>
      <c r="V310" s="271"/>
      <c r="W310" s="278" t="str">
        <f ca="1">IF(Table1[[#This Row],[Item Description]]="","",IF(Table1[[#This Row],[//]]="",INDIRECT(ADDRESS(ROW()-1,COLUMN())),Table1[[#This Row],[//]]))</f>
        <v/>
      </c>
      <c r="X310" s="278" t="str">
        <f ca="1">IF(Table1[[#This Row],[h_id]]="","",COUNTIF(Table1[h_id],Table1[[#This Row],[h_id]]))</f>
        <v/>
      </c>
      <c r="Y310" s="274" t="str">
        <f>IF(Table1[Item Description]="","",Table1[[#This Row],[Qty]]*Table1[[#This Row],[Unit Price]])</f>
        <v/>
      </c>
      <c r="Z310" s="485" t="str">
        <f>IF(Table1[[#This Row],[h_hargasebelumdiskon]]="","",IF(Table1[[#This Row],[Disc 1]]="",0,Table1[[#This Row],[h_hargasebelumdiskon]]*Table1[[#This Row],[Disc 1]]))</f>
        <v/>
      </c>
      <c r="AA310" s="485" t="str">
        <f>IF(Table1[[#This Row],[h_hargasebelumdiskon]]="","",IF(Table1[[#This Row],[Disc 2]]="",0,(Table1[[#This Row],[h_hargasebelumdiskon]]-Table1[[#This Row],[h_disc 1]])*Table1[[#This Row],[Disc 2]]))</f>
        <v/>
      </c>
      <c r="AB310" s="274" t="str">
        <f>IF(Table1[Item Description]="","",Table1[[#This Row],[h_disc 1]]+Table1[[#This Row],[h_disc 2]])</f>
        <v/>
      </c>
      <c r="AC310" s="274" t="str">
        <f>IF(Table1[Item Description]="","",Table1[[#This Row],[h_hargasebelumdiskon]]-Table1[[#This Row],[h_diskon]])</f>
        <v/>
      </c>
      <c r="AD310" s="274" t="str">
        <f ca="1">IF(Table1[//]="","",SUMIF(Table1[h_id],Table1[h_id],Table1[h_hargasetelahdiskon]))</f>
        <v/>
      </c>
      <c r="AF310" s="274" t="str">
        <f>Table1[[#This Row],[Item Description]]&amp;Table1[[#This Row],[Unit]]&amp;Table1[[#This Row],[Unit Price]]</f>
        <v/>
      </c>
      <c r="AG310" s="3"/>
      <c r="AH310" s="3"/>
      <c r="AI310" s="3"/>
    </row>
    <row r="311" spans="1:35" x14ac:dyDescent="0.25">
      <c r="A311" s="278" t="str">
        <f ca="1">IF(Table1[[#This Row],[No. Invoice :]]="","",ROW())</f>
        <v/>
      </c>
      <c r="B311" s="278" t="str">
        <f ca="1">IF(Table1[Column3]="","",B$1+COUNT(INDIRECT("B$2:B"&amp;ROW()-1)))</f>
        <v/>
      </c>
      <c r="C311" s="272" t="str">
        <f>IF(Table1[[#This Row],[Column2]]="","",Table1[[#This Row],[Column2]]+C$1-1)</f>
        <v/>
      </c>
      <c r="E311" s="273"/>
      <c r="F311" s="271"/>
      <c r="G311" s="278" t="str">
        <f ca="1">IF(Table1[[#This Row],[h_No. Invoice :]]="","",CONCATENATE("AM"," ",Table1[[#This Row],[h_No. Invoice :]]))</f>
        <v/>
      </c>
      <c r="H311" s="271" t="str">
        <f>IF(Table1[[#This Row],[Column5]]="","",INDEX(Table2[Column1],MATCH(Table1[[#This Row],[Column5]],Table2[a],0)))</f>
        <v/>
      </c>
      <c r="I311" s="279" t="str">
        <f>IF(Table1[[#This Row],[Column3]]=0,"",CONCATENATE(UPPER(Table1[[#This Row],[Column3]])," ",Table1[[#This Row],[Column4]]))</f>
        <v xml:space="preserve"> </v>
      </c>
      <c r="J311" s="278" t="str">
        <f>IF(Table1[[#This Row],[Column5]]="","",INDEX(Table2[e],IF(Table1[[#This Row],[Column5]]="","",MATCH(Table1[[#This Row],[Column5]],Table2[a],0)),))</f>
        <v/>
      </c>
      <c r="K311" s="271"/>
      <c r="L311" s="271"/>
      <c r="O311" s="278" t="str">
        <f>IF(Table1[[#This Row],[h_Item Description]]="","",INDEX([1]!db[NB PAJAK],MATCH(Table1[[#This Row],[h_Item Description]],[1]!db[kode],0)))</f>
        <v/>
      </c>
      <c r="Q311" s="274"/>
      <c r="R311" s="275"/>
      <c r="S311" s="275"/>
      <c r="T311" s="274" t="str">
        <f>Table1[[#This Row],[h_hargasetelahdiskon]]</f>
        <v/>
      </c>
      <c r="V311" s="271"/>
      <c r="W311" s="278" t="str">
        <f ca="1">IF(Table1[[#This Row],[Item Description]]="","",IF(Table1[[#This Row],[//]]="",INDIRECT(ADDRESS(ROW()-1,COLUMN())),Table1[[#This Row],[//]]))</f>
        <v/>
      </c>
      <c r="X311" s="278" t="str">
        <f ca="1">IF(Table1[[#This Row],[h_id]]="","",COUNTIF(Table1[h_id],Table1[[#This Row],[h_id]]))</f>
        <v/>
      </c>
      <c r="Y311" s="274" t="str">
        <f>IF(Table1[Item Description]="","",Table1[[#This Row],[Qty]]*Table1[[#This Row],[Unit Price]])</f>
        <v/>
      </c>
      <c r="Z311" s="274" t="str">
        <f>IF(Table1[[#This Row],[h_hargasebelumdiskon]]="","",IF(Table1[[#This Row],[Disc 1]]="",0,Table1[[#This Row],[h_hargasebelumdiskon]]*Table1[[#This Row],[Disc 1]]))</f>
        <v/>
      </c>
      <c r="AA311" s="274" t="str">
        <f>IF(Table1[[#This Row],[h_hargasebelumdiskon]]="","",IF(Table1[[#This Row],[Disc 2]]="",0,(Table1[[#This Row],[h_hargasebelumdiskon]]-Table1[[#This Row],[h_disc 1]])*Table1[[#This Row],[Disc 2]]))</f>
        <v/>
      </c>
      <c r="AB311" s="274" t="str">
        <f>IF(Table1[Item Description]="","",Table1[[#This Row],[h_disc 1]]+Table1[[#This Row],[h_disc 2]])</f>
        <v/>
      </c>
      <c r="AC311" s="274" t="str">
        <f>IF(Table1[Item Description]="","",Table1[[#This Row],[h_hargasebelumdiskon]]-Table1[[#This Row],[h_diskon]])</f>
        <v/>
      </c>
      <c r="AD311" s="274" t="str">
        <f ca="1">IF(Table1[//]="","",SUMIF(Table1[h_id],Table1[h_id],Table1[h_hargasetelahdiskon]))</f>
        <v/>
      </c>
      <c r="AF311" s="274" t="str">
        <f>Table1[[#This Row],[Item Description]]&amp;Table1[[#This Row],[Unit]]&amp;Table1[[#This Row],[Unit Price]]</f>
        <v/>
      </c>
      <c r="AG311" s="3"/>
      <c r="AH311" s="3"/>
      <c r="AI311" s="3"/>
    </row>
    <row r="312" spans="1:35" x14ac:dyDescent="0.25">
      <c r="A312" s="278" t="str">
        <f ca="1">IF(Table1[[#This Row],[No. Invoice :]]="","",ROW())</f>
        <v/>
      </c>
      <c r="B312" s="278" t="str">
        <f ca="1">IF(Table1[Column3]="","",B$1+COUNT(INDIRECT("B$2:B"&amp;ROW()-1)))</f>
        <v/>
      </c>
      <c r="C312" s="272" t="str">
        <f>IF(Table1[[#This Row],[Column2]]="","",Table1[[#This Row],[Column2]]+C$1-1)</f>
        <v/>
      </c>
      <c r="E312" s="273"/>
      <c r="F312" s="271"/>
      <c r="G312" s="278" t="str">
        <f ca="1">IF(Table1[[#This Row],[h_No. Invoice :]]="","",CONCATENATE("AM"," ",Table1[[#This Row],[h_No. Invoice :]]))</f>
        <v/>
      </c>
      <c r="H312" s="271" t="str">
        <f>IF(Table1[[#This Row],[Column5]]="","",INDEX(Table2[Column1],MATCH(Table1[[#This Row],[Column5]],Table2[a],0)))</f>
        <v/>
      </c>
      <c r="I312" s="279" t="str">
        <f>IF(Table1[[#This Row],[Column3]]=0,"",CONCATENATE(UPPER(Table1[[#This Row],[Column3]])," ",Table1[[#This Row],[Column4]]))</f>
        <v xml:space="preserve"> </v>
      </c>
      <c r="J312" s="278" t="str">
        <f>IF(Table1[[#This Row],[Column5]]="","",INDEX(Table2[e],IF(Table1[[#This Row],[Column5]]="","",MATCH(Table1[[#This Row],[Column5]],Table2[a],0)),))</f>
        <v/>
      </c>
      <c r="K312" s="271"/>
      <c r="L312" s="271"/>
      <c r="O312" s="278" t="str">
        <f>IF(Table1[[#This Row],[h_Item Description]]="","",INDEX([1]!db[NB PAJAK],MATCH(Table1[[#This Row],[h_Item Description]],[1]!db[kode],0)))</f>
        <v/>
      </c>
      <c r="Q312" s="274"/>
      <c r="R312" s="275"/>
      <c r="S312" s="275"/>
      <c r="T312" s="274" t="str">
        <f>Table1[[#This Row],[h_hargasetelahdiskon]]</f>
        <v/>
      </c>
      <c r="V312" s="271"/>
      <c r="W312" s="278" t="str">
        <f ca="1">IF(Table1[[#This Row],[Item Description]]="","",IF(Table1[[#This Row],[//]]="",INDIRECT(ADDRESS(ROW()-1,COLUMN())),Table1[[#This Row],[//]]))</f>
        <v/>
      </c>
      <c r="X312" s="278" t="str">
        <f ca="1">IF(Table1[[#This Row],[h_id]]="","",COUNTIF(Table1[h_id],Table1[[#This Row],[h_id]]))</f>
        <v/>
      </c>
      <c r="Y312" s="274" t="str">
        <f>IF(Table1[Item Description]="","",Table1[[#This Row],[Qty]]*Table1[[#This Row],[Unit Price]])</f>
        <v/>
      </c>
      <c r="Z312" s="274" t="str">
        <f>IF(Table1[[#This Row],[h_hargasebelumdiskon]]="","",IF(Table1[[#This Row],[Disc 1]]="",0,Table1[[#This Row],[h_hargasebelumdiskon]]*Table1[[#This Row],[Disc 1]]))</f>
        <v/>
      </c>
      <c r="AA312" s="274" t="str">
        <f>IF(Table1[[#This Row],[h_hargasebelumdiskon]]="","",IF(Table1[[#This Row],[Disc 2]]="",0,(Table1[[#This Row],[h_hargasebelumdiskon]]-Table1[[#This Row],[h_disc 1]])*Table1[[#This Row],[Disc 2]]))</f>
        <v/>
      </c>
      <c r="AB312" s="274" t="str">
        <f>IF(Table1[Item Description]="","",Table1[[#This Row],[h_disc 1]]+Table1[[#This Row],[h_disc 2]])</f>
        <v/>
      </c>
      <c r="AC312" s="274" t="str">
        <f>IF(Table1[Item Description]="","",Table1[[#This Row],[h_hargasebelumdiskon]]-Table1[[#This Row],[h_diskon]])</f>
        <v/>
      </c>
      <c r="AD312" s="274" t="str">
        <f ca="1">IF(Table1[//]="","",SUMIF(Table1[h_id],Table1[h_id],Table1[h_hargasetelahdiskon]))</f>
        <v/>
      </c>
      <c r="AF312" s="274" t="str">
        <f>Table1[[#This Row],[Item Description]]&amp;Table1[[#This Row],[Unit]]&amp;Table1[[#This Row],[Unit Price]]</f>
        <v/>
      </c>
      <c r="AG312" s="3"/>
      <c r="AH312" s="3"/>
      <c r="AI312" s="3"/>
    </row>
    <row r="313" spans="1:35" x14ac:dyDescent="0.25">
      <c r="A313" s="278" t="str">
        <f ca="1">IF(Table1[[#This Row],[No. Invoice :]]="","",ROW())</f>
        <v/>
      </c>
      <c r="B313" s="278" t="str">
        <f ca="1">IF(Table1[Column3]="","",B$1+COUNT(INDIRECT("B$2:B"&amp;ROW()-1)))</f>
        <v/>
      </c>
      <c r="C313" s="272" t="str">
        <f>IF(Table1[[#This Row],[Column2]]="","",Table1[[#This Row],[Column2]]+C$1-1)</f>
        <v/>
      </c>
      <c r="E313" s="273"/>
      <c r="F313" s="271"/>
      <c r="G313" s="278" t="str">
        <f ca="1">IF(Table1[[#This Row],[h_No. Invoice :]]="","",CONCATENATE("AM"," ",Table1[[#This Row],[h_No. Invoice :]]))</f>
        <v/>
      </c>
      <c r="H313" s="271" t="str">
        <f>IF(Table1[[#This Row],[Column5]]="","",INDEX(Table2[Column1],MATCH(Table1[[#This Row],[Column5]],Table2[a],0)))</f>
        <v/>
      </c>
      <c r="I313" s="279" t="str">
        <f>IF(Table1[[#This Row],[Column3]]=0,"",CONCATENATE(UPPER(Table1[[#This Row],[Column3]])," ",Table1[[#This Row],[Column4]]))</f>
        <v xml:space="preserve"> </v>
      </c>
      <c r="J313" s="278" t="str">
        <f>IF(Table1[[#This Row],[Column5]]="","",INDEX(Table2[e],IF(Table1[[#This Row],[Column5]]="","",MATCH(Table1[[#This Row],[Column5]],Table2[a],0)),))</f>
        <v/>
      </c>
      <c r="K313" s="271"/>
      <c r="L313" s="271"/>
      <c r="O313" s="278" t="str">
        <f>IF(Table1[[#This Row],[h_Item Description]]="","",INDEX([1]!db[NB PAJAK],MATCH(Table1[[#This Row],[h_Item Description]],[1]!db[kode],0)))</f>
        <v/>
      </c>
      <c r="Q313" s="274"/>
      <c r="R313" s="275"/>
      <c r="S313" s="275"/>
      <c r="T313" s="274" t="str">
        <f>Table1[[#This Row],[h_hargasetelahdiskon]]</f>
        <v/>
      </c>
      <c r="V313" s="271"/>
      <c r="W313" s="278" t="str">
        <f ca="1">IF(Table1[[#This Row],[Item Description]]="","",IF(Table1[[#This Row],[//]]="",INDIRECT(ADDRESS(ROW()-1,COLUMN())),Table1[[#This Row],[//]]))</f>
        <v/>
      </c>
      <c r="X313" s="278" t="str">
        <f ca="1">IF(Table1[[#This Row],[h_id]]="","",COUNTIF(Table1[h_id],Table1[[#This Row],[h_id]]))</f>
        <v/>
      </c>
      <c r="Y313" s="274" t="str">
        <f>IF(Table1[Item Description]="","",Table1[[#This Row],[Qty]]*Table1[[#This Row],[Unit Price]])</f>
        <v/>
      </c>
      <c r="Z313" s="274" t="str">
        <f>IF(Table1[[#This Row],[h_hargasebelumdiskon]]="","",IF(Table1[[#This Row],[Disc 1]]="",0,Table1[[#This Row],[h_hargasebelumdiskon]]*Table1[[#This Row],[Disc 1]]))</f>
        <v/>
      </c>
      <c r="AA313" s="274" t="str">
        <f>IF(Table1[[#This Row],[h_hargasebelumdiskon]]="","",IF(Table1[[#This Row],[Disc 2]]="",0,(Table1[[#This Row],[h_hargasebelumdiskon]]-Table1[[#This Row],[h_disc 1]])*Table1[[#This Row],[Disc 2]]))</f>
        <v/>
      </c>
      <c r="AB313" s="274" t="str">
        <f>IF(Table1[Item Description]="","",Table1[[#This Row],[h_disc 1]]+Table1[[#This Row],[h_disc 2]])</f>
        <v/>
      </c>
      <c r="AC313" s="274" t="str">
        <f>IF(Table1[Item Description]="","",Table1[[#This Row],[h_hargasebelumdiskon]]-Table1[[#This Row],[h_diskon]])</f>
        <v/>
      </c>
      <c r="AD313" s="274" t="str">
        <f ca="1">IF(Table1[//]="","",SUMIF(Table1[h_id],Table1[h_id],Table1[h_hargasetelahdiskon]))</f>
        <v/>
      </c>
      <c r="AF313" s="274" t="str">
        <f>Table1[[#This Row],[Item Description]]&amp;Table1[[#This Row],[Unit]]&amp;Table1[[#This Row],[Unit Price]]</f>
        <v/>
      </c>
      <c r="AG313" s="3"/>
      <c r="AH313" s="3"/>
      <c r="AI313" s="3"/>
    </row>
    <row r="314" spans="1:35" x14ac:dyDescent="0.25">
      <c r="A314" s="278" t="str">
        <f ca="1">IF(Table1[[#This Row],[No. Invoice :]]="","",ROW())</f>
        <v/>
      </c>
      <c r="B314" s="278" t="str">
        <f ca="1">IF(Table1[Column3]="","",B$1+COUNT(INDIRECT("B$2:B"&amp;ROW()-1)))</f>
        <v/>
      </c>
      <c r="C314" s="272" t="str">
        <f>IF(Table1[[#This Row],[Column2]]="","",Table1[[#This Row],[Column2]]+C$1-1)</f>
        <v/>
      </c>
      <c r="E314" s="273"/>
      <c r="F314" s="271"/>
      <c r="G314" s="278" t="str">
        <f ca="1">IF(Table1[[#This Row],[h_No. Invoice :]]="","",CONCATENATE("AM"," ",Table1[[#This Row],[h_No. Invoice :]]))</f>
        <v/>
      </c>
      <c r="H314" s="271" t="str">
        <f>IF(Table1[[#This Row],[Column5]]="","",INDEX(Table2[Column1],MATCH(Table1[[#This Row],[Column5]],Table2[a],0)))</f>
        <v/>
      </c>
      <c r="I314" s="279" t="str">
        <f>IF(Table1[[#This Row],[Column3]]=0,"",CONCATENATE(UPPER(Table1[[#This Row],[Column3]])," ",Table1[[#This Row],[Column4]]))</f>
        <v xml:space="preserve"> </v>
      </c>
      <c r="J314" s="278" t="str">
        <f>IF(Table1[[#This Row],[Column5]]="","",INDEX(Table2[e],IF(Table1[[#This Row],[Column5]]="","",MATCH(Table1[[#This Row],[Column5]],Table2[a],0)),))</f>
        <v/>
      </c>
      <c r="K314" s="271"/>
      <c r="L314" s="271"/>
      <c r="O314" s="278" t="str">
        <f>IF(Table1[[#This Row],[h_Item Description]]="","",INDEX([1]!db[NB PAJAK],MATCH(Table1[[#This Row],[h_Item Description]],[1]!db[kode],0)))</f>
        <v/>
      </c>
      <c r="Q314" s="274"/>
      <c r="R314" s="275"/>
      <c r="S314" s="275"/>
      <c r="T314" s="274" t="str">
        <f>Table1[[#This Row],[h_hargasetelahdiskon]]</f>
        <v/>
      </c>
      <c r="V314" s="271"/>
      <c r="W314" s="278" t="str">
        <f ca="1">IF(Table1[[#This Row],[Item Description]]="","",IF(Table1[[#This Row],[//]]="",INDIRECT(ADDRESS(ROW()-1,COLUMN())),Table1[[#This Row],[//]]))</f>
        <v/>
      </c>
      <c r="X314" s="278" t="str">
        <f ca="1">IF(Table1[[#This Row],[h_id]]="","",COUNTIF(Table1[h_id],Table1[[#This Row],[h_id]]))</f>
        <v/>
      </c>
      <c r="Y314" s="274" t="str">
        <f>IF(Table1[Item Description]="","",Table1[[#This Row],[Qty]]*Table1[[#This Row],[Unit Price]])</f>
        <v/>
      </c>
      <c r="Z314" s="274" t="str">
        <f>IF(Table1[[#This Row],[h_hargasebelumdiskon]]="","",IF(Table1[[#This Row],[Disc 1]]="",0,Table1[[#This Row],[h_hargasebelumdiskon]]*Table1[[#This Row],[Disc 1]]))</f>
        <v/>
      </c>
      <c r="AA314" s="274" t="str">
        <f>IF(Table1[[#This Row],[h_hargasebelumdiskon]]="","",IF(Table1[[#This Row],[Disc 2]]="",0,(Table1[[#This Row],[h_hargasebelumdiskon]]-Table1[[#This Row],[h_disc 1]])*Table1[[#This Row],[Disc 2]]))</f>
        <v/>
      </c>
      <c r="AB314" s="274" t="str">
        <f>IF(Table1[Item Description]="","",Table1[[#This Row],[h_disc 1]]+Table1[[#This Row],[h_disc 2]])</f>
        <v/>
      </c>
      <c r="AC314" s="274" t="str">
        <f>IF(Table1[Item Description]="","",Table1[[#This Row],[h_hargasebelumdiskon]]-Table1[[#This Row],[h_diskon]])</f>
        <v/>
      </c>
      <c r="AD314" s="274" t="str">
        <f ca="1">IF(Table1[//]="","",SUMIF(Table1[h_id],Table1[h_id],Table1[h_hargasetelahdiskon]))</f>
        <v/>
      </c>
      <c r="AF314" s="274" t="str">
        <f>Table1[[#This Row],[Item Description]]&amp;Table1[[#This Row],[Unit]]&amp;Table1[[#This Row],[Unit Price]]</f>
        <v/>
      </c>
      <c r="AG314" s="3"/>
      <c r="AH314" s="3"/>
      <c r="AI314" s="3"/>
    </row>
    <row r="315" spans="1:35" x14ac:dyDescent="0.25">
      <c r="A315" s="278" t="str">
        <f ca="1">IF(Table1[[#This Row],[No. Invoice :]]="","",ROW())</f>
        <v/>
      </c>
      <c r="B315" s="278" t="str">
        <f ca="1">IF(Table1[Column3]="","",B$1+COUNT(INDIRECT("B$2:B"&amp;ROW()-1)))</f>
        <v/>
      </c>
      <c r="C315" s="272" t="str">
        <f>IF(Table1[[#This Row],[Column2]]="","",Table1[[#This Row],[Column2]]+C$1-1)</f>
        <v/>
      </c>
      <c r="E315" s="273"/>
      <c r="F315" s="271"/>
      <c r="G315" s="278" t="str">
        <f ca="1">IF(Table1[[#This Row],[h_No. Invoice :]]="","",CONCATENATE("AM"," ",Table1[[#This Row],[h_No. Invoice :]]))</f>
        <v/>
      </c>
      <c r="H315" s="271" t="str">
        <f>IF(Table1[[#This Row],[Column5]]="","",INDEX(Table2[Column1],MATCH(Table1[[#This Row],[Column5]],Table2[a],0)))</f>
        <v/>
      </c>
      <c r="I315" s="279" t="str">
        <f>IF(Table1[[#This Row],[Column3]]=0,"",CONCATENATE(UPPER(Table1[[#This Row],[Column3]])," ",Table1[[#This Row],[Column4]]))</f>
        <v xml:space="preserve"> </v>
      </c>
      <c r="J315" s="278" t="str">
        <f>IF(Table1[[#This Row],[Column5]]="","",INDEX(Table2[e],IF(Table1[[#This Row],[Column5]]="","",MATCH(Table1[[#This Row],[Column5]],Table2[a],0)),))</f>
        <v/>
      </c>
      <c r="K315" s="271"/>
      <c r="L315" s="271"/>
      <c r="O315" s="278" t="str">
        <f>IF(Table1[[#This Row],[h_Item Description]]="","",INDEX([1]!db[NB PAJAK],MATCH(Table1[[#This Row],[h_Item Description]],[1]!db[kode],0)))</f>
        <v/>
      </c>
      <c r="Q315" s="274"/>
      <c r="R315" s="275"/>
      <c r="S315" s="275"/>
      <c r="T315" s="274" t="str">
        <f>Table1[[#This Row],[h_hargasetelahdiskon]]</f>
        <v/>
      </c>
      <c r="V315" s="271"/>
      <c r="W315" s="278" t="str">
        <f ca="1">IF(Table1[[#This Row],[Item Description]]="","",IF(Table1[[#This Row],[//]]="",INDIRECT(ADDRESS(ROW()-1,COLUMN())),Table1[[#This Row],[//]]))</f>
        <v/>
      </c>
      <c r="X315" s="278" t="str">
        <f ca="1">IF(Table1[[#This Row],[h_id]]="","",COUNTIF(Table1[h_id],Table1[[#This Row],[h_id]]))</f>
        <v/>
      </c>
      <c r="Y315" s="274" t="str">
        <f>IF(Table1[Item Description]="","",Table1[[#This Row],[Qty]]*Table1[[#This Row],[Unit Price]])</f>
        <v/>
      </c>
      <c r="Z315" s="274" t="str">
        <f>IF(Table1[[#This Row],[h_hargasebelumdiskon]]="","",IF(Table1[[#This Row],[Disc 1]]="",0,Table1[[#This Row],[h_hargasebelumdiskon]]*Table1[[#This Row],[Disc 1]]))</f>
        <v/>
      </c>
      <c r="AA315" s="274" t="str">
        <f>IF(Table1[[#This Row],[h_hargasebelumdiskon]]="","",IF(Table1[[#This Row],[Disc 2]]="",0,(Table1[[#This Row],[h_hargasebelumdiskon]]-Table1[[#This Row],[h_disc 1]])*Table1[[#This Row],[Disc 2]]))</f>
        <v/>
      </c>
      <c r="AB315" s="274" t="str">
        <f>IF(Table1[Item Description]="","",Table1[[#This Row],[h_disc 1]]+Table1[[#This Row],[h_disc 2]])</f>
        <v/>
      </c>
      <c r="AC315" s="274" t="str">
        <f>IF(Table1[Item Description]="","",Table1[[#This Row],[h_hargasebelumdiskon]]-Table1[[#This Row],[h_diskon]])</f>
        <v/>
      </c>
      <c r="AD315" s="274" t="str">
        <f ca="1">IF(Table1[//]="","",SUMIF(Table1[h_id],Table1[h_id],Table1[h_hargasetelahdiskon]))</f>
        <v/>
      </c>
      <c r="AF315" s="274" t="str">
        <f>Table1[[#This Row],[Item Description]]&amp;Table1[[#This Row],[Unit]]&amp;Table1[[#This Row],[Unit Price]]</f>
        <v/>
      </c>
      <c r="AG315" s="3"/>
      <c r="AH315" s="3"/>
      <c r="AI315" s="3"/>
    </row>
    <row r="316" spans="1:35" x14ac:dyDescent="0.25">
      <c r="A316" s="278" t="str">
        <f ca="1">IF(Table1[[#This Row],[No. Invoice :]]="","",ROW())</f>
        <v/>
      </c>
      <c r="B316" s="278" t="str">
        <f ca="1">IF(Table1[Column3]="","",B$1+COUNT(INDIRECT("B$2:B"&amp;ROW()-1)))</f>
        <v/>
      </c>
      <c r="C316" s="272" t="str">
        <f>IF(Table1[[#This Row],[Column2]]="","",Table1[[#This Row],[Column2]]+C$1-1)</f>
        <v/>
      </c>
      <c r="E316" s="273"/>
      <c r="F316" s="271"/>
      <c r="G316" s="278" t="str">
        <f ca="1">IF(Table1[[#This Row],[h_No. Invoice :]]="","",CONCATENATE("AM"," ",Table1[[#This Row],[h_No. Invoice :]]))</f>
        <v/>
      </c>
      <c r="H316" s="271" t="str">
        <f>IF(Table1[[#This Row],[Column5]]="","",INDEX(Table2[Column1],MATCH(Table1[[#This Row],[Column5]],Table2[a],0)))</f>
        <v/>
      </c>
      <c r="I316" s="279" t="str">
        <f>IF(Table1[[#This Row],[Column3]]=0,"",CONCATENATE(UPPER(Table1[[#This Row],[Column3]])," ",Table1[[#This Row],[Column4]]))</f>
        <v xml:space="preserve"> </v>
      </c>
      <c r="J316" s="278" t="str">
        <f>IF(Table1[[#This Row],[Column5]]="","",INDEX(Table2[e],IF(Table1[[#This Row],[Column5]]="","",MATCH(Table1[[#This Row],[Column5]],Table2[a],0)),))</f>
        <v/>
      </c>
      <c r="K316" s="271"/>
      <c r="L316" s="271"/>
      <c r="O316" s="278" t="str">
        <f>IF(Table1[[#This Row],[h_Item Description]]="","",INDEX([1]!db[NB PAJAK],MATCH(Table1[[#This Row],[h_Item Description]],[1]!db[kode],0)))</f>
        <v/>
      </c>
      <c r="Q316" s="274"/>
      <c r="R316" s="275"/>
      <c r="S316" s="275"/>
      <c r="T316" s="274" t="str">
        <f>Table1[[#This Row],[h_hargasetelahdiskon]]</f>
        <v/>
      </c>
      <c r="V316" s="271"/>
      <c r="W316" s="278" t="str">
        <f ca="1">IF(Table1[[#This Row],[Item Description]]="","",IF(Table1[[#This Row],[//]]="",INDIRECT(ADDRESS(ROW()-1,COLUMN())),Table1[[#This Row],[//]]))</f>
        <v/>
      </c>
      <c r="X316" s="278" t="str">
        <f ca="1">IF(Table1[[#This Row],[h_id]]="","",COUNTIF(Table1[h_id],Table1[[#This Row],[h_id]]))</f>
        <v/>
      </c>
      <c r="Y316" s="274" t="str">
        <f>IF(Table1[Item Description]="","",Table1[[#This Row],[Qty]]*Table1[[#This Row],[Unit Price]])</f>
        <v/>
      </c>
      <c r="Z316" s="274" t="str">
        <f>IF(Table1[[#This Row],[h_hargasebelumdiskon]]="","",IF(Table1[[#This Row],[Disc 1]]="",0,Table1[[#This Row],[h_hargasebelumdiskon]]*Table1[[#This Row],[Disc 1]]))</f>
        <v/>
      </c>
      <c r="AA316" s="274" t="str">
        <f>IF(Table1[[#This Row],[h_hargasebelumdiskon]]="","",IF(Table1[[#This Row],[Disc 2]]="",0,(Table1[[#This Row],[h_hargasebelumdiskon]]-Table1[[#This Row],[h_disc 1]])*Table1[[#This Row],[Disc 2]]))</f>
        <v/>
      </c>
      <c r="AB316" s="274" t="str">
        <f>IF(Table1[Item Description]="","",Table1[[#This Row],[h_disc 1]]+Table1[[#This Row],[h_disc 2]])</f>
        <v/>
      </c>
      <c r="AC316" s="274" t="str">
        <f>IF(Table1[Item Description]="","",Table1[[#This Row],[h_hargasebelumdiskon]]-Table1[[#This Row],[h_diskon]])</f>
        <v/>
      </c>
      <c r="AD316" s="274" t="str">
        <f ca="1">IF(Table1[//]="","",SUMIF(Table1[h_id],Table1[h_id],Table1[h_hargasetelahdiskon]))</f>
        <v/>
      </c>
      <c r="AF316" s="274" t="str">
        <f>Table1[[#This Row],[Item Description]]&amp;Table1[[#This Row],[Unit]]&amp;Table1[[#This Row],[Unit Price]]</f>
        <v/>
      </c>
      <c r="AG316" s="3"/>
      <c r="AH316" s="3"/>
      <c r="AI316" s="3"/>
    </row>
    <row r="317" spans="1:35" x14ac:dyDescent="0.25">
      <c r="A317" s="278" t="str">
        <f ca="1">IF(Table1[[#This Row],[No. Invoice :]]="","",ROW())</f>
        <v/>
      </c>
      <c r="B317" s="278" t="str">
        <f ca="1">IF(Table1[Column3]="","",B$1+COUNT(INDIRECT("B$2:B"&amp;ROW()-1)))</f>
        <v/>
      </c>
      <c r="C317" s="272" t="str">
        <f>IF(Table1[[#This Row],[Column2]]="","",Table1[[#This Row],[Column2]]+C$1-1)</f>
        <v/>
      </c>
      <c r="E317" s="273"/>
      <c r="F317" s="271"/>
      <c r="G317" s="278" t="str">
        <f ca="1">IF(Table1[[#This Row],[h_No. Invoice :]]="","",CONCATENATE("AM"," ",Table1[[#This Row],[h_No. Invoice :]]))</f>
        <v/>
      </c>
      <c r="H317" s="271" t="str">
        <f>IF(Table1[[#This Row],[Column5]]="","",INDEX(Table2[Column1],MATCH(Table1[[#This Row],[Column5]],Table2[a],0)))</f>
        <v/>
      </c>
      <c r="I317" s="279" t="str">
        <f>IF(Table1[[#This Row],[Column3]]=0,"",CONCATENATE(UPPER(Table1[[#This Row],[Column3]])," ",Table1[[#This Row],[Column4]]))</f>
        <v xml:space="preserve"> </v>
      </c>
      <c r="J317" s="278" t="str">
        <f>IF(Table1[[#This Row],[Column5]]="","",INDEX(Table2[e],IF(Table1[[#This Row],[Column5]]="","",MATCH(Table1[[#This Row],[Column5]],Table2[a],0)),))</f>
        <v/>
      </c>
      <c r="K317" s="271"/>
      <c r="L317" s="271"/>
      <c r="O317" s="278" t="str">
        <f>IF(Table1[[#This Row],[h_Item Description]]="","",INDEX([1]!db[NB PAJAK],MATCH(Table1[[#This Row],[h_Item Description]],[1]!db[kode],0)))</f>
        <v/>
      </c>
      <c r="Q317" s="274"/>
      <c r="R317" s="275"/>
      <c r="S317" s="275"/>
      <c r="T317" s="274" t="str">
        <f>Table1[[#This Row],[h_hargasetelahdiskon]]</f>
        <v/>
      </c>
      <c r="V317" s="271"/>
      <c r="W317" s="278" t="str">
        <f ca="1">IF(Table1[[#This Row],[Item Description]]="","",IF(Table1[[#This Row],[//]]="",INDIRECT(ADDRESS(ROW()-1,COLUMN())),Table1[[#This Row],[//]]))</f>
        <v/>
      </c>
      <c r="X317" s="278" t="str">
        <f ca="1">IF(Table1[[#This Row],[h_id]]="","",COUNTIF(Table1[h_id],Table1[[#This Row],[h_id]]))</f>
        <v/>
      </c>
      <c r="Y317" s="274" t="str">
        <f>IF(Table1[Item Description]="","",Table1[[#This Row],[Qty]]*Table1[[#This Row],[Unit Price]])</f>
        <v/>
      </c>
      <c r="Z317" s="274" t="str">
        <f>IF(Table1[[#This Row],[h_hargasebelumdiskon]]="","",IF(Table1[[#This Row],[Disc 1]]="",0,Table1[[#This Row],[h_hargasebelumdiskon]]*Table1[[#This Row],[Disc 1]]))</f>
        <v/>
      </c>
      <c r="AA317" s="274" t="str">
        <f>IF(Table1[[#This Row],[h_hargasebelumdiskon]]="","",IF(Table1[[#This Row],[Disc 2]]="",0,(Table1[[#This Row],[h_hargasebelumdiskon]]-Table1[[#This Row],[h_disc 1]])*Table1[[#This Row],[Disc 2]]))</f>
        <v/>
      </c>
      <c r="AB317" s="274" t="str">
        <f>IF(Table1[Item Description]="","",Table1[[#This Row],[h_disc 1]]+Table1[[#This Row],[h_disc 2]])</f>
        <v/>
      </c>
      <c r="AC317" s="274" t="str">
        <f>IF(Table1[Item Description]="","",Table1[[#This Row],[h_hargasebelumdiskon]]-Table1[[#This Row],[h_diskon]])</f>
        <v/>
      </c>
      <c r="AD317" s="274" t="str">
        <f ca="1">IF(Table1[//]="","",SUMIF(Table1[h_id],Table1[h_id],Table1[h_hargasetelahdiskon]))</f>
        <v/>
      </c>
      <c r="AF317" s="274" t="str">
        <f>Table1[[#This Row],[Item Description]]&amp;Table1[[#This Row],[Unit]]&amp;Table1[[#This Row],[Unit Price]]</f>
        <v/>
      </c>
      <c r="AG317" s="3"/>
      <c r="AH317" s="3"/>
      <c r="AI317" s="3"/>
    </row>
    <row r="318" spans="1:35" x14ac:dyDescent="0.25">
      <c r="A318" s="278" t="str">
        <f ca="1">IF(Table1[[#This Row],[No. Invoice :]]="","",ROW())</f>
        <v/>
      </c>
      <c r="B318" s="278" t="str">
        <f ca="1">IF(Table1[Column3]="","",B$1+COUNT(INDIRECT("B$2:B"&amp;ROW()-1)))</f>
        <v/>
      </c>
      <c r="C318" s="272" t="str">
        <f>IF(Table1[[#This Row],[Column2]]="","",Table1[[#This Row],[Column2]]+C$1-1)</f>
        <v/>
      </c>
      <c r="E318" s="273"/>
      <c r="F318" s="271"/>
      <c r="G318" s="278" t="str">
        <f ca="1">IF(Table1[[#This Row],[h_No. Invoice :]]="","",CONCATENATE("AM"," ",Table1[[#This Row],[h_No. Invoice :]]))</f>
        <v/>
      </c>
      <c r="H318" s="271" t="str">
        <f>IF(Table1[[#This Row],[Column5]]="","",INDEX(Table2[Column1],MATCH(Table1[[#This Row],[Column5]],Table2[a],0)))</f>
        <v/>
      </c>
      <c r="I318" s="279" t="str">
        <f>IF(Table1[[#This Row],[Column3]]=0,"",CONCATENATE(UPPER(Table1[[#This Row],[Column3]])," ",Table1[[#This Row],[Column4]]))</f>
        <v xml:space="preserve"> </v>
      </c>
      <c r="J318" s="278" t="str">
        <f>IF(Table1[[#This Row],[Column5]]="","",INDEX(Table2[e],IF(Table1[[#This Row],[Column5]]="","",MATCH(Table1[[#This Row],[Column5]],Table2[a],0)),))</f>
        <v/>
      </c>
      <c r="K318" s="271"/>
      <c r="L318" s="271"/>
      <c r="O318" s="278" t="str">
        <f>IF(Table1[[#This Row],[h_Item Description]]="","",INDEX([1]!db[NB PAJAK],MATCH(Table1[[#This Row],[h_Item Description]],[1]!db[kode],0)))</f>
        <v/>
      </c>
      <c r="Q318" s="274"/>
      <c r="R318" s="275"/>
      <c r="S318" s="275"/>
      <c r="T318" s="274" t="str">
        <f>Table1[[#This Row],[h_hargasetelahdiskon]]</f>
        <v/>
      </c>
      <c r="V318" s="271"/>
      <c r="W318" s="278" t="str">
        <f ca="1">IF(Table1[[#This Row],[Item Description]]="","",IF(Table1[[#This Row],[//]]="",INDIRECT(ADDRESS(ROW()-1,COLUMN())),Table1[[#This Row],[//]]))</f>
        <v/>
      </c>
      <c r="X318" s="278" t="str">
        <f ca="1">IF(Table1[[#This Row],[h_id]]="","",COUNTIF(Table1[h_id],Table1[[#This Row],[h_id]]))</f>
        <v/>
      </c>
      <c r="Y318" s="274" t="str">
        <f>IF(Table1[Item Description]="","",Table1[[#This Row],[Qty]]*Table1[[#This Row],[Unit Price]])</f>
        <v/>
      </c>
      <c r="Z318" s="274" t="str">
        <f>IF(Table1[[#This Row],[h_hargasebelumdiskon]]="","",IF(Table1[[#This Row],[Disc 1]]="",0,Table1[[#This Row],[h_hargasebelumdiskon]]*Table1[[#This Row],[Disc 1]]))</f>
        <v/>
      </c>
      <c r="AA318" s="274" t="str">
        <f>IF(Table1[[#This Row],[h_hargasebelumdiskon]]="","",IF(Table1[[#This Row],[Disc 2]]="",0,(Table1[[#This Row],[h_hargasebelumdiskon]]-Table1[[#This Row],[h_disc 1]])*Table1[[#This Row],[Disc 2]]))</f>
        <v/>
      </c>
      <c r="AB318" s="274" t="str">
        <f>IF(Table1[Item Description]="","",Table1[[#This Row],[h_disc 1]]+Table1[[#This Row],[h_disc 2]])</f>
        <v/>
      </c>
      <c r="AC318" s="274" t="str">
        <f>IF(Table1[Item Description]="","",Table1[[#This Row],[h_hargasebelumdiskon]]-Table1[[#This Row],[h_diskon]])</f>
        <v/>
      </c>
      <c r="AD318" s="274" t="str">
        <f ca="1">IF(Table1[//]="","",SUMIF(Table1[h_id],Table1[h_id],Table1[h_hargasetelahdiskon]))</f>
        <v/>
      </c>
      <c r="AF318" s="274" t="str">
        <f>Table1[[#This Row],[Item Description]]&amp;Table1[[#This Row],[Unit]]&amp;Table1[[#This Row],[Unit Price]]</f>
        <v/>
      </c>
      <c r="AG318" s="3"/>
      <c r="AH318" s="3"/>
      <c r="AI318" s="3"/>
    </row>
    <row r="319" spans="1:35" x14ac:dyDescent="0.25">
      <c r="A319" s="278" t="str">
        <f ca="1">IF(Table1[[#This Row],[No. Invoice :]]="","",ROW())</f>
        <v/>
      </c>
      <c r="B319" s="278" t="str">
        <f ca="1">IF(Table1[Column3]="","",B$1+COUNT(INDIRECT("B$2:B"&amp;ROW()-1)))</f>
        <v/>
      </c>
      <c r="C319" s="272" t="str">
        <f>IF(Table1[[#This Row],[Column2]]="","",Table1[[#This Row],[Column2]]+C$1-1)</f>
        <v/>
      </c>
      <c r="E319" s="273"/>
      <c r="F319" s="271"/>
      <c r="G319" s="278" t="str">
        <f ca="1">IF(Table1[[#This Row],[h_No. Invoice :]]="","",CONCATENATE("AM"," ",Table1[[#This Row],[h_No. Invoice :]]))</f>
        <v/>
      </c>
      <c r="H319" s="271" t="str">
        <f>IF(Table1[[#This Row],[Column5]]="","",INDEX(Table2[Column1],MATCH(Table1[[#This Row],[Column5]],Table2[a],0)))</f>
        <v/>
      </c>
      <c r="I319" s="279" t="str">
        <f>IF(Table1[[#This Row],[Column3]]=0,"",CONCATENATE(UPPER(Table1[[#This Row],[Column3]])," ",Table1[[#This Row],[Column4]]))</f>
        <v xml:space="preserve"> </v>
      </c>
      <c r="J319" s="278" t="str">
        <f>IF(Table1[[#This Row],[Column5]]="","",INDEX(Table2[e],IF(Table1[[#This Row],[Column5]]="","",MATCH(Table1[[#This Row],[Column5]],Table2[a],0)),))</f>
        <v/>
      </c>
      <c r="K319" s="271"/>
      <c r="L319" s="271"/>
      <c r="O319" s="278" t="str">
        <f>IF(Table1[[#This Row],[h_Item Description]]="","",INDEX([1]!db[NB PAJAK],MATCH(Table1[[#This Row],[h_Item Description]],[1]!db[kode],0)))</f>
        <v/>
      </c>
      <c r="Q319" s="274"/>
      <c r="R319" s="275"/>
      <c r="S319" s="275"/>
      <c r="T319" s="274" t="str">
        <f>Table1[[#This Row],[h_hargasetelahdiskon]]</f>
        <v/>
      </c>
      <c r="V319" s="271"/>
      <c r="W319" s="278" t="str">
        <f ca="1">IF(Table1[[#This Row],[Item Description]]="","",IF(Table1[[#This Row],[//]]="",INDIRECT(ADDRESS(ROW()-1,COLUMN())),Table1[[#This Row],[//]]))</f>
        <v/>
      </c>
      <c r="X319" s="278" t="str">
        <f ca="1">IF(Table1[[#This Row],[h_id]]="","",COUNTIF(Table1[h_id],Table1[[#This Row],[h_id]]))</f>
        <v/>
      </c>
      <c r="Y319" s="274" t="str">
        <f>IF(Table1[Item Description]="","",Table1[[#This Row],[Qty]]*Table1[[#This Row],[Unit Price]])</f>
        <v/>
      </c>
      <c r="Z319" s="274" t="str">
        <f>IF(Table1[[#This Row],[h_hargasebelumdiskon]]="","",IF(Table1[[#This Row],[Disc 1]]="",0,Table1[[#This Row],[h_hargasebelumdiskon]]*Table1[[#This Row],[Disc 1]]))</f>
        <v/>
      </c>
      <c r="AA319" s="274" t="str">
        <f>IF(Table1[[#This Row],[h_hargasebelumdiskon]]="","",IF(Table1[[#This Row],[Disc 2]]="",0,(Table1[[#This Row],[h_hargasebelumdiskon]]-Table1[[#This Row],[h_disc 1]])*Table1[[#This Row],[Disc 2]]))</f>
        <v/>
      </c>
      <c r="AB319" s="274" t="str">
        <f>IF(Table1[Item Description]="","",Table1[[#This Row],[h_disc 1]]+Table1[[#This Row],[h_disc 2]])</f>
        <v/>
      </c>
      <c r="AC319" s="274" t="str">
        <f>IF(Table1[Item Description]="","",Table1[[#This Row],[h_hargasebelumdiskon]]-Table1[[#This Row],[h_diskon]])</f>
        <v/>
      </c>
      <c r="AD319" s="274" t="str">
        <f ca="1">IF(Table1[//]="","",SUMIF(Table1[h_id],Table1[h_id],Table1[h_hargasetelahdiskon]))</f>
        <v/>
      </c>
      <c r="AF319" s="274" t="str">
        <f>Table1[[#This Row],[Item Description]]&amp;Table1[[#This Row],[Unit]]&amp;Table1[[#This Row],[Unit Price]]</f>
        <v/>
      </c>
      <c r="AG319" s="3"/>
      <c r="AH319" s="3"/>
      <c r="AI319" s="3"/>
    </row>
    <row r="320" spans="1:35" x14ac:dyDescent="0.25">
      <c r="A320" s="278" t="str">
        <f ca="1">IF(Table1[[#This Row],[No. Invoice :]]="","",ROW())</f>
        <v/>
      </c>
      <c r="B320" s="278" t="str">
        <f ca="1">IF(Table1[Column3]="","",B$1+COUNT(INDIRECT("B$2:B"&amp;ROW()-1)))</f>
        <v/>
      </c>
      <c r="C320" s="272" t="str">
        <f>IF(Table1[[#This Row],[Column2]]="","",Table1[[#This Row],[Column2]]+C$1-1)</f>
        <v/>
      </c>
      <c r="E320" s="273"/>
      <c r="F320" s="271"/>
      <c r="G320" s="278" t="str">
        <f ca="1">IF(Table1[[#This Row],[h_No. Invoice :]]="","",CONCATENATE("AM"," ",Table1[[#This Row],[h_No. Invoice :]]))</f>
        <v/>
      </c>
      <c r="H320" s="271" t="str">
        <f>IF(Table1[[#This Row],[Column5]]="","",INDEX(Table2[Column1],MATCH(Table1[[#This Row],[Column5]],Table2[a],0)))</f>
        <v/>
      </c>
      <c r="I320" s="279" t="str">
        <f>IF(Table1[[#This Row],[Column3]]=0,"",CONCATENATE(UPPER(Table1[[#This Row],[Column3]])," ",Table1[[#This Row],[Column4]]))</f>
        <v xml:space="preserve"> </v>
      </c>
      <c r="J320" s="278" t="str">
        <f>IF(Table1[[#This Row],[Column5]]="","",INDEX(Table2[e],IF(Table1[[#This Row],[Column5]]="","",MATCH(Table1[[#This Row],[Column5]],Table2[a],0)),))</f>
        <v/>
      </c>
      <c r="K320" s="271"/>
      <c r="L320" s="271"/>
      <c r="O320" s="278" t="str">
        <f>IF(Table1[[#This Row],[h_Item Description]]="","",INDEX([1]!db[NB PAJAK],MATCH(Table1[[#This Row],[h_Item Description]],[1]!db[kode],0)))</f>
        <v/>
      </c>
      <c r="Q320" s="274"/>
      <c r="R320" s="275"/>
      <c r="S320" s="275"/>
      <c r="T320" s="274" t="str">
        <f>Table1[[#This Row],[h_hargasetelahdiskon]]</f>
        <v/>
      </c>
      <c r="V320" s="271"/>
      <c r="W320" s="278" t="str">
        <f ca="1">IF(Table1[[#This Row],[Item Description]]="","",IF(Table1[[#This Row],[//]]="",INDIRECT(ADDRESS(ROW()-1,COLUMN())),Table1[[#This Row],[//]]))</f>
        <v/>
      </c>
      <c r="X320" s="278" t="str">
        <f ca="1">IF(Table1[[#This Row],[h_id]]="","",COUNTIF(Table1[h_id],Table1[[#This Row],[h_id]]))</f>
        <v/>
      </c>
      <c r="Y320" s="274" t="str">
        <f>IF(Table1[Item Description]="","",Table1[[#This Row],[Qty]]*Table1[[#This Row],[Unit Price]])</f>
        <v/>
      </c>
      <c r="Z320" s="274" t="str">
        <f>IF(Table1[[#This Row],[h_hargasebelumdiskon]]="","",IF(Table1[[#This Row],[Disc 1]]="",0,Table1[[#This Row],[h_hargasebelumdiskon]]*Table1[[#This Row],[Disc 1]]))</f>
        <v/>
      </c>
      <c r="AA320" s="274" t="str">
        <f>IF(Table1[[#This Row],[h_hargasebelumdiskon]]="","",IF(Table1[[#This Row],[Disc 2]]="",0,(Table1[[#This Row],[h_hargasebelumdiskon]]-Table1[[#This Row],[h_disc 1]])*Table1[[#This Row],[Disc 2]]))</f>
        <v/>
      </c>
      <c r="AB320" s="274" t="str">
        <f>IF(Table1[Item Description]="","",Table1[[#This Row],[h_disc 1]]+Table1[[#This Row],[h_disc 2]])</f>
        <v/>
      </c>
      <c r="AC320" s="274" t="str">
        <f>IF(Table1[Item Description]="","",Table1[[#This Row],[h_hargasebelumdiskon]]-Table1[[#This Row],[h_diskon]])</f>
        <v/>
      </c>
      <c r="AD320" s="274" t="str">
        <f ca="1">IF(Table1[//]="","",SUMIF(Table1[h_id],Table1[h_id],Table1[h_hargasetelahdiskon]))</f>
        <v/>
      </c>
      <c r="AF320" s="274" t="str">
        <f>Table1[[#This Row],[Item Description]]&amp;Table1[[#This Row],[Unit]]&amp;Table1[[#This Row],[Unit Price]]</f>
        <v/>
      </c>
      <c r="AG320" s="3"/>
      <c r="AH320" s="3"/>
      <c r="AI320" s="3"/>
    </row>
    <row r="321" spans="1:35" x14ac:dyDescent="0.25">
      <c r="A321" s="278" t="str">
        <f ca="1">IF(Table1[[#This Row],[No. Invoice :]]="","",ROW())</f>
        <v/>
      </c>
      <c r="B321" s="278" t="str">
        <f ca="1">IF(Table1[Column3]="","",B$1+COUNT(INDIRECT("B$2:B"&amp;ROW()-1)))</f>
        <v/>
      </c>
      <c r="C321" s="272" t="str">
        <f>IF(Table1[[#This Row],[Column2]]="","",Table1[[#This Row],[Column2]]+C$1-1)</f>
        <v/>
      </c>
      <c r="E321" s="273"/>
      <c r="F321" s="271"/>
      <c r="G321" s="278" t="str">
        <f ca="1">IF(Table1[[#This Row],[h_No. Invoice :]]="","",CONCATENATE("AM"," ",Table1[[#This Row],[h_No. Invoice :]]))</f>
        <v/>
      </c>
      <c r="H321" s="271" t="str">
        <f>IF(Table1[[#This Row],[Column5]]="","",INDEX(Table2[Column1],MATCH(Table1[[#This Row],[Column5]],Table2[a],0)))</f>
        <v/>
      </c>
      <c r="I321" s="279" t="str">
        <f>IF(Table1[[#This Row],[Column3]]=0,"",CONCATENATE(UPPER(Table1[[#This Row],[Column3]])," ",Table1[[#This Row],[Column4]]))</f>
        <v xml:space="preserve"> </v>
      </c>
      <c r="J321" s="278" t="str">
        <f>IF(Table1[[#This Row],[Column5]]="","",INDEX(Table2[e],IF(Table1[[#This Row],[Column5]]="","",MATCH(Table1[[#This Row],[Column5]],Table2[a],0)),))</f>
        <v/>
      </c>
      <c r="K321" s="271"/>
      <c r="L321" s="271"/>
      <c r="O321" s="278" t="str">
        <f>IF(Table1[[#This Row],[h_Item Description]]="","",INDEX([1]!db[NB PAJAK],MATCH(Table1[[#This Row],[h_Item Description]],[1]!db[kode],0)))</f>
        <v/>
      </c>
      <c r="Q321" s="274"/>
      <c r="R321" s="275"/>
      <c r="S321" s="275"/>
      <c r="T321" s="274" t="str">
        <f>Table1[[#This Row],[h_hargasetelahdiskon]]</f>
        <v/>
      </c>
      <c r="V321" s="271"/>
      <c r="W321" s="278" t="str">
        <f ca="1">IF(Table1[[#This Row],[Item Description]]="","",IF(Table1[[#This Row],[//]]="",INDIRECT(ADDRESS(ROW()-1,COLUMN())),Table1[[#This Row],[//]]))</f>
        <v/>
      </c>
      <c r="X321" s="278" t="str">
        <f ca="1">IF(Table1[[#This Row],[h_id]]="","",COUNTIF(Table1[h_id],Table1[[#This Row],[h_id]]))</f>
        <v/>
      </c>
      <c r="Y321" s="274" t="str">
        <f>IF(Table1[Item Description]="","",Table1[[#This Row],[Qty]]*Table1[[#This Row],[Unit Price]])</f>
        <v/>
      </c>
      <c r="Z321" s="274" t="str">
        <f>IF(Table1[[#This Row],[h_hargasebelumdiskon]]="","",IF(Table1[[#This Row],[Disc 1]]="",0,Table1[[#This Row],[h_hargasebelumdiskon]]*Table1[[#This Row],[Disc 1]]))</f>
        <v/>
      </c>
      <c r="AA321" s="274" t="str">
        <f>IF(Table1[[#This Row],[h_hargasebelumdiskon]]="","",IF(Table1[[#This Row],[Disc 2]]="",0,(Table1[[#This Row],[h_hargasebelumdiskon]]-Table1[[#This Row],[h_disc 1]])*Table1[[#This Row],[Disc 2]]))</f>
        <v/>
      </c>
      <c r="AB321" s="274" t="str">
        <f>IF(Table1[Item Description]="","",Table1[[#This Row],[h_disc 1]]+Table1[[#This Row],[h_disc 2]])</f>
        <v/>
      </c>
      <c r="AC321" s="274" t="str">
        <f>IF(Table1[Item Description]="","",Table1[[#This Row],[h_hargasebelumdiskon]]-Table1[[#This Row],[h_diskon]])</f>
        <v/>
      </c>
      <c r="AD321" s="274" t="str">
        <f ca="1">IF(Table1[//]="","",SUMIF(Table1[h_id],Table1[h_id],Table1[h_hargasetelahdiskon]))</f>
        <v/>
      </c>
      <c r="AF321" s="274" t="str">
        <f>Table1[[#This Row],[Item Description]]&amp;Table1[[#This Row],[Unit]]&amp;Table1[[#This Row],[Unit Price]]</f>
        <v/>
      </c>
      <c r="AG321" s="3"/>
      <c r="AH321" s="3"/>
      <c r="AI321" s="3"/>
    </row>
    <row r="322" spans="1:35" x14ac:dyDescent="0.25">
      <c r="A322" s="278" t="str">
        <f ca="1">IF(Table1[[#This Row],[No. Invoice :]]="","",ROW())</f>
        <v/>
      </c>
      <c r="B322" s="278" t="str">
        <f ca="1">IF(Table1[Column3]="","",B$1+COUNT(INDIRECT("B$2:B"&amp;ROW()-1)))</f>
        <v/>
      </c>
      <c r="C322" s="272" t="str">
        <f>IF(Table1[[#This Row],[Column2]]="","",Table1[[#This Row],[Column2]]+C$1-1)</f>
        <v/>
      </c>
      <c r="E322" s="273"/>
      <c r="F322" s="271"/>
      <c r="G322" s="278" t="str">
        <f ca="1">IF(Table1[[#This Row],[h_No. Invoice :]]="","",CONCATENATE("AM"," ",Table1[[#This Row],[h_No. Invoice :]]))</f>
        <v/>
      </c>
      <c r="H322" s="271" t="str">
        <f>IF(Table1[[#This Row],[Column5]]="","",INDEX(Table2[Column1],MATCH(Table1[[#This Row],[Column5]],Table2[a],0)))</f>
        <v/>
      </c>
      <c r="I322" s="279" t="str">
        <f>IF(Table1[[#This Row],[Column3]]=0,"",CONCATENATE(UPPER(Table1[[#This Row],[Column3]])," ",Table1[[#This Row],[Column4]]))</f>
        <v xml:space="preserve"> </v>
      </c>
      <c r="J322" s="278" t="str">
        <f>IF(Table1[[#This Row],[Column5]]="","",INDEX(Table2[e],IF(Table1[[#This Row],[Column5]]="","",MATCH(Table1[[#This Row],[Column5]],Table2[a],0)),))</f>
        <v/>
      </c>
      <c r="K322" s="271"/>
      <c r="L322" s="271"/>
      <c r="O322" s="278" t="str">
        <f>IF(Table1[[#This Row],[h_Item Description]]="","",INDEX([1]!db[NB PAJAK],MATCH(Table1[[#This Row],[h_Item Description]],[1]!db[kode],0)))</f>
        <v/>
      </c>
      <c r="Q322" s="274"/>
      <c r="R322" s="275"/>
      <c r="S322" s="275"/>
      <c r="T322" s="274" t="str">
        <f>Table1[[#This Row],[h_hargasetelahdiskon]]</f>
        <v/>
      </c>
      <c r="V322" s="271"/>
      <c r="W322" s="278" t="str">
        <f ca="1">IF(Table1[[#This Row],[Item Description]]="","",IF(Table1[[#This Row],[//]]="",INDIRECT(ADDRESS(ROW()-1,COLUMN())),Table1[[#This Row],[//]]))</f>
        <v/>
      </c>
      <c r="X322" s="278" t="str">
        <f ca="1">IF(Table1[[#This Row],[h_id]]="","",COUNTIF(Table1[h_id],Table1[[#This Row],[h_id]]))</f>
        <v/>
      </c>
      <c r="Y322" s="274" t="str">
        <f>IF(Table1[Item Description]="","",Table1[[#This Row],[Qty]]*Table1[[#This Row],[Unit Price]])</f>
        <v/>
      </c>
      <c r="Z322" s="274" t="str">
        <f>IF(Table1[[#This Row],[h_hargasebelumdiskon]]="","",IF(Table1[[#This Row],[Disc 1]]="",0,Table1[[#This Row],[h_hargasebelumdiskon]]*Table1[[#This Row],[Disc 1]]))</f>
        <v/>
      </c>
      <c r="AA322" s="274" t="str">
        <f>IF(Table1[[#This Row],[h_hargasebelumdiskon]]="","",IF(Table1[[#This Row],[Disc 2]]="",0,(Table1[[#This Row],[h_hargasebelumdiskon]]-Table1[[#This Row],[h_disc 1]])*Table1[[#This Row],[Disc 2]]))</f>
        <v/>
      </c>
      <c r="AB322" s="274" t="str">
        <f>IF(Table1[Item Description]="","",Table1[[#This Row],[h_disc 1]]+Table1[[#This Row],[h_disc 2]])</f>
        <v/>
      </c>
      <c r="AC322" s="274" t="str">
        <f>IF(Table1[Item Description]="","",Table1[[#This Row],[h_hargasebelumdiskon]]-Table1[[#This Row],[h_diskon]])</f>
        <v/>
      </c>
      <c r="AD322" s="274" t="str">
        <f ca="1">IF(Table1[//]="","",SUMIF(Table1[h_id],Table1[h_id],Table1[h_hargasetelahdiskon]))</f>
        <v/>
      </c>
      <c r="AF322" s="274" t="str">
        <f>Table1[[#This Row],[Item Description]]&amp;Table1[[#This Row],[Unit]]&amp;Table1[[#This Row],[Unit Price]]</f>
        <v/>
      </c>
      <c r="AG322" s="3"/>
      <c r="AH322" s="3"/>
      <c r="AI322" s="3"/>
    </row>
    <row r="323" spans="1:35" x14ac:dyDescent="0.25">
      <c r="A323" s="278" t="str">
        <f ca="1">IF(Table1[[#This Row],[No. Invoice :]]="","",ROW())</f>
        <v/>
      </c>
      <c r="B323" s="278" t="str">
        <f ca="1">IF(Table1[Column3]="","",B$1+COUNT(INDIRECT("B$2:B"&amp;ROW()-1)))</f>
        <v/>
      </c>
      <c r="C323" s="272" t="str">
        <f>IF(Table1[[#This Row],[Column2]]="","",Table1[[#This Row],[Column2]]+C$1-1)</f>
        <v/>
      </c>
      <c r="E323" s="273"/>
      <c r="F323" s="271"/>
      <c r="G323" s="278" t="str">
        <f ca="1">IF(Table1[[#This Row],[h_No. Invoice :]]="","",CONCATENATE("AM"," ",Table1[[#This Row],[h_No. Invoice :]]))</f>
        <v/>
      </c>
      <c r="H323" s="271" t="str">
        <f>IF(Table1[[#This Row],[Column5]]="","",INDEX(Table2[Column1],MATCH(Table1[[#This Row],[Column5]],Table2[a],0)))</f>
        <v/>
      </c>
      <c r="I323" s="279" t="str">
        <f>IF(Table1[[#This Row],[Column3]]=0,"",CONCATENATE(UPPER(Table1[[#This Row],[Column3]])," ",Table1[[#This Row],[Column4]]))</f>
        <v xml:space="preserve"> </v>
      </c>
      <c r="J323" s="278" t="str">
        <f>IF(Table1[[#This Row],[Column5]]="","",INDEX(Table2[e],IF(Table1[[#This Row],[Column5]]="","",MATCH(Table1[[#This Row],[Column5]],Table2[a],0)),))</f>
        <v/>
      </c>
      <c r="K323" s="271"/>
      <c r="L323" s="271"/>
      <c r="O323" s="278" t="str">
        <f>IF(Table1[[#This Row],[h_Item Description]]="","",INDEX([1]!db[NB PAJAK],MATCH(Table1[[#This Row],[h_Item Description]],[1]!db[kode],0)))</f>
        <v/>
      </c>
      <c r="Q323" s="274"/>
      <c r="R323" s="275"/>
      <c r="S323" s="275"/>
      <c r="T323" s="274" t="str">
        <f>Table1[[#This Row],[h_hargasetelahdiskon]]</f>
        <v/>
      </c>
      <c r="V323" s="271"/>
      <c r="W323" s="278" t="str">
        <f ca="1">IF(Table1[[#This Row],[Item Description]]="","",IF(Table1[[#This Row],[//]]="",INDIRECT(ADDRESS(ROW()-1,COLUMN())),Table1[[#This Row],[//]]))</f>
        <v/>
      </c>
      <c r="X323" s="278" t="str">
        <f ca="1">IF(Table1[[#This Row],[h_id]]="","",COUNTIF(Table1[h_id],Table1[[#This Row],[h_id]]))</f>
        <v/>
      </c>
      <c r="Y323" s="274" t="str">
        <f>IF(Table1[Item Description]="","",Table1[[#This Row],[Qty]]*Table1[[#This Row],[Unit Price]])</f>
        <v/>
      </c>
      <c r="Z323" s="274" t="str">
        <f>IF(Table1[[#This Row],[h_hargasebelumdiskon]]="","",IF(Table1[[#This Row],[Disc 1]]="",0,Table1[[#This Row],[h_hargasebelumdiskon]]*Table1[[#This Row],[Disc 1]]))</f>
        <v/>
      </c>
      <c r="AA323" s="274" t="str">
        <f>IF(Table1[[#This Row],[h_hargasebelumdiskon]]="","",IF(Table1[[#This Row],[Disc 2]]="",0,(Table1[[#This Row],[h_hargasebelumdiskon]]-Table1[[#This Row],[h_disc 1]])*Table1[[#This Row],[Disc 2]]))</f>
        <v/>
      </c>
      <c r="AB323" s="274" t="str">
        <f>IF(Table1[Item Description]="","",Table1[[#This Row],[h_disc 1]]+Table1[[#This Row],[h_disc 2]])</f>
        <v/>
      </c>
      <c r="AC323" s="274" t="str">
        <f>IF(Table1[Item Description]="","",Table1[[#This Row],[h_hargasebelumdiskon]]-Table1[[#This Row],[h_diskon]])</f>
        <v/>
      </c>
      <c r="AD323" s="274" t="str">
        <f ca="1">IF(Table1[//]="","",SUMIF(Table1[h_id],Table1[h_id],Table1[h_hargasetelahdiskon]))</f>
        <v/>
      </c>
      <c r="AF323" s="274" t="str">
        <f>Table1[[#This Row],[Item Description]]&amp;Table1[[#This Row],[Unit]]&amp;Table1[[#This Row],[Unit Price]]</f>
        <v/>
      </c>
      <c r="AG323" s="3"/>
      <c r="AH323" s="3"/>
      <c r="AI323" s="3"/>
    </row>
    <row r="324" spans="1:35" x14ac:dyDescent="0.25">
      <c r="A324" s="278" t="str">
        <f ca="1">IF(Table1[[#This Row],[No. Invoice :]]="","",ROW())</f>
        <v/>
      </c>
      <c r="B324" s="278" t="str">
        <f ca="1">IF(Table1[Column3]="","",B$1+COUNT(INDIRECT("B$2:B"&amp;ROW()-1)))</f>
        <v/>
      </c>
      <c r="C324" s="272" t="str">
        <f>IF(Table1[[#This Row],[Column2]]="","",Table1[[#This Row],[Column2]]+C$1-1)</f>
        <v/>
      </c>
      <c r="E324" s="273"/>
      <c r="F324" s="271"/>
      <c r="G324" s="278" t="str">
        <f ca="1">IF(Table1[[#This Row],[h_No. Invoice :]]="","",CONCATENATE("AM"," ",Table1[[#This Row],[h_No. Invoice :]]))</f>
        <v/>
      </c>
      <c r="H324" s="271" t="str">
        <f>IF(Table1[[#This Row],[Column5]]="","",INDEX(Table2[Column1],MATCH(Table1[[#This Row],[Column5]],Table2[a],0)))</f>
        <v/>
      </c>
      <c r="I324" s="279" t="str">
        <f>IF(Table1[[#This Row],[Column3]]=0,"",CONCATENATE(UPPER(Table1[[#This Row],[Column3]])," ",Table1[[#This Row],[Column4]]))</f>
        <v xml:space="preserve"> </v>
      </c>
      <c r="J324" s="278" t="str">
        <f>IF(Table1[[#This Row],[Column5]]="","",INDEX(Table2[e],IF(Table1[[#This Row],[Column5]]="","",MATCH(Table1[[#This Row],[Column5]],Table2[a],0)),))</f>
        <v/>
      </c>
      <c r="K324" s="271"/>
      <c r="L324" s="271"/>
      <c r="O324" s="278" t="str">
        <f>IF(Table1[[#This Row],[h_Item Description]]="","",INDEX([1]!db[NB PAJAK],MATCH(Table1[[#This Row],[h_Item Description]],[1]!db[kode],0)))</f>
        <v/>
      </c>
      <c r="Q324" s="274"/>
      <c r="R324" s="275"/>
      <c r="S324" s="275"/>
      <c r="T324" s="274" t="str">
        <f>Table1[[#This Row],[h_hargasetelahdiskon]]</f>
        <v/>
      </c>
      <c r="V324" s="271"/>
      <c r="W324" s="278" t="str">
        <f ca="1">IF(Table1[[#This Row],[Item Description]]="","",IF(Table1[[#This Row],[//]]="",INDIRECT(ADDRESS(ROW()-1,COLUMN())),Table1[[#This Row],[//]]))</f>
        <v/>
      </c>
      <c r="X324" s="278" t="str">
        <f ca="1">IF(Table1[[#This Row],[h_id]]="","",COUNTIF(Table1[h_id],Table1[[#This Row],[h_id]]))</f>
        <v/>
      </c>
      <c r="Y324" s="274" t="str">
        <f>IF(Table1[Item Description]="","",Table1[[#This Row],[Qty]]*Table1[[#This Row],[Unit Price]])</f>
        <v/>
      </c>
      <c r="Z324" s="274" t="str">
        <f>IF(Table1[[#This Row],[h_hargasebelumdiskon]]="","",IF(Table1[[#This Row],[Disc 1]]="",0,Table1[[#This Row],[h_hargasebelumdiskon]]*Table1[[#This Row],[Disc 1]]))</f>
        <v/>
      </c>
      <c r="AA324" s="274" t="str">
        <f>IF(Table1[[#This Row],[h_hargasebelumdiskon]]="","",IF(Table1[[#This Row],[Disc 2]]="",0,(Table1[[#This Row],[h_hargasebelumdiskon]]-Table1[[#This Row],[h_disc 1]])*Table1[[#This Row],[Disc 2]]))</f>
        <v/>
      </c>
      <c r="AB324" s="274" t="str">
        <f>IF(Table1[Item Description]="","",Table1[[#This Row],[h_disc 1]]+Table1[[#This Row],[h_disc 2]])</f>
        <v/>
      </c>
      <c r="AC324" s="274" t="str">
        <f>IF(Table1[Item Description]="","",Table1[[#This Row],[h_hargasebelumdiskon]]-Table1[[#This Row],[h_diskon]])</f>
        <v/>
      </c>
      <c r="AD324" s="274" t="str">
        <f ca="1">IF(Table1[//]="","",SUMIF(Table1[h_id],Table1[h_id],Table1[h_hargasetelahdiskon]))</f>
        <v/>
      </c>
      <c r="AF324" s="274" t="str">
        <f>Table1[[#This Row],[Item Description]]&amp;Table1[[#This Row],[Unit]]&amp;Table1[[#This Row],[Unit Price]]</f>
        <v/>
      </c>
      <c r="AG324" s="3"/>
      <c r="AH324" s="3"/>
      <c r="AI324" s="3"/>
    </row>
    <row r="325" spans="1:35" x14ac:dyDescent="0.25">
      <c r="A325" s="278" t="str">
        <f ca="1">IF(Table1[[#This Row],[No. Invoice :]]="","",ROW())</f>
        <v/>
      </c>
      <c r="B325" s="278" t="str">
        <f ca="1">IF(Table1[Column3]="","",B$1+COUNT(INDIRECT("B$2:B"&amp;ROW()-1)))</f>
        <v/>
      </c>
      <c r="C325" s="272" t="str">
        <f>IF(Table1[[#This Row],[Column2]]="","",Table1[[#This Row],[Column2]]+C$1-1)</f>
        <v/>
      </c>
      <c r="E325" s="273"/>
      <c r="F325" s="271"/>
      <c r="G325" s="278" t="str">
        <f ca="1">IF(Table1[[#This Row],[h_No. Invoice :]]="","",CONCATENATE("AM"," ",Table1[[#This Row],[h_No. Invoice :]]))</f>
        <v/>
      </c>
      <c r="H325" s="271" t="str">
        <f>IF(Table1[[#This Row],[Column5]]="","",INDEX(Table2[Column1],MATCH(Table1[[#This Row],[Column5]],Table2[a],0)))</f>
        <v/>
      </c>
      <c r="I325" s="279" t="str">
        <f>IF(Table1[[#This Row],[Column3]]=0,"",CONCATENATE(UPPER(Table1[[#This Row],[Column3]])," ",Table1[[#This Row],[Column4]]))</f>
        <v xml:space="preserve"> </v>
      </c>
      <c r="J325" s="278" t="str">
        <f>IF(Table1[[#This Row],[Column5]]="","",INDEX(Table2[e],IF(Table1[[#This Row],[Column5]]="","",MATCH(Table1[[#This Row],[Column5]],Table2[a],0)),))</f>
        <v/>
      </c>
      <c r="K325" s="271"/>
      <c r="L325" s="271"/>
      <c r="O325" s="278" t="str">
        <f>IF(Table1[[#This Row],[h_Item Description]]="","",INDEX([1]!db[NB PAJAK],MATCH(Table1[[#This Row],[h_Item Description]],[1]!db[kode],0)))</f>
        <v/>
      </c>
      <c r="Q325" s="274"/>
      <c r="R325" s="275"/>
      <c r="S325" s="275"/>
      <c r="T325" s="274" t="str">
        <f>Table1[[#This Row],[h_hargasetelahdiskon]]</f>
        <v/>
      </c>
      <c r="V325" s="271"/>
      <c r="W325" s="278" t="str">
        <f ca="1">IF(Table1[[#This Row],[Item Description]]="","",IF(Table1[[#This Row],[//]]="",INDIRECT(ADDRESS(ROW()-1,COLUMN())),Table1[[#This Row],[//]]))</f>
        <v/>
      </c>
      <c r="X325" s="278" t="str">
        <f ca="1">IF(Table1[[#This Row],[h_id]]="","",COUNTIF(Table1[h_id],Table1[[#This Row],[h_id]]))</f>
        <v/>
      </c>
      <c r="Y325" s="274" t="str">
        <f>IF(Table1[Item Description]="","",Table1[[#This Row],[Qty]]*Table1[[#This Row],[Unit Price]])</f>
        <v/>
      </c>
      <c r="Z325" s="274" t="str">
        <f>IF(Table1[[#This Row],[h_hargasebelumdiskon]]="","",IF(Table1[[#This Row],[Disc 1]]="",0,Table1[[#This Row],[h_hargasebelumdiskon]]*Table1[[#This Row],[Disc 1]]))</f>
        <v/>
      </c>
      <c r="AA325" s="274" t="str">
        <f>IF(Table1[[#This Row],[h_hargasebelumdiskon]]="","",IF(Table1[[#This Row],[Disc 2]]="",0,(Table1[[#This Row],[h_hargasebelumdiskon]]-Table1[[#This Row],[h_disc 1]])*Table1[[#This Row],[Disc 2]]))</f>
        <v/>
      </c>
      <c r="AB325" s="274" t="str">
        <f>IF(Table1[Item Description]="","",Table1[[#This Row],[h_disc 1]]+Table1[[#This Row],[h_disc 2]])</f>
        <v/>
      </c>
      <c r="AC325" s="274" t="str">
        <f>IF(Table1[Item Description]="","",Table1[[#This Row],[h_hargasebelumdiskon]]-Table1[[#This Row],[h_diskon]])</f>
        <v/>
      </c>
      <c r="AD325" s="274" t="str">
        <f ca="1">IF(Table1[//]="","",SUMIF(Table1[h_id],Table1[h_id],Table1[h_hargasetelahdiskon]))</f>
        <v/>
      </c>
      <c r="AF325" s="274" t="str">
        <f>Table1[[#This Row],[Item Description]]&amp;Table1[[#This Row],[Unit]]&amp;Table1[[#This Row],[Unit Price]]</f>
        <v/>
      </c>
      <c r="AG325" s="3"/>
      <c r="AH325" s="3"/>
      <c r="AI325" s="3"/>
    </row>
    <row r="326" spans="1:35" x14ac:dyDescent="0.25">
      <c r="A326" s="278" t="str">
        <f ca="1">IF(Table1[[#This Row],[No. Invoice :]]="","",ROW())</f>
        <v/>
      </c>
      <c r="B326" s="278" t="str">
        <f ca="1">IF(Table1[Column3]="","",B$1+COUNT(INDIRECT("B$2:B"&amp;ROW()-1)))</f>
        <v/>
      </c>
      <c r="C326" s="272" t="str">
        <f>IF(Table1[[#This Row],[Column2]]="","",Table1[[#This Row],[Column2]]+C$1-1)</f>
        <v/>
      </c>
      <c r="E326" s="273"/>
      <c r="F326" s="271"/>
      <c r="G326" s="278" t="str">
        <f ca="1">IF(Table1[[#This Row],[h_No. Invoice :]]="","",CONCATENATE("AM"," ",Table1[[#This Row],[h_No. Invoice :]]))</f>
        <v/>
      </c>
      <c r="H326" s="271" t="str">
        <f>IF(Table1[[#This Row],[Column5]]="","",INDEX(Table2[Column1],MATCH(Table1[[#This Row],[Column5]],Table2[a],0)))</f>
        <v/>
      </c>
      <c r="I326" s="279" t="str">
        <f>IF(Table1[[#This Row],[Column3]]=0,"",CONCATENATE(UPPER(Table1[[#This Row],[Column3]])," ",Table1[[#This Row],[Column4]]))</f>
        <v xml:space="preserve"> </v>
      </c>
      <c r="J326" s="278" t="str">
        <f>IF(Table1[[#This Row],[Column5]]="","",INDEX(Table2[e],IF(Table1[[#This Row],[Column5]]="","",MATCH(Table1[[#This Row],[Column5]],Table2[a],0)),))</f>
        <v/>
      </c>
      <c r="K326" s="271"/>
      <c r="L326" s="271"/>
      <c r="O326" s="278" t="str">
        <f>IF(Table1[[#This Row],[h_Item Description]]="","",INDEX([1]!db[NB PAJAK],MATCH(Table1[[#This Row],[h_Item Description]],[1]!db[kode],0)))</f>
        <v/>
      </c>
      <c r="Q326" s="274"/>
      <c r="R326" s="275"/>
      <c r="S326" s="275"/>
      <c r="T326" s="274" t="str">
        <f>Table1[[#This Row],[h_hargasetelahdiskon]]</f>
        <v/>
      </c>
      <c r="V326" s="271"/>
      <c r="W326" s="278" t="str">
        <f ca="1">IF(Table1[[#This Row],[Item Description]]="","",IF(Table1[[#This Row],[//]]="",INDIRECT(ADDRESS(ROW()-1,COLUMN())),Table1[[#This Row],[//]]))</f>
        <v/>
      </c>
      <c r="X326" s="278" t="str">
        <f ca="1">IF(Table1[[#This Row],[h_id]]="","",COUNTIF(Table1[h_id],Table1[[#This Row],[h_id]]))</f>
        <v/>
      </c>
      <c r="Y326" s="274" t="str">
        <f>IF(Table1[Item Description]="","",Table1[[#This Row],[Qty]]*Table1[[#This Row],[Unit Price]])</f>
        <v/>
      </c>
      <c r="Z326" s="274" t="str">
        <f>IF(Table1[[#This Row],[h_hargasebelumdiskon]]="","",IF(Table1[[#This Row],[Disc 1]]="",0,Table1[[#This Row],[h_hargasebelumdiskon]]*Table1[[#This Row],[Disc 1]]))</f>
        <v/>
      </c>
      <c r="AA326" s="274" t="str">
        <f>IF(Table1[[#This Row],[h_hargasebelumdiskon]]="","",IF(Table1[[#This Row],[Disc 2]]="",0,(Table1[[#This Row],[h_hargasebelumdiskon]]-Table1[[#This Row],[h_disc 1]])*Table1[[#This Row],[Disc 2]]))</f>
        <v/>
      </c>
      <c r="AB326" s="274" t="str">
        <f>IF(Table1[Item Description]="","",Table1[[#This Row],[h_disc 1]]+Table1[[#This Row],[h_disc 2]])</f>
        <v/>
      </c>
      <c r="AC326" s="274" t="str">
        <f>IF(Table1[Item Description]="","",Table1[[#This Row],[h_hargasebelumdiskon]]-Table1[[#This Row],[h_diskon]])</f>
        <v/>
      </c>
      <c r="AD326" s="274" t="str">
        <f ca="1">IF(Table1[//]="","",SUMIF(Table1[h_id],Table1[h_id],Table1[h_hargasetelahdiskon]))</f>
        <v/>
      </c>
      <c r="AF326" s="274" t="str">
        <f>Table1[[#This Row],[Item Description]]&amp;Table1[[#This Row],[Unit]]&amp;Table1[[#This Row],[Unit Price]]</f>
        <v/>
      </c>
      <c r="AG326" s="3"/>
      <c r="AH326" s="3"/>
      <c r="AI326" s="3"/>
    </row>
    <row r="327" spans="1:35" x14ac:dyDescent="0.25">
      <c r="A327" s="278" t="str">
        <f ca="1">IF(Table1[[#This Row],[No. Invoice :]]="","",ROW())</f>
        <v/>
      </c>
      <c r="B327" s="278" t="str">
        <f ca="1">IF(Table1[Column3]="","",B$1+COUNT(INDIRECT("B$2:B"&amp;ROW()-1)))</f>
        <v/>
      </c>
      <c r="C327" s="272" t="str">
        <f>IF(Table1[[#This Row],[Column2]]="","",Table1[[#This Row],[Column2]]+C$1-1)</f>
        <v/>
      </c>
      <c r="E327" s="273"/>
      <c r="F327" s="271"/>
      <c r="G327" s="278" t="str">
        <f ca="1">IF(Table1[[#This Row],[h_No. Invoice :]]="","",CONCATENATE("AM"," ",Table1[[#This Row],[h_No. Invoice :]]))</f>
        <v/>
      </c>
      <c r="H327" s="271" t="str">
        <f>IF(Table1[[#This Row],[Column5]]="","",INDEX(Table2[Column1],MATCH(Table1[[#This Row],[Column5]],Table2[a],0)))</f>
        <v/>
      </c>
      <c r="I327" s="279" t="str">
        <f>IF(Table1[[#This Row],[Column3]]=0,"",CONCATENATE(UPPER(Table1[[#This Row],[Column3]])," ",Table1[[#This Row],[Column4]]))</f>
        <v xml:space="preserve"> </v>
      </c>
      <c r="J327" s="278" t="str">
        <f>IF(Table1[[#This Row],[Column5]]="","",INDEX(Table2[e],IF(Table1[[#This Row],[Column5]]="","",MATCH(Table1[[#This Row],[Column5]],Table2[a],0)),))</f>
        <v/>
      </c>
      <c r="K327" s="271"/>
      <c r="L327" s="271"/>
      <c r="O327" s="278" t="str">
        <f>IF(Table1[[#This Row],[h_Item Description]]="","",INDEX([1]!db[NB PAJAK],MATCH(Table1[[#This Row],[h_Item Description]],[1]!db[kode],0)))</f>
        <v/>
      </c>
      <c r="Q327" s="274"/>
      <c r="R327" s="275"/>
      <c r="S327" s="275"/>
      <c r="T327" s="274" t="str">
        <f>Table1[[#This Row],[h_hargasetelahdiskon]]</f>
        <v/>
      </c>
      <c r="V327" s="271"/>
      <c r="W327" s="278" t="str">
        <f ca="1">IF(Table1[[#This Row],[Item Description]]="","",IF(Table1[[#This Row],[//]]="",INDIRECT(ADDRESS(ROW()-1,COLUMN())),Table1[[#This Row],[//]]))</f>
        <v/>
      </c>
      <c r="X327" s="278" t="str">
        <f ca="1">IF(Table1[[#This Row],[h_id]]="","",COUNTIF(Table1[h_id],Table1[[#This Row],[h_id]]))</f>
        <v/>
      </c>
      <c r="Y327" s="274" t="str">
        <f>IF(Table1[Item Description]="","",Table1[[#This Row],[Qty]]*Table1[[#This Row],[Unit Price]])</f>
        <v/>
      </c>
      <c r="Z327" s="274" t="str">
        <f>IF(Table1[[#This Row],[h_hargasebelumdiskon]]="","",IF(Table1[[#This Row],[Disc 1]]="",0,Table1[[#This Row],[h_hargasebelumdiskon]]*Table1[[#This Row],[Disc 1]]))</f>
        <v/>
      </c>
      <c r="AA327" s="274" t="str">
        <f>IF(Table1[[#This Row],[h_hargasebelumdiskon]]="","",IF(Table1[[#This Row],[Disc 2]]="",0,(Table1[[#This Row],[h_hargasebelumdiskon]]-Table1[[#This Row],[h_disc 1]])*Table1[[#This Row],[Disc 2]]))</f>
        <v/>
      </c>
      <c r="AB327" s="274" t="str">
        <f>IF(Table1[Item Description]="","",Table1[[#This Row],[h_disc 1]]+Table1[[#This Row],[h_disc 2]])</f>
        <v/>
      </c>
      <c r="AC327" s="274" t="str">
        <f>IF(Table1[Item Description]="","",Table1[[#This Row],[h_hargasebelumdiskon]]-Table1[[#This Row],[h_diskon]])</f>
        <v/>
      </c>
      <c r="AD327" s="274" t="str">
        <f ca="1">IF(Table1[//]="","",SUMIF(Table1[h_id],Table1[h_id],Table1[h_hargasetelahdiskon]))</f>
        <v/>
      </c>
      <c r="AF327" s="274" t="str">
        <f>Table1[[#This Row],[Item Description]]&amp;Table1[[#This Row],[Unit]]&amp;Table1[[#This Row],[Unit Price]]</f>
        <v/>
      </c>
      <c r="AG327" s="3"/>
      <c r="AH327" s="3"/>
      <c r="AI327" s="3"/>
    </row>
    <row r="328" spans="1:35" x14ac:dyDescent="0.25">
      <c r="A328" s="278" t="str">
        <f ca="1">IF(Table1[[#This Row],[No. Invoice :]]="","",ROW())</f>
        <v/>
      </c>
      <c r="B328" s="278" t="str">
        <f ca="1">IF(Table1[Column3]="","",B$1+COUNT(INDIRECT("B$2:B"&amp;ROW()-1)))</f>
        <v/>
      </c>
      <c r="C328" s="272" t="str">
        <f>IF(Table1[[#This Row],[Column2]]="","",Table1[[#This Row],[Column2]]+C$1-1)</f>
        <v/>
      </c>
      <c r="E328" s="273"/>
      <c r="F328" s="271"/>
      <c r="G328" s="278" t="str">
        <f ca="1">IF(Table1[[#This Row],[h_No. Invoice :]]="","",CONCATENATE("AM"," ",Table1[[#This Row],[h_No. Invoice :]]))</f>
        <v/>
      </c>
      <c r="H328" s="271" t="str">
        <f>IF(Table1[[#This Row],[Column5]]="","",INDEX(Table2[Column1],MATCH(Table1[[#This Row],[Column5]],Table2[a],0)))</f>
        <v/>
      </c>
      <c r="I328" s="279" t="str">
        <f>IF(Table1[[#This Row],[Column3]]=0,"",CONCATENATE(UPPER(Table1[[#This Row],[Column3]])," ",Table1[[#This Row],[Column4]]))</f>
        <v xml:space="preserve"> </v>
      </c>
      <c r="J328" s="278" t="str">
        <f>IF(Table1[[#This Row],[Column5]]="","",INDEX(Table2[e],IF(Table1[[#This Row],[Column5]]="","",MATCH(Table1[[#This Row],[Column5]],Table2[a],0)),))</f>
        <v/>
      </c>
      <c r="K328" s="271"/>
      <c r="L328" s="271"/>
      <c r="O328" s="278" t="str">
        <f>IF(Table1[[#This Row],[h_Item Description]]="","",INDEX([1]!db[NB PAJAK],MATCH(Table1[[#This Row],[h_Item Description]],[1]!db[kode],0)))</f>
        <v/>
      </c>
      <c r="Q328" s="274"/>
      <c r="R328" s="275"/>
      <c r="S328" s="275"/>
      <c r="T328" s="274" t="str">
        <f>Table1[[#This Row],[h_hargasetelahdiskon]]</f>
        <v/>
      </c>
      <c r="V328" s="271"/>
      <c r="W328" s="278" t="str">
        <f ca="1">IF(Table1[[#This Row],[Item Description]]="","",IF(Table1[[#This Row],[//]]="",INDIRECT(ADDRESS(ROW()-1,COLUMN())),Table1[[#This Row],[//]]))</f>
        <v/>
      </c>
      <c r="X328" s="278" t="str">
        <f ca="1">IF(Table1[[#This Row],[h_id]]="","",COUNTIF(Table1[h_id],Table1[[#This Row],[h_id]]))</f>
        <v/>
      </c>
      <c r="Y328" s="274" t="str">
        <f>IF(Table1[Item Description]="","",Table1[[#This Row],[Qty]]*Table1[[#This Row],[Unit Price]])</f>
        <v/>
      </c>
      <c r="Z328" s="274" t="str">
        <f>IF(Table1[[#This Row],[h_hargasebelumdiskon]]="","",IF(Table1[[#This Row],[Disc 1]]="",0,Table1[[#This Row],[h_hargasebelumdiskon]]*Table1[[#This Row],[Disc 1]]))</f>
        <v/>
      </c>
      <c r="AA328" s="274" t="str">
        <f>IF(Table1[[#This Row],[h_hargasebelumdiskon]]="","",IF(Table1[[#This Row],[Disc 2]]="",0,(Table1[[#This Row],[h_hargasebelumdiskon]]-Table1[[#This Row],[h_disc 1]])*Table1[[#This Row],[Disc 2]]))</f>
        <v/>
      </c>
      <c r="AB328" s="274" t="str">
        <f>IF(Table1[Item Description]="","",Table1[[#This Row],[h_disc 1]]+Table1[[#This Row],[h_disc 2]])</f>
        <v/>
      </c>
      <c r="AC328" s="274" t="str">
        <f>IF(Table1[Item Description]="","",Table1[[#This Row],[h_hargasebelumdiskon]]-Table1[[#This Row],[h_diskon]])</f>
        <v/>
      </c>
      <c r="AD328" s="274" t="str">
        <f ca="1">IF(Table1[//]="","",SUMIF(Table1[h_id],Table1[h_id],Table1[h_hargasetelahdiskon]))</f>
        <v/>
      </c>
      <c r="AF328" s="274" t="str">
        <f>Table1[[#This Row],[Item Description]]&amp;Table1[[#This Row],[Unit]]&amp;Table1[[#This Row],[Unit Price]]</f>
        <v/>
      </c>
      <c r="AG328" s="3"/>
      <c r="AH328" s="3"/>
      <c r="AI328" s="3"/>
    </row>
    <row r="329" spans="1:35" x14ac:dyDescent="0.25">
      <c r="A329" s="278" t="str">
        <f ca="1">IF(Table1[[#This Row],[No. Invoice :]]="","",ROW())</f>
        <v/>
      </c>
      <c r="B329" s="278" t="str">
        <f ca="1">IF(Table1[Column3]="","",B$1+COUNT(INDIRECT("B$2:B"&amp;ROW()-1)))</f>
        <v/>
      </c>
      <c r="C329" s="272" t="str">
        <f>IF(Table1[[#This Row],[Column2]]="","",Table1[[#This Row],[Column2]]+C$1-1)</f>
        <v/>
      </c>
      <c r="E329" s="273"/>
      <c r="F329" s="271"/>
      <c r="G329" s="278" t="str">
        <f ca="1">IF(Table1[[#This Row],[h_No. Invoice :]]="","",CONCATENATE("AM"," ",Table1[[#This Row],[h_No. Invoice :]]))</f>
        <v/>
      </c>
      <c r="H329" s="271" t="str">
        <f>IF(Table1[[#This Row],[Column5]]="","",INDEX(Table2[Column1],MATCH(Table1[[#This Row],[Column5]],Table2[a],0)))</f>
        <v/>
      </c>
      <c r="I329" s="279" t="str">
        <f>IF(Table1[[#This Row],[Column3]]=0,"",CONCATENATE(UPPER(Table1[[#This Row],[Column3]])," ",Table1[[#This Row],[Column4]]))</f>
        <v xml:space="preserve"> </v>
      </c>
      <c r="J329" s="278" t="str">
        <f>IF(Table1[[#This Row],[Column5]]="","",INDEX(Table2[e],IF(Table1[[#This Row],[Column5]]="","",MATCH(Table1[[#This Row],[Column5]],Table2[a],0)),))</f>
        <v/>
      </c>
      <c r="K329" s="271"/>
      <c r="L329" s="271"/>
      <c r="O329" s="278" t="str">
        <f>IF(Table1[[#This Row],[h_Item Description]]="","",INDEX([1]!db[NB PAJAK],MATCH(Table1[[#This Row],[h_Item Description]],[1]!db[kode],0)))</f>
        <v/>
      </c>
      <c r="Q329" s="274"/>
      <c r="R329" s="275"/>
      <c r="S329" s="275"/>
      <c r="T329" s="274" t="str">
        <f>Table1[[#This Row],[h_hargasetelahdiskon]]</f>
        <v/>
      </c>
      <c r="V329" s="271"/>
      <c r="W329" s="278" t="str">
        <f ca="1">IF(Table1[[#This Row],[Item Description]]="","",IF(Table1[[#This Row],[//]]="",INDIRECT(ADDRESS(ROW()-1,COLUMN())),Table1[[#This Row],[//]]))</f>
        <v/>
      </c>
      <c r="X329" s="278" t="str">
        <f ca="1">IF(Table1[[#This Row],[h_id]]="","",COUNTIF(Table1[h_id],Table1[[#This Row],[h_id]]))</f>
        <v/>
      </c>
      <c r="Y329" s="274" t="str">
        <f>IF(Table1[Item Description]="","",Table1[[#This Row],[Qty]]*Table1[[#This Row],[Unit Price]])</f>
        <v/>
      </c>
      <c r="Z329" s="274" t="str">
        <f>IF(Table1[[#This Row],[h_hargasebelumdiskon]]="","",IF(Table1[[#This Row],[Disc 1]]="",0,Table1[[#This Row],[h_hargasebelumdiskon]]*Table1[[#This Row],[Disc 1]]))</f>
        <v/>
      </c>
      <c r="AA329" s="274" t="str">
        <f>IF(Table1[[#This Row],[h_hargasebelumdiskon]]="","",IF(Table1[[#This Row],[Disc 2]]="",0,(Table1[[#This Row],[h_hargasebelumdiskon]]-Table1[[#This Row],[h_disc 1]])*Table1[[#This Row],[Disc 2]]))</f>
        <v/>
      </c>
      <c r="AB329" s="274" t="str">
        <f>IF(Table1[Item Description]="","",Table1[[#This Row],[h_disc 1]]+Table1[[#This Row],[h_disc 2]])</f>
        <v/>
      </c>
      <c r="AC329" s="274" t="str">
        <f>IF(Table1[Item Description]="","",Table1[[#This Row],[h_hargasebelumdiskon]]-Table1[[#This Row],[h_diskon]])</f>
        <v/>
      </c>
      <c r="AD329" s="274" t="str">
        <f ca="1">IF(Table1[//]="","",SUMIF(Table1[h_id],Table1[h_id],Table1[h_hargasetelahdiskon]))</f>
        <v/>
      </c>
      <c r="AF329" s="274" t="str">
        <f>Table1[[#This Row],[Item Description]]&amp;Table1[[#This Row],[Unit]]&amp;Table1[[#This Row],[Unit Price]]</f>
        <v/>
      </c>
      <c r="AG329" s="3"/>
      <c r="AH329" s="3"/>
      <c r="AI329" s="3"/>
    </row>
    <row r="330" spans="1:35" x14ac:dyDescent="0.25">
      <c r="A330" s="278" t="str">
        <f ca="1">IF(Table1[[#This Row],[No. Invoice :]]="","",ROW())</f>
        <v/>
      </c>
      <c r="B330" s="278" t="str">
        <f ca="1">IF(Table1[Column3]="","",B$1+COUNT(INDIRECT("B$2:B"&amp;ROW()-1)))</f>
        <v/>
      </c>
      <c r="C330" s="272" t="str">
        <f>IF(Table1[[#This Row],[Column2]]="","",Table1[[#This Row],[Column2]]+C$1-1)</f>
        <v/>
      </c>
      <c r="E330" s="273"/>
      <c r="F330" s="271"/>
      <c r="G330" s="278" t="str">
        <f ca="1">IF(Table1[[#This Row],[h_No. Invoice :]]="","",CONCATENATE("AM"," ",Table1[[#This Row],[h_No. Invoice :]]))</f>
        <v/>
      </c>
      <c r="H330" s="271" t="str">
        <f>IF(Table1[[#This Row],[Column5]]="","",INDEX(Table2[Column1],MATCH(Table1[[#This Row],[Column5]],Table2[a],0)))</f>
        <v/>
      </c>
      <c r="I330" s="279" t="str">
        <f>IF(Table1[[#This Row],[Column3]]=0,"",CONCATENATE(UPPER(Table1[[#This Row],[Column3]])," ",Table1[[#This Row],[Column4]]))</f>
        <v xml:space="preserve"> </v>
      </c>
      <c r="J330" s="278" t="str">
        <f>IF(Table1[[#This Row],[Column5]]="","",INDEX(Table2[e],IF(Table1[[#This Row],[Column5]]="","",MATCH(Table1[[#This Row],[Column5]],Table2[a],0)),))</f>
        <v/>
      </c>
      <c r="K330" s="271"/>
      <c r="L330" s="271"/>
      <c r="O330" s="278" t="str">
        <f>IF(Table1[[#This Row],[h_Item Description]]="","",INDEX([1]!db[NB PAJAK],MATCH(Table1[[#This Row],[h_Item Description]],[1]!db[kode],0)))</f>
        <v/>
      </c>
      <c r="Q330" s="274"/>
      <c r="R330" s="275"/>
      <c r="S330" s="275"/>
      <c r="T330" s="274" t="str">
        <f>Table1[[#This Row],[h_hargasetelahdiskon]]</f>
        <v/>
      </c>
      <c r="V330" s="271"/>
      <c r="W330" s="278" t="str">
        <f ca="1">IF(Table1[[#This Row],[Item Description]]="","",IF(Table1[[#This Row],[//]]="",INDIRECT(ADDRESS(ROW()-1,COLUMN())),Table1[[#This Row],[//]]))</f>
        <v/>
      </c>
      <c r="X330" s="278" t="str">
        <f ca="1">IF(Table1[[#This Row],[h_id]]="","",COUNTIF(Table1[h_id],Table1[[#This Row],[h_id]]))</f>
        <v/>
      </c>
      <c r="Y330" s="274" t="str">
        <f>IF(Table1[Item Description]="","",Table1[[#This Row],[Qty]]*Table1[[#This Row],[Unit Price]])</f>
        <v/>
      </c>
      <c r="Z330" s="274" t="str">
        <f>IF(Table1[[#This Row],[h_hargasebelumdiskon]]="","",IF(Table1[[#This Row],[Disc 1]]="",0,Table1[[#This Row],[h_hargasebelumdiskon]]*Table1[[#This Row],[Disc 1]]))</f>
        <v/>
      </c>
      <c r="AA330" s="274" t="str">
        <f>IF(Table1[[#This Row],[h_hargasebelumdiskon]]="","",IF(Table1[[#This Row],[Disc 2]]="",0,(Table1[[#This Row],[h_hargasebelumdiskon]]-Table1[[#This Row],[h_disc 1]])*Table1[[#This Row],[Disc 2]]))</f>
        <v/>
      </c>
      <c r="AB330" s="274" t="str">
        <f>IF(Table1[Item Description]="","",Table1[[#This Row],[h_disc 1]]+Table1[[#This Row],[h_disc 2]])</f>
        <v/>
      </c>
      <c r="AC330" s="274" t="str">
        <f>IF(Table1[Item Description]="","",Table1[[#This Row],[h_hargasebelumdiskon]]-Table1[[#This Row],[h_diskon]])</f>
        <v/>
      </c>
      <c r="AD330" s="274" t="str">
        <f ca="1">IF(Table1[//]="","",SUMIF(Table1[h_id],Table1[h_id],Table1[h_hargasetelahdiskon]))</f>
        <v/>
      </c>
      <c r="AF330" s="274" t="str">
        <f>Table1[[#This Row],[Item Description]]&amp;Table1[[#This Row],[Unit]]&amp;Table1[[#This Row],[Unit Price]]</f>
        <v/>
      </c>
      <c r="AG330" s="3"/>
      <c r="AH330" s="3"/>
      <c r="AI330" s="3"/>
    </row>
    <row r="331" spans="1:35" x14ac:dyDescent="0.25">
      <c r="A331" s="278" t="str">
        <f ca="1">IF(Table1[[#This Row],[No. Invoice :]]="","",ROW())</f>
        <v/>
      </c>
      <c r="B331" s="278" t="str">
        <f ca="1">IF(Table1[Column3]="","",B$1+COUNT(INDIRECT("B$2:B"&amp;ROW()-1)))</f>
        <v/>
      </c>
      <c r="C331" s="272" t="str">
        <f>IF(Table1[[#This Row],[Column2]]="","",Table1[[#This Row],[Column2]]+C$1-1)</f>
        <v/>
      </c>
      <c r="E331" s="273"/>
      <c r="F331" s="271"/>
      <c r="G331" s="278" t="str">
        <f ca="1">IF(Table1[[#This Row],[h_No. Invoice :]]="","",CONCATENATE("AM"," ",Table1[[#This Row],[h_No. Invoice :]]))</f>
        <v/>
      </c>
      <c r="H331" s="271" t="str">
        <f>IF(Table1[[#This Row],[Column5]]="","",INDEX(Table2[Column1],MATCH(Table1[[#This Row],[Column5]],Table2[a],0)))</f>
        <v/>
      </c>
      <c r="I331" s="279" t="str">
        <f>IF(Table1[[#This Row],[Column3]]=0,"",CONCATENATE(UPPER(Table1[[#This Row],[Column3]])," ",Table1[[#This Row],[Column4]]))</f>
        <v xml:space="preserve"> </v>
      </c>
      <c r="J331" s="278" t="str">
        <f>IF(Table1[[#This Row],[Column5]]="","",INDEX(Table2[e],IF(Table1[[#This Row],[Column5]]="","",MATCH(Table1[[#This Row],[Column5]],Table2[a],0)),))</f>
        <v/>
      </c>
      <c r="K331" s="271"/>
      <c r="L331" s="271"/>
      <c r="O331" s="278" t="str">
        <f>IF(Table1[[#This Row],[h_Item Description]]="","",INDEX([1]!db[NB PAJAK],MATCH(Table1[[#This Row],[h_Item Description]],[1]!db[kode],0)))</f>
        <v/>
      </c>
      <c r="Q331" s="274"/>
      <c r="R331" s="275"/>
      <c r="S331" s="275"/>
      <c r="T331" s="274" t="str">
        <f>Table1[[#This Row],[h_hargasetelahdiskon]]</f>
        <v/>
      </c>
      <c r="V331" s="271"/>
      <c r="W331" s="278" t="str">
        <f ca="1">IF(Table1[[#This Row],[Item Description]]="","",IF(Table1[[#This Row],[//]]="",INDIRECT(ADDRESS(ROW()-1,COLUMN())),Table1[[#This Row],[//]]))</f>
        <v/>
      </c>
      <c r="X331" s="278" t="str">
        <f ca="1">IF(Table1[[#This Row],[h_id]]="","",COUNTIF(Table1[h_id],Table1[[#This Row],[h_id]]))</f>
        <v/>
      </c>
      <c r="Y331" s="274" t="str">
        <f>IF(Table1[Item Description]="","",Table1[[#This Row],[Qty]]*Table1[[#This Row],[Unit Price]])</f>
        <v/>
      </c>
      <c r="Z331" s="274" t="str">
        <f>IF(Table1[[#This Row],[h_hargasebelumdiskon]]="","",IF(Table1[[#This Row],[Disc 1]]="",0,Table1[[#This Row],[h_hargasebelumdiskon]]*Table1[[#This Row],[Disc 1]]))</f>
        <v/>
      </c>
      <c r="AA331" s="274" t="str">
        <f>IF(Table1[[#This Row],[h_hargasebelumdiskon]]="","",IF(Table1[[#This Row],[Disc 2]]="",0,(Table1[[#This Row],[h_hargasebelumdiskon]]-Table1[[#This Row],[h_disc 1]])*Table1[[#This Row],[Disc 2]]))</f>
        <v/>
      </c>
      <c r="AB331" s="274" t="str">
        <f>IF(Table1[Item Description]="","",Table1[[#This Row],[h_disc 1]]+Table1[[#This Row],[h_disc 2]])</f>
        <v/>
      </c>
      <c r="AC331" s="274" t="str">
        <f>IF(Table1[Item Description]="","",Table1[[#This Row],[h_hargasebelumdiskon]]-Table1[[#This Row],[h_diskon]])</f>
        <v/>
      </c>
      <c r="AD331" s="274" t="str">
        <f ca="1">IF(Table1[//]="","",SUMIF(Table1[h_id],Table1[h_id],Table1[h_hargasetelahdiskon]))</f>
        <v/>
      </c>
      <c r="AF331" s="274" t="str">
        <f>Table1[[#This Row],[Item Description]]&amp;Table1[[#This Row],[Unit]]&amp;Table1[[#This Row],[Unit Price]]</f>
        <v/>
      </c>
      <c r="AG331" s="3"/>
      <c r="AH331" s="3"/>
      <c r="AI331" s="3"/>
    </row>
    <row r="332" spans="1:35" x14ac:dyDescent="0.25">
      <c r="A332" s="278" t="str">
        <f ca="1">IF(Table1[[#This Row],[No. Invoice :]]="","",ROW())</f>
        <v/>
      </c>
      <c r="B332" s="278" t="str">
        <f ca="1">IF(Table1[Column3]="","",B$1+COUNT(INDIRECT("B$2:B"&amp;ROW()-1)))</f>
        <v/>
      </c>
      <c r="C332" s="272" t="str">
        <f>IF(Table1[[#This Row],[Column2]]="","",Table1[[#This Row],[Column2]]+C$1-1)</f>
        <v/>
      </c>
      <c r="E332" s="273"/>
      <c r="F332" s="271"/>
      <c r="G332" s="278" t="str">
        <f ca="1">IF(Table1[[#This Row],[h_No. Invoice :]]="","",CONCATENATE("AM"," ",Table1[[#This Row],[h_No. Invoice :]]))</f>
        <v/>
      </c>
      <c r="H332" s="271" t="str">
        <f>IF(Table1[[#This Row],[Column5]]="","",INDEX(Table2[Column1],MATCH(Table1[[#This Row],[Column5]],Table2[a],0)))</f>
        <v/>
      </c>
      <c r="I332" s="279" t="str">
        <f>IF(Table1[[#This Row],[Column3]]=0,"",CONCATENATE(UPPER(Table1[[#This Row],[Column3]])," ",Table1[[#This Row],[Column4]]))</f>
        <v xml:space="preserve"> </v>
      </c>
      <c r="J332" s="278" t="str">
        <f>IF(Table1[[#This Row],[Column5]]="","",INDEX(Table2[e],IF(Table1[[#This Row],[Column5]]="","",MATCH(Table1[[#This Row],[Column5]],Table2[a],0)),))</f>
        <v/>
      </c>
      <c r="K332" s="271"/>
      <c r="L332" s="271"/>
      <c r="O332" s="278" t="str">
        <f>IF(Table1[[#This Row],[h_Item Description]]="","",INDEX([1]!db[NB PAJAK],MATCH(Table1[[#This Row],[h_Item Description]],[1]!db[kode],0)))</f>
        <v/>
      </c>
      <c r="Q332" s="274"/>
      <c r="R332" s="275"/>
      <c r="S332" s="275"/>
      <c r="T332" s="274" t="str">
        <f>Table1[[#This Row],[h_hargasetelahdiskon]]</f>
        <v/>
      </c>
      <c r="V332" s="271"/>
      <c r="W332" s="278" t="str">
        <f ca="1">IF(Table1[[#This Row],[Item Description]]="","",IF(Table1[[#This Row],[//]]="",INDIRECT(ADDRESS(ROW()-1,COLUMN())),Table1[[#This Row],[//]]))</f>
        <v/>
      </c>
      <c r="X332" s="278" t="str">
        <f ca="1">IF(Table1[[#This Row],[h_id]]="","",COUNTIF(Table1[h_id],Table1[[#This Row],[h_id]]))</f>
        <v/>
      </c>
      <c r="Y332" s="274" t="str">
        <f>IF(Table1[Item Description]="","",Table1[[#This Row],[Qty]]*Table1[[#This Row],[Unit Price]])</f>
        <v/>
      </c>
      <c r="Z332" s="274" t="str">
        <f>IF(Table1[[#This Row],[h_hargasebelumdiskon]]="","",IF(Table1[[#This Row],[Disc 1]]="",0,Table1[[#This Row],[h_hargasebelumdiskon]]*Table1[[#This Row],[Disc 1]]))</f>
        <v/>
      </c>
      <c r="AA332" s="274" t="str">
        <f>IF(Table1[[#This Row],[h_hargasebelumdiskon]]="","",IF(Table1[[#This Row],[Disc 2]]="",0,(Table1[[#This Row],[h_hargasebelumdiskon]]-Table1[[#This Row],[h_disc 1]])*Table1[[#This Row],[Disc 2]]))</f>
        <v/>
      </c>
      <c r="AB332" s="274" t="str">
        <f>IF(Table1[Item Description]="","",Table1[[#This Row],[h_disc 1]]+Table1[[#This Row],[h_disc 2]])</f>
        <v/>
      </c>
      <c r="AC332" s="274" t="str">
        <f>IF(Table1[Item Description]="","",Table1[[#This Row],[h_hargasebelumdiskon]]-Table1[[#This Row],[h_diskon]])</f>
        <v/>
      </c>
      <c r="AD332" s="274" t="str">
        <f ca="1">IF(Table1[//]="","",SUMIF(Table1[h_id],Table1[h_id],Table1[h_hargasetelahdiskon]))</f>
        <v/>
      </c>
      <c r="AF332" s="274" t="str">
        <f>Table1[[#This Row],[Item Description]]&amp;Table1[[#This Row],[Unit]]&amp;Table1[[#This Row],[Unit Price]]</f>
        <v/>
      </c>
      <c r="AG332" s="3"/>
      <c r="AH332" s="3"/>
      <c r="AI332" s="3"/>
    </row>
    <row r="333" spans="1:35" x14ac:dyDescent="0.25">
      <c r="A333" s="278" t="str">
        <f ca="1">IF(Table1[[#This Row],[No. Invoice :]]="","",ROW())</f>
        <v/>
      </c>
      <c r="B333" s="278" t="str">
        <f ca="1">IF(Table1[Column3]="","",B$1+COUNT(INDIRECT("B$2:B"&amp;ROW()-1)))</f>
        <v/>
      </c>
      <c r="C333" s="272" t="str">
        <f>IF(Table1[[#This Row],[Column2]]="","",Table1[[#This Row],[Column2]]+C$1-1)</f>
        <v/>
      </c>
      <c r="E333" s="273"/>
      <c r="F333" s="271"/>
      <c r="G333" s="278" t="str">
        <f ca="1">IF(Table1[[#This Row],[h_No. Invoice :]]="","",CONCATENATE("AM"," ",Table1[[#This Row],[h_No. Invoice :]]))</f>
        <v/>
      </c>
      <c r="H333" s="271" t="str">
        <f>IF(Table1[[#This Row],[Column5]]="","",INDEX(Table2[Column1],MATCH(Table1[[#This Row],[Column5]],Table2[a],0)))</f>
        <v/>
      </c>
      <c r="I333" s="279" t="str">
        <f>IF(Table1[[#This Row],[Column3]]=0,"",CONCATENATE(UPPER(Table1[[#This Row],[Column3]])," ",Table1[[#This Row],[Column4]]))</f>
        <v xml:space="preserve"> </v>
      </c>
      <c r="J333" s="278" t="str">
        <f>IF(Table1[[#This Row],[Column5]]="","",INDEX(Table2[e],IF(Table1[[#This Row],[Column5]]="","",MATCH(Table1[[#This Row],[Column5]],Table2[a],0)),))</f>
        <v/>
      </c>
      <c r="K333" s="271"/>
      <c r="L333" s="271"/>
      <c r="O333" s="278" t="str">
        <f>IF(Table1[[#This Row],[h_Item Description]]="","",INDEX([1]!db[NB PAJAK],MATCH(Table1[[#This Row],[h_Item Description]],[1]!db[kode],0)))</f>
        <v/>
      </c>
      <c r="Q333" s="274"/>
      <c r="R333" s="275"/>
      <c r="S333" s="275"/>
      <c r="T333" s="274" t="str">
        <f>Table1[[#This Row],[h_hargasetelahdiskon]]</f>
        <v/>
      </c>
      <c r="V333" s="271"/>
      <c r="W333" s="278" t="str">
        <f ca="1">IF(Table1[[#This Row],[Item Description]]="","",IF(Table1[[#This Row],[//]]="",INDIRECT(ADDRESS(ROW()-1,COLUMN())),Table1[[#This Row],[//]]))</f>
        <v/>
      </c>
      <c r="X333" s="278" t="str">
        <f ca="1">IF(Table1[[#This Row],[h_id]]="","",COUNTIF(Table1[h_id],Table1[[#This Row],[h_id]]))</f>
        <v/>
      </c>
      <c r="Y333" s="274" t="str">
        <f>IF(Table1[Item Description]="","",Table1[[#This Row],[Qty]]*Table1[[#This Row],[Unit Price]])</f>
        <v/>
      </c>
      <c r="Z333" s="274" t="str">
        <f>IF(Table1[[#This Row],[h_hargasebelumdiskon]]="","",IF(Table1[[#This Row],[Disc 1]]="",0,Table1[[#This Row],[h_hargasebelumdiskon]]*Table1[[#This Row],[Disc 1]]))</f>
        <v/>
      </c>
      <c r="AA333" s="274" t="str">
        <f>IF(Table1[[#This Row],[h_hargasebelumdiskon]]="","",IF(Table1[[#This Row],[Disc 2]]="",0,(Table1[[#This Row],[h_hargasebelumdiskon]]-Table1[[#This Row],[h_disc 1]])*Table1[[#This Row],[Disc 2]]))</f>
        <v/>
      </c>
      <c r="AB333" s="274" t="str">
        <f>IF(Table1[Item Description]="","",Table1[[#This Row],[h_disc 1]]+Table1[[#This Row],[h_disc 2]])</f>
        <v/>
      </c>
      <c r="AC333" s="274" t="str">
        <f>IF(Table1[Item Description]="","",Table1[[#This Row],[h_hargasebelumdiskon]]-Table1[[#This Row],[h_diskon]])</f>
        <v/>
      </c>
      <c r="AD333" s="274" t="str">
        <f ca="1">IF(Table1[//]="","",SUMIF(Table1[h_id],Table1[h_id],Table1[h_hargasetelahdiskon]))</f>
        <v/>
      </c>
      <c r="AF333" s="274" t="str">
        <f>Table1[[#This Row],[Item Description]]&amp;Table1[[#This Row],[Unit]]&amp;Table1[[#This Row],[Unit Price]]</f>
        <v/>
      </c>
      <c r="AG333" s="3"/>
      <c r="AH333" s="3"/>
      <c r="AI333" s="3"/>
    </row>
    <row r="334" spans="1:35" x14ac:dyDescent="0.25">
      <c r="A334" s="278" t="str">
        <f ca="1">IF(Table1[[#This Row],[No. Invoice :]]="","",ROW())</f>
        <v/>
      </c>
      <c r="B334" s="278" t="str">
        <f ca="1">IF(Table1[Column3]="","",B$1+COUNT(INDIRECT("B$2:B"&amp;ROW()-1)))</f>
        <v/>
      </c>
      <c r="C334" s="272" t="str">
        <f>IF(Table1[[#This Row],[Column2]]="","",Table1[[#This Row],[Column2]]+C$1-1)</f>
        <v/>
      </c>
      <c r="E334" s="273"/>
      <c r="F334" s="271"/>
      <c r="G334" s="278" t="str">
        <f ca="1">IF(Table1[[#This Row],[h_No. Invoice :]]="","",CONCATENATE("AM"," ",Table1[[#This Row],[h_No. Invoice :]]))</f>
        <v/>
      </c>
      <c r="H334" s="271" t="str">
        <f>IF(Table1[[#This Row],[Column5]]="","",INDEX(Table2[Column1],MATCH(Table1[[#This Row],[Column5]],Table2[a],0)))</f>
        <v/>
      </c>
      <c r="I334" s="279" t="str">
        <f>IF(Table1[[#This Row],[Column3]]=0,"",CONCATENATE(UPPER(Table1[[#This Row],[Column3]])," ",Table1[[#This Row],[Column4]]))</f>
        <v xml:space="preserve"> </v>
      </c>
      <c r="J334" s="278" t="str">
        <f>IF(Table1[[#This Row],[Column5]]="","",INDEX(Table2[e],IF(Table1[[#This Row],[Column5]]="","",MATCH(Table1[[#This Row],[Column5]],Table2[a],0)),))</f>
        <v/>
      </c>
      <c r="K334" s="271"/>
      <c r="L334" s="271"/>
      <c r="O334" s="278" t="str">
        <f>IF(Table1[[#This Row],[h_Item Description]]="","",INDEX([1]!db[NB PAJAK],MATCH(Table1[[#This Row],[h_Item Description]],[1]!db[kode],0)))</f>
        <v/>
      </c>
      <c r="Q334" s="274"/>
      <c r="R334" s="275"/>
      <c r="S334" s="275"/>
      <c r="T334" s="274" t="str">
        <f>Table1[[#This Row],[h_hargasetelahdiskon]]</f>
        <v/>
      </c>
      <c r="V334" s="271"/>
      <c r="W334" s="278" t="str">
        <f ca="1">IF(Table1[[#This Row],[Item Description]]="","",IF(Table1[[#This Row],[//]]="",INDIRECT(ADDRESS(ROW()-1,COLUMN())),Table1[[#This Row],[//]]))</f>
        <v/>
      </c>
      <c r="X334" s="278" t="str">
        <f ca="1">IF(Table1[[#This Row],[h_id]]="","",COUNTIF(Table1[h_id],Table1[[#This Row],[h_id]]))</f>
        <v/>
      </c>
      <c r="Y334" s="274" t="str">
        <f>IF(Table1[Item Description]="","",Table1[[#This Row],[Qty]]*Table1[[#This Row],[Unit Price]])</f>
        <v/>
      </c>
      <c r="Z334" s="274" t="str">
        <f>IF(Table1[[#This Row],[h_hargasebelumdiskon]]="","",IF(Table1[[#This Row],[Disc 1]]="",0,Table1[[#This Row],[h_hargasebelumdiskon]]*Table1[[#This Row],[Disc 1]]))</f>
        <v/>
      </c>
      <c r="AA334" s="274" t="str">
        <f>IF(Table1[[#This Row],[h_hargasebelumdiskon]]="","",IF(Table1[[#This Row],[Disc 2]]="",0,(Table1[[#This Row],[h_hargasebelumdiskon]]-Table1[[#This Row],[h_disc 1]])*Table1[[#This Row],[Disc 2]]))</f>
        <v/>
      </c>
      <c r="AB334" s="274" t="str">
        <f>IF(Table1[Item Description]="","",Table1[[#This Row],[h_disc 1]]+Table1[[#This Row],[h_disc 2]])</f>
        <v/>
      </c>
      <c r="AC334" s="274" t="str">
        <f>IF(Table1[Item Description]="","",Table1[[#This Row],[h_hargasebelumdiskon]]-Table1[[#This Row],[h_diskon]])</f>
        <v/>
      </c>
      <c r="AD334" s="274" t="str">
        <f ca="1">IF(Table1[//]="","",SUMIF(Table1[h_id],Table1[h_id],Table1[h_hargasetelahdiskon]))</f>
        <v/>
      </c>
      <c r="AF334" s="274" t="str">
        <f>Table1[[#This Row],[Item Description]]&amp;Table1[[#This Row],[Unit]]&amp;Table1[[#This Row],[Unit Price]]</f>
        <v/>
      </c>
      <c r="AG334" s="3"/>
      <c r="AH334" s="3"/>
      <c r="AI334" s="3"/>
    </row>
    <row r="335" spans="1:35" x14ac:dyDescent="0.25">
      <c r="A335" s="278" t="str">
        <f ca="1">IF(Table1[[#This Row],[No. Invoice :]]="","",ROW())</f>
        <v/>
      </c>
      <c r="B335" s="278" t="str">
        <f ca="1">IF(Table1[Column3]="","",B$1+COUNT(INDIRECT("B$2:B"&amp;ROW()-1)))</f>
        <v/>
      </c>
      <c r="C335" s="272" t="str">
        <f>IF(Table1[[#This Row],[Column2]]="","",Table1[[#This Row],[Column2]]+C$1-1)</f>
        <v/>
      </c>
      <c r="E335" s="273"/>
      <c r="F335" s="271"/>
      <c r="G335" s="278" t="str">
        <f ca="1">IF(Table1[[#This Row],[h_No. Invoice :]]="","",CONCATENATE("AM"," ",Table1[[#This Row],[h_No. Invoice :]]))</f>
        <v/>
      </c>
      <c r="H335" s="271" t="str">
        <f>IF(Table1[[#This Row],[Column5]]="","",INDEX(Table2[Column1],MATCH(Table1[[#This Row],[Column5]],Table2[a],0)))</f>
        <v/>
      </c>
      <c r="I335" s="279" t="str">
        <f>IF(Table1[[#This Row],[Column3]]=0,"",CONCATENATE(UPPER(Table1[[#This Row],[Column3]])," ",Table1[[#This Row],[Column4]]))</f>
        <v xml:space="preserve"> </v>
      </c>
      <c r="J335" s="278" t="str">
        <f>IF(Table1[[#This Row],[Column5]]="","",INDEX(Table2[e],IF(Table1[[#This Row],[Column5]]="","",MATCH(Table1[[#This Row],[Column5]],Table2[a],0)),))</f>
        <v/>
      </c>
      <c r="K335" s="271"/>
      <c r="L335" s="271"/>
      <c r="O335" s="278" t="str">
        <f>IF(Table1[[#This Row],[h_Item Description]]="","",INDEX([1]!db[NB PAJAK],MATCH(Table1[[#This Row],[h_Item Description]],[1]!db[kode],0)))</f>
        <v/>
      </c>
      <c r="Q335" s="274"/>
      <c r="R335" s="275"/>
      <c r="S335" s="275"/>
      <c r="T335" s="274" t="str">
        <f>Table1[[#This Row],[h_hargasetelahdiskon]]</f>
        <v/>
      </c>
      <c r="V335" s="271"/>
      <c r="W335" s="278" t="str">
        <f ca="1">IF(Table1[[#This Row],[Item Description]]="","",IF(Table1[[#This Row],[//]]="",INDIRECT(ADDRESS(ROW()-1,COLUMN())),Table1[[#This Row],[//]]))</f>
        <v/>
      </c>
      <c r="X335" s="278" t="str">
        <f ca="1">IF(Table1[[#This Row],[h_id]]="","",COUNTIF(Table1[h_id],Table1[[#This Row],[h_id]]))</f>
        <v/>
      </c>
      <c r="Y335" s="274" t="str">
        <f>IF(Table1[Item Description]="","",Table1[[#This Row],[Qty]]*Table1[[#This Row],[Unit Price]])</f>
        <v/>
      </c>
      <c r="Z335" s="274" t="str">
        <f>IF(Table1[[#This Row],[h_hargasebelumdiskon]]="","",IF(Table1[[#This Row],[Disc 1]]="",0,Table1[[#This Row],[h_hargasebelumdiskon]]*Table1[[#This Row],[Disc 1]]))</f>
        <v/>
      </c>
      <c r="AA335" s="274" t="str">
        <f>IF(Table1[[#This Row],[h_hargasebelumdiskon]]="","",IF(Table1[[#This Row],[Disc 2]]="",0,(Table1[[#This Row],[h_hargasebelumdiskon]]-Table1[[#This Row],[h_disc 1]])*Table1[[#This Row],[Disc 2]]))</f>
        <v/>
      </c>
      <c r="AB335" s="274" t="str">
        <f>IF(Table1[Item Description]="","",Table1[[#This Row],[h_disc 1]]+Table1[[#This Row],[h_disc 2]])</f>
        <v/>
      </c>
      <c r="AC335" s="274" t="str">
        <f>IF(Table1[Item Description]="","",Table1[[#This Row],[h_hargasebelumdiskon]]-Table1[[#This Row],[h_diskon]])</f>
        <v/>
      </c>
      <c r="AD335" s="274" t="str">
        <f ca="1">IF(Table1[//]="","",SUMIF(Table1[h_id],Table1[h_id],Table1[h_hargasetelahdiskon]))</f>
        <v/>
      </c>
      <c r="AF335" s="274" t="str">
        <f>Table1[[#This Row],[Item Description]]&amp;Table1[[#This Row],[Unit]]&amp;Table1[[#This Row],[Unit Price]]</f>
        <v/>
      </c>
      <c r="AG335" s="3"/>
      <c r="AH335" s="3"/>
      <c r="AI335" s="3"/>
    </row>
    <row r="336" spans="1:35" x14ac:dyDescent="0.25">
      <c r="A336" s="278" t="str">
        <f ca="1">IF(Table1[[#This Row],[No. Invoice :]]="","",ROW())</f>
        <v/>
      </c>
      <c r="B336" s="278" t="str">
        <f ca="1">IF(Table1[Column3]="","",B$1+COUNT(INDIRECT("B$2:B"&amp;ROW()-1)))</f>
        <v/>
      </c>
      <c r="C336" s="272" t="str">
        <f>IF(Table1[[#This Row],[Column2]]="","",Table1[[#This Row],[Column2]]+C$1-1)</f>
        <v/>
      </c>
      <c r="E336" s="273"/>
      <c r="F336" s="271"/>
      <c r="G336" s="278" t="str">
        <f ca="1">IF(Table1[[#This Row],[h_No. Invoice :]]="","",CONCATENATE("AM"," ",Table1[[#This Row],[h_No. Invoice :]]))</f>
        <v/>
      </c>
      <c r="H336" s="271" t="str">
        <f>IF(Table1[[#This Row],[Column5]]="","",INDEX(Table2[Column1],MATCH(Table1[[#This Row],[Column5]],Table2[a],0)))</f>
        <v/>
      </c>
      <c r="I336" s="279" t="str">
        <f>IF(Table1[[#This Row],[Column3]]=0,"",CONCATENATE(UPPER(Table1[[#This Row],[Column3]])," ",Table1[[#This Row],[Column4]]))</f>
        <v xml:space="preserve"> </v>
      </c>
      <c r="J336" s="278" t="str">
        <f>IF(Table1[[#This Row],[Column5]]="","",INDEX(Table2[e],IF(Table1[[#This Row],[Column5]]="","",MATCH(Table1[[#This Row],[Column5]],Table2[a],0)),))</f>
        <v/>
      </c>
      <c r="K336" s="271"/>
      <c r="L336" s="271"/>
      <c r="O336" s="278" t="str">
        <f>IF(Table1[[#This Row],[h_Item Description]]="","",INDEX([1]!db[NB PAJAK],MATCH(Table1[[#This Row],[h_Item Description]],[1]!db[kode],0)))</f>
        <v/>
      </c>
      <c r="Q336" s="274"/>
      <c r="R336" s="275"/>
      <c r="S336" s="275"/>
      <c r="T336" s="274" t="str">
        <f>Table1[[#This Row],[h_hargasetelahdiskon]]</f>
        <v/>
      </c>
      <c r="V336" s="271"/>
      <c r="W336" s="278" t="str">
        <f ca="1">IF(Table1[[#This Row],[Item Description]]="","",IF(Table1[[#This Row],[//]]="",INDIRECT(ADDRESS(ROW()-1,COLUMN())),Table1[[#This Row],[//]]))</f>
        <v/>
      </c>
      <c r="X336" s="278" t="str">
        <f ca="1">IF(Table1[[#This Row],[h_id]]="","",COUNTIF(Table1[h_id],Table1[[#This Row],[h_id]]))</f>
        <v/>
      </c>
      <c r="Y336" s="274" t="str">
        <f>IF(Table1[Item Description]="","",Table1[[#This Row],[Qty]]*Table1[[#This Row],[Unit Price]])</f>
        <v/>
      </c>
      <c r="Z336" s="274" t="str">
        <f>IF(Table1[[#This Row],[h_hargasebelumdiskon]]="","",IF(Table1[[#This Row],[Disc 1]]="",0,Table1[[#This Row],[h_hargasebelumdiskon]]*Table1[[#This Row],[Disc 1]]))</f>
        <v/>
      </c>
      <c r="AA336" s="274" t="str">
        <f>IF(Table1[[#This Row],[h_hargasebelumdiskon]]="","",IF(Table1[[#This Row],[Disc 2]]="",0,(Table1[[#This Row],[h_hargasebelumdiskon]]-Table1[[#This Row],[h_disc 1]])*Table1[[#This Row],[Disc 2]]))</f>
        <v/>
      </c>
      <c r="AB336" s="274" t="str">
        <f>IF(Table1[Item Description]="","",Table1[[#This Row],[h_disc 1]]+Table1[[#This Row],[h_disc 2]])</f>
        <v/>
      </c>
      <c r="AC336" s="274" t="str">
        <f>IF(Table1[Item Description]="","",Table1[[#This Row],[h_hargasebelumdiskon]]-Table1[[#This Row],[h_diskon]])</f>
        <v/>
      </c>
      <c r="AD336" s="274" t="str">
        <f ca="1">IF(Table1[//]="","",SUMIF(Table1[h_id],Table1[h_id],Table1[h_hargasetelahdiskon]))</f>
        <v/>
      </c>
      <c r="AF336" s="274" t="str">
        <f>Table1[[#This Row],[Item Description]]&amp;Table1[[#This Row],[Unit]]&amp;Table1[[#This Row],[Unit Price]]</f>
        <v/>
      </c>
      <c r="AG336" s="3"/>
      <c r="AH336" s="3"/>
      <c r="AI336" s="3"/>
    </row>
    <row r="337" spans="1:35" x14ac:dyDescent="0.25">
      <c r="A337" s="278" t="str">
        <f ca="1">IF(Table1[[#This Row],[No. Invoice :]]="","",ROW())</f>
        <v/>
      </c>
      <c r="B337" s="278" t="str">
        <f ca="1">IF(Table1[Column3]="","",B$1+COUNT(INDIRECT("B$2:B"&amp;ROW()-1)))</f>
        <v/>
      </c>
      <c r="C337" s="272" t="str">
        <f>IF(Table1[[#This Row],[Column2]]="","",Table1[[#This Row],[Column2]]+C$1-1)</f>
        <v/>
      </c>
      <c r="E337" s="273"/>
      <c r="F337" s="271"/>
      <c r="G337" s="278" t="str">
        <f ca="1">IF(Table1[[#This Row],[h_No. Invoice :]]="","",CONCATENATE("AM"," ",Table1[[#This Row],[h_No. Invoice :]]))</f>
        <v/>
      </c>
      <c r="H337" s="271" t="str">
        <f>IF(Table1[[#This Row],[Column5]]="","",INDEX(Table2[Column1],MATCH(Table1[[#This Row],[Column5]],Table2[a],0)))</f>
        <v/>
      </c>
      <c r="I337" s="279" t="str">
        <f>IF(Table1[[#This Row],[Column3]]=0,"",CONCATENATE(UPPER(Table1[[#This Row],[Column3]])," ",Table1[[#This Row],[Column4]]))</f>
        <v xml:space="preserve"> </v>
      </c>
      <c r="J337" s="278" t="str">
        <f>IF(Table1[[#This Row],[Column5]]="","",INDEX(Table2[e],IF(Table1[[#This Row],[Column5]]="","",MATCH(Table1[[#This Row],[Column5]],Table2[a],0)),))</f>
        <v/>
      </c>
      <c r="K337" s="271"/>
      <c r="L337" s="271"/>
      <c r="O337" s="278" t="str">
        <f>IF(Table1[[#This Row],[h_Item Description]]="","",INDEX([1]!db[NB PAJAK],MATCH(Table1[[#This Row],[h_Item Description]],[1]!db[kode],0)))</f>
        <v/>
      </c>
      <c r="Q337" s="274"/>
      <c r="R337" s="275"/>
      <c r="S337" s="275"/>
      <c r="T337" s="274" t="str">
        <f>Table1[[#This Row],[h_hargasetelahdiskon]]</f>
        <v/>
      </c>
      <c r="V337" s="271"/>
      <c r="W337" s="278" t="str">
        <f ca="1">IF(Table1[[#This Row],[Item Description]]="","",IF(Table1[[#This Row],[//]]="",INDIRECT(ADDRESS(ROW()-1,COLUMN())),Table1[[#This Row],[//]]))</f>
        <v/>
      </c>
      <c r="X337" s="278" t="str">
        <f ca="1">IF(Table1[[#This Row],[h_id]]="","",COUNTIF(Table1[h_id],Table1[[#This Row],[h_id]]))</f>
        <v/>
      </c>
      <c r="Y337" s="274" t="str">
        <f>IF(Table1[Item Description]="","",Table1[[#This Row],[Qty]]*Table1[[#This Row],[Unit Price]])</f>
        <v/>
      </c>
      <c r="Z337" s="274" t="str">
        <f>IF(Table1[[#This Row],[h_hargasebelumdiskon]]="","",IF(Table1[[#This Row],[Disc 1]]="",0,Table1[[#This Row],[h_hargasebelumdiskon]]*Table1[[#This Row],[Disc 1]]))</f>
        <v/>
      </c>
      <c r="AA337" s="274" t="str">
        <f>IF(Table1[[#This Row],[h_hargasebelumdiskon]]="","",IF(Table1[[#This Row],[Disc 2]]="",0,(Table1[[#This Row],[h_hargasebelumdiskon]]-Table1[[#This Row],[h_disc 1]])*Table1[[#This Row],[Disc 2]]))</f>
        <v/>
      </c>
      <c r="AB337" s="274" t="str">
        <f>IF(Table1[Item Description]="","",Table1[[#This Row],[h_disc 1]]+Table1[[#This Row],[h_disc 2]])</f>
        <v/>
      </c>
      <c r="AC337" s="274" t="str">
        <f>IF(Table1[Item Description]="","",Table1[[#This Row],[h_hargasebelumdiskon]]-Table1[[#This Row],[h_diskon]])</f>
        <v/>
      </c>
      <c r="AD337" s="274" t="str">
        <f ca="1">IF(Table1[//]="","",SUMIF(Table1[h_id],Table1[h_id],Table1[h_hargasetelahdiskon]))</f>
        <v/>
      </c>
      <c r="AF337" s="274" t="str">
        <f>Table1[[#This Row],[Item Description]]&amp;Table1[[#This Row],[Unit]]&amp;Table1[[#This Row],[Unit Price]]</f>
        <v/>
      </c>
      <c r="AG337" s="3"/>
      <c r="AH337" s="3"/>
      <c r="AI337" s="3"/>
    </row>
    <row r="338" spans="1:35" x14ac:dyDescent="0.25">
      <c r="A338" s="278" t="str">
        <f ca="1">IF(Table1[[#This Row],[No. Invoice :]]="","",ROW())</f>
        <v/>
      </c>
      <c r="B338" s="278" t="str">
        <f ca="1">IF(Table1[Column3]="","",B$1+COUNT(INDIRECT("B$2:B"&amp;ROW()-1)))</f>
        <v/>
      </c>
      <c r="C338" s="272" t="str">
        <f>IF(Table1[[#This Row],[Column2]]="","",Table1[[#This Row],[Column2]]+C$1-1)</f>
        <v/>
      </c>
      <c r="E338" s="273"/>
      <c r="F338" s="271"/>
      <c r="G338" s="278" t="str">
        <f ca="1">IF(Table1[[#This Row],[h_No. Invoice :]]="","",CONCATENATE("AM"," ",Table1[[#This Row],[h_No. Invoice :]]))</f>
        <v/>
      </c>
      <c r="H338" s="271" t="str">
        <f>IF(Table1[[#This Row],[Column5]]="","",INDEX(Table2[Column1],MATCH(Table1[[#This Row],[Column5]],Table2[a],0)))</f>
        <v/>
      </c>
      <c r="I338" s="279" t="str">
        <f>IF(Table1[[#This Row],[Column3]]=0,"",CONCATENATE(UPPER(Table1[[#This Row],[Column3]])," ",Table1[[#This Row],[Column4]]))</f>
        <v xml:space="preserve"> </v>
      </c>
      <c r="J338" s="278" t="str">
        <f>IF(Table1[[#This Row],[Column5]]="","",INDEX(Table2[e],IF(Table1[[#This Row],[Column5]]="","",MATCH(Table1[[#This Row],[Column5]],Table2[a],0)),))</f>
        <v/>
      </c>
      <c r="K338" s="271"/>
      <c r="L338" s="271"/>
      <c r="O338" s="278" t="str">
        <f>IF(Table1[[#This Row],[h_Item Description]]="","",INDEX([1]!db[NB PAJAK],MATCH(Table1[[#This Row],[h_Item Description]],[1]!db[kode],0)))</f>
        <v/>
      </c>
      <c r="Q338" s="274"/>
      <c r="R338" s="275"/>
      <c r="S338" s="275"/>
      <c r="T338" s="274" t="str">
        <f>Table1[[#This Row],[h_hargasetelahdiskon]]</f>
        <v/>
      </c>
      <c r="V338" s="271"/>
      <c r="W338" s="278" t="str">
        <f ca="1">IF(Table1[[#This Row],[Item Description]]="","",IF(Table1[[#This Row],[//]]="",INDIRECT(ADDRESS(ROW()-1,COLUMN())),Table1[[#This Row],[//]]))</f>
        <v/>
      </c>
      <c r="X338" s="278" t="str">
        <f ca="1">IF(Table1[[#This Row],[h_id]]="","",COUNTIF(Table1[h_id],Table1[[#This Row],[h_id]]))</f>
        <v/>
      </c>
      <c r="Y338" s="274" t="str">
        <f>IF(Table1[Item Description]="","",Table1[[#This Row],[Qty]]*Table1[[#This Row],[Unit Price]])</f>
        <v/>
      </c>
      <c r="Z338" s="274" t="str">
        <f>IF(Table1[[#This Row],[h_hargasebelumdiskon]]="","",IF(Table1[[#This Row],[Disc 1]]="",0,Table1[[#This Row],[h_hargasebelumdiskon]]*Table1[[#This Row],[Disc 1]]))</f>
        <v/>
      </c>
      <c r="AA338" s="274" t="str">
        <f>IF(Table1[[#This Row],[h_hargasebelumdiskon]]="","",IF(Table1[[#This Row],[Disc 2]]="",0,(Table1[[#This Row],[h_hargasebelumdiskon]]-Table1[[#This Row],[h_disc 1]])*Table1[[#This Row],[Disc 2]]))</f>
        <v/>
      </c>
      <c r="AB338" s="274" t="str">
        <f>IF(Table1[Item Description]="","",Table1[[#This Row],[h_disc 1]]+Table1[[#This Row],[h_disc 2]])</f>
        <v/>
      </c>
      <c r="AC338" s="274" t="str">
        <f>IF(Table1[Item Description]="","",Table1[[#This Row],[h_hargasebelumdiskon]]-Table1[[#This Row],[h_diskon]])</f>
        <v/>
      </c>
      <c r="AD338" s="274" t="str">
        <f ca="1">IF(Table1[//]="","",SUMIF(Table1[h_id],Table1[h_id],Table1[h_hargasetelahdiskon]))</f>
        <v/>
      </c>
      <c r="AF338" s="274" t="str">
        <f>Table1[[#This Row],[Item Description]]&amp;Table1[[#This Row],[Unit]]&amp;Table1[[#This Row],[Unit Price]]</f>
        <v/>
      </c>
      <c r="AG338" s="3"/>
      <c r="AH338" s="3"/>
      <c r="AI338" s="3"/>
    </row>
    <row r="339" spans="1:35" x14ac:dyDescent="0.25">
      <c r="A339" s="278" t="str">
        <f ca="1">IF(Table1[[#This Row],[No. Invoice :]]="","",ROW())</f>
        <v/>
      </c>
      <c r="B339" s="278" t="str">
        <f ca="1">IF(Table1[Column3]="","",B$1+COUNT(INDIRECT("B$2:B"&amp;ROW()-1)))</f>
        <v/>
      </c>
      <c r="C339" s="272" t="str">
        <f>IF(Table1[[#This Row],[Column2]]="","",Table1[[#This Row],[Column2]]+C$1-1)</f>
        <v/>
      </c>
      <c r="E339" s="273"/>
      <c r="F339" s="271"/>
      <c r="G339" s="278" t="str">
        <f ca="1">IF(Table1[[#This Row],[h_No. Invoice :]]="","",CONCATENATE("AM"," ",Table1[[#This Row],[h_No. Invoice :]]))</f>
        <v/>
      </c>
      <c r="H339" s="271" t="str">
        <f>IF(Table1[[#This Row],[Column5]]="","",INDEX(Table2[Column1],MATCH(Table1[[#This Row],[Column5]],Table2[a],0)))</f>
        <v/>
      </c>
      <c r="I339" s="279" t="str">
        <f>IF(Table1[[#This Row],[Column3]]=0,"",CONCATENATE(UPPER(Table1[[#This Row],[Column3]])," ",Table1[[#This Row],[Column4]]))</f>
        <v xml:space="preserve"> </v>
      </c>
      <c r="J339" s="278" t="str">
        <f>IF(Table1[[#This Row],[Column5]]="","",INDEX(Table2[e],IF(Table1[[#This Row],[Column5]]="","",MATCH(Table1[[#This Row],[Column5]],Table2[a],0)),))</f>
        <v/>
      </c>
      <c r="K339" s="271"/>
      <c r="L339" s="271"/>
      <c r="O339" s="278" t="str">
        <f>IF(Table1[[#This Row],[h_Item Description]]="","",INDEX([1]!db[NB PAJAK],MATCH(Table1[[#This Row],[h_Item Description]],[1]!db[kode],0)))</f>
        <v/>
      </c>
      <c r="Q339" s="274"/>
      <c r="R339" s="275"/>
      <c r="S339" s="275"/>
      <c r="T339" s="274" t="str">
        <f>Table1[[#This Row],[h_hargasetelahdiskon]]</f>
        <v/>
      </c>
      <c r="V339" s="271"/>
      <c r="W339" s="278" t="str">
        <f ca="1">IF(Table1[[#This Row],[Item Description]]="","",IF(Table1[[#This Row],[//]]="",INDIRECT(ADDRESS(ROW()-1,COLUMN())),Table1[[#This Row],[//]]))</f>
        <v/>
      </c>
      <c r="X339" s="278" t="str">
        <f ca="1">IF(Table1[[#This Row],[h_id]]="","",COUNTIF(Table1[h_id],Table1[[#This Row],[h_id]]))</f>
        <v/>
      </c>
      <c r="Y339" s="274" t="str">
        <f>IF(Table1[Item Description]="","",Table1[[#This Row],[Qty]]*Table1[[#This Row],[Unit Price]])</f>
        <v/>
      </c>
      <c r="Z339" s="274" t="str">
        <f>IF(Table1[[#This Row],[h_hargasebelumdiskon]]="","",IF(Table1[[#This Row],[Disc 1]]="",0,Table1[[#This Row],[h_hargasebelumdiskon]]*Table1[[#This Row],[Disc 1]]))</f>
        <v/>
      </c>
      <c r="AA339" s="274" t="str">
        <f>IF(Table1[[#This Row],[h_hargasebelumdiskon]]="","",IF(Table1[[#This Row],[Disc 2]]="",0,(Table1[[#This Row],[h_hargasebelumdiskon]]-Table1[[#This Row],[h_disc 1]])*Table1[[#This Row],[Disc 2]]))</f>
        <v/>
      </c>
      <c r="AB339" s="274" t="str">
        <f>IF(Table1[Item Description]="","",Table1[[#This Row],[h_disc 1]]+Table1[[#This Row],[h_disc 2]])</f>
        <v/>
      </c>
      <c r="AC339" s="274" t="str">
        <f>IF(Table1[Item Description]="","",Table1[[#This Row],[h_hargasebelumdiskon]]-Table1[[#This Row],[h_diskon]])</f>
        <v/>
      </c>
      <c r="AD339" s="274" t="str">
        <f ca="1">IF(Table1[//]="","",SUMIF(Table1[h_id],Table1[h_id],Table1[h_hargasetelahdiskon]))</f>
        <v/>
      </c>
      <c r="AF339" s="274" t="str">
        <f>Table1[[#This Row],[Item Description]]&amp;Table1[[#This Row],[Unit]]&amp;Table1[[#This Row],[Unit Price]]</f>
        <v/>
      </c>
      <c r="AG339" s="3"/>
      <c r="AH339" s="3"/>
      <c r="AI339" s="3"/>
    </row>
    <row r="340" spans="1:35" x14ac:dyDescent="0.25">
      <c r="A340" s="278" t="str">
        <f ca="1">IF(Table1[[#This Row],[No. Invoice :]]="","",ROW())</f>
        <v/>
      </c>
      <c r="B340" s="278" t="str">
        <f ca="1">IF(Table1[Column3]="","",B$1+COUNT(INDIRECT("B$2:B"&amp;ROW()-1)))</f>
        <v/>
      </c>
      <c r="C340" s="272" t="str">
        <f>IF(Table1[[#This Row],[Column2]]="","",Table1[[#This Row],[Column2]]+C$1-1)</f>
        <v/>
      </c>
      <c r="E340" s="273"/>
      <c r="F340" s="271"/>
      <c r="G340" s="278" t="str">
        <f ca="1">IF(Table1[[#This Row],[h_No. Invoice :]]="","",CONCATENATE("AM"," ",Table1[[#This Row],[h_No. Invoice :]]))</f>
        <v/>
      </c>
      <c r="H340" s="271" t="str">
        <f>IF(Table1[[#This Row],[Column5]]="","",INDEX(Table2[Column1],MATCH(Table1[[#This Row],[Column5]],Table2[a],0)))</f>
        <v/>
      </c>
      <c r="I340" s="279" t="str">
        <f>IF(Table1[[#This Row],[Column3]]=0,"",CONCATENATE(UPPER(Table1[[#This Row],[Column3]])," ",Table1[[#This Row],[Column4]]))</f>
        <v xml:space="preserve"> </v>
      </c>
      <c r="J340" s="278" t="str">
        <f>IF(Table1[[#This Row],[Column5]]="","",INDEX(Table2[e],IF(Table1[[#This Row],[Column5]]="","",MATCH(Table1[[#This Row],[Column5]],Table2[a],0)),))</f>
        <v/>
      </c>
      <c r="K340" s="271"/>
      <c r="L340" s="271"/>
      <c r="O340" s="278" t="str">
        <f>IF(Table1[[#This Row],[h_Item Description]]="","",INDEX([1]!db[NB PAJAK],MATCH(Table1[[#This Row],[h_Item Description]],[1]!db[kode],0)))</f>
        <v/>
      </c>
      <c r="Q340" s="274"/>
      <c r="R340" s="275"/>
      <c r="S340" s="275"/>
      <c r="T340" s="274" t="str">
        <f>Table1[[#This Row],[h_hargasetelahdiskon]]</f>
        <v/>
      </c>
      <c r="V340" s="271"/>
      <c r="W340" s="278" t="str">
        <f ca="1">IF(Table1[[#This Row],[Item Description]]="","",IF(Table1[[#This Row],[//]]="",INDIRECT(ADDRESS(ROW()-1,COLUMN())),Table1[[#This Row],[//]]))</f>
        <v/>
      </c>
      <c r="X340" s="278" t="str">
        <f ca="1">IF(Table1[[#This Row],[h_id]]="","",COUNTIF(Table1[h_id],Table1[[#This Row],[h_id]]))</f>
        <v/>
      </c>
      <c r="Y340" s="274" t="str">
        <f>IF(Table1[Item Description]="","",Table1[[#This Row],[Qty]]*Table1[[#This Row],[Unit Price]])</f>
        <v/>
      </c>
      <c r="Z340" s="274" t="str">
        <f>IF(Table1[[#This Row],[h_hargasebelumdiskon]]="","",IF(Table1[[#This Row],[Disc 1]]="",0,Table1[[#This Row],[h_hargasebelumdiskon]]*Table1[[#This Row],[Disc 1]]))</f>
        <v/>
      </c>
      <c r="AA340" s="274" t="str">
        <f>IF(Table1[[#This Row],[h_hargasebelumdiskon]]="","",IF(Table1[[#This Row],[Disc 2]]="",0,(Table1[[#This Row],[h_hargasebelumdiskon]]-Table1[[#This Row],[h_disc 1]])*Table1[[#This Row],[Disc 2]]))</f>
        <v/>
      </c>
      <c r="AB340" s="274" t="str">
        <f>IF(Table1[Item Description]="","",Table1[[#This Row],[h_disc 1]]+Table1[[#This Row],[h_disc 2]])</f>
        <v/>
      </c>
      <c r="AC340" s="274" t="str">
        <f>IF(Table1[Item Description]="","",Table1[[#This Row],[h_hargasebelumdiskon]]-Table1[[#This Row],[h_diskon]])</f>
        <v/>
      </c>
      <c r="AD340" s="274" t="str">
        <f ca="1">IF(Table1[//]="","",SUMIF(Table1[h_id],Table1[h_id],Table1[h_hargasetelahdiskon]))</f>
        <v/>
      </c>
      <c r="AF340" s="274" t="str">
        <f>Table1[[#This Row],[Item Description]]&amp;Table1[[#This Row],[Unit]]&amp;Table1[[#This Row],[Unit Price]]</f>
        <v/>
      </c>
      <c r="AG340" s="3"/>
      <c r="AH340" s="3"/>
      <c r="AI340" s="3"/>
    </row>
    <row r="341" spans="1:35" x14ac:dyDescent="0.25">
      <c r="A341" s="278" t="str">
        <f ca="1">IF(Table1[[#This Row],[No. Invoice :]]="","",ROW())</f>
        <v/>
      </c>
      <c r="B341" s="278" t="str">
        <f ca="1">IF(Table1[Column3]="","",B$1+COUNT(INDIRECT("B$2:B"&amp;ROW()-1)))</f>
        <v/>
      </c>
      <c r="C341" s="272" t="str">
        <f>IF(Table1[[#This Row],[Column2]]="","",Table1[[#This Row],[Column2]]+C$1-1)</f>
        <v/>
      </c>
      <c r="E341" s="273"/>
      <c r="F341" s="271"/>
      <c r="G341" s="278" t="str">
        <f ca="1">IF(Table1[[#This Row],[h_No. Invoice :]]="","",CONCATENATE("AM"," ",Table1[[#This Row],[h_No. Invoice :]]))</f>
        <v/>
      </c>
      <c r="H341" s="271" t="str">
        <f>IF(Table1[[#This Row],[Column5]]="","",INDEX(Table2[Column1],MATCH(Table1[[#This Row],[Column5]],Table2[a],0)))</f>
        <v/>
      </c>
      <c r="I341" s="279" t="str">
        <f>IF(Table1[[#This Row],[Column3]]=0,"",CONCATENATE(UPPER(Table1[[#This Row],[Column3]])," ",Table1[[#This Row],[Column4]]))</f>
        <v xml:space="preserve"> </v>
      </c>
      <c r="J341" s="278" t="str">
        <f>IF(Table1[[#This Row],[Column5]]="","",INDEX(Table2[e],IF(Table1[[#This Row],[Column5]]="","",MATCH(Table1[[#This Row],[Column5]],Table2[a],0)),))</f>
        <v/>
      </c>
      <c r="K341" s="271"/>
      <c r="L341" s="271"/>
      <c r="O341" s="278" t="str">
        <f>IF(Table1[[#This Row],[h_Item Description]]="","",INDEX([1]!db[NB PAJAK],MATCH(Table1[[#This Row],[h_Item Description]],[1]!db[kode],0)))</f>
        <v/>
      </c>
      <c r="P341" s="278"/>
      <c r="Q341" s="274"/>
      <c r="R341" s="275"/>
      <c r="S341" s="275"/>
      <c r="T341" s="274" t="str">
        <f>Table1[[#This Row],[h_hargasetelahdiskon]]</f>
        <v/>
      </c>
      <c r="V341" s="271"/>
      <c r="W341" s="278" t="str">
        <f ca="1">IF(Table1[[#This Row],[Item Description]]="","",IF(Table1[[#This Row],[//]]="",INDIRECT(ADDRESS(ROW()-1,COLUMN())),Table1[[#This Row],[//]]))</f>
        <v/>
      </c>
      <c r="X341" s="278" t="str">
        <f ca="1">IF(Table1[[#This Row],[h_id]]="","",COUNTIF(Table1[h_id],Table1[[#This Row],[h_id]]))</f>
        <v/>
      </c>
      <c r="Y341" s="274" t="str">
        <f>IF(Table1[Item Description]="","",Table1[[#This Row],[Qty]]*Table1[[#This Row],[Unit Price]])</f>
        <v/>
      </c>
      <c r="Z341" s="274" t="str">
        <f>IF(Table1[[#This Row],[h_hargasebelumdiskon]]="","",IF(Table1[[#This Row],[Disc 1]]="",0,Table1[[#This Row],[h_hargasebelumdiskon]]*Table1[[#This Row],[Disc 1]]))</f>
        <v/>
      </c>
      <c r="AA341" s="274" t="str">
        <f>IF(Table1[[#This Row],[h_hargasebelumdiskon]]="","",IF(Table1[[#This Row],[Disc 2]]="",0,(Table1[[#This Row],[h_hargasebelumdiskon]]-Table1[[#This Row],[h_disc 1]])*Table1[[#This Row],[Disc 2]]))</f>
        <v/>
      </c>
      <c r="AB341" s="274" t="str">
        <f>IF(Table1[Item Description]="","",Table1[[#This Row],[h_disc 1]]+Table1[[#This Row],[h_disc 2]])</f>
        <v/>
      </c>
      <c r="AC341" s="274" t="str">
        <f>IF(Table1[Item Description]="","",Table1[[#This Row],[h_hargasebelumdiskon]]-Table1[[#This Row],[h_diskon]])</f>
        <v/>
      </c>
      <c r="AD341" s="274" t="str">
        <f ca="1">IF(Table1[//]="","",SUMIF(Table1[h_id],Table1[h_id],Table1[h_hargasetelahdiskon]))</f>
        <v/>
      </c>
      <c r="AF341" s="274" t="str">
        <f>Table1[[#This Row],[Item Description]]&amp;Table1[[#This Row],[Unit]]&amp;Table1[[#This Row],[Unit Price]]</f>
        <v/>
      </c>
      <c r="AG341" s="3"/>
      <c r="AH341" s="3"/>
      <c r="AI341" s="3"/>
    </row>
    <row r="342" spans="1:35" x14ac:dyDescent="0.25">
      <c r="A342" s="278" t="str">
        <f ca="1">IF(Table1[[#This Row],[No. Invoice :]]="","",ROW())</f>
        <v/>
      </c>
      <c r="B342" s="278" t="str">
        <f ca="1">IF(Table1[Column3]="","",B$1+COUNT(INDIRECT("B$2:B"&amp;ROW()-1)))</f>
        <v/>
      </c>
      <c r="C342" s="272" t="str">
        <f>IF(Table1[[#This Row],[Column2]]="","",Table1[[#This Row],[Column2]]+C$1-1)</f>
        <v/>
      </c>
      <c r="E342" s="273"/>
      <c r="F342" s="271"/>
      <c r="G342" s="278" t="str">
        <f ca="1">IF(Table1[[#This Row],[h_No. Invoice :]]="","",CONCATENATE("AM"," ",Table1[[#This Row],[h_No. Invoice :]]))</f>
        <v/>
      </c>
      <c r="H342" s="271" t="str">
        <f>IF(Table1[[#This Row],[Column5]]="","",INDEX(Table2[Column1],MATCH(Table1[[#This Row],[Column5]],Table2[a],0)))</f>
        <v/>
      </c>
      <c r="I342" s="279" t="str">
        <f>IF(Table1[[#This Row],[Column3]]=0,"",CONCATENATE(UPPER(Table1[[#This Row],[Column3]])," ",Table1[[#This Row],[Column4]]))</f>
        <v xml:space="preserve"> </v>
      </c>
      <c r="J342" s="278" t="str">
        <f>IF(Table1[[#This Row],[Column5]]="","",INDEX(Table2[e],IF(Table1[[#This Row],[Column5]]="","",MATCH(Table1[[#This Row],[Column5]],Table2[a],0)),))</f>
        <v/>
      </c>
      <c r="K342" s="271"/>
      <c r="L342" s="271"/>
      <c r="O342" s="278" t="str">
        <f>IF(Table1[[#This Row],[h_Item Description]]="","",INDEX([1]!db[NB PAJAK],MATCH(Table1[[#This Row],[h_Item Description]],[1]!db[kode],0)))</f>
        <v/>
      </c>
      <c r="Q342" s="274"/>
      <c r="R342" s="275"/>
      <c r="S342" s="275"/>
      <c r="T342" s="274" t="str">
        <f>Table1[[#This Row],[h_hargasetelahdiskon]]</f>
        <v/>
      </c>
      <c r="V342" s="271"/>
      <c r="W342" s="278" t="str">
        <f ca="1">IF(Table1[[#This Row],[Item Description]]="","",IF(Table1[[#This Row],[//]]="",INDIRECT(ADDRESS(ROW()-1,COLUMN())),Table1[[#This Row],[//]]))</f>
        <v/>
      </c>
      <c r="X342" s="278" t="str">
        <f ca="1">IF(Table1[[#This Row],[h_id]]="","",COUNTIF(Table1[h_id],Table1[[#This Row],[h_id]]))</f>
        <v/>
      </c>
      <c r="Y342" s="274" t="str">
        <f>IF(Table1[Item Description]="","",Table1[[#This Row],[Qty]]*Table1[[#This Row],[Unit Price]])</f>
        <v/>
      </c>
      <c r="Z342" s="274" t="str">
        <f>IF(Table1[[#This Row],[h_hargasebelumdiskon]]="","",IF(Table1[[#This Row],[Disc 1]]="",0,Table1[[#This Row],[h_hargasebelumdiskon]]*Table1[[#This Row],[Disc 1]]))</f>
        <v/>
      </c>
      <c r="AA342" s="274" t="str">
        <f>IF(Table1[[#This Row],[h_hargasebelumdiskon]]="","",IF(Table1[[#This Row],[Disc 2]]="",0,(Table1[[#This Row],[h_hargasebelumdiskon]]-Table1[[#This Row],[h_disc 1]])*Table1[[#This Row],[Disc 2]]))</f>
        <v/>
      </c>
      <c r="AB342" s="274" t="str">
        <f>IF(Table1[Item Description]="","",Table1[[#This Row],[h_disc 1]]+Table1[[#This Row],[h_disc 2]])</f>
        <v/>
      </c>
      <c r="AC342" s="274" t="str">
        <f>IF(Table1[Item Description]="","",Table1[[#This Row],[h_hargasebelumdiskon]]-Table1[[#This Row],[h_diskon]])</f>
        <v/>
      </c>
      <c r="AD342" s="274" t="str">
        <f ca="1">IF(Table1[//]="","",SUMIF(Table1[h_id],Table1[h_id],Table1[h_hargasetelahdiskon]))</f>
        <v/>
      </c>
      <c r="AF342" s="274" t="str">
        <f>Table1[[#This Row],[Item Description]]&amp;Table1[[#This Row],[Unit]]&amp;Table1[[#This Row],[Unit Price]]</f>
        <v/>
      </c>
      <c r="AG342" s="3"/>
      <c r="AH342" s="3"/>
      <c r="AI342" s="3"/>
    </row>
    <row r="343" spans="1:35" x14ac:dyDescent="0.25">
      <c r="A343" s="278" t="str">
        <f ca="1">IF(Table1[[#This Row],[No. Invoice :]]="","",ROW())</f>
        <v/>
      </c>
      <c r="B343" s="278" t="str">
        <f ca="1">IF(Table1[Column3]="","",B$1+COUNT(INDIRECT("B$2:B"&amp;ROW()-1)))</f>
        <v/>
      </c>
      <c r="C343" s="272" t="str">
        <f>IF(Table1[[#This Row],[Column2]]="","",Table1[[#This Row],[Column2]]+C$1-1)</f>
        <v/>
      </c>
      <c r="E343" s="273"/>
      <c r="F343" s="271"/>
      <c r="G343" s="278" t="str">
        <f ca="1">IF(Table1[[#This Row],[h_No. Invoice :]]="","",CONCATENATE("AM"," ",Table1[[#This Row],[h_No. Invoice :]]))</f>
        <v/>
      </c>
      <c r="H343" s="271" t="str">
        <f>IF(Table1[[#This Row],[Column5]]="","",INDEX(Table2[Column1],MATCH(Table1[[#This Row],[Column5]],Table2[a],0)))</f>
        <v/>
      </c>
      <c r="I343" s="279" t="str">
        <f>IF(Table1[[#This Row],[Column3]]=0,"",CONCATENATE(UPPER(Table1[[#This Row],[Column3]])," ",Table1[[#This Row],[Column4]]))</f>
        <v xml:space="preserve"> </v>
      </c>
      <c r="J343" s="278" t="str">
        <f>IF(Table1[[#This Row],[Column5]]="","",INDEX(Table2[e],IF(Table1[[#This Row],[Column5]]="","",MATCH(Table1[[#This Row],[Column5]],Table2[a],0)),))</f>
        <v/>
      </c>
      <c r="K343" s="271"/>
      <c r="L343" s="271"/>
      <c r="O343" s="278" t="str">
        <f>IF(Table1[[#This Row],[h_Item Description]]="","",INDEX([1]!db[NB PAJAK],MATCH(Table1[[#This Row],[h_Item Description]],[1]!db[kode],0)))</f>
        <v/>
      </c>
      <c r="Q343" s="274"/>
      <c r="R343" s="275"/>
      <c r="S343" s="275"/>
      <c r="T343" s="274" t="str">
        <f>Table1[[#This Row],[h_hargasetelahdiskon]]</f>
        <v/>
      </c>
      <c r="V343" s="271"/>
      <c r="W343" s="278" t="str">
        <f ca="1">IF(Table1[[#This Row],[Item Description]]="","",IF(Table1[[#This Row],[//]]="",INDIRECT(ADDRESS(ROW()-1,COLUMN())),Table1[[#This Row],[//]]))</f>
        <v/>
      </c>
      <c r="X343" s="278" t="str">
        <f ca="1">IF(Table1[[#This Row],[h_id]]="","",COUNTIF(Table1[h_id],Table1[[#This Row],[h_id]]))</f>
        <v/>
      </c>
      <c r="Y343" s="274" t="str">
        <f>IF(Table1[Item Description]="","",Table1[[#This Row],[Qty]]*Table1[[#This Row],[Unit Price]])</f>
        <v/>
      </c>
      <c r="Z343" s="274" t="str">
        <f>IF(Table1[[#This Row],[h_hargasebelumdiskon]]="","",IF(Table1[[#This Row],[Disc 1]]="",0,Table1[[#This Row],[h_hargasebelumdiskon]]*Table1[[#This Row],[Disc 1]]))</f>
        <v/>
      </c>
      <c r="AA343" s="274" t="str">
        <f>IF(Table1[[#This Row],[h_hargasebelumdiskon]]="","",IF(Table1[[#This Row],[Disc 2]]="",0,(Table1[[#This Row],[h_hargasebelumdiskon]]-Table1[[#This Row],[h_disc 1]])*Table1[[#This Row],[Disc 2]]))</f>
        <v/>
      </c>
      <c r="AB343" s="274" t="str">
        <f>IF(Table1[Item Description]="","",Table1[[#This Row],[h_disc 1]]+Table1[[#This Row],[h_disc 2]])</f>
        <v/>
      </c>
      <c r="AC343" s="274" t="str">
        <f>IF(Table1[Item Description]="","",Table1[[#This Row],[h_hargasebelumdiskon]]-Table1[[#This Row],[h_diskon]])</f>
        <v/>
      </c>
      <c r="AD343" s="274" t="str">
        <f ca="1">IF(Table1[//]="","",SUMIF(Table1[h_id],Table1[h_id],Table1[h_hargasetelahdiskon]))</f>
        <v/>
      </c>
      <c r="AF343" s="274" t="str">
        <f>Table1[[#This Row],[Item Description]]&amp;Table1[[#This Row],[Unit]]&amp;Table1[[#This Row],[Unit Price]]</f>
        <v/>
      </c>
      <c r="AG343" s="3"/>
      <c r="AH343" s="3"/>
      <c r="AI343" s="3"/>
    </row>
    <row r="344" spans="1:35" x14ac:dyDescent="0.25">
      <c r="A344" s="278" t="str">
        <f ca="1">IF(Table1[[#This Row],[No. Invoice :]]="","",ROW())</f>
        <v/>
      </c>
      <c r="B344" s="278" t="str">
        <f ca="1">IF(Table1[Column3]="","",B$1+COUNT(INDIRECT("B$2:B"&amp;ROW()-1)))</f>
        <v/>
      </c>
      <c r="C344" s="272" t="str">
        <f>IF(Table1[[#This Row],[Column2]]="","",Table1[[#This Row],[Column2]]+C$1-1)</f>
        <v/>
      </c>
      <c r="E344" s="273"/>
      <c r="F344" s="271"/>
      <c r="G344" s="278" t="str">
        <f ca="1">IF(Table1[[#This Row],[h_No. Invoice :]]="","",CONCATENATE("AM"," ",Table1[[#This Row],[h_No. Invoice :]]))</f>
        <v/>
      </c>
      <c r="H344" s="271" t="str">
        <f>IF(Table1[[#This Row],[Column5]]="","",INDEX(Table2[Column1],MATCH(Table1[[#This Row],[Column5]],Table2[a],0)))</f>
        <v/>
      </c>
      <c r="I344" s="279" t="str">
        <f>IF(Table1[[#This Row],[Column3]]=0,"",CONCATENATE(UPPER(Table1[[#This Row],[Column3]])," ",Table1[[#This Row],[Column4]]))</f>
        <v xml:space="preserve"> </v>
      </c>
      <c r="J344" s="278" t="str">
        <f>IF(Table1[[#This Row],[Column5]]="","",INDEX(Table2[e],IF(Table1[[#This Row],[Column5]]="","",MATCH(Table1[[#This Row],[Column5]],Table2[a],0)),))</f>
        <v/>
      </c>
      <c r="K344" s="271"/>
      <c r="L344" s="271"/>
      <c r="O344" s="278" t="str">
        <f>IF(Table1[[#This Row],[h_Item Description]]="","",INDEX([1]!db[NB PAJAK],MATCH(Table1[[#This Row],[h_Item Description]],[1]!db[kode],0)))</f>
        <v/>
      </c>
      <c r="Q344" s="274"/>
      <c r="R344" s="275"/>
      <c r="S344" s="275"/>
      <c r="T344" s="274" t="str">
        <f>Table1[[#This Row],[h_hargasetelahdiskon]]</f>
        <v/>
      </c>
      <c r="V344" s="271"/>
      <c r="W344" s="278" t="str">
        <f ca="1">IF(Table1[[#This Row],[Item Description]]="","",IF(Table1[[#This Row],[//]]="",INDIRECT(ADDRESS(ROW()-1,COLUMN())),Table1[[#This Row],[//]]))</f>
        <v/>
      </c>
      <c r="X344" s="278" t="str">
        <f ca="1">IF(Table1[[#This Row],[h_id]]="","",COUNTIF(Table1[h_id],Table1[[#This Row],[h_id]]))</f>
        <v/>
      </c>
      <c r="Y344" s="274" t="str">
        <f>IF(Table1[Item Description]="","",Table1[[#This Row],[Qty]]*Table1[[#This Row],[Unit Price]])</f>
        <v/>
      </c>
      <c r="Z344" s="274" t="str">
        <f>IF(Table1[[#This Row],[h_hargasebelumdiskon]]="","",IF(Table1[[#This Row],[Disc 1]]="",0,Table1[[#This Row],[h_hargasebelumdiskon]]*Table1[[#This Row],[Disc 1]]))</f>
        <v/>
      </c>
      <c r="AA344" s="274" t="str">
        <f>IF(Table1[[#This Row],[h_hargasebelumdiskon]]="","",IF(Table1[[#This Row],[Disc 2]]="",0,(Table1[[#This Row],[h_hargasebelumdiskon]]-Table1[[#This Row],[h_disc 1]])*Table1[[#This Row],[Disc 2]]))</f>
        <v/>
      </c>
      <c r="AB344" s="274" t="str">
        <f>IF(Table1[Item Description]="","",Table1[[#This Row],[h_disc 1]]+Table1[[#This Row],[h_disc 2]])</f>
        <v/>
      </c>
      <c r="AC344" s="274" t="str">
        <f>IF(Table1[Item Description]="","",Table1[[#This Row],[h_hargasebelumdiskon]]-Table1[[#This Row],[h_diskon]])</f>
        <v/>
      </c>
      <c r="AD344" s="274" t="str">
        <f ca="1">IF(Table1[//]="","",SUMIF(Table1[h_id],Table1[h_id],Table1[h_hargasetelahdiskon]))</f>
        <v/>
      </c>
      <c r="AF344" s="274" t="str">
        <f>Table1[[#This Row],[Item Description]]&amp;Table1[[#This Row],[Unit]]&amp;Table1[[#This Row],[Unit Price]]</f>
        <v/>
      </c>
      <c r="AG344" s="3"/>
      <c r="AH344" s="3"/>
      <c r="AI344" s="3"/>
    </row>
    <row r="345" spans="1:35" x14ac:dyDescent="0.25">
      <c r="A345" s="278" t="str">
        <f ca="1">IF(Table1[[#This Row],[No. Invoice :]]="","",ROW())</f>
        <v/>
      </c>
      <c r="B345" s="278" t="str">
        <f ca="1">IF(Table1[Column3]="","",B$1+COUNT(INDIRECT("B$2:B"&amp;ROW()-1)))</f>
        <v/>
      </c>
      <c r="C345" s="272" t="str">
        <f>IF(Table1[[#This Row],[Column2]]="","",Table1[[#This Row],[Column2]]+C$1-1)</f>
        <v/>
      </c>
      <c r="E345" s="273"/>
      <c r="F345" s="271"/>
      <c r="G345" s="278" t="str">
        <f ca="1">IF(Table1[[#This Row],[h_No. Invoice :]]="","",CONCATENATE("AM"," ",Table1[[#This Row],[h_No. Invoice :]]))</f>
        <v/>
      </c>
      <c r="H345" s="271" t="str">
        <f>IF(Table1[[#This Row],[Column5]]="","",INDEX(Table2[Column1],MATCH(Table1[[#This Row],[Column5]],Table2[a],0)))</f>
        <v/>
      </c>
      <c r="I345" s="279" t="str">
        <f>IF(Table1[[#This Row],[Column3]]=0,"",CONCATENATE(UPPER(Table1[[#This Row],[Column3]])," ",Table1[[#This Row],[Column4]]))</f>
        <v xml:space="preserve"> </v>
      </c>
      <c r="J345" s="278" t="str">
        <f>IF(Table1[[#This Row],[Column5]]="","",INDEX(Table2[e],IF(Table1[[#This Row],[Column5]]="","",MATCH(Table1[[#This Row],[Column5]],Table2[a],0)),))</f>
        <v/>
      </c>
      <c r="K345" s="271"/>
      <c r="L345" s="271"/>
      <c r="O345" s="278" t="str">
        <f>IF(Table1[[#This Row],[h_Item Description]]="","",INDEX([1]!db[NB PAJAK],MATCH(Table1[[#This Row],[h_Item Description]],[1]!db[kode],0)))</f>
        <v/>
      </c>
      <c r="Q345" s="274"/>
      <c r="R345" s="275"/>
      <c r="S345" s="275"/>
      <c r="T345" s="274" t="str">
        <f>Table1[[#This Row],[h_hargasetelahdiskon]]</f>
        <v/>
      </c>
      <c r="V345" s="271"/>
      <c r="W345" s="278" t="str">
        <f ca="1">IF(Table1[[#This Row],[Item Description]]="","",IF(Table1[[#This Row],[//]]="",INDIRECT(ADDRESS(ROW()-1,COLUMN())),Table1[[#This Row],[//]]))</f>
        <v/>
      </c>
      <c r="X345" s="278" t="str">
        <f ca="1">IF(Table1[[#This Row],[h_id]]="","",COUNTIF(Table1[h_id],Table1[[#This Row],[h_id]]))</f>
        <v/>
      </c>
      <c r="Y345" s="274" t="str">
        <f>IF(Table1[Item Description]="","",Table1[[#This Row],[Qty]]*Table1[[#This Row],[Unit Price]])</f>
        <v/>
      </c>
      <c r="Z345" s="274" t="str">
        <f>IF(Table1[[#This Row],[h_hargasebelumdiskon]]="","",IF(Table1[[#This Row],[Disc 1]]="",0,Table1[[#This Row],[h_hargasebelumdiskon]]*Table1[[#This Row],[Disc 1]]))</f>
        <v/>
      </c>
      <c r="AA345" s="274" t="str">
        <f>IF(Table1[[#This Row],[h_hargasebelumdiskon]]="","",IF(Table1[[#This Row],[Disc 2]]="",0,(Table1[[#This Row],[h_hargasebelumdiskon]]-Table1[[#This Row],[h_disc 1]])*Table1[[#This Row],[Disc 2]]))</f>
        <v/>
      </c>
      <c r="AB345" s="274" t="str">
        <f>IF(Table1[Item Description]="","",Table1[[#This Row],[h_disc 1]]+Table1[[#This Row],[h_disc 2]])</f>
        <v/>
      </c>
      <c r="AC345" s="274" t="str">
        <f>IF(Table1[Item Description]="","",Table1[[#This Row],[h_hargasebelumdiskon]]-Table1[[#This Row],[h_diskon]])</f>
        <v/>
      </c>
      <c r="AD345" s="274" t="str">
        <f ca="1">IF(Table1[//]="","",SUMIF(Table1[h_id],Table1[h_id],Table1[h_hargasetelahdiskon]))</f>
        <v/>
      </c>
      <c r="AF345" s="274" t="str">
        <f>Table1[[#This Row],[Item Description]]&amp;Table1[[#This Row],[Unit]]&amp;Table1[[#This Row],[Unit Price]]</f>
        <v/>
      </c>
      <c r="AG345" s="3"/>
      <c r="AH345" s="3"/>
      <c r="AI345" s="3"/>
    </row>
    <row r="346" spans="1:35" x14ac:dyDescent="0.25">
      <c r="A346" s="278" t="str">
        <f ca="1">IF(Table1[[#This Row],[No. Invoice :]]="","",ROW())</f>
        <v/>
      </c>
      <c r="B346" s="278" t="str">
        <f ca="1">IF(Table1[Column3]="","",B$1+COUNT(INDIRECT("B$2:B"&amp;ROW()-1)))</f>
        <v/>
      </c>
      <c r="C346" s="272" t="str">
        <f>IF(Table1[[#This Row],[Column2]]="","",Table1[[#This Row],[Column2]]+C$1-1)</f>
        <v/>
      </c>
      <c r="E346" s="273"/>
      <c r="F346" s="271"/>
      <c r="G346" s="278" t="str">
        <f ca="1">IF(Table1[[#This Row],[h_No. Invoice :]]="","",CONCATENATE("AM"," ",Table1[[#This Row],[h_No. Invoice :]]))</f>
        <v/>
      </c>
      <c r="H346" s="271" t="str">
        <f>IF(Table1[[#This Row],[Column5]]="","",INDEX(Table2[Column1],MATCH(Table1[[#This Row],[Column5]],Table2[a],0)))</f>
        <v/>
      </c>
      <c r="I346" s="279" t="str">
        <f>IF(Table1[[#This Row],[Column3]]=0,"",CONCATENATE(UPPER(Table1[[#This Row],[Column3]])," ",Table1[[#This Row],[Column4]]))</f>
        <v xml:space="preserve"> </v>
      </c>
      <c r="J346" s="278" t="str">
        <f>IF(Table1[[#This Row],[Column5]]="","",INDEX(Table2[e],IF(Table1[[#This Row],[Column5]]="","",MATCH(Table1[[#This Row],[Column5]],Table2[a],0)),))</f>
        <v/>
      </c>
      <c r="K346" s="271"/>
      <c r="L346" s="271"/>
      <c r="O346" s="278" t="str">
        <f>IF(Table1[[#This Row],[h_Item Description]]="","",INDEX([1]!db[NB PAJAK],MATCH(Table1[[#This Row],[h_Item Description]],[1]!db[kode],0)))</f>
        <v/>
      </c>
      <c r="Q346" s="274"/>
      <c r="R346" s="275"/>
      <c r="S346" s="275"/>
      <c r="T346" s="274" t="str">
        <f>Table1[[#This Row],[h_hargasetelahdiskon]]</f>
        <v/>
      </c>
      <c r="V346" s="271"/>
      <c r="W346" s="278" t="str">
        <f ca="1">IF(Table1[[#This Row],[Item Description]]="","",IF(Table1[[#This Row],[//]]="",INDIRECT(ADDRESS(ROW()-1,COLUMN())),Table1[[#This Row],[//]]))</f>
        <v/>
      </c>
      <c r="X346" s="278" t="str">
        <f ca="1">IF(Table1[[#This Row],[h_id]]="","",COUNTIF(Table1[h_id],Table1[[#This Row],[h_id]]))</f>
        <v/>
      </c>
      <c r="Y346" s="274" t="str">
        <f>IF(Table1[Item Description]="","",Table1[[#This Row],[Qty]]*Table1[[#This Row],[Unit Price]])</f>
        <v/>
      </c>
      <c r="Z346" s="274" t="str">
        <f>IF(Table1[[#This Row],[h_hargasebelumdiskon]]="","",IF(Table1[[#This Row],[Disc 1]]="",0,Table1[[#This Row],[h_hargasebelumdiskon]]*Table1[[#This Row],[Disc 1]]))</f>
        <v/>
      </c>
      <c r="AA346" s="274" t="str">
        <f>IF(Table1[[#This Row],[h_hargasebelumdiskon]]="","",IF(Table1[[#This Row],[Disc 2]]="",0,(Table1[[#This Row],[h_hargasebelumdiskon]]-Table1[[#This Row],[h_disc 1]])*Table1[[#This Row],[Disc 2]]))</f>
        <v/>
      </c>
      <c r="AB346" s="274" t="str">
        <f>IF(Table1[Item Description]="","",Table1[[#This Row],[h_disc 1]]+Table1[[#This Row],[h_disc 2]])</f>
        <v/>
      </c>
      <c r="AC346" s="274" t="str">
        <f>IF(Table1[Item Description]="","",Table1[[#This Row],[h_hargasebelumdiskon]]-Table1[[#This Row],[h_diskon]])</f>
        <v/>
      </c>
      <c r="AD346" s="274" t="str">
        <f ca="1">IF(Table1[//]="","",SUMIF(Table1[h_id],Table1[h_id],Table1[h_hargasetelahdiskon]))</f>
        <v/>
      </c>
      <c r="AF346" s="274" t="str">
        <f>Table1[[#This Row],[Item Description]]&amp;Table1[[#This Row],[Unit]]&amp;Table1[[#This Row],[Unit Price]]</f>
        <v/>
      </c>
      <c r="AG346" s="3"/>
      <c r="AH346" s="3"/>
      <c r="AI346" s="3"/>
    </row>
    <row r="347" spans="1:35" x14ac:dyDescent="0.25">
      <c r="A347" s="278" t="str">
        <f ca="1">IF(Table1[[#This Row],[No. Invoice :]]="","",ROW())</f>
        <v/>
      </c>
      <c r="B347" s="278" t="str">
        <f ca="1">IF(Table1[Column3]="","",B$1+COUNT(INDIRECT("B$2:B"&amp;ROW()-1)))</f>
        <v/>
      </c>
      <c r="C347" s="272" t="str">
        <f>IF(Table1[[#This Row],[Column2]]="","",Table1[[#This Row],[Column2]]+C$1-1)</f>
        <v/>
      </c>
      <c r="E347" s="273"/>
      <c r="F347" s="271"/>
      <c r="G347" s="278" t="str">
        <f ca="1">IF(Table1[[#This Row],[h_No. Invoice :]]="","",CONCATENATE("AM"," ",Table1[[#This Row],[h_No. Invoice :]]))</f>
        <v/>
      </c>
      <c r="H347" s="271" t="str">
        <f>IF(Table1[[#This Row],[Column5]]="","",INDEX(Table2[Column1],MATCH(Table1[[#This Row],[Column5]],Table2[a],0)))</f>
        <v/>
      </c>
      <c r="I347" s="279" t="str">
        <f>IF(Table1[[#This Row],[Column3]]=0,"",CONCATENATE(UPPER(Table1[[#This Row],[Column3]])," ",Table1[[#This Row],[Column4]]))</f>
        <v xml:space="preserve"> </v>
      </c>
      <c r="J347" s="278" t="str">
        <f>IF(Table1[[#This Row],[Column5]]="","",INDEX(Table2[e],IF(Table1[[#This Row],[Column5]]="","",MATCH(Table1[[#This Row],[Column5]],Table2[a],0)),))</f>
        <v/>
      </c>
      <c r="K347" s="271"/>
      <c r="L347" s="271"/>
      <c r="O347" s="278" t="str">
        <f>IF(Table1[[#This Row],[h_Item Description]]="","",INDEX([1]!db[NB PAJAK],MATCH(Table1[[#This Row],[h_Item Description]],[1]!db[kode],0)))</f>
        <v/>
      </c>
      <c r="Q347" s="274"/>
      <c r="R347" s="275"/>
      <c r="S347" s="275"/>
      <c r="T347" s="274" t="str">
        <f>Table1[[#This Row],[h_hargasetelahdiskon]]</f>
        <v/>
      </c>
      <c r="V347" s="271"/>
      <c r="W347" s="278" t="str">
        <f ca="1">IF(Table1[[#This Row],[Item Description]]="","",IF(Table1[[#This Row],[//]]="",INDIRECT(ADDRESS(ROW()-1,COLUMN())),Table1[[#This Row],[//]]))</f>
        <v/>
      </c>
      <c r="X347" s="278" t="str">
        <f ca="1">IF(Table1[[#This Row],[h_id]]="","",COUNTIF(Table1[h_id],Table1[[#This Row],[h_id]]))</f>
        <v/>
      </c>
      <c r="Y347" s="274" t="str">
        <f>IF(Table1[Item Description]="","",Table1[[#This Row],[Qty]]*Table1[[#This Row],[Unit Price]])</f>
        <v/>
      </c>
      <c r="Z347" s="274" t="str">
        <f>IF(Table1[[#This Row],[h_hargasebelumdiskon]]="","",IF(Table1[[#This Row],[Disc 1]]="",0,Table1[[#This Row],[h_hargasebelumdiskon]]*Table1[[#This Row],[Disc 1]]))</f>
        <v/>
      </c>
      <c r="AA347" s="274" t="str">
        <f>IF(Table1[[#This Row],[h_hargasebelumdiskon]]="","",IF(Table1[[#This Row],[Disc 2]]="",0,(Table1[[#This Row],[h_hargasebelumdiskon]]-Table1[[#This Row],[h_disc 1]])*Table1[[#This Row],[Disc 2]]))</f>
        <v/>
      </c>
      <c r="AB347" s="274" t="str">
        <f>IF(Table1[Item Description]="","",Table1[[#This Row],[h_disc 1]]+Table1[[#This Row],[h_disc 2]])</f>
        <v/>
      </c>
      <c r="AC347" s="274" t="str">
        <f>IF(Table1[Item Description]="","",Table1[[#This Row],[h_hargasebelumdiskon]]-Table1[[#This Row],[h_diskon]])</f>
        <v/>
      </c>
      <c r="AD347" s="274" t="str">
        <f ca="1">IF(Table1[//]="","",SUMIF(Table1[h_id],Table1[h_id],Table1[h_hargasetelahdiskon]))</f>
        <v/>
      </c>
      <c r="AF347" s="274" t="str">
        <f>Table1[[#This Row],[Item Description]]&amp;Table1[[#This Row],[Unit]]&amp;Table1[[#This Row],[Unit Price]]</f>
        <v/>
      </c>
      <c r="AG347" s="3"/>
      <c r="AH347" s="3"/>
      <c r="AI347" s="3"/>
    </row>
    <row r="348" spans="1:35" x14ac:dyDescent="0.25">
      <c r="A348" s="278" t="str">
        <f ca="1">IF(Table1[[#This Row],[No. Invoice :]]="","",ROW())</f>
        <v/>
      </c>
      <c r="B348" s="278" t="str">
        <f ca="1">IF(Table1[Column3]="","",B$1+COUNT(INDIRECT("B$2:B"&amp;ROW()-1)))</f>
        <v/>
      </c>
      <c r="C348" s="272" t="str">
        <f>IF(Table1[[#This Row],[Column2]]="","",Table1[[#This Row],[Column2]]+C$1-1)</f>
        <v/>
      </c>
      <c r="E348" s="273"/>
      <c r="F348" s="271"/>
      <c r="G348" s="278" t="str">
        <f ca="1">IF(Table1[[#This Row],[h_No. Invoice :]]="","",CONCATENATE("AM"," ",Table1[[#This Row],[h_No. Invoice :]]))</f>
        <v/>
      </c>
      <c r="H348" s="271" t="str">
        <f>IF(Table1[[#This Row],[Column5]]="","",INDEX(Table2[Column1],MATCH(Table1[[#This Row],[Column5]],Table2[a],0)))</f>
        <v/>
      </c>
      <c r="I348" s="279" t="str">
        <f>IF(Table1[[#This Row],[Column3]]=0,"",CONCATENATE(UPPER(Table1[[#This Row],[Column3]])," ",Table1[[#This Row],[Column4]]))</f>
        <v xml:space="preserve"> </v>
      </c>
      <c r="J348" s="278" t="str">
        <f>IF(Table1[[#This Row],[Column5]]="","",INDEX(Table2[e],IF(Table1[[#This Row],[Column5]]="","",MATCH(Table1[[#This Row],[Column5]],Table2[a],0)),))</f>
        <v/>
      </c>
      <c r="K348" s="271"/>
      <c r="L348" s="271"/>
      <c r="O348" s="278" t="str">
        <f>IF(Table1[[#This Row],[h_Item Description]]="","",INDEX([1]!db[NB PAJAK],MATCH(Table1[[#This Row],[h_Item Description]],[1]!db[kode],0)))</f>
        <v/>
      </c>
      <c r="Q348" s="274"/>
      <c r="R348" s="275"/>
      <c r="S348" s="275"/>
      <c r="T348" s="274" t="str">
        <f>Table1[[#This Row],[h_hargasetelahdiskon]]</f>
        <v/>
      </c>
      <c r="V348" s="271"/>
      <c r="W348" s="278" t="str">
        <f ca="1">IF(Table1[[#This Row],[Item Description]]="","",IF(Table1[[#This Row],[//]]="",INDIRECT(ADDRESS(ROW()-1,COLUMN())),Table1[[#This Row],[//]]))</f>
        <v/>
      </c>
      <c r="X348" s="278" t="str">
        <f ca="1">IF(Table1[[#This Row],[h_id]]="","",COUNTIF(Table1[h_id],Table1[[#This Row],[h_id]]))</f>
        <v/>
      </c>
      <c r="Y348" s="274" t="str">
        <f>IF(Table1[Item Description]="","",Table1[[#This Row],[Qty]]*Table1[[#This Row],[Unit Price]])</f>
        <v/>
      </c>
      <c r="Z348" s="274" t="str">
        <f>IF(Table1[[#This Row],[h_hargasebelumdiskon]]="","",IF(Table1[[#This Row],[Disc 1]]="",0,Table1[[#This Row],[h_hargasebelumdiskon]]*Table1[[#This Row],[Disc 1]]))</f>
        <v/>
      </c>
      <c r="AA348" s="274" t="str">
        <f>IF(Table1[[#This Row],[h_hargasebelumdiskon]]="","",IF(Table1[[#This Row],[Disc 2]]="",0,(Table1[[#This Row],[h_hargasebelumdiskon]]-Table1[[#This Row],[h_disc 1]])*Table1[[#This Row],[Disc 2]]))</f>
        <v/>
      </c>
      <c r="AB348" s="274" t="str">
        <f>IF(Table1[Item Description]="","",Table1[[#This Row],[h_disc 1]]+Table1[[#This Row],[h_disc 2]])</f>
        <v/>
      </c>
      <c r="AC348" s="274" t="str">
        <f>IF(Table1[Item Description]="","",Table1[[#This Row],[h_hargasebelumdiskon]]-Table1[[#This Row],[h_diskon]])</f>
        <v/>
      </c>
      <c r="AD348" s="274" t="str">
        <f ca="1">IF(Table1[//]="","",SUMIF(Table1[h_id],Table1[h_id],Table1[h_hargasetelahdiskon]))</f>
        <v/>
      </c>
      <c r="AF348" s="274" t="str">
        <f>Table1[[#This Row],[Item Description]]&amp;Table1[[#This Row],[Unit]]&amp;Table1[[#This Row],[Unit Price]]</f>
        <v/>
      </c>
      <c r="AG348" s="3"/>
      <c r="AH348" s="3"/>
      <c r="AI348" s="3"/>
    </row>
    <row r="349" spans="1:35" x14ac:dyDescent="0.25">
      <c r="A349" s="278" t="str">
        <f ca="1">IF(Table1[[#This Row],[No. Invoice :]]="","",ROW())</f>
        <v/>
      </c>
      <c r="B349" s="278" t="str">
        <f ca="1">IF(Table1[Column3]="","",B$1+COUNT(INDIRECT("B$2:B"&amp;ROW()-1)))</f>
        <v/>
      </c>
      <c r="C349" s="272" t="str">
        <f>IF(Table1[[#This Row],[Column2]]="","",Table1[[#This Row],[Column2]]+C$1-1)</f>
        <v/>
      </c>
      <c r="E349" s="273"/>
      <c r="F349" s="271"/>
      <c r="G349" s="278" t="str">
        <f ca="1">IF(Table1[[#This Row],[h_No. Invoice :]]="","",CONCATENATE("AM"," ",Table1[[#This Row],[h_No. Invoice :]]))</f>
        <v/>
      </c>
      <c r="H349" s="271" t="str">
        <f>IF(Table1[[#This Row],[Column5]]="","",INDEX(Table2[Column1],MATCH(Table1[[#This Row],[Column5]],Table2[a],0)))</f>
        <v/>
      </c>
      <c r="I349" s="279" t="str">
        <f>IF(Table1[[#This Row],[Column3]]=0,"",CONCATENATE(UPPER(Table1[[#This Row],[Column3]])," ",Table1[[#This Row],[Column4]]))</f>
        <v xml:space="preserve"> </v>
      </c>
      <c r="J349" s="278" t="str">
        <f>IF(Table1[[#This Row],[Column5]]="","",INDEX(Table2[e],IF(Table1[[#This Row],[Column5]]="","",MATCH(Table1[[#This Row],[Column5]],Table2[a],0)),))</f>
        <v/>
      </c>
      <c r="K349" s="271"/>
      <c r="L349" s="271"/>
      <c r="O349" s="278" t="str">
        <f>IF(Table1[[#This Row],[h_Item Description]]="","",INDEX([1]!db[NB PAJAK],MATCH(Table1[[#This Row],[h_Item Description]],[1]!db[kode],0)))</f>
        <v/>
      </c>
      <c r="Q349" s="274"/>
      <c r="R349" s="275"/>
      <c r="S349" s="275"/>
      <c r="T349" s="274" t="str">
        <f>Table1[[#This Row],[h_hargasetelahdiskon]]</f>
        <v/>
      </c>
      <c r="V349" s="271"/>
      <c r="W349" s="278" t="str">
        <f ca="1">IF(Table1[[#This Row],[Item Description]]="","",IF(Table1[[#This Row],[//]]="",INDIRECT(ADDRESS(ROW()-1,COLUMN())),Table1[[#This Row],[//]]))</f>
        <v/>
      </c>
      <c r="X349" s="278" t="str">
        <f ca="1">IF(Table1[[#This Row],[h_id]]="","",COUNTIF(Table1[h_id],Table1[[#This Row],[h_id]]))</f>
        <v/>
      </c>
      <c r="Y349" s="274" t="str">
        <f>IF(Table1[Item Description]="","",Table1[[#This Row],[Qty]]*Table1[[#This Row],[Unit Price]])</f>
        <v/>
      </c>
      <c r="Z349" s="274" t="str">
        <f>IF(Table1[[#This Row],[h_hargasebelumdiskon]]="","",IF(Table1[[#This Row],[Disc 1]]="",0,Table1[[#This Row],[h_hargasebelumdiskon]]*Table1[[#This Row],[Disc 1]]))</f>
        <v/>
      </c>
      <c r="AA349" s="274" t="str">
        <f>IF(Table1[[#This Row],[h_hargasebelumdiskon]]="","",IF(Table1[[#This Row],[Disc 2]]="",0,(Table1[[#This Row],[h_hargasebelumdiskon]]-Table1[[#This Row],[h_disc 1]])*Table1[[#This Row],[Disc 2]]))</f>
        <v/>
      </c>
      <c r="AB349" s="274" t="str">
        <f>IF(Table1[Item Description]="","",Table1[[#This Row],[h_disc 1]]+Table1[[#This Row],[h_disc 2]])</f>
        <v/>
      </c>
      <c r="AC349" s="274" t="str">
        <f>IF(Table1[Item Description]="","",Table1[[#This Row],[h_hargasebelumdiskon]]-Table1[[#This Row],[h_diskon]])</f>
        <v/>
      </c>
      <c r="AD349" s="274" t="str">
        <f ca="1">IF(Table1[//]="","",SUMIF(Table1[h_id],Table1[h_id],Table1[h_hargasetelahdiskon]))</f>
        <v/>
      </c>
      <c r="AF349" s="274" t="str">
        <f>Table1[[#This Row],[Item Description]]&amp;Table1[[#This Row],[Unit]]&amp;Table1[[#This Row],[Unit Price]]</f>
        <v/>
      </c>
      <c r="AG349" s="3"/>
      <c r="AH349" s="3"/>
      <c r="AI349" s="3"/>
    </row>
    <row r="350" spans="1:35" x14ac:dyDescent="0.25">
      <c r="A350" s="278" t="str">
        <f ca="1">IF(Table1[[#This Row],[No. Invoice :]]="","",ROW())</f>
        <v/>
      </c>
      <c r="B350" s="278" t="str">
        <f ca="1">IF(Table1[Column3]="","",B$1+COUNT(INDIRECT("B$2:B"&amp;ROW()-1)))</f>
        <v/>
      </c>
      <c r="C350" s="272" t="str">
        <f>IF(Table1[[#This Row],[Column2]]="","",Table1[[#This Row],[Column2]]+C$1-1)</f>
        <v/>
      </c>
      <c r="E350" s="273"/>
      <c r="F350" s="271"/>
      <c r="G350" s="278" t="str">
        <f ca="1">IF(Table1[[#This Row],[h_No. Invoice :]]="","",CONCATENATE("AM"," ",Table1[[#This Row],[h_No. Invoice :]]))</f>
        <v/>
      </c>
      <c r="H350" s="271" t="str">
        <f>IF(Table1[[#This Row],[Column5]]="","",INDEX(Table2[Column1],MATCH(Table1[[#This Row],[Column5]],Table2[a],0)))</f>
        <v/>
      </c>
      <c r="I350" s="279" t="str">
        <f>IF(Table1[[#This Row],[Column3]]=0,"",CONCATENATE(UPPER(Table1[[#This Row],[Column3]])," ",Table1[[#This Row],[Column4]]))</f>
        <v xml:space="preserve"> </v>
      </c>
      <c r="J350" s="278" t="str">
        <f>IF(Table1[[#This Row],[Column5]]="","",INDEX(Table2[e],IF(Table1[[#This Row],[Column5]]="","",MATCH(Table1[[#This Row],[Column5]],Table2[a],0)),))</f>
        <v/>
      </c>
      <c r="K350" s="271"/>
      <c r="L350" s="271"/>
      <c r="O350" s="278" t="str">
        <f>IF(Table1[[#This Row],[h_Item Description]]="","",INDEX([1]!db[NB PAJAK],MATCH(Table1[[#This Row],[h_Item Description]],[1]!db[kode],0)))</f>
        <v/>
      </c>
      <c r="Q350" s="274"/>
      <c r="R350" s="275"/>
      <c r="S350" s="275"/>
      <c r="T350" s="274" t="str">
        <f>Table1[[#This Row],[h_hargasetelahdiskon]]</f>
        <v/>
      </c>
      <c r="V350" s="271"/>
      <c r="W350" s="278" t="str">
        <f ca="1">IF(Table1[[#This Row],[Item Description]]="","",IF(Table1[[#This Row],[//]]="",INDIRECT(ADDRESS(ROW()-1,COLUMN())),Table1[[#This Row],[//]]))</f>
        <v/>
      </c>
      <c r="X350" s="278" t="str">
        <f ca="1">IF(Table1[[#This Row],[h_id]]="","",COUNTIF(Table1[h_id],Table1[[#This Row],[h_id]]))</f>
        <v/>
      </c>
      <c r="Y350" s="274" t="str">
        <f>IF(Table1[Item Description]="","",Table1[[#This Row],[Qty]]*Table1[[#This Row],[Unit Price]])</f>
        <v/>
      </c>
      <c r="Z350" s="274" t="str">
        <f>IF(Table1[[#This Row],[h_hargasebelumdiskon]]="","",IF(Table1[[#This Row],[Disc 1]]="",0,Table1[[#This Row],[h_hargasebelumdiskon]]*Table1[[#This Row],[Disc 1]]))</f>
        <v/>
      </c>
      <c r="AA350" s="274" t="str">
        <f>IF(Table1[[#This Row],[h_hargasebelumdiskon]]="","",IF(Table1[[#This Row],[Disc 2]]="",0,(Table1[[#This Row],[h_hargasebelumdiskon]]-Table1[[#This Row],[h_disc 1]])*Table1[[#This Row],[Disc 2]]))</f>
        <v/>
      </c>
      <c r="AB350" s="274" t="str">
        <f>IF(Table1[Item Description]="","",Table1[[#This Row],[h_disc 1]]+Table1[[#This Row],[h_disc 2]])</f>
        <v/>
      </c>
      <c r="AC350" s="274" t="str">
        <f>IF(Table1[Item Description]="","",Table1[[#This Row],[h_hargasebelumdiskon]]-Table1[[#This Row],[h_diskon]])</f>
        <v/>
      </c>
      <c r="AD350" s="274" t="str">
        <f ca="1">IF(Table1[//]="","",SUMIF(Table1[h_id],Table1[h_id],Table1[h_hargasetelahdiskon]))</f>
        <v/>
      </c>
      <c r="AF350" s="274" t="str">
        <f>Table1[[#This Row],[Item Description]]&amp;Table1[[#This Row],[Unit]]&amp;Table1[[#This Row],[Unit Price]]</f>
        <v/>
      </c>
      <c r="AG350" s="3"/>
      <c r="AH350" s="3"/>
      <c r="AI350" s="3"/>
    </row>
    <row r="351" spans="1:35" x14ac:dyDescent="0.25">
      <c r="A351" s="278" t="str">
        <f ca="1">IF(Table1[[#This Row],[No. Invoice :]]="","",ROW())</f>
        <v/>
      </c>
      <c r="B351" s="278" t="str">
        <f ca="1">IF(Table1[Column3]="","",B$1+COUNT(INDIRECT("B$2:B"&amp;ROW()-1)))</f>
        <v/>
      </c>
      <c r="C351" s="272" t="str">
        <f>IF(Table1[[#This Row],[Column2]]="","",Table1[[#This Row],[Column2]]+C$1-1)</f>
        <v/>
      </c>
      <c r="E351" s="273"/>
      <c r="F351" s="271"/>
      <c r="G351" s="278" t="str">
        <f ca="1">IF(Table1[[#This Row],[h_No. Invoice :]]="","",CONCATENATE("AM"," ",Table1[[#This Row],[h_No. Invoice :]]))</f>
        <v/>
      </c>
      <c r="H351" s="271" t="str">
        <f>IF(Table1[[#This Row],[Column5]]="","",INDEX(Table2[Column1],MATCH(Table1[[#This Row],[Column5]],Table2[a],0)))</f>
        <v/>
      </c>
      <c r="I351" s="279" t="str">
        <f>IF(Table1[[#This Row],[Column3]]=0,"",CONCATENATE(UPPER(Table1[[#This Row],[Column3]])," ",Table1[[#This Row],[Column4]]))</f>
        <v xml:space="preserve"> </v>
      </c>
      <c r="J351" s="278" t="str">
        <f>IF(Table1[[#This Row],[Column5]]="","",INDEX(Table2[e],IF(Table1[[#This Row],[Column5]]="","",MATCH(Table1[[#This Row],[Column5]],Table2[a],0)),))</f>
        <v/>
      </c>
      <c r="K351" s="271"/>
      <c r="L351" s="271"/>
      <c r="O351" s="278" t="str">
        <f>IF(Table1[[#This Row],[h_Item Description]]="","",INDEX([1]!db[NB PAJAK],MATCH(Table1[[#This Row],[h_Item Description]],[1]!db[kode],0)))</f>
        <v/>
      </c>
      <c r="Q351" s="274"/>
      <c r="R351" s="275"/>
      <c r="S351" s="275"/>
      <c r="T351" s="274" t="str">
        <f>Table1[[#This Row],[h_hargasetelahdiskon]]</f>
        <v/>
      </c>
      <c r="V351" s="271"/>
      <c r="W351" s="278" t="str">
        <f ca="1">IF(Table1[[#This Row],[Item Description]]="","",IF(Table1[[#This Row],[//]]="",INDIRECT(ADDRESS(ROW()-1,COLUMN())),Table1[[#This Row],[//]]))</f>
        <v/>
      </c>
      <c r="X351" s="278" t="str">
        <f ca="1">IF(Table1[[#This Row],[h_id]]="","",COUNTIF(Table1[h_id],Table1[[#This Row],[h_id]]))</f>
        <v/>
      </c>
      <c r="Y351" s="274" t="str">
        <f>IF(Table1[Item Description]="","",Table1[[#This Row],[Qty]]*Table1[[#This Row],[Unit Price]])</f>
        <v/>
      </c>
      <c r="Z351" s="274" t="str">
        <f>IF(Table1[[#This Row],[h_hargasebelumdiskon]]="","",IF(Table1[[#This Row],[Disc 1]]="",0,Table1[[#This Row],[h_hargasebelumdiskon]]*Table1[[#This Row],[Disc 1]]))</f>
        <v/>
      </c>
      <c r="AA351" s="274" t="str">
        <f>IF(Table1[[#This Row],[h_hargasebelumdiskon]]="","",IF(Table1[[#This Row],[Disc 2]]="",0,(Table1[[#This Row],[h_hargasebelumdiskon]]-Table1[[#This Row],[h_disc 1]])*Table1[[#This Row],[Disc 2]]))</f>
        <v/>
      </c>
      <c r="AB351" s="274" t="str">
        <f>IF(Table1[Item Description]="","",Table1[[#This Row],[h_disc 1]]+Table1[[#This Row],[h_disc 2]])</f>
        <v/>
      </c>
      <c r="AC351" s="274" t="str">
        <f>IF(Table1[Item Description]="","",Table1[[#This Row],[h_hargasebelumdiskon]]-Table1[[#This Row],[h_diskon]])</f>
        <v/>
      </c>
      <c r="AD351" s="274" t="str">
        <f ca="1">IF(Table1[//]="","",SUMIF(Table1[h_id],Table1[h_id],Table1[h_hargasetelahdiskon]))</f>
        <v/>
      </c>
      <c r="AF351" s="274" t="str">
        <f>Table1[[#This Row],[Item Description]]&amp;Table1[[#This Row],[Unit]]&amp;Table1[[#This Row],[Unit Price]]</f>
        <v/>
      </c>
      <c r="AG351" s="3"/>
      <c r="AH351" s="3"/>
      <c r="AI351" s="3"/>
    </row>
    <row r="352" spans="1:35" x14ac:dyDescent="0.25">
      <c r="A352" s="278" t="str">
        <f ca="1">IF(Table1[[#This Row],[No. Invoice :]]="","",ROW())</f>
        <v/>
      </c>
      <c r="B352" s="278" t="str">
        <f ca="1">IF(Table1[Column3]="","",B$1+COUNT(INDIRECT("B$2:B"&amp;ROW()-1)))</f>
        <v/>
      </c>
      <c r="C352" s="272" t="str">
        <f>IF(Table1[[#This Row],[Column2]]="","",Table1[[#This Row],[Column2]]+C$1-1)</f>
        <v/>
      </c>
      <c r="E352" s="273"/>
      <c r="F352" s="271"/>
      <c r="G352" s="278" t="str">
        <f ca="1">IF(Table1[[#This Row],[h_No. Invoice :]]="","",CONCATENATE("AM"," ",Table1[[#This Row],[h_No. Invoice :]]))</f>
        <v/>
      </c>
      <c r="H352" s="271" t="str">
        <f>IF(Table1[[#This Row],[Column5]]="","",INDEX(Table2[Column1],MATCH(Table1[[#This Row],[Column5]],Table2[a],0)))</f>
        <v/>
      </c>
      <c r="I352" s="279" t="str">
        <f>IF(Table1[[#This Row],[Column3]]=0,"",CONCATENATE(UPPER(Table1[[#This Row],[Column3]])," ",Table1[[#This Row],[Column4]]))</f>
        <v xml:space="preserve"> </v>
      </c>
      <c r="J352" s="278" t="str">
        <f>IF(Table1[[#This Row],[Column5]]="","",INDEX(Table2[e],IF(Table1[[#This Row],[Column5]]="","",MATCH(Table1[[#This Row],[Column5]],Table2[a],0)),))</f>
        <v/>
      </c>
      <c r="K352" s="271"/>
      <c r="L352" s="271"/>
      <c r="O352" s="278" t="str">
        <f>IF(Table1[[#This Row],[h_Item Description]]="","",INDEX([1]!db[NB PAJAK],MATCH(Table1[[#This Row],[h_Item Description]],[1]!db[kode],0)))</f>
        <v/>
      </c>
      <c r="Q352" s="274"/>
      <c r="R352" s="275"/>
      <c r="S352" s="275"/>
      <c r="T352" s="274" t="str">
        <f>Table1[[#This Row],[h_hargasetelahdiskon]]</f>
        <v/>
      </c>
      <c r="V352" s="271"/>
      <c r="W352" s="278" t="str">
        <f ca="1">IF(Table1[[#This Row],[Item Description]]="","",IF(Table1[[#This Row],[//]]="",INDIRECT(ADDRESS(ROW()-1,COLUMN())),Table1[[#This Row],[//]]))</f>
        <v/>
      </c>
      <c r="X352" s="278" t="str">
        <f ca="1">IF(Table1[[#This Row],[h_id]]="","",COUNTIF(Table1[h_id],Table1[[#This Row],[h_id]]))</f>
        <v/>
      </c>
      <c r="Y352" s="274" t="str">
        <f>IF(Table1[Item Description]="","",Table1[[#This Row],[Qty]]*Table1[[#This Row],[Unit Price]])</f>
        <v/>
      </c>
      <c r="Z352" s="274" t="str">
        <f>IF(Table1[[#This Row],[h_hargasebelumdiskon]]="","",IF(Table1[[#This Row],[Disc 1]]="",0,Table1[[#This Row],[h_hargasebelumdiskon]]*Table1[[#This Row],[Disc 1]]))</f>
        <v/>
      </c>
      <c r="AA352" s="274" t="str">
        <f>IF(Table1[[#This Row],[h_hargasebelumdiskon]]="","",IF(Table1[[#This Row],[Disc 2]]="",0,(Table1[[#This Row],[h_hargasebelumdiskon]]-Table1[[#This Row],[h_disc 1]])*Table1[[#This Row],[Disc 2]]))</f>
        <v/>
      </c>
      <c r="AB352" s="274" t="str">
        <f>IF(Table1[Item Description]="","",Table1[[#This Row],[h_disc 1]]+Table1[[#This Row],[h_disc 2]])</f>
        <v/>
      </c>
      <c r="AC352" s="274" t="str">
        <f>IF(Table1[Item Description]="","",Table1[[#This Row],[h_hargasebelumdiskon]]-Table1[[#This Row],[h_diskon]])</f>
        <v/>
      </c>
      <c r="AD352" s="274" t="str">
        <f ca="1">IF(Table1[//]="","",SUMIF(Table1[h_id],Table1[h_id],Table1[h_hargasetelahdiskon]))</f>
        <v/>
      </c>
      <c r="AF352" s="274" t="str">
        <f>Table1[[#This Row],[Item Description]]&amp;Table1[[#This Row],[Unit]]&amp;Table1[[#This Row],[Unit Price]]</f>
        <v/>
      </c>
      <c r="AG352" s="3"/>
      <c r="AH352" s="3"/>
      <c r="AI352" s="3"/>
    </row>
    <row r="353" spans="1:35" x14ac:dyDescent="0.25">
      <c r="A353" s="278" t="str">
        <f ca="1">IF(Table1[[#This Row],[No. Invoice :]]="","",ROW())</f>
        <v/>
      </c>
      <c r="B353" s="278" t="str">
        <f ca="1">IF(Table1[Column3]="","",B$1+COUNT(INDIRECT("B$2:B"&amp;ROW()-1)))</f>
        <v/>
      </c>
      <c r="C353" s="272" t="str">
        <f>IF(Table1[[#This Row],[Column2]]="","",Table1[[#This Row],[Column2]]+C$1-1)</f>
        <v/>
      </c>
      <c r="E353" s="273"/>
      <c r="F353" s="271"/>
      <c r="G353" s="278" t="str">
        <f ca="1">IF(Table1[[#This Row],[h_No. Invoice :]]="","",CONCATENATE("AM"," ",Table1[[#This Row],[h_No. Invoice :]]))</f>
        <v/>
      </c>
      <c r="H353" s="271" t="str">
        <f>IF(Table1[[#This Row],[Column5]]="","",INDEX(Table2[Column1],MATCH(Table1[[#This Row],[Column5]],Table2[a],0)))</f>
        <v/>
      </c>
      <c r="I353" s="279" t="str">
        <f>IF(Table1[[#This Row],[Column3]]=0,"",CONCATENATE(UPPER(Table1[[#This Row],[Column3]])," ",Table1[[#This Row],[Column4]]))</f>
        <v xml:space="preserve"> </v>
      </c>
      <c r="J353" s="278" t="str">
        <f>IF(Table1[[#This Row],[Column5]]="","",INDEX(Table2[e],IF(Table1[[#This Row],[Column5]]="","",MATCH(Table1[[#This Row],[Column5]],Table2[a],0)),))</f>
        <v/>
      </c>
      <c r="K353" s="271"/>
      <c r="L353" s="271"/>
      <c r="O353" s="278" t="str">
        <f>IF(Table1[[#This Row],[h_Item Description]]="","",INDEX([1]!db[NB PAJAK],MATCH(Table1[[#This Row],[h_Item Description]],[1]!db[kode],0)))</f>
        <v/>
      </c>
      <c r="Q353" s="274"/>
      <c r="R353" s="275"/>
      <c r="S353" s="275"/>
      <c r="T353" s="274" t="str">
        <f>Table1[[#This Row],[h_hargasetelahdiskon]]</f>
        <v/>
      </c>
      <c r="V353" s="271"/>
      <c r="W353" s="278" t="str">
        <f ca="1">IF(Table1[[#This Row],[Item Description]]="","",IF(Table1[[#This Row],[//]]="",INDIRECT(ADDRESS(ROW()-1,COLUMN())),Table1[[#This Row],[//]]))</f>
        <v/>
      </c>
      <c r="X353" s="278" t="str">
        <f ca="1">IF(Table1[[#This Row],[h_id]]="","",COUNTIF(Table1[h_id],Table1[[#This Row],[h_id]]))</f>
        <v/>
      </c>
      <c r="Y353" s="274" t="str">
        <f>IF(Table1[Item Description]="","",Table1[[#This Row],[Qty]]*Table1[[#This Row],[Unit Price]])</f>
        <v/>
      </c>
      <c r="Z353" s="274" t="str">
        <f>IF(Table1[[#This Row],[h_hargasebelumdiskon]]="","",IF(Table1[[#This Row],[Disc 1]]="",0,Table1[[#This Row],[h_hargasebelumdiskon]]*Table1[[#This Row],[Disc 1]]))</f>
        <v/>
      </c>
      <c r="AA353" s="274" t="str">
        <f>IF(Table1[[#This Row],[h_hargasebelumdiskon]]="","",IF(Table1[[#This Row],[Disc 2]]="",0,(Table1[[#This Row],[h_hargasebelumdiskon]]-Table1[[#This Row],[h_disc 1]])*Table1[[#This Row],[Disc 2]]))</f>
        <v/>
      </c>
      <c r="AB353" s="274" t="str">
        <f>IF(Table1[Item Description]="","",Table1[[#This Row],[h_disc 1]]+Table1[[#This Row],[h_disc 2]])</f>
        <v/>
      </c>
      <c r="AC353" s="274" t="str">
        <f>IF(Table1[Item Description]="","",Table1[[#This Row],[h_hargasebelumdiskon]]-Table1[[#This Row],[h_diskon]])</f>
        <v/>
      </c>
      <c r="AD353" s="274" t="str">
        <f ca="1">IF(Table1[//]="","",SUMIF(Table1[h_id],Table1[h_id],Table1[h_hargasetelahdiskon]))</f>
        <v/>
      </c>
      <c r="AF353" s="274" t="str">
        <f>Table1[[#This Row],[Item Description]]&amp;Table1[[#This Row],[Unit]]&amp;Table1[[#This Row],[Unit Price]]</f>
        <v/>
      </c>
      <c r="AG353" s="3"/>
      <c r="AH353" s="3"/>
      <c r="AI353" s="3"/>
    </row>
    <row r="354" spans="1:35" x14ac:dyDescent="0.25">
      <c r="A354" s="278" t="str">
        <f ca="1">IF(Table1[[#This Row],[No. Invoice :]]="","",ROW())</f>
        <v/>
      </c>
      <c r="B354" s="278" t="str">
        <f ca="1">IF(Table1[Column3]="","",B$1+COUNT(INDIRECT("B$2:B"&amp;ROW()-1)))</f>
        <v/>
      </c>
      <c r="C354" s="272" t="str">
        <f>IF(Table1[[#This Row],[Column2]]="","",Table1[[#This Row],[Column2]]+C$1-1)</f>
        <v/>
      </c>
      <c r="E354" s="273"/>
      <c r="F354" s="271"/>
      <c r="G354" s="278" t="str">
        <f ca="1">IF(Table1[[#This Row],[h_No. Invoice :]]="","",CONCATENATE("AM"," ",Table1[[#This Row],[h_No. Invoice :]]))</f>
        <v/>
      </c>
      <c r="H354" s="271" t="str">
        <f>IF(Table1[[#This Row],[Column5]]="","",INDEX(Table2[Column1],MATCH(Table1[[#This Row],[Column5]],Table2[a],0)))</f>
        <v/>
      </c>
      <c r="I354" s="279" t="str">
        <f>IF(Table1[[#This Row],[Column3]]=0,"",CONCATENATE(UPPER(Table1[[#This Row],[Column3]])," ",Table1[[#This Row],[Column4]]))</f>
        <v xml:space="preserve"> </v>
      </c>
      <c r="J354" s="278" t="str">
        <f>IF(Table1[[#This Row],[Column5]]="","",INDEX(Table2[e],IF(Table1[[#This Row],[Column5]]="","",MATCH(Table1[[#This Row],[Column5]],Table2[a],0)),))</f>
        <v/>
      </c>
      <c r="K354" s="271"/>
      <c r="L354" s="271"/>
      <c r="O354" s="278" t="str">
        <f>IF(Table1[[#This Row],[h_Item Description]]="","",INDEX([1]!db[NB PAJAK],MATCH(Table1[[#This Row],[h_Item Description]],[1]!db[kode],0)))</f>
        <v/>
      </c>
      <c r="Q354" s="274"/>
      <c r="R354" s="275"/>
      <c r="S354" s="275"/>
      <c r="T354" s="274" t="str">
        <f>Table1[[#This Row],[h_hargasetelahdiskon]]</f>
        <v/>
      </c>
      <c r="V354" s="271"/>
      <c r="W354" s="278" t="str">
        <f ca="1">IF(Table1[[#This Row],[Item Description]]="","",IF(Table1[[#This Row],[//]]="",INDIRECT(ADDRESS(ROW()-1,COLUMN())),Table1[[#This Row],[//]]))</f>
        <v/>
      </c>
      <c r="X354" s="278" t="str">
        <f ca="1">IF(Table1[[#This Row],[h_id]]="","",COUNTIF(Table1[h_id],Table1[[#This Row],[h_id]]))</f>
        <v/>
      </c>
      <c r="Y354" s="274" t="str">
        <f>IF(Table1[Item Description]="","",Table1[[#This Row],[Qty]]*Table1[[#This Row],[Unit Price]])</f>
        <v/>
      </c>
      <c r="Z354" s="274" t="str">
        <f>IF(Table1[[#This Row],[h_hargasebelumdiskon]]="","",IF(Table1[[#This Row],[Disc 1]]="",0,Table1[[#This Row],[h_hargasebelumdiskon]]*Table1[[#This Row],[Disc 1]]))</f>
        <v/>
      </c>
      <c r="AA354" s="274" t="str">
        <f>IF(Table1[[#This Row],[h_hargasebelumdiskon]]="","",IF(Table1[[#This Row],[Disc 2]]="",0,(Table1[[#This Row],[h_hargasebelumdiskon]]-Table1[[#This Row],[h_disc 1]])*Table1[[#This Row],[Disc 2]]))</f>
        <v/>
      </c>
      <c r="AB354" s="274" t="str">
        <f>IF(Table1[Item Description]="","",Table1[[#This Row],[h_disc 1]]+Table1[[#This Row],[h_disc 2]])</f>
        <v/>
      </c>
      <c r="AC354" s="274" t="str">
        <f>IF(Table1[Item Description]="","",Table1[[#This Row],[h_hargasebelumdiskon]]-Table1[[#This Row],[h_diskon]])</f>
        <v/>
      </c>
      <c r="AD354" s="274" t="str">
        <f ca="1">IF(Table1[//]="","",SUMIF(Table1[h_id],Table1[h_id],Table1[h_hargasetelahdiskon]))</f>
        <v/>
      </c>
      <c r="AF354" s="274" t="str">
        <f>Table1[[#This Row],[Item Description]]&amp;Table1[[#This Row],[Unit]]&amp;Table1[[#This Row],[Unit Price]]</f>
        <v/>
      </c>
      <c r="AG354" s="3"/>
      <c r="AH354" s="3"/>
      <c r="AI354" s="3"/>
    </row>
    <row r="355" spans="1:35" x14ac:dyDescent="0.25">
      <c r="A355" s="278" t="str">
        <f ca="1">IF(Table1[[#This Row],[No. Invoice :]]="","",ROW())</f>
        <v/>
      </c>
      <c r="B355" s="278" t="str">
        <f ca="1">IF(Table1[Column3]="","",B$1+COUNT(INDIRECT("B$2:B"&amp;ROW()-1)))</f>
        <v/>
      </c>
      <c r="C355" s="272" t="str">
        <f>IF(Table1[[#This Row],[Column2]]="","",Table1[[#This Row],[Column2]]+C$1-1)</f>
        <v/>
      </c>
      <c r="E355" s="273"/>
      <c r="F355" s="271"/>
      <c r="G355" s="278" t="str">
        <f ca="1">IF(Table1[[#This Row],[h_No. Invoice :]]="","",CONCATENATE("AM"," ",Table1[[#This Row],[h_No. Invoice :]]))</f>
        <v/>
      </c>
      <c r="H355" s="271" t="str">
        <f>IF(Table1[[#This Row],[Column5]]="","",INDEX(Table2[Column1],MATCH(Table1[[#This Row],[Column5]],Table2[a],0)))</f>
        <v/>
      </c>
      <c r="I355" s="279" t="str">
        <f>IF(Table1[[#This Row],[Column3]]=0,"",CONCATENATE(UPPER(Table1[[#This Row],[Column3]])," ",Table1[[#This Row],[Column4]]))</f>
        <v xml:space="preserve"> </v>
      </c>
      <c r="J355" s="278" t="str">
        <f>IF(Table1[[#This Row],[Column5]]="","",INDEX(Table2[e],IF(Table1[[#This Row],[Column5]]="","",MATCH(Table1[[#This Row],[Column5]],Table2[a],0)),))</f>
        <v/>
      </c>
      <c r="K355" s="271"/>
      <c r="L355" s="271"/>
      <c r="O355" s="278" t="str">
        <f>IF(Table1[[#This Row],[h_Item Description]]="","",INDEX([1]!db[NB PAJAK],MATCH(Table1[[#This Row],[h_Item Description]],[1]!db[kode],0)))</f>
        <v/>
      </c>
      <c r="Q355" s="274"/>
      <c r="R355" s="275"/>
      <c r="S355" s="275"/>
      <c r="T355" s="274" t="str">
        <f>Table1[[#This Row],[h_hargasetelahdiskon]]</f>
        <v/>
      </c>
      <c r="V355" s="271"/>
      <c r="W355" s="278" t="str">
        <f ca="1">IF(Table1[[#This Row],[Item Description]]="","",IF(Table1[[#This Row],[//]]="",INDIRECT(ADDRESS(ROW()-1,COLUMN())),Table1[[#This Row],[//]]))</f>
        <v/>
      </c>
      <c r="X355" s="278" t="str">
        <f ca="1">IF(Table1[[#This Row],[h_id]]="","",COUNTIF(Table1[h_id],Table1[[#This Row],[h_id]]))</f>
        <v/>
      </c>
      <c r="Y355" s="274" t="str">
        <f>IF(Table1[Item Description]="","",Table1[[#This Row],[Qty]]*Table1[[#This Row],[Unit Price]])</f>
        <v/>
      </c>
      <c r="Z355" s="274" t="str">
        <f>IF(Table1[[#This Row],[h_hargasebelumdiskon]]="","",IF(Table1[[#This Row],[Disc 1]]="",0,Table1[[#This Row],[h_hargasebelumdiskon]]*Table1[[#This Row],[Disc 1]]))</f>
        <v/>
      </c>
      <c r="AA355" s="274" t="str">
        <f>IF(Table1[[#This Row],[h_hargasebelumdiskon]]="","",IF(Table1[[#This Row],[Disc 2]]="",0,(Table1[[#This Row],[h_hargasebelumdiskon]]-Table1[[#This Row],[h_disc 1]])*Table1[[#This Row],[Disc 2]]))</f>
        <v/>
      </c>
      <c r="AB355" s="274" t="str">
        <f>IF(Table1[Item Description]="","",Table1[[#This Row],[h_disc 1]]+Table1[[#This Row],[h_disc 2]])</f>
        <v/>
      </c>
      <c r="AC355" s="274" t="str">
        <f>IF(Table1[Item Description]="","",Table1[[#This Row],[h_hargasebelumdiskon]]-Table1[[#This Row],[h_diskon]])</f>
        <v/>
      </c>
      <c r="AD355" s="274" t="str">
        <f ca="1">IF(Table1[//]="","",SUMIF(Table1[h_id],Table1[h_id],Table1[h_hargasetelahdiskon]))</f>
        <v/>
      </c>
      <c r="AF355" s="274" t="str">
        <f>Table1[[#This Row],[Item Description]]&amp;Table1[[#This Row],[Unit]]&amp;Table1[[#This Row],[Unit Price]]</f>
        <v/>
      </c>
      <c r="AG355" s="3"/>
      <c r="AH355" s="3"/>
      <c r="AI355" s="3"/>
    </row>
    <row r="356" spans="1:35" x14ac:dyDescent="0.25">
      <c r="A356" s="278" t="str">
        <f ca="1">IF(Table1[[#This Row],[No. Invoice :]]="","",ROW())</f>
        <v/>
      </c>
      <c r="B356" s="278" t="str">
        <f ca="1">IF(Table1[Column3]="","",B$1+COUNT(INDIRECT("B$2:B"&amp;ROW()-1)))</f>
        <v/>
      </c>
      <c r="C356" s="272" t="str">
        <f>IF(Table1[[#This Row],[Column2]]="","",Table1[[#This Row],[Column2]]+C$1-1)</f>
        <v/>
      </c>
      <c r="E356" s="273"/>
      <c r="F356" s="271"/>
      <c r="G356" s="278" t="str">
        <f ca="1">IF(Table1[[#This Row],[h_No. Invoice :]]="","",CONCATENATE("AM"," ",Table1[[#This Row],[h_No. Invoice :]]))</f>
        <v/>
      </c>
      <c r="H356" s="271" t="str">
        <f>IF(Table1[[#This Row],[Column5]]="","",INDEX(Table2[Column1],MATCH(Table1[[#This Row],[Column5]],Table2[a],0)))</f>
        <v/>
      </c>
      <c r="I356" s="279" t="str">
        <f>IF(Table1[[#This Row],[Column3]]=0,"",CONCATENATE(UPPER(Table1[[#This Row],[Column3]])," ",Table1[[#This Row],[Column4]]))</f>
        <v xml:space="preserve"> </v>
      </c>
      <c r="J356" s="278" t="str">
        <f>IF(Table1[[#This Row],[Column5]]="","",INDEX(Table2[e],IF(Table1[[#This Row],[Column5]]="","",MATCH(Table1[[#This Row],[Column5]],Table2[a],0)),))</f>
        <v/>
      </c>
      <c r="K356" s="271"/>
      <c r="L356" s="271"/>
      <c r="O356" s="278" t="str">
        <f>IF(Table1[[#This Row],[h_Item Description]]="","",INDEX([1]!db[NB PAJAK],MATCH(Table1[[#This Row],[h_Item Description]],[1]!db[kode],0)))</f>
        <v/>
      </c>
      <c r="Q356" s="274"/>
      <c r="R356" s="275"/>
      <c r="S356" s="275"/>
      <c r="T356" s="274" t="str">
        <f>Table1[[#This Row],[h_hargasetelahdiskon]]</f>
        <v/>
      </c>
      <c r="V356" s="271"/>
      <c r="W356" s="278" t="str">
        <f ca="1">IF(Table1[[#This Row],[Item Description]]="","",IF(Table1[[#This Row],[//]]="",INDIRECT(ADDRESS(ROW()-1,COLUMN())),Table1[[#This Row],[//]]))</f>
        <v/>
      </c>
      <c r="X356" s="278" t="str">
        <f ca="1">IF(Table1[[#This Row],[h_id]]="","",COUNTIF(Table1[h_id],Table1[[#This Row],[h_id]]))</f>
        <v/>
      </c>
      <c r="Y356" s="274" t="str">
        <f>IF(Table1[Item Description]="","",Table1[[#This Row],[Qty]]*Table1[[#This Row],[Unit Price]])</f>
        <v/>
      </c>
      <c r="Z356" s="274" t="str">
        <f>IF(Table1[[#This Row],[h_hargasebelumdiskon]]="","",IF(Table1[[#This Row],[Disc 1]]="",0,Table1[[#This Row],[h_hargasebelumdiskon]]*Table1[[#This Row],[Disc 1]]))</f>
        <v/>
      </c>
      <c r="AA356" s="274" t="str">
        <f>IF(Table1[[#This Row],[h_hargasebelumdiskon]]="","",IF(Table1[[#This Row],[Disc 2]]="",0,(Table1[[#This Row],[h_hargasebelumdiskon]]-Table1[[#This Row],[h_disc 1]])*Table1[[#This Row],[Disc 2]]))</f>
        <v/>
      </c>
      <c r="AB356" s="274" t="str">
        <f>IF(Table1[Item Description]="","",Table1[[#This Row],[h_disc 1]]+Table1[[#This Row],[h_disc 2]])</f>
        <v/>
      </c>
      <c r="AC356" s="274" t="str">
        <f>IF(Table1[Item Description]="","",Table1[[#This Row],[h_hargasebelumdiskon]]-Table1[[#This Row],[h_diskon]])</f>
        <v/>
      </c>
      <c r="AD356" s="274" t="str">
        <f ca="1">IF(Table1[//]="","",SUMIF(Table1[h_id],Table1[h_id],Table1[h_hargasetelahdiskon]))</f>
        <v/>
      </c>
      <c r="AF356" s="274" t="str">
        <f>Table1[[#This Row],[Item Description]]&amp;Table1[[#This Row],[Unit]]&amp;Table1[[#This Row],[Unit Price]]</f>
        <v/>
      </c>
      <c r="AG356" s="3"/>
      <c r="AH356" s="3"/>
      <c r="AI356" s="3"/>
    </row>
    <row r="357" spans="1:35" x14ac:dyDescent="0.25">
      <c r="A357" s="278" t="str">
        <f ca="1">IF(Table1[[#This Row],[No. Invoice :]]="","",ROW())</f>
        <v/>
      </c>
      <c r="B357" s="278" t="str">
        <f ca="1">IF(Table1[Column3]="","",B$1+COUNT(INDIRECT("B$2:B"&amp;ROW()-1)))</f>
        <v/>
      </c>
      <c r="C357" s="272" t="str">
        <f>IF(Table1[[#This Row],[Column2]]="","",Table1[[#This Row],[Column2]]+C$1-1)</f>
        <v/>
      </c>
      <c r="E357" s="273"/>
      <c r="F357" s="271"/>
      <c r="G357" s="278" t="str">
        <f ca="1">IF(Table1[[#This Row],[h_No. Invoice :]]="","",CONCATENATE("AM"," ",Table1[[#This Row],[h_No. Invoice :]]))</f>
        <v/>
      </c>
      <c r="H357" s="271" t="str">
        <f>IF(Table1[[#This Row],[Column5]]="","",INDEX(Table2[Column1],MATCH(Table1[[#This Row],[Column5]],Table2[a],0)))</f>
        <v/>
      </c>
      <c r="I357" s="279" t="str">
        <f>IF(Table1[[#This Row],[Column3]]=0,"",CONCATENATE(UPPER(Table1[[#This Row],[Column3]])," ",Table1[[#This Row],[Column4]]))</f>
        <v xml:space="preserve"> </v>
      </c>
      <c r="J357" s="278" t="str">
        <f>IF(Table1[[#This Row],[Column5]]="","",INDEX(Table2[e],IF(Table1[[#This Row],[Column5]]="","",MATCH(Table1[[#This Row],[Column5]],Table2[a],0)),))</f>
        <v/>
      </c>
      <c r="K357" s="271"/>
      <c r="L357" s="271"/>
      <c r="O357" s="278" t="str">
        <f>IF(Table1[[#This Row],[h_Item Description]]="","",INDEX([1]!db[NB PAJAK],MATCH(Table1[[#This Row],[h_Item Description]],[1]!db[kode],0)))</f>
        <v/>
      </c>
      <c r="Q357" s="274"/>
      <c r="R357" s="275"/>
      <c r="S357" s="275"/>
      <c r="T357" s="274" t="str">
        <f>Table1[[#This Row],[h_hargasetelahdiskon]]</f>
        <v/>
      </c>
      <c r="V357" s="271"/>
      <c r="W357" s="278" t="str">
        <f ca="1">IF(Table1[[#This Row],[Item Description]]="","",IF(Table1[[#This Row],[//]]="",INDIRECT(ADDRESS(ROW()-1,COLUMN())),Table1[[#This Row],[//]]))</f>
        <v/>
      </c>
      <c r="X357" s="278" t="str">
        <f ca="1">IF(Table1[[#This Row],[h_id]]="","",COUNTIF(Table1[h_id],Table1[[#This Row],[h_id]]))</f>
        <v/>
      </c>
      <c r="Y357" s="274" t="str">
        <f>IF(Table1[Item Description]="","",Table1[[#This Row],[Qty]]*Table1[[#This Row],[Unit Price]])</f>
        <v/>
      </c>
      <c r="Z357" s="274" t="str">
        <f>IF(Table1[[#This Row],[h_hargasebelumdiskon]]="","",IF(Table1[[#This Row],[Disc 1]]="",0,Table1[[#This Row],[h_hargasebelumdiskon]]*Table1[[#This Row],[Disc 1]]))</f>
        <v/>
      </c>
      <c r="AA357" s="274" t="str">
        <f>IF(Table1[[#This Row],[h_hargasebelumdiskon]]="","",IF(Table1[[#This Row],[Disc 2]]="",0,(Table1[[#This Row],[h_hargasebelumdiskon]]-Table1[[#This Row],[h_disc 1]])*Table1[[#This Row],[Disc 2]]))</f>
        <v/>
      </c>
      <c r="AB357" s="274" t="str">
        <f>IF(Table1[Item Description]="","",Table1[[#This Row],[h_disc 1]]+Table1[[#This Row],[h_disc 2]])</f>
        <v/>
      </c>
      <c r="AC357" s="274" t="str">
        <f>IF(Table1[Item Description]="","",Table1[[#This Row],[h_hargasebelumdiskon]]-Table1[[#This Row],[h_diskon]])</f>
        <v/>
      </c>
      <c r="AD357" s="274" t="str">
        <f ca="1">IF(Table1[//]="","",SUMIF(Table1[h_id],Table1[h_id],Table1[h_hargasetelahdiskon]))</f>
        <v/>
      </c>
      <c r="AF357" s="274" t="str">
        <f>Table1[[#This Row],[Item Description]]&amp;Table1[[#This Row],[Unit]]&amp;Table1[[#This Row],[Unit Price]]</f>
        <v/>
      </c>
      <c r="AG357" s="3"/>
      <c r="AH357" s="3"/>
      <c r="AI357" s="3"/>
    </row>
    <row r="358" spans="1:35" x14ac:dyDescent="0.25">
      <c r="A358" s="278" t="str">
        <f ca="1">IF(Table1[[#This Row],[No. Invoice :]]="","",ROW())</f>
        <v/>
      </c>
      <c r="B358" s="278" t="str">
        <f ca="1">IF(Table1[Column3]="","",B$1+COUNT(INDIRECT("B$2:B"&amp;ROW()-1)))</f>
        <v/>
      </c>
      <c r="C358" s="272" t="str">
        <f>IF(Table1[[#This Row],[Column2]]="","",Table1[[#This Row],[Column2]]+C$1-1)</f>
        <v/>
      </c>
      <c r="E358" s="273"/>
      <c r="F358" s="271"/>
      <c r="G358" s="278" t="str">
        <f ca="1">IF(Table1[[#This Row],[h_No. Invoice :]]="","",CONCATENATE("AM"," ",Table1[[#This Row],[h_No. Invoice :]]))</f>
        <v/>
      </c>
      <c r="H358" s="271" t="str">
        <f>IF(Table1[[#This Row],[Column5]]="","",INDEX(Table2[Column1],MATCH(Table1[[#This Row],[Column5]],Table2[a],0)))</f>
        <v/>
      </c>
      <c r="I358" s="279" t="str">
        <f>IF(Table1[[#This Row],[Column3]]=0,"",CONCATENATE(UPPER(Table1[[#This Row],[Column3]])," ",Table1[[#This Row],[Column4]]))</f>
        <v xml:space="preserve"> </v>
      </c>
      <c r="J358" s="278" t="str">
        <f>IF(Table1[[#This Row],[Column5]]="","",INDEX(Table2[e],IF(Table1[[#This Row],[Column5]]="","",MATCH(Table1[[#This Row],[Column5]],Table2[a],0)),))</f>
        <v/>
      </c>
      <c r="K358" s="271"/>
      <c r="L358" s="271"/>
      <c r="O358" s="278" t="str">
        <f>IF(Table1[[#This Row],[h_Item Description]]="","",INDEX([1]!db[NB PAJAK],MATCH(Table1[[#This Row],[h_Item Description]],[1]!db[kode],0)))</f>
        <v/>
      </c>
      <c r="Q358" s="274"/>
      <c r="R358" s="275"/>
      <c r="S358" s="275"/>
      <c r="T358" s="274" t="str">
        <f>Table1[[#This Row],[h_hargasetelahdiskon]]</f>
        <v/>
      </c>
      <c r="V358" s="271"/>
      <c r="W358" s="278" t="str">
        <f ca="1">IF(Table1[[#This Row],[Item Description]]="","",IF(Table1[[#This Row],[//]]="",INDIRECT(ADDRESS(ROW()-1,COLUMN())),Table1[[#This Row],[//]]))</f>
        <v/>
      </c>
      <c r="X358" s="278" t="str">
        <f ca="1">IF(Table1[[#This Row],[h_id]]="","",COUNTIF(Table1[h_id],Table1[[#This Row],[h_id]]))</f>
        <v/>
      </c>
      <c r="Y358" s="274" t="str">
        <f>IF(Table1[Item Description]="","",Table1[[#This Row],[Qty]]*Table1[[#This Row],[Unit Price]])</f>
        <v/>
      </c>
      <c r="Z358" s="274" t="str">
        <f>IF(Table1[[#This Row],[h_hargasebelumdiskon]]="","",IF(Table1[[#This Row],[Disc 1]]="",0,Table1[[#This Row],[h_hargasebelumdiskon]]*Table1[[#This Row],[Disc 1]]))</f>
        <v/>
      </c>
      <c r="AA358" s="274" t="str">
        <f>IF(Table1[[#This Row],[h_hargasebelumdiskon]]="","",IF(Table1[[#This Row],[Disc 2]]="",0,(Table1[[#This Row],[h_hargasebelumdiskon]]-Table1[[#This Row],[h_disc 1]])*Table1[[#This Row],[Disc 2]]))</f>
        <v/>
      </c>
      <c r="AB358" s="274" t="str">
        <f>IF(Table1[Item Description]="","",Table1[[#This Row],[h_disc 1]]+Table1[[#This Row],[h_disc 2]])</f>
        <v/>
      </c>
      <c r="AC358" s="274" t="str">
        <f>IF(Table1[Item Description]="","",Table1[[#This Row],[h_hargasebelumdiskon]]-Table1[[#This Row],[h_diskon]])</f>
        <v/>
      </c>
      <c r="AD358" s="274" t="str">
        <f ca="1">IF(Table1[//]="","",SUMIF(Table1[h_id],Table1[h_id],Table1[h_hargasetelahdiskon]))</f>
        <v/>
      </c>
      <c r="AF358" s="274" t="str">
        <f>Table1[[#This Row],[Item Description]]&amp;Table1[[#This Row],[Unit]]&amp;Table1[[#This Row],[Unit Price]]</f>
        <v/>
      </c>
      <c r="AG358" s="3"/>
      <c r="AH358" s="3"/>
      <c r="AI358" s="3"/>
    </row>
    <row r="359" spans="1:35" x14ac:dyDescent="0.25">
      <c r="A359" s="278" t="str">
        <f ca="1">IF(Table1[[#This Row],[No. Invoice :]]="","",ROW())</f>
        <v/>
      </c>
      <c r="B359" s="278" t="str">
        <f ca="1">IF(Table1[Column3]="","",B$1+COUNT(INDIRECT("B$2:B"&amp;ROW()-1)))</f>
        <v/>
      </c>
      <c r="C359" s="272" t="str">
        <f>IF(Table1[[#This Row],[Column2]]="","",Table1[[#This Row],[Column2]]+C$1-1)</f>
        <v/>
      </c>
      <c r="E359" s="273"/>
      <c r="F359" s="271"/>
      <c r="G359" s="278" t="str">
        <f ca="1">IF(Table1[[#This Row],[h_No. Invoice :]]="","",CONCATENATE("AM"," ",Table1[[#This Row],[h_No. Invoice :]]))</f>
        <v/>
      </c>
      <c r="H359" s="271" t="str">
        <f>IF(Table1[[#This Row],[Column5]]="","",INDEX(Table2[Column1],MATCH(Table1[[#This Row],[Column5]],Table2[a],0)))</f>
        <v/>
      </c>
      <c r="I359" s="279" t="str">
        <f>IF(Table1[[#This Row],[Column3]]=0,"",CONCATENATE(UPPER(Table1[[#This Row],[Column3]])," ",Table1[[#This Row],[Column4]]))</f>
        <v xml:space="preserve"> </v>
      </c>
      <c r="J359" s="278" t="str">
        <f>IF(Table1[[#This Row],[Column5]]="","",INDEX(Table2[e],IF(Table1[[#This Row],[Column5]]="","",MATCH(Table1[[#This Row],[Column5]],Table2[a],0)),))</f>
        <v/>
      </c>
      <c r="K359" s="271"/>
      <c r="L359" s="271"/>
      <c r="O359" s="278" t="str">
        <f>IF(Table1[[#This Row],[h_Item Description]]="","",INDEX([1]!db[NB PAJAK],MATCH(Table1[[#This Row],[h_Item Description]],[1]!db[kode],0)))</f>
        <v/>
      </c>
      <c r="Q359" s="274"/>
      <c r="R359" s="275"/>
      <c r="S359" s="275"/>
      <c r="T359" s="274" t="str">
        <f>Table1[[#This Row],[h_hargasetelahdiskon]]</f>
        <v/>
      </c>
      <c r="V359" s="271"/>
      <c r="W359" s="278" t="str">
        <f ca="1">IF(Table1[[#This Row],[Item Description]]="","",IF(Table1[[#This Row],[//]]="",INDIRECT(ADDRESS(ROW()-1,COLUMN())),Table1[[#This Row],[//]]))</f>
        <v/>
      </c>
      <c r="X359" s="278" t="str">
        <f ca="1">IF(Table1[[#This Row],[h_id]]="","",COUNTIF(Table1[h_id],Table1[[#This Row],[h_id]]))</f>
        <v/>
      </c>
      <c r="Y359" s="274" t="str">
        <f>IF(Table1[Item Description]="","",Table1[[#This Row],[Qty]]*Table1[[#This Row],[Unit Price]])</f>
        <v/>
      </c>
      <c r="Z359" s="274" t="str">
        <f>IF(Table1[[#This Row],[h_hargasebelumdiskon]]="","",IF(Table1[[#This Row],[Disc 1]]="",0,Table1[[#This Row],[h_hargasebelumdiskon]]*Table1[[#This Row],[Disc 1]]))</f>
        <v/>
      </c>
      <c r="AA359" s="274" t="str">
        <f>IF(Table1[[#This Row],[h_hargasebelumdiskon]]="","",IF(Table1[[#This Row],[Disc 2]]="",0,(Table1[[#This Row],[h_hargasebelumdiskon]]-Table1[[#This Row],[h_disc 1]])*Table1[[#This Row],[Disc 2]]))</f>
        <v/>
      </c>
      <c r="AB359" s="274" t="str">
        <f>IF(Table1[Item Description]="","",Table1[[#This Row],[h_disc 1]]+Table1[[#This Row],[h_disc 2]])</f>
        <v/>
      </c>
      <c r="AC359" s="274" t="str">
        <f>IF(Table1[Item Description]="","",Table1[[#This Row],[h_hargasebelumdiskon]]-Table1[[#This Row],[h_diskon]])</f>
        <v/>
      </c>
      <c r="AD359" s="274" t="str">
        <f ca="1">IF(Table1[//]="","",SUMIF(Table1[h_id],Table1[h_id],Table1[h_hargasetelahdiskon]))</f>
        <v/>
      </c>
      <c r="AF359" s="274" t="str">
        <f>Table1[[#This Row],[Item Description]]&amp;Table1[[#This Row],[Unit]]&amp;Table1[[#This Row],[Unit Price]]</f>
        <v/>
      </c>
      <c r="AG359" s="3"/>
      <c r="AH359" s="3"/>
      <c r="AI359" s="3"/>
    </row>
    <row r="360" spans="1:35" x14ac:dyDescent="0.25">
      <c r="A360" s="278" t="str">
        <f ca="1">IF(Table1[[#This Row],[No. Invoice :]]="","",ROW())</f>
        <v/>
      </c>
      <c r="B360" s="278" t="str">
        <f ca="1">IF(Table1[Column3]="","",B$1+COUNT(INDIRECT("B$2:B"&amp;ROW()-1)))</f>
        <v/>
      </c>
      <c r="C360" s="272" t="str">
        <f>IF(Table1[[#This Row],[Column2]]="","",Table1[[#This Row],[Column2]]+C$1-1)</f>
        <v/>
      </c>
      <c r="E360" s="273"/>
      <c r="F360" s="271"/>
      <c r="G360" s="278" t="str">
        <f ca="1">IF(Table1[[#This Row],[h_No. Invoice :]]="","",CONCATENATE("AM"," ",Table1[[#This Row],[h_No. Invoice :]]))</f>
        <v/>
      </c>
      <c r="H360" s="271" t="str">
        <f>IF(Table1[[#This Row],[Column5]]="","",INDEX(Table2[Column1],MATCH(Table1[[#This Row],[Column5]],Table2[a],0)))</f>
        <v/>
      </c>
      <c r="I360" s="279" t="str">
        <f>IF(Table1[[#This Row],[Column3]]=0,"",CONCATENATE(UPPER(Table1[[#This Row],[Column3]])," ",Table1[[#This Row],[Column4]]))</f>
        <v xml:space="preserve"> </v>
      </c>
      <c r="J360" s="278" t="str">
        <f>IF(Table1[[#This Row],[Column5]]="","",INDEX(Table2[e],IF(Table1[[#This Row],[Column5]]="","",MATCH(Table1[[#This Row],[Column5]],Table2[a],0)),))</f>
        <v/>
      </c>
      <c r="K360" s="271"/>
      <c r="L360" s="271"/>
      <c r="O360" s="278" t="str">
        <f>IF(Table1[[#This Row],[h_Item Description]]="","",INDEX([1]!db[NB PAJAK],MATCH(Table1[[#This Row],[h_Item Description]],[1]!db[kode],0)))</f>
        <v/>
      </c>
      <c r="Q360" s="274"/>
      <c r="R360" s="275"/>
      <c r="S360" s="275"/>
      <c r="T360" s="274" t="str">
        <f>Table1[[#This Row],[h_hargasetelahdiskon]]</f>
        <v/>
      </c>
      <c r="V360" s="271"/>
      <c r="W360" s="278" t="str">
        <f ca="1">IF(Table1[[#This Row],[Item Description]]="","",IF(Table1[[#This Row],[//]]="",INDIRECT(ADDRESS(ROW()-1,COLUMN())),Table1[[#This Row],[//]]))</f>
        <v/>
      </c>
      <c r="X360" s="278" t="str">
        <f ca="1">IF(Table1[[#This Row],[h_id]]="","",COUNTIF(Table1[h_id],Table1[[#This Row],[h_id]]))</f>
        <v/>
      </c>
      <c r="Y360" s="274" t="str">
        <f>IF(Table1[Item Description]="","",Table1[[#This Row],[Qty]]*Table1[[#This Row],[Unit Price]])</f>
        <v/>
      </c>
      <c r="Z360" s="274" t="str">
        <f>IF(Table1[[#This Row],[h_hargasebelumdiskon]]="","",IF(Table1[[#This Row],[Disc 1]]="",0,Table1[[#This Row],[h_hargasebelumdiskon]]*Table1[[#This Row],[Disc 1]]))</f>
        <v/>
      </c>
      <c r="AA360" s="274" t="str">
        <f>IF(Table1[[#This Row],[h_hargasebelumdiskon]]="","",IF(Table1[[#This Row],[Disc 2]]="",0,(Table1[[#This Row],[h_hargasebelumdiskon]]-Table1[[#This Row],[h_disc 1]])*Table1[[#This Row],[Disc 2]]))</f>
        <v/>
      </c>
      <c r="AB360" s="274" t="str">
        <f>IF(Table1[Item Description]="","",Table1[[#This Row],[h_disc 1]]+Table1[[#This Row],[h_disc 2]])</f>
        <v/>
      </c>
      <c r="AC360" s="274" t="str">
        <f>IF(Table1[Item Description]="","",Table1[[#This Row],[h_hargasebelumdiskon]]-Table1[[#This Row],[h_diskon]])</f>
        <v/>
      </c>
      <c r="AD360" s="274" t="str">
        <f ca="1">IF(Table1[//]="","",SUMIF(Table1[h_id],Table1[h_id],Table1[h_hargasetelahdiskon]))</f>
        <v/>
      </c>
      <c r="AF360" s="274" t="str">
        <f>Table1[[#This Row],[Item Description]]&amp;Table1[[#This Row],[Unit]]&amp;Table1[[#This Row],[Unit Price]]</f>
        <v/>
      </c>
      <c r="AG360" s="3"/>
      <c r="AH360" s="3"/>
      <c r="AI360" s="3"/>
    </row>
    <row r="361" spans="1:35" x14ac:dyDescent="0.25">
      <c r="A361" s="278" t="str">
        <f ca="1">IF(Table1[[#This Row],[No. Invoice :]]="","",ROW())</f>
        <v/>
      </c>
      <c r="B361" s="278" t="str">
        <f ca="1">IF(Table1[Column3]="","",B$1+COUNT(INDIRECT("B$2:B"&amp;ROW()-1)))</f>
        <v/>
      </c>
      <c r="C361" s="272" t="str">
        <f>IF(Table1[[#This Row],[Column2]]="","",Table1[[#This Row],[Column2]]+C$1-1)</f>
        <v/>
      </c>
      <c r="E361" s="273"/>
      <c r="F361" s="271"/>
      <c r="G361" s="278" t="str">
        <f ca="1">IF(Table1[[#This Row],[h_No. Invoice :]]="","",CONCATENATE("AM"," ",Table1[[#This Row],[h_No. Invoice :]]))</f>
        <v/>
      </c>
      <c r="H361" s="271" t="str">
        <f>IF(Table1[[#This Row],[Column5]]="","",INDEX(Table2[Column1],MATCH(Table1[[#This Row],[Column5]],Table2[a],0)))</f>
        <v/>
      </c>
      <c r="I361" s="279" t="str">
        <f>IF(Table1[[#This Row],[Column3]]=0,"",CONCATENATE(UPPER(Table1[[#This Row],[Column3]])," ",Table1[[#This Row],[Column4]]))</f>
        <v xml:space="preserve"> </v>
      </c>
      <c r="J361" s="278" t="str">
        <f>IF(Table1[[#This Row],[Column5]]="","",INDEX(Table2[e],IF(Table1[[#This Row],[Column5]]="","",MATCH(Table1[[#This Row],[Column5]],Table2[a],0)),))</f>
        <v/>
      </c>
      <c r="K361" s="271"/>
      <c r="L361" s="271"/>
      <c r="O361" s="278" t="str">
        <f>IF(Table1[[#This Row],[h_Item Description]]="","",INDEX([1]!db[NB PAJAK],MATCH(Table1[[#This Row],[h_Item Description]],[1]!db[kode],0)))</f>
        <v/>
      </c>
      <c r="Q361" s="274"/>
      <c r="R361" s="275"/>
      <c r="S361" s="275"/>
      <c r="T361" s="274" t="str">
        <f>Table1[[#This Row],[h_hargasetelahdiskon]]</f>
        <v/>
      </c>
      <c r="V361" s="271"/>
      <c r="W361" s="278" t="str">
        <f ca="1">IF(Table1[[#This Row],[Item Description]]="","",IF(Table1[[#This Row],[//]]="",INDIRECT(ADDRESS(ROW()-1,COLUMN())),Table1[[#This Row],[//]]))</f>
        <v/>
      </c>
      <c r="X361" s="278" t="str">
        <f ca="1">IF(Table1[[#This Row],[h_id]]="","",COUNTIF(Table1[h_id],Table1[[#This Row],[h_id]]))</f>
        <v/>
      </c>
      <c r="Y361" s="274" t="str">
        <f>IF(Table1[Item Description]="","",Table1[[#This Row],[Qty]]*Table1[[#This Row],[Unit Price]])</f>
        <v/>
      </c>
      <c r="Z361" s="274" t="str">
        <f>IF(Table1[[#This Row],[h_hargasebelumdiskon]]="","",IF(Table1[[#This Row],[Disc 1]]="",0,Table1[[#This Row],[h_hargasebelumdiskon]]*Table1[[#This Row],[Disc 1]]))</f>
        <v/>
      </c>
      <c r="AA361" s="274" t="str">
        <f>IF(Table1[[#This Row],[h_hargasebelumdiskon]]="","",IF(Table1[[#This Row],[Disc 2]]="",0,(Table1[[#This Row],[h_hargasebelumdiskon]]-Table1[[#This Row],[h_disc 1]])*Table1[[#This Row],[Disc 2]]))</f>
        <v/>
      </c>
      <c r="AB361" s="274" t="str">
        <f>IF(Table1[Item Description]="","",Table1[[#This Row],[h_disc 1]]+Table1[[#This Row],[h_disc 2]])</f>
        <v/>
      </c>
      <c r="AC361" s="274" t="str">
        <f>IF(Table1[Item Description]="","",Table1[[#This Row],[h_hargasebelumdiskon]]-Table1[[#This Row],[h_diskon]])</f>
        <v/>
      </c>
      <c r="AD361" s="274" t="str">
        <f ca="1">IF(Table1[//]="","",SUMIF(Table1[h_id],Table1[h_id],Table1[h_hargasetelahdiskon]))</f>
        <v/>
      </c>
      <c r="AF361" s="274" t="str">
        <f>Table1[[#This Row],[Item Description]]&amp;Table1[[#This Row],[Unit]]&amp;Table1[[#This Row],[Unit Price]]</f>
        <v/>
      </c>
      <c r="AG361" s="3"/>
      <c r="AH361" s="3"/>
      <c r="AI361" s="3"/>
    </row>
    <row r="362" spans="1:35" x14ac:dyDescent="0.25">
      <c r="A362" s="278" t="str">
        <f ca="1">IF(Table1[[#This Row],[No. Invoice :]]="","",ROW())</f>
        <v/>
      </c>
      <c r="B362" s="278" t="str">
        <f ca="1">IF(Table1[Column3]="","",B$1+COUNT(INDIRECT("B$2:B"&amp;ROW()-1)))</f>
        <v/>
      </c>
      <c r="C362" s="272" t="str">
        <f>IF(Table1[[#This Row],[Column2]]="","",Table1[[#This Row],[Column2]]+C$1-1)</f>
        <v/>
      </c>
      <c r="E362" s="273"/>
      <c r="F362" s="271"/>
      <c r="G362" s="278" t="str">
        <f ca="1">IF(Table1[[#This Row],[h_No. Invoice :]]="","",CONCATENATE("AM"," ",Table1[[#This Row],[h_No. Invoice :]]))</f>
        <v/>
      </c>
      <c r="H362" s="271" t="str">
        <f>IF(Table1[[#This Row],[Column5]]="","",INDEX(Table2[Column1],MATCH(Table1[[#This Row],[Column5]],Table2[a],0)))</f>
        <v/>
      </c>
      <c r="I362" s="279" t="str">
        <f>IF(Table1[[#This Row],[Column3]]=0,"",CONCATENATE(UPPER(Table1[[#This Row],[Column3]])," ",Table1[[#This Row],[Column4]]))</f>
        <v xml:space="preserve"> </v>
      </c>
      <c r="J362" s="278" t="str">
        <f>IF(Table1[[#This Row],[Column5]]="","",INDEX(Table2[e],IF(Table1[[#This Row],[Column5]]="","",MATCH(Table1[[#This Row],[Column5]],Table2[a],0)),))</f>
        <v/>
      </c>
      <c r="K362" s="271"/>
      <c r="L362" s="271"/>
      <c r="O362" s="278" t="str">
        <f>IF(Table1[[#This Row],[h_Item Description]]="","",INDEX([1]!db[NB PAJAK],MATCH(Table1[[#This Row],[h_Item Description]],[1]!db[kode],0)))</f>
        <v/>
      </c>
      <c r="Q362" s="274"/>
      <c r="R362" s="275"/>
      <c r="S362" s="275"/>
      <c r="T362" s="274" t="str">
        <f>Table1[[#This Row],[h_hargasetelahdiskon]]</f>
        <v/>
      </c>
      <c r="V362" s="271"/>
      <c r="W362" s="278" t="str">
        <f ca="1">IF(Table1[[#This Row],[Item Description]]="","",IF(Table1[[#This Row],[//]]="",INDIRECT(ADDRESS(ROW()-1,COLUMN())),Table1[[#This Row],[//]]))</f>
        <v/>
      </c>
      <c r="X362" s="278" t="str">
        <f ca="1">IF(Table1[[#This Row],[h_id]]="","",COUNTIF(Table1[h_id],Table1[[#This Row],[h_id]]))</f>
        <v/>
      </c>
      <c r="Y362" s="274" t="str">
        <f>IF(Table1[Item Description]="","",Table1[[#This Row],[Qty]]*Table1[[#This Row],[Unit Price]])</f>
        <v/>
      </c>
      <c r="Z362" s="274" t="str">
        <f>IF(Table1[[#This Row],[h_hargasebelumdiskon]]="","",IF(Table1[[#This Row],[Disc 1]]="",0,Table1[[#This Row],[h_hargasebelumdiskon]]*Table1[[#This Row],[Disc 1]]))</f>
        <v/>
      </c>
      <c r="AA362" s="274" t="str">
        <f>IF(Table1[[#This Row],[h_hargasebelumdiskon]]="","",IF(Table1[[#This Row],[Disc 2]]="",0,(Table1[[#This Row],[h_hargasebelumdiskon]]-Table1[[#This Row],[h_disc 1]])*Table1[[#This Row],[Disc 2]]))</f>
        <v/>
      </c>
      <c r="AB362" s="274" t="str">
        <f>IF(Table1[Item Description]="","",Table1[[#This Row],[h_disc 1]]+Table1[[#This Row],[h_disc 2]])</f>
        <v/>
      </c>
      <c r="AC362" s="274" t="str">
        <f>IF(Table1[Item Description]="","",Table1[[#This Row],[h_hargasebelumdiskon]]-Table1[[#This Row],[h_diskon]])</f>
        <v/>
      </c>
      <c r="AD362" s="274" t="str">
        <f ca="1">IF(Table1[//]="","",SUMIF(Table1[h_id],Table1[h_id],Table1[h_hargasetelahdiskon]))</f>
        <v/>
      </c>
      <c r="AF362" s="274" t="str">
        <f>Table1[[#This Row],[Item Description]]&amp;Table1[[#This Row],[Unit]]&amp;Table1[[#This Row],[Unit Price]]</f>
        <v/>
      </c>
      <c r="AG362" s="3"/>
      <c r="AH362" s="3"/>
      <c r="AI362" s="3"/>
    </row>
    <row r="363" spans="1:35" x14ac:dyDescent="0.25">
      <c r="A363" s="278" t="str">
        <f ca="1">IF(Table1[[#This Row],[No. Invoice :]]="","",ROW())</f>
        <v/>
      </c>
      <c r="B363" s="278" t="str">
        <f ca="1">IF(Table1[Column3]="","",B$1+COUNT(INDIRECT("B$2:B"&amp;ROW()-1)))</f>
        <v/>
      </c>
      <c r="C363" s="272" t="str">
        <f>IF(Table1[[#This Row],[Column2]]="","",Table1[[#This Row],[Column2]]+C$1-1)</f>
        <v/>
      </c>
      <c r="E363" s="273"/>
      <c r="F363" s="271"/>
      <c r="G363" s="278" t="str">
        <f ca="1">IF(Table1[[#This Row],[h_No. Invoice :]]="","",CONCATENATE("AM"," ",Table1[[#This Row],[h_No. Invoice :]]))</f>
        <v/>
      </c>
      <c r="H363" s="271" t="str">
        <f>IF(Table1[[#This Row],[Column5]]="","",INDEX(Table2[Column1],MATCH(Table1[[#This Row],[Column5]],Table2[a],0)))</f>
        <v/>
      </c>
      <c r="I363" s="279" t="str">
        <f>IF(Table1[[#This Row],[Column3]]=0,"",CONCATENATE(UPPER(Table1[[#This Row],[Column3]])," ",Table1[[#This Row],[Column4]]))</f>
        <v xml:space="preserve"> </v>
      </c>
      <c r="J363" s="278" t="str">
        <f>IF(Table1[[#This Row],[Column5]]="","",INDEX(Table2[e],IF(Table1[[#This Row],[Column5]]="","",MATCH(Table1[[#This Row],[Column5]],Table2[a],0)),))</f>
        <v/>
      </c>
      <c r="K363" s="271"/>
      <c r="L363" s="271"/>
      <c r="O363" s="278" t="str">
        <f>IF(Table1[[#This Row],[h_Item Description]]="","",INDEX([1]!db[NB PAJAK],MATCH(Table1[[#This Row],[h_Item Description]],[1]!db[kode],0)))</f>
        <v/>
      </c>
      <c r="Q363" s="274"/>
      <c r="R363" s="275"/>
      <c r="S363" s="275"/>
      <c r="T363" s="274" t="str">
        <f>Table1[[#This Row],[h_hargasetelahdiskon]]</f>
        <v/>
      </c>
      <c r="V363" s="271"/>
      <c r="W363" s="278" t="str">
        <f ca="1">IF(Table1[[#This Row],[Item Description]]="","",IF(Table1[[#This Row],[//]]="",INDIRECT(ADDRESS(ROW()-1,COLUMN())),Table1[[#This Row],[//]]))</f>
        <v/>
      </c>
      <c r="X363" s="278" t="str">
        <f ca="1">IF(Table1[[#This Row],[h_id]]="","",COUNTIF(Table1[h_id],Table1[[#This Row],[h_id]]))</f>
        <v/>
      </c>
      <c r="Y363" s="274" t="str">
        <f>IF(Table1[Item Description]="","",Table1[[#This Row],[Qty]]*Table1[[#This Row],[Unit Price]])</f>
        <v/>
      </c>
      <c r="Z363" s="274" t="str">
        <f>IF(Table1[[#This Row],[h_hargasebelumdiskon]]="","",IF(Table1[[#This Row],[Disc 1]]="",0,Table1[[#This Row],[h_hargasebelumdiskon]]*Table1[[#This Row],[Disc 1]]))</f>
        <v/>
      </c>
      <c r="AA363" s="274" t="str">
        <f>IF(Table1[[#This Row],[h_hargasebelumdiskon]]="","",IF(Table1[[#This Row],[Disc 2]]="",0,(Table1[[#This Row],[h_hargasebelumdiskon]]-Table1[[#This Row],[h_disc 1]])*Table1[[#This Row],[Disc 2]]))</f>
        <v/>
      </c>
      <c r="AB363" s="274" t="str">
        <f>IF(Table1[Item Description]="","",Table1[[#This Row],[h_disc 1]]+Table1[[#This Row],[h_disc 2]])</f>
        <v/>
      </c>
      <c r="AC363" s="274" t="str">
        <f>IF(Table1[Item Description]="","",Table1[[#This Row],[h_hargasebelumdiskon]]-Table1[[#This Row],[h_diskon]])</f>
        <v/>
      </c>
      <c r="AD363" s="274" t="str">
        <f ca="1">IF(Table1[//]="","",SUMIF(Table1[h_id],Table1[h_id],Table1[h_hargasetelahdiskon]))</f>
        <v/>
      </c>
      <c r="AF363" s="274" t="str">
        <f>Table1[[#This Row],[Item Description]]&amp;Table1[[#This Row],[Unit]]&amp;Table1[[#This Row],[Unit Price]]</f>
        <v/>
      </c>
      <c r="AG363" s="3"/>
      <c r="AH363" s="3"/>
      <c r="AI363" s="3"/>
    </row>
    <row r="364" spans="1:35" x14ac:dyDescent="0.25">
      <c r="A364" s="278" t="str">
        <f ca="1">IF(Table1[[#This Row],[No. Invoice :]]="","",ROW())</f>
        <v/>
      </c>
      <c r="B364" s="278" t="str">
        <f ca="1">IF(Table1[Column3]="","",B$1+COUNT(INDIRECT("B$2:B"&amp;ROW()-1)))</f>
        <v/>
      </c>
      <c r="C364" s="272" t="str">
        <f>IF(Table1[[#This Row],[Column2]]="","",Table1[[#This Row],[Column2]]+C$1-1)</f>
        <v/>
      </c>
      <c r="E364" s="273"/>
      <c r="F364" s="271"/>
      <c r="G364" s="278" t="str">
        <f ca="1">IF(Table1[[#This Row],[h_No. Invoice :]]="","",CONCATENATE("AM"," ",Table1[[#This Row],[h_No. Invoice :]]))</f>
        <v/>
      </c>
      <c r="H364" s="271" t="str">
        <f>IF(Table1[[#This Row],[Column5]]="","",INDEX(Table2[Column1],MATCH(Table1[[#This Row],[Column5]],Table2[a],0)))</f>
        <v/>
      </c>
      <c r="I364" s="279" t="str">
        <f>IF(Table1[[#This Row],[Column3]]=0,"",CONCATENATE(UPPER(Table1[[#This Row],[Column3]])," ",Table1[[#This Row],[Column4]]))</f>
        <v xml:space="preserve"> </v>
      </c>
      <c r="J364" s="278" t="str">
        <f>IF(Table1[[#This Row],[Column5]]="","",INDEX(Table2[e],IF(Table1[[#This Row],[Column5]]="","",MATCH(Table1[[#This Row],[Column5]],Table2[a],0)),))</f>
        <v/>
      </c>
      <c r="K364" s="271"/>
      <c r="L364" s="271"/>
      <c r="O364" s="278" t="str">
        <f>IF(Table1[[#This Row],[h_Item Description]]="","",INDEX([1]!db[NB PAJAK],MATCH(Table1[[#This Row],[h_Item Description]],[1]!db[kode],0)))</f>
        <v/>
      </c>
      <c r="Q364" s="274"/>
      <c r="R364" s="275"/>
      <c r="S364" s="275"/>
      <c r="T364" s="274" t="str">
        <f>Table1[[#This Row],[h_hargasetelahdiskon]]</f>
        <v/>
      </c>
      <c r="V364" s="271"/>
      <c r="W364" s="278" t="str">
        <f ca="1">IF(Table1[[#This Row],[Item Description]]="","",IF(Table1[[#This Row],[//]]="",INDIRECT(ADDRESS(ROW()-1,COLUMN())),Table1[[#This Row],[//]]))</f>
        <v/>
      </c>
      <c r="X364" s="278" t="str">
        <f ca="1">IF(Table1[[#This Row],[h_id]]="","",COUNTIF(Table1[h_id],Table1[[#This Row],[h_id]]))</f>
        <v/>
      </c>
      <c r="Y364" s="274" t="str">
        <f>IF(Table1[Item Description]="","",Table1[[#This Row],[Qty]]*Table1[[#This Row],[Unit Price]])</f>
        <v/>
      </c>
      <c r="Z364" s="274" t="str">
        <f>IF(Table1[[#This Row],[h_hargasebelumdiskon]]="","",IF(Table1[[#This Row],[Disc 1]]="",0,Table1[[#This Row],[h_hargasebelumdiskon]]*Table1[[#This Row],[Disc 1]]))</f>
        <v/>
      </c>
      <c r="AA364" s="274" t="str">
        <f>IF(Table1[[#This Row],[h_hargasebelumdiskon]]="","",IF(Table1[[#This Row],[Disc 2]]="",0,(Table1[[#This Row],[h_hargasebelumdiskon]]-Table1[[#This Row],[h_disc 1]])*Table1[[#This Row],[Disc 2]]))</f>
        <v/>
      </c>
      <c r="AB364" s="274" t="str">
        <f>IF(Table1[Item Description]="","",Table1[[#This Row],[h_disc 1]]+Table1[[#This Row],[h_disc 2]])</f>
        <v/>
      </c>
      <c r="AC364" s="274" t="str">
        <f>IF(Table1[Item Description]="","",Table1[[#This Row],[h_hargasebelumdiskon]]-Table1[[#This Row],[h_diskon]])</f>
        <v/>
      </c>
      <c r="AD364" s="274" t="str">
        <f ca="1">IF(Table1[//]="","",SUMIF(Table1[h_id],Table1[h_id],Table1[h_hargasetelahdiskon]))</f>
        <v/>
      </c>
      <c r="AF364" s="274" t="str">
        <f>Table1[[#This Row],[Item Description]]&amp;Table1[[#This Row],[Unit]]&amp;Table1[[#This Row],[Unit Price]]</f>
        <v/>
      </c>
      <c r="AG364" s="3"/>
      <c r="AH364" s="3"/>
      <c r="AI364" s="3"/>
    </row>
    <row r="365" spans="1:35" x14ac:dyDescent="0.25">
      <c r="A365" s="278" t="str">
        <f ca="1">IF(Table1[[#This Row],[No. Invoice :]]="","",ROW())</f>
        <v/>
      </c>
      <c r="B365" s="278" t="str">
        <f ca="1">IF(Table1[Column3]="","",B$1+COUNT(INDIRECT("B$2:B"&amp;ROW()-1)))</f>
        <v/>
      </c>
      <c r="C365" s="272" t="str">
        <f>IF(Table1[[#This Row],[Column2]]="","",Table1[[#This Row],[Column2]]+C$1-1)</f>
        <v/>
      </c>
      <c r="E365" s="273"/>
      <c r="F365" s="271"/>
      <c r="G365" s="278" t="str">
        <f ca="1">IF(Table1[[#This Row],[h_No. Invoice :]]="","",CONCATENATE("AM"," ",Table1[[#This Row],[h_No. Invoice :]]))</f>
        <v/>
      </c>
      <c r="H365" s="271" t="str">
        <f>IF(Table1[[#This Row],[Column5]]="","",INDEX(Table2[Column1],MATCH(Table1[[#This Row],[Column5]],Table2[a],0)))</f>
        <v/>
      </c>
      <c r="I365" s="279" t="str">
        <f>IF(Table1[[#This Row],[Column3]]=0,"",CONCATENATE(UPPER(Table1[[#This Row],[Column3]])," ",Table1[[#This Row],[Column4]]))</f>
        <v xml:space="preserve"> </v>
      </c>
      <c r="J365" s="278" t="str">
        <f>IF(Table1[[#This Row],[Column5]]="","",INDEX(Table2[e],IF(Table1[[#This Row],[Column5]]="","",MATCH(Table1[[#This Row],[Column5]],Table2[a],0)),))</f>
        <v/>
      </c>
      <c r="K365" s="271"/>
      <c r="L365" s="271"/>
      <c r="O365" s="278" t="str">
        <f>IF(Table1[[#This Row],[h_Item Description]]="","",INDEX([1]!db[NB PAJAK],MATCH(Table1[[#This Row],[h_Item Description]],[1]!db[kode],0)))</f>
        <v/>
      </c>
      <c r="Q365" s="274"/>
      <c r="R365" s="275"/>
      <c r="S365" s="275"/>
      <c r="T365" s="274" t="str">
        <f>Table1[[#This Row],[h_hargasetelahdiskon]]</f>
        <v/>
      </c>
      <c r="V365" s="271"/>
      <c r="W365" s="278" t="str">
        <f ca="1">IF(Table1[[#This Row],[Item Description]]="","",IF(Table1[[#This Row],[//]]="",INDIRECT(ADDRESS(ROW()-1,COLUMN())),Table1[[#This Row],[//]]))</f>
        <v/>
      </c>
      <c r="X365" s="278" t="str">
        <f ca="1">IF(Table1[[#This Row],[h_id]]="","",COUNTIF(Table1[h_id],Table1[[#This Row],[h_id]]))</f>
        <v/>
      </c>
      <c r="Y365" s="274" t="str">
        <f>IF(Table1[Item Description]="","",Table1[[#This Row],[Qty]]*Table1[[#This Row],[Unit Price]])</f>
        <v/>
      </c>
      <c r="Z365" s="274" t="str">
        <f>IF(Table1[[#This Row],[h_hargasebelumdiskon]]="","",IF(Table1[[#This Row],[Disc 1]]="",0,Table1[[#This Row],[h_hargasebelumdiskon]]*Table1[[#This Row],[Disc 1]]))</f>
        <v/>
      </c>
      <c r="AA365" s="274" t="str">
        <f>IF(Table1[[#This Row],[h_hargasebelumdiskon]]="","",IF(Table1[[#This Row],[Disc 2]]="",0,(Table1[[#This Row],[h_hargasebelumdiskon]]-Table1[[#This Row],[h_disc 1]])*Table1[[#This Row],[Disc 2]]))</f>
        <v/>
      </c>
      <c r="AB365" s="274" t="str">
        <f>IF(Table1[Item Description]="","",Table1[[#This Row],[h_disc 1]]+Table1[[#This Row],[h_disc 2]])</f>
        <v/>
      </c>
      <c r="AC365" s="274" t="str">
        <f>IF(Table1[Item Description]="","",Table1[[#This Row],[h_hargasebelumdiskon]]-Table1[[#This Row],[h_diskon]])</f>
        <v/>
      </c>
      <c r="AD365" s="274" t="str">
        <f ca="1">IF(Table1[//]="","",SUMIF(Table1[h_id],Table1[h_id],Table1[h_hargasetelahdiskon]))</f>
        <v/>
      </c>
      <c r="AF365" s="274" t="str">
        <f>Table1[[#This Row],[Item Description]]&amp;Table1[[#This Row],[Unit]]&amp;Table1[[#This Row],[Unit Price]]</f>
        <v/>
      </c>
      <c r="AG365" s="3"/>
      <c r="AH365" s="3"/>
      <c r="AI365" s="3"/>
    </row>
    <row r="366" spans="1:35" x14ac:dyDescent="0.25">
      <c r="A366" s="278" t="str">
        <f ca="1">IF(Table1[[#This Row],[No. Invoice :]]="","",ROW())</f>
        <v/>
      </c>
      <c r="B366" s="278" t="str">
        <f ca="1">IF(Table1[Column3]="","",B$1+COUNT(INDIRECT("B$2:B"&amp;ROW()-1)))</f>
        <v/>
      </c>
      <c r="C366" s="272" t="str">
        <f>IF(Table1[[#This Row],[Column2]]="","",Table1[[#This Row],[Column2]]+C$1-1)</f>
        <v/>
      </c>
      <c r="E366" s="273"/>
      <c r="F366" s="271"/>
      <c r="G366" s="278" t="str">
        <f ca="1">IF(Table1[[#This Row],[h_No. Invoice :]]="","",CONCATENATE("AM"," ",Table1[[#This Row],[h_No. Invoice :]]))</f>
        <v/>
      </c>
      <c r="H366" s="271" t="str">
        <f>IF(Table1[[#This Row],[Column5]]="","",INDEX(Table2[Column1],MATCH(Table1[[#This Row],[Column5]],Table2[a],0)))</f>
        <v/>
      </c>
      <c r="I366" s="279" t="str">
        <f>IF(Table1[[#This Row],[Column3]]=0,"",CONCATENATE(UPPER(Table1[[#This Row],[Column3]])," ",Table1[[#This Row],[Column4]]))</f>
        <v xml:space="preserve"> </v>
      </c>
      <c r="J366" s="278" t="str">
        <f>IF(Table1[[#This Row],[Column5]]="","",INDEX(Table2[e],IF(Table1[[#This Row],[Column5]]="","",MATCH(Table1[[#This Row],[Column5]],Table2[a],0)),))</f>
        <v/>
      </c>
      <c r="K366" s="271"/>
      <c r="L366" s="271"/>
      <c r="O366" s="278" t="str">
        <f>IF(Table1[[#This Row],[h_Item Description]]="","",INDEX([1]!db[NB PAJAK],MATCH(Table1[[#This Row],[h_Item Description]],[1]!db[kode],0)))</f>
        <v/>
      </c>
      <c r="Q366" s="274"/>
      <c r="R366" s="275"/>
      <c r="S366" s="275"/>
      <c r="T366" s="274" t="str">
        <f>Table1[[#This Row],[h_hargasetelahdiskon]]</f>
        <v/>
      </c>
      <c r="V366" s="271"/>
      <c r="W366" s="278" t="str">
        <f ca="1">IF(Table1[[#This Row],[Item Description]]="","",IF(Table1[[#This Row],[//]]="",INDIRECT(ADDRESS(ROW()-1,COLUMN())),Table1[[#This Row],[//]]))</f>
        <v/>
      </c>
      <c r="X366" s="278" t="str">
        <f ca="1">IF(Table1[[#This Row],[h_id]]="","",COUNTIF(Table1[h_id],Table1[[#This Row],[h_id]]))</f>
        <v/>
      </c>
      <c r="Y366" s="274" t="str">
        <f>IF(Table1[Item Description]="","",Table1[[#This Row],[Qty]]*Table1[[#This Row],[Unit Price]])</f>
        <v/>
      </c>
      <c r="Z366" s="274" t="str">
        <f>IF(Table1[[#This Row],[h_hargasebelumdiskon]]="","",IF(Table1[[#This Row],[Disc 1]]="",0,Table1[[#This Row],[h_hargasebelumdiskon]]*Table1[[#This Row],[Disc 1]]))</f>
        <v/>
      </c>
      <c r="AA366" s="274" t="str">
        <f>IF(Table1[[#This Row],[h_hargasebelumdiskon]]="","",IF(Table1[[#This Row],[Disc 2]]="",0,(Table1[[#This Row],[h_hargasebelumdiskon]]-Table1[[#This Row],[h_disc 1]])*Table1[[#This Row],[Disc 2]]))</f>
        <v/>
      </c>
      <c r="AB366" s="274" t="str">
        <f>IF(Table1[Item Description]="","",Table1[[#This Row],[h_disc 1]]+Table1[[#This Row],[h_disc 2]])</f>
        <v/>
      </c>
      <c r="AC366" s="274" t="str">
        <f>IF(Table1[Item Description]="","",Table1[[#This Row],[h_hargasebelumdiskon]]-Table1[[#This Row],[h_diskon]])</f>
        <v/>
      </c>
      <c r="AD366" s="274" t="str">
        <f ca="1">IF(Table1[//]="","",SUMIF(Table1[h_id],Table1[h_id],Table1[h_hargasetelahdiskon]))</f>
        <v/>
      </c>
      <c r="AF366" s="274" t="str">
        <f>Table1[[#This Row],[Item Description]]&amp;Table1[[#This Row],[Unit]]&amp;Table1[[#This Row],[Unit Price]]</f>
        <v/>
      </c>
      <c r="AG366" s="3"/>
      <c r="AH366" s="3"/>
      <c r="AI366" s="3"/>
    </row>
    <row r="367" spans="1:35" x14ac:dyDescent="0.25">
      <c r="A367" s="278" t="str">
        <f ca="1">IF(Table1[[#This Row],[No. Invoice :]]="","",ROW())</f>
        <v/>
      </c>
      <c r="B367" s="278" t="str">
        <f ca="1">IF(Table1[Column3]="","",B$1+COUNT(INDIRECT("B$2:B"&amp;ROW()-1)))</f>
        <v/>
      </c>
      <c r="C367" s="272" t="str">
        <f>IF(Table1[[#This Row],[Column2]]="","",Table1[[#This Row],[Column2]]+C$1-1)</f>
        <v/>
      </c>
      <c r="E367" s="273"/>
      <c r="F367" s="271"/>
      <c r="G367" s="278" t="str">
        <f ca="1">IF(Table1[[#This Row],[h_No. Invoice :]]="","",CONCATENATE("AM"," ",Table1[[#This Row],[h_No. Invoice :]]))</f>
        <v/>
      </c>
      <c r="H367" s="271" t="str">
        <f>IF(Table1[[#This Row],[Column5]]="","",INDEX(Table2[Column1],MATCH(Table1[[#This Row],[Column5]],Table2[a],0)))</f>
        <v/>
      </c>
      <c r="I367" s="279" t="str">
        <f>IF(Table1[[#This Row],[Column3]]=0,"",CONCATENATE(UPPER(Table1[[#This Row],[Column3]])," ",Table1[[#This Row],[Column4]]))</f>
        <v xml:space="preserve"> </v>
      </c>
      <c r="J367" s="278" t="str">
        <f>IF(Table1[[#This Row],[Column5]]="","",INDEX(Table2[e],IF(Table1[[#This Row],[Column5]]="","",MATCH(Table1[[#This Row],[Column5]],Table2[a],0)),))</f>
        <v/>
      </c>
      <c r="K367" s="271"/>
      <c r="L367" s="271"/>
      <c r="O367" s="278" t="str">
        <f>IF(Table1[[#This Row],[h_Item Description]]="","",INDEX([1]!db[NB PAJAK],MATCH(Table1[[#This Row],[h_Item Description]],[1]!db[kode],0)))</f>
        <v/>
      </c>
      <c r="Q367" s="274"/>
      <c r="R367" s="275"/>
      <c r="S367" s="275"/>
      <c r="T367" s="274" t="str">
        <f>Table1[[#This Row],[h_hargasetelahdiskon]]</f>
        <v/>
      </c>
      <c r="V367" s="271"/>
      <c r="W367" s="278" t="str">
        <f ca="1">IF(Table1[[#This Row],[Item Description]]="","",IF(Table1[[#This Row],[//]]="",INDIRECT(ADDRESS(ROW()-1,COLUMN())),Table1[[#This Row],[//]]))</f>
        <v/>
      </c>
      <c r="X367" s="278" t="str">
        <f ca="1">IF(Table1[[#This Row],[h_id]]="","",COUNTIF(Table1[h_id],Table1[[#This Row],[h_id]]))</f>
        <v/>
      </c>
      <c r="Y367" s="274" t="str">
        <f>IF(Table1[Item Description]="","",Table1[[#This Row],[Qty]]*Table1[[#This Row],[Unit Price]])</f>
        <v/>
      </c>
      <c r="Z367" s="274" t="str">
        <f>IF(Table1[[#This Row],[h_hargasebelumdiskon]]="","",IF(Table1[[#This Row],[Disc 1]]="",0,Table1[[#This Row],[h_hargasebelumdiskon]]*Table1[[#This Row],[Disc 1]]))</f>
        <v/>
      </c>
      <c r="AA367" s="274" t="str">
        <f>IF(Table1[[#This Row],[h_hargasebelumdiskon]]="","",IF(Table1[[#This Row],[Disc 2]]="",0,(Table1[[#This Row],[h_hargasebelumdiskon]]-Table1[[#This Row],[h_disc 1]])*Table1[[#This Row],[Disc 2]]))</f>
        <v/>
      </c>
      <c r="AB367" s="274" t="str">
        <f>IF(Table1[Item Description]="","",Table1[[#This Row],[h_disc 1]]+Table1[[#This Row],[h_disc 2]])</f>
        <v/>
      </c>
      <c r="AC367" s="274" t="str">
        <f>IF(Table1[Item Description]="","",Table1[[#This Row],[h_hargasebelumdiskon]]-Table1[[#This Row],[h_diskon]])</f>
        <v/>
      </c>
      <c r="AD367" s="274" t="str">
        <f ca="1">IF(Table1[//]="","",SUMIF(Table1[h_id],Table1[h_id],Table1[h_hargasetelahdiskon]))</f>
        <v/>
      </c>
      <c r="AF367" s="274" t="str">
        <f>Table1[[#This Row],[Item Description]]&amp;Table1[[#This Row],[Unit]]&amp;Table1[[#This Row],[Unit Price]]</f>
        <v/>
      </c>
      <c r="AG367" s="3"/>
      <c r="AH367" s="3"/>
      <c r="AI367" s="3"/>
    </row>
    <row r="368" spans="1:35" x14ac:dyDescent="0.25">
      <c r="A368" s="278" t="str">
        <f ca="1">IF(Table1[[#This Row],[No. Invoice :]]="","",ROW())</f>
        <v/>
      </c>
      <c r="B368" s="278" t="str">
        <f ca="1">IF(Table1[Column3]="","",B$1+COUNT(INDIRECT("B$2:B"&amp;ROW()-1)))</f>
        <v/>
      </c>
      <c r="C368" s="272" t="str">
        <f>IF(Table1[[#This Row],[Column2]]="","",Table1[[#This Row],[Column2]]+C$1-1)</f>
        <v/>
      </c>
      <c r="E368" s="273"/>
      <c r="F368" s="271"/>
      <c r="G368" s="278" t="str">
        <f ca="1">IF(Table1[[#This Row],[h_No. Invoice :]]="","",CONCATENATE("AM"," ",Table1[[#This Row],[h_No. Invoice :]]))</f>
        <v/>
      </c>
      <c r="H368" s="271" t="str">
        <f>IF(Table1[[#This Row],[Column5]]="","",INDEX(Table2[Column1],MATCH(Table1[[#This Row],[Column5]],Table2[a],0)))</f>
        <v/>
      </c>
      <c r="I368" s="279" t="str">
        <f>IF(Table1[[#This Row],[Column3]]=0,"",CONCATENATE(UPPER(Table1[[#This Row],[Column3]])," ",Table1[[#This Row],[Column4]]))</f>
        <v xml:space="preserve"> </v>
      </c>
      <c r="J368" s="278" t="str">
        <f>IF(Table1[[#This Row],[Column5]]="","",INDEX(Table2[e],IF(Table1[[#This Row],[Column5]]="","",MATCH(Table1[[#This Row],[Column5]],Table2[a],0)),))</f>
        <v/>
      </c>
      <c r="K368" s="271"/>
      <c r="L368" s="271"/>
      <c r="O368" s="278" t="str">
        <f>IF(Table1[[#This Row],[h_Item Description]]="","",INDEX([1]!db[NB PAJAK],MATCH(Table1[[#This Row],[h_Item Description]],[1]!db[kode],0)))</f>
        <v/>
      </c>
      <c r="Q368" s="274"/>
      <c r="R368" s="275"/>
      <c r="S368" s="275"/>
      <c r="T368" s="274" t="str">
        <f>Table1[[#This Row],[h_hargasetelahdiskon]]</f>
        <v/>
      </c>
      <c r="V368" s="271"/>
      <c r="W368" s="278" t="str">
        <f ca="1">IF(Table1[[#This Row],[Item Description]]="","",IF(Table1[[#This Row],[//]]="",INDIRECT(ADDRESS(ROW()-1,COLUMN())),Table1[[#This Row],[//]]))</f>
        <v/>
      </c>
      <c r="X368" s="278" t="str">
        <f ca="1">IF(Table1[[#This Row],[h_id]]="","",COUNTIF(Table1[h_id],Table1[[#This Row],[h_id]]))</f>
        <v/>
      </c>
      <c r="Y368" s="274" t="str">
        <f>IF(Table1[Item Description]="","",Table1[[#This Row],[Qty]]*Table1[[#This Row],[Unit Price]])</f>
        <v/>
      </c>
      <c r="Z368" s="274" t="str">
        <f>IF(Table1[[#This Row],[h_hargasebelumdiskon]]="","",IF(Table1[[#This Row],[Disc 1]]="",0,Table1[[#This Row],[h_hargasebelumdiskon]]*Table1[[#This Row],[Disc 1]]))</f>
        <v/>
      </c>
      <c r="AA368" s="274" t="str">
        <f>IF(Table1[[#This Row],[h_hargasebelumdiskon]]="","",IF(Table1[[#This Row],[Disc 2]]="",0,(Table1[[#This Row],[h_hargasebelumdiskon]]-Table1[[#This Row],[h_disc 1]])*Table1[[#This Row],[Disc 2]]))</f>
        <v/>
      </c>
      <c r="AB368" s="274" t="str">
        <f>IF(Table1[Item Description]="","",Table1[[#This Row],[h_disc 1]]+Table1[[#This Row],[h_disc 2]])</f>
        <v/>
      </c>
      <c r="AC368" s="274" t="str">
        <f>IF(Table1[Item Description]="","",Table1[[#This Row],[h_hargasebelumdiskon]]-Table1[[#This Row],[h_diskon]])</f>
        <v/>
      </c>
      <c r="AD368" s="274" t="str">
        <f ca="1">IF(Table1[//]="","",SUMIF(Table1[h_id],Table1[h_id],Table1[h_hargasetelahdiskon]))</f>
        <v/>
      </c>
      <c r="AF368" s="274" t="str">
        <f>Table1[[#This Row],[Item Description]]&amp;Table1[[#This Row],[Unit]]&amp;Table1[[#This Row],[Unit Price]]</f>
        <v/>
      </c>
      <c r="AG368" s="3"/>
      <c r="AH368" s="3"/>
      <c r="AI368" s="3"/>
    </row>
    <row r="369" spans="1:35" x14ac:dyDescent="0.25">
      <c r="A369" s="278" t="str">
        <f ca="1">IF(Table1[[#This Row],[No. Invoice :]]="","",ROW())</f>
        <v/>
      </c>
      <c r="B369" s="278" t="str">
        <f ca="1">IF(Table1[Column3]="","",B$1+COUNT(INDIRECT("B$2:B"&amp;ROW()-1)))</f>
        <v/>
      </c>
      <c r="C369" s="272" t="str">
        <f>IF(Table1[[#This Row],[Column2]]="","",Table1[[#This Row],[Column2]]+C$1-1)</f>
        <v/>
      </c>
      <c r="E369" s="273"/>
      <c r="F369" s="271"/>
      <c r="G369" s="278" t="str">
        <f ca="1">IF(Table1[[#This Row],[h_No. Invoice :]]="","",CONCATENATE("AM"," ",Table1[[#This Row],[h_No. Invoice :]]))</f>
        <v/>
      </c>
      <c r="H369" s="271" t="str">
        <f>IF(Table1[[#This Row],[Column5]]="","",INDEX(Table2[Column1],MATCH(Table1[[#This Row],[Column5]],Table2[a],0)))</f>
        <v/>
      </c>
      <c r="I369" s="279" t="str">
        <f>IF(Table1[[#This Row],[Column3]]=0,"",CONCATENATE(UPPER(Table1[[#This Row],[Column3]])," ",Table1[[#This Row],[Column4]]))</f>
        <v xml:space="preserve"> </v>
      </c>
      <c r="J369" s="278" t="str">
        <f>IF(Table1[[#This Row],[Column5]]="","",INDEX(Table2[e],IF(Table1[[#This Row],[Column5]]="","",MATCH(Table1[[#This Row],[Column5]],Table2[a],0)),))</f>
        <v/>
      </c>
      <c r="K369" s="271"/>
      <c r="L369" s="271"/>
      <c r="O369" s="278" t="str">
        <f>IF(Table1[[#This Row],[h_Item Description]]="","",INDEX([1]!db[NB PAJAK],MATCH(Table1[[#This Row],[h_Item Description]],[1]!db[kode],0)))</f>
        <v/>
      </c>
      <c r="Q369" s="274"/>
      <c r="R369" s="275"/>
      <c r="S369" s="275"/>
      <c r="T369" s="274" t="str">
        <f>Table1[[#This Row],[h_hargasetelahdiskon]]</f>
        <v/>
      </c>
      <c r="V369" s="271"/>
      <c r="W369" s="278" t="str">
        <f ca="1">IF(Table1[[#This Row],[Item Description]]="","",IF(Table1[[#This Row],[//]]="",INDIRECT(ADDRESS(ROW()-1,COLUMN())),Table1[[#This Row],[//]]))</f>
        <v/>
      </c>
      <c r="X369" s="278" t="str">
        <f ca="1">IF(Table1[[#This Row],[h_id]]="","",COUNTIF(Table1[h_id],Table1[[#This Row],[h_id]]))</f>
        <v/>
      </c>
      <c r="Y369" s="274" t="str">
        <f>IF(Table1[Item Description]="","",Table1[[#This Row],[Qty]]*Table1[[#This Row],[Unit Price]])</f>
        <v/>
      </c>
      <c r="Z369" s="274" t="str">
        <f>IF(Table1[[#This Row],[h_hargasebelumdiskon]]="","",IF(Table1[[#This Row],[Disc 1]]="",0,Table1[[#This Row],[h_hargasebelumdiskon]]*Table1[[#This Row],[Disc 1]]))</f>
        <v/>
      </c>
      <c r="AA369" s="274" t="str">
        <f>IF(Table1[[#This Row],[h_hargasebelumdiskon]]="","",IF(Table1[[#This Row],[Disc 2]]="",0,(Table1[[#This Row],[h_hargasebelumdiskon]]-Table1[[#This Row],[h_disc 1]])*Table1[[#This Row],[Disc 2]]))</f>
        <v/>
      </c>
      <c r="AB369" s="274" t="str">
        <f>IF(Table1[Item Description]="","",Table1[[#This Row],[h_disc 1]]+Table1[[#This Row],[h_disc 2]])</f>
        <v/>
      </c>
      <c r="AC369" s="274" t="str">
        <f>IF(Table1[Item Description]="","",Table1[[#This Row],[h_hargasebelumdiskon]]-Table1[[#This Row],[h_diskon]])</f>
        <v/>
      </c>
      <c r="AD369" s="274" t="str">
        <f ca="1">IF(Table1[//]="","",SUMIF(Table1[h_id],Table1[h_id],Table1[h_hargasetelahdiskon]))</f>
        <v/>
      </c>
      <c r="AF369" s="274" t="str">
        <f>Table1[[#This Row],[Item Description]]&amp;Table1[[#This Row],[Unit]]&amp;Table1[[#This Row],[Unit Price]]</f>
        <v/>
      </c>
      <c r="AG369" s="3"/>
      <c r="AH369" s="3"/>
      <c r="AI369" s="3"/>
    </row>
    <row r="370" spans="1:35" x14ac:dyDescent="0.25">
      <c r="A370" s="278" t="str">
        <f ca="1">IF(Table1[[#This Row],[No. Invoice :]]="","",ROW())</f>
        <v/>
      </c>
      <c r="B370" s="278" t="str">
        <f ca="1">IF(Table1[Column3]="","",B$1+COUNT(INDIRECT("B$2:B"&amp;ROW()-1)))</f>
        <v/>
      </c>
      <c r="C370" s="272" t="str">
        <f>IF(Table1[[#This Row],[Column2]]="","",Table1[[#This Row],[Column2]]+C$1-1)</f>
        <v/>
      </c>
      <c r="E370" s="273"/>
      <c r="F370" s="271"/>
      <c r="G370" s="278" t="str">
        <f ca="1">IF(Table1[[#This Row],[h_No. Invoice :]]="","",CONCATENATE("AM"," ",Table1[[#This Row],[h_No. Invoice :]]))</f>
        <v/>
      </c>
      <c r="H370" s="271" t="str">
        <f>IF(Table1[[#This Row],[Column5]]="","",INDEX(Table2[Column1],MATCH(Table1[[#This Row],[Column5]],Table2[a],0)))</f>
        <v/>
      </c>
      <c r="I370" s="279" t="str">
        <f>IF(Table1[[#This Row],[Column3]]=0,"",CONCATENATE(UPPER(Table1[[#This Row],[Column3]])," ",Table1[[#This Row],[Column4]]))</f>
        <v xml:space="preserve"> </v>
      </c>
      <c r="J370" s="278" t="str">
        <f>IF(Table1[[#This Row],[Column5]]="","",INDEX(Table2[e],IF(Table1[[#This Row],[Column5]]="","",MATCH(Table1[[#This Row],[Column5]],Table2[a],0)),))</f>
        <v/>
      </c>
      <c r="K370" s="271"/>
      <c r="L370" s="271"/>
      <c r="O370" s="278" t="str">
        <f>IF(Table1[[#This Row],[h_Item Description]]="","",INDEX([1]!db[NB PAJAK],MATCH(Table1[[#This Row],[h_Item Description]],[1]!db[kode],0)))</f>
        <v/>
      </c>
      <c r="Q370" s="274"/>
      <c r="R370" s="275"/>
      <c r="S370" s="275"/>
      <c r="T370" s="274" t="str">
        <f>Table1[[#This Row],[h_hargasetelahdiskon]]</f>
        <v/>
      </c>
      <c r="V370" s="271"/>
      <c r="W370" s="278" t="str">
        <f ca="1">IF(Table1[[#This Row],[Item Description]]="","",IF(Table1[[#This Row],[//]]="",INDIRECT(ADDRESS(ROW()-1,COLUMN())),Table1[[#This Row],[//]]))</f>
        <v/>
      </c>
      <c r="X370" s="278" t="str">
        <f ca="1">IF(Table1[[#This Row],[h_id]]="","",COUNTIF(Table1[h_id],Table1[[#This Row],[h_id]]))</f>
        <v/>
      </c>
      <c r="Y370" s="274" t="str">
        <f>IF(Table1[Item Description]="","",Table1[[#This Row],[Qty]]*Table1[[#This Row],[Unit Price]])</f>
        <v/>
      </c>
      <c r="Z370" s="274" t="str">
        <f>IF(Table1[[#This Row],[h_hargasebelumdiskon]]="","",IF(Table1[[#This Row],[Disc 1]]="",0,Table1[[#This Row],[h_hargasebelumdiskon]]*Table1[[#This Row],[Disc 1]]))</f>
        <v/>
      </c>
      <c r="AA370" s="274" t="str">
        <f>IF(Table1[[#This Row],[h_hargasebelumdiskon]]="","",IF(Table1[[#This Row],[Disc 2]]="",0,(Table1[[#This Row],[h_hargasebelumdiskon]]-Table1[[#This Row],[h_disc 1]])*Table1[[#This Row],[Disc 2]]))</f>
        <v/>
      </c>
      <c r="AB370" s="274" t="str">
        <f>IF(Table1[Item Description]="","",Table1[[#This Row],[h_disc 1]]+Table1[[#This Row],[h_disc 2]])</f>
        <v/>
      </c>
      <c r="AC370" s="274" t="str">
        <f>IF(Table1[Item Description]="","",Table1[[#This Row],[h_hargasebelumdiskon]]-Table1[[#This Row],[h_diskon]])</f>
        <v/>
      </c>
      <c r="AD370" s="274" t="str">
        <f ca="1">IF(Table1[//]="","",SUMIF(Table1[h_id],Table1[h_id],Table1[h_hargasetelahdiskon]))</f>
        <v/>
      </c>
      <c r="AF370" s="274" t="str">
        <f>Table1[[#This Row],[Item Description]]&amp;Table1[[#This Row],[Unit]]&amp;Table1[[#This Row],[Unit Price]]</f>
        <v/>
      </c>
      <c r="AG370" s="3"/>
      <c r="AH370" s="3"/>
      <c r="AI370" s="3"/>
    </row>
    <row r="371" spans="1:35" x14ac:dyDescent="0.25">
      <c r="A371" s="278"/>
      <c r="B371" s="278"/>
      <c r="E371" s="273"/>
      <c r="F371" s="271"/>
      <c r="G371" s="278"/>
      <c r="I371" s="279"/>
      <c r="J371" s="278"/>
      <c r="K371" s="271"/>
      <c r="L371" s="271"/>
      <c r="O371" s="278"/>
      <c r="Q371" s="274"/>
      <c r="R371" s="275"/>
      <c r="S371" s="275"/>
      <c r="T371" s="274"/>
      <c r="V371" s="271"/>
      <c r="W371" s="278"/>
      <c r="X371" s="278"/>
      <c r="Y371" s="274"/>
      <c r="Z371" s="274"/>
      <c r="AA371" s="274"/>
      <c r="AB371" s="274"/>
      <c r="AC371" s="274"/>
      <c r="AD371" s="274"/>
      <c r="AG371" s="3"/>
      <c r="AH371" s="3"/>
      <c r="AI371" s="3"/>
    </row>
  </sheetData>
  <conditionalFormatting sqref="P107">
    <cfRule type="duplicateValues" dxfId="117" priority="5"/>
  </conditionalFormatting>
  <conditionalFormatting sqref="P33">
    <cfRule type="duplicateValues" dxfId="116" priority="4"/>
  </conditionalFormatting>
  <conditionalFormatting sqref="P103">
    <cfRule type="duplicateValues" dxfId="115" priority="1"/>
  </conditionalFormatting>
  <conditionalFormatting sqref="P103">
    <cfRule type="duplicateValues" dxfId="114" priority="2"/>
  </conditionalFormatting>
  <conditionalFormatting sqref="E3:E370">
    <cfRule type="duplicateValues" dxfId="113" priority="26"/>
  </conditionalFormatting>
  <pageMargins left="0.7" right="0.7" top="0.75" bottom="0.75" header="0.3" footer="0.3"/>
  <pageSetup paperSize="14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64"/>
  <sheetViews>
    <sheetView topLeftCell="C1" zoomScale="85" zoomScaleNormal="85" workbookViewId="0">
      <selection activeCell="A30" sqref="A30"/>
    </sheetView>
  </sheetViews>
  <sheetFormatPr defaultRowHeight="15" x14ac:dyDescent="0.25"/>
  <cols>
    <col min="1" max="1" width="13.28515625" style="3" customWidth="1"/>
    <col min="2" max="2" width="13.140625" style="3" customWidth="1"/>
    <col min="3" max="3" width="6" style="3" customWidth="1"/>
    <col min="4" max="4" width="5.28515625" style="3" customWidth="1"/>
    <col min="5" max="5" width="12.42578125" style="3" customWidth="1"/>
    <col min="6" max="6" width="10.7109375" style="289" customWidth="1"/>
    <col min="7" max="7" width="13.28515625" style="3" customWidth="1"/>
    <col min="8" max="8" width="54.7109375" style="3" customWidth="1"/>
    <col min="9" max="9" width="15.28515625" style="290" customWidth="1"/>
    <col min="10" max="10" width="14.28515625" style="290" customWidth="1"/>
    <col min="11" max="11" width="15.28515625" style="290" customWidth="1"/>
    <col min="12" max="12" width="14.28515625" style="290" customWidth="1"/>
    <col min="13" max="13" width="15.28515625" style="290" customWidth="1"/>
    <col min="14" max="14" width="16.42578125" style="291" customWidth="1"/>
    <col min="15" max="15" width="8.85546875" style="291" customWidth="1"/>
    <col min="16" max="16" width="6" style="291" customWidth="1"/>
    <col min="17" max="17" width="4.42578125" style="291" customWidth="1"/>
    <col min="18" max="18" width="7.28515625" style="3" customWidth="1"/>
    <col min="19" max="19" width="9" style="3" customWidth="1"/>
    <col min="20" max="20" width="22.5703125" style="292" customWidth="1"/>
    <col min="21" max="21" width="6.140625" style="292" customWidth="1"/>
    <col min="22" max="22" width="10.28515625" style="292" customWidth="1"/>
    <col min="23" max="23" width="20.28515625" style="292" customWidth="1"/>
    <col min="24" max="24" width="10.5703125" style="292" customWidth="1"/>
    <col min="25" max="25" width="9.140625" style="3"/>
    <col min="26" max="26" width="14.5703125" style="3" customWidth="1"/>
    <col min="27" max="27" width="15.28515625" style="3" bestFit="1" customWidth="1"/>
    <col min="28" max="16384" width="9.140625" style="3"/>
  </cols>
  <sheetData>
    <row r="1" spans="1:27" x14ac:dyDescent="0.25">
      <c r="R1" s="3" t="s">
        <v>114</v>
      </c>
      <c r="T1" s="292" t="s">
        <v>115</v>
      </c>
      <c r="U1" s="292" t="s">
        <v>114</v>
      </c>
      <c r="V1" s="292" t="s">
        <v>114</v>
      </c>
      <c r="W1" s="292" t="s">
        <v>116</v>
      </c>
      <c r="X1" s="292" t="s">
        <v>117</v>
      </c>
    </row>
    <row r="2" spans="1:27" x14ac:dyDescent="0.25">
      <c r="H2" s="3" t="s">
        <v>200</v>
      </c>
      <c r="I2" s="290" t="s">
        <v>131</v>
      </c>
      <c r="U2" s="292">
        <v>4</v>
      </c>
      <c r="V2" s="292">
        <v>2</v>
      </c>
      <c r="W2" s="292">
        <v>32</v>
      </c>
      <c r="X2" s="292">
        <v>34</v>
      </c>
    </row>
    <row r="3" spans="1:27" x14ac:dyDescent="0.25">
      <c r="E3" s="3">
        <f ca="1">COUNT(Table1[//])</f>
        <v>29</v>
      </c>
      <c r="H3" s="293" t="str">
        <f>"["&amp;H2&amp;".xlsx]Invoice"</f>
        <v>[02-Hitung FP Keluar Februari 2024.xlsx]Invoice</v>
      </c>
      <c r="I3" s="294"/>
      <c r="O3" s="291">
        <f>'PREVIEW BORDERLESS'!K1</f>
        <v>0</v>
      </c>
      <c r="R3" s="3" t="str">
        <f>"'"&amp;pointer&amp;"'"&amp;"!$"&amp;1:1&amp;":$"&amp;1:1</f>
        <v>'[02-Hitung FP Keluar Februari 2024.xlsx]Invoice'!$D:$D</v>
      </c>
      <c r="S3" s="3">
        <f>NOTA!B1</f>
        <v>24020001</v>
      </c>
      <c r="T3" s="3" t="str">
        <f>"'"&amp;pointer&amp;"'"&amp;"!$"&amp;1:1&amp;":$"&amp;1:1</f>
        <v>'[02-Hitung FP Keluar Februari 2024.xlsx]Invoice'!$E:$E</v>
      </c>
      <c r="U3" s="3" t="str">
        <f>"'"&amp;pointer&amp;"'"&amp;"!$"&amp;1:1&amp;":$"&amp;1:1</f>
        <v>'[02-Hitung FP Keluar Februari 2024.xlsx]Invoice'!$D:$D</v>
      </c>
      <c r="V3" s="3" t="str">
        <f>"'"&amp;pointer&amp;"'"&amp;"!$"&amp;1:1&amp;":$"&amp;1:1</f>
        <v>'[02-Hitung FP Keluar Februari 2024.xlsx]Invoice'!$D:$D</v>
      </c>
      <c r="W3" s="3" t="str">
        <f>"'"&amp;pointer&amp;"'"&amp;"!$"&amp;1:1&amp;":$"&amp;1:1</f>
        <v>'[02-Hitung FP Keluar Februari 2024.xlsx]Invoice'!$K:$K</v>
      </c>
      <c r="X3" s="3" t="str">
        <f>"'"&amp;pointer&amp;"'"&amp;"!$"&amp;1:1&amp;":$"&amp;1:1</f>
        <v>'[02-Hitung FP Keluar Februari 2024.xlsx]Invoice'!$J:$J</v>
      </c>
    </row>
    <row r="4" spans="1:27" s="295" customFormat="1" x14ac:dyDescent="0.25">
      <c r="A4" s="295" t="s">
        <v>51</v>
      </c>
      <c r="B4" s="3"/>
      <c r="C4" s="3"/>
      <c r="D4" s="295" t="s">
        <v>14</v>
      </c>
      <c r="E4" s="295" t="s">
        <v>1</v>
      </c>
      <c r="F4" s="296" t="s">
        <v>2</v>
      </c>
      <c r="G4" s="295" t="s">
        <v>3</v>
      </c>
      <c r="H4" s="295" t="s">
        <v>4</v>
      </c>
      <c r="I4" s="297" t="s">
        <v>48</v>
      </c>
      <c r="J4" s="297" t="s">
        <v>53</v>
      </c>
      <c r="K4" s="297" t="s">
        <v>47</v>
      </c>
      <c r="L4" s="297" t="s">
        <v>49</v>
      </c>
      <c r="M4" s="297" t="s">
        <v>50</v>
      </c>
      <c r="N4" s="298" t="s">
        <v>54</v>
      </c>
      <c r="O4" s="298" t="s">
        <v>55</v>
      </c>
      <c r="P4" s="298" t="s">
        <v>119</v>
      </c>
      <c r="Q4" s="298"/>
      <c r="R4" s="295" t="s">
        <v>15</v>
      </c>
      <c r="S4" s="299" t="s">
        <v>118</v>
      </c>
      <c r="T4" s="295" t="s">
        <v>1</v>
      </c>
      <c r="U4" s="295" t="s">
        <v>3</v>
      </c>
      <c r="V4" s="295" t="s">
        <v>2</v>
      </c>
      <c r="W4" s="295" t="s">
        <v>50</v>
      </c>
      <c r="X4" s="295" t="s">
        <v>54</v>
      </c>
      <c r="Z4" s="295" t="s">
        <v>26</v>
      </c>
      <c r="AA4" s="297">
        <f ca="1">SUM(pajak[Total Invoice])</f>
        <v>278725865</v>
      </c>
    </row>
    <row r="5" spans="1:27" x14ac:dyDescent="0.25">
      <c r="A5" s="295">
        <v>4</v>
      </c>
      <c r="D5" s="3">
        <f t="shared" ref="D5:D36" ca="1" si="0">IF(ROW()-(COUNTBLANK($D$1:$D$3)+1)&lt;=jNota,A5,"")</f>
        <v>4</v>
      </c>
      <c r="E5" s="3" t="str">
        <f ca="1">IF(pajak[[#This Row],[//]]="","",INDEX(Table1[No. Invoice :],pajak[//]-offset))</f>
        <v>AM 24020001</v>
      </c>
      <c r="F5" s="289">
        <f ca="1">IF(pajak[[#This Row],[//]]="","",INDEX(Table1[Tgl Invoice :],pajak[//]-offset))</f>
        <v>45327</v>
      </c>
      <c r="G5" s="3" t="str">
        <f ca="1">IF(pajak[[#This Row],[//]]="","",INDEX(Table1[Kode Sales :],pajak[//]-offset))</f>
        <v>G 2551</v>
      </c>
      <c r="H5" s="3" t="str">
        <f ca="1">IF(pajak[[#This Row],[//]]="","",INDEX(Table1[Toko],pajak[//]-offset))</f>
        <v>CV UTAMA PUTRA TULUNG AGUNG</v>
      </c>
      <c r="I5" s="290">
        <f ca="1">IF(pajak[[#This Row],[//]]="","",SUMIF(Table1[h_id],pajak[[#This Row],[//]],Table1[h_hargasebelumdiskon]))</f>
        <v>3909600</v>
      </c>
      <c r="J5" s="290">
        <f ca="1">IF(pajak[[#This Row],[//]]="","",SUMIF(Table1[h_id],pajak[[#This Row],[//]],Table1[h_diskon]))</f>
        <v>488700</v>
      </c>
      <c r="K5" s="290">
        <f ca="1">IF(pajak[[#This Row],[//]]="","",SUMIF(Table1[h_id],pajak[[#This Row],[//]],Table1[h_hargasetelahdiskon]))</f>
        <v>3420900</v>
      </c>
      <c r="L5" s="290">
        <f ca="1">IF(pajak[//]="","",pajak[[#This Row],[Sub Total]]/1.11*11%)</f>
        <v>339008.10810810811</v>
      </c>
      <c r="M5" s="290">
        <f ca="1">pajak[[#This Row],[Sub Total]]</f>
        <v>3420900</v>
      </c>
      <c r="N5" s="291" t="str">
        <f ca="1">IF(pajak[[#This Row],[//]]="","",INDEX(Table1[pembuat nota :],pajak[//]-offset))</f>
        <v>NOVI / CONDRO</v>
      </c>
      <c r="O5" s="291" t="str">
        <f ca="1">IF(pajak[[#This Row],[//]]="","",IF(INDEX(Table1[edited :],pajak[//]-offset)="","",INDEX(Table1[edited :],pajak[//]-offset)))</f>
        <v/>
      </c>
      <c r="P5" s="290"/>
      <c r="R5" s="3" t="str">
        <f>Table4[[#Headers],[AM]]</f>
        <v>AM</v>
      </c>
      <c r="S5" s="3">
        <f t="shared" ref="S5:S36" si="1">S$3+ROW()-5</f>
        <v>24020001</v>
      </c>
      <c r="T5" s="292" t="e">
        <f ca="1">IF(Table4[[#This Row],[AM]]&amp;" "&amp;Table4[[#This Row],[---]]=INDIRECT("pajak[@["&amp;Table4[#Headers]&amp;"]]"),MATCH(Table4[[#This Row],[---]],INDIRECT($3:$3),0))</f>
        <v>#REF!</v>
      </c>
      <c r="U5" s="292" t="e">
        <f ca="1">IF((INDEX(INDIRECT($3:$3),Table4[[#This Row],[No. Invoice :]]+$2:$2))=INDIRECT("pajak[@["&amp;Table4[#Headers]&amp;"]]"),1)</f>
        <v>#REF!</v>
      </c>
      <c r="V5" s="292" t="e">
        <f ca="1">IF((INDEX(INDIRECT($3:$3),Table4[[#This Row],[No. Invoice :]]+$2:$2))=INDIRECT("pajak[@["&amp;Table4[#Headers]&amp;"]]"),1)</f>
        <v>#REF!</v>
      </c>
      <c r="W5" s="292" t="e">
        <f ca="1">IF((INDEX(INDIRECT($3:$3),Table4[[#This Row],[No. Invoice :]]+$2:$2))=INDIRECT("pajak[@["&amp;Table4[#Headers]&amp;"]]"),1)</f>
        <v>#REF!</v>
      </c>
      <c r="X5" s="292" t="e">
        <f ca="1">IF((INDEX(INDIRECT($3:$3),Table4[[#This Row],[No. Invoice :]]+$2:$2))=INDIRECT("pajak[@["&amp;Table4[#Headers]&amp;"]]"),1)</f>
        <v>#REF!</v>
      </c>
      <c r="Z5" s="3" t="s">
        <v>25</v>
      </c>
      <c r="AA5" s="290">
        <f ca="1">SUM(pajak[PPN 11%])</f>
        <v>27621482.117117114</v>
      </c>
    </row>
    <row r="6" spans="1:27" x14ac:dyDescent="0.25">
      <c r="A6" s="295">
        <v>6</v>
      </c>
      <c r="D6" s="3">
        <f t="shared" ca="1" si="0"/>
        <v>6</v>
      </c>
      <c r="E6" s="3" t="str">
        <f ca="1">IF(pajak[[#This Row],[//]]="","",INDEX(Table1[No. Invoice :],pajak[//]-offset))</f>
        <v>AM 24020002</v>
      </c>
      <c r="F6" s="289">
        <f ca="1">IF(pajak[[#This Row],[//]]="","",INDEX(Table1[Tgl Invoice :],pajak[//]-offset))</f>
        <v>45327</v>
      </c>
      <c r="G6" s="3" t="str">
        <f ca="1">IF(pajak[[#This Row],[//]]="","",INDEX(Table1[Kode Sales :],pajak[//]-offset))</f>
        <v>G 2597</v>
      </c>
      <c r="H6" s="3" t="str">
        <f ca="1">IF(pajak[[#This Row],[//]]="","",INDEX(Table1[Toko],pajak[//]-offset))</f>
        <v>LILY JULIAWATI (REJO AGUNG) JOMBANG</v>
      </c>
      <c r="I6" s="290">
        <f ca="1">IF(pajak[[#This Row],[//]]="","",SUMIF(Table1[h_id],pajak[[#This Row],[//]],Table1[h_hargasebelumdiskon]))</f>
        <v>20268000</v>
      </c>
      <c r="J6" s="290">
        <f ca="1">IF(pajak[[#This Row],[//]]="","",SUMIF(Table1[h_id],pajak[[#This Row],[//]],Table1[h_diskon]))</f>
        <v>2533500</v>
      </c>
      <c r="K6" s="290">
        <f ca="1">IF(pajak[[#This Row],[//]]="","",SUMIF(Table1[h_id],pajak[[#This Row],[//]],Table1[h_hargasetelahdiskon]))</f>
        <v>17734500</v>
      </c>
      <c r="L6" s="290">
        <f ca="1">IF(pajak[//]="","",pajak[[#This Row],[Sub Total]]/1.11*11%)</f>
        <v>1757472.9729729728</v>
      </c>
      <c r="M6" s="290">
        <f ca="1">pajak[[#This Row],[Sub Total]]</f>
        <v>17734500</v>
      </c>
      <c r="N6" s="291" t="str">
        <f ca="1">IF(pajak[[#This Row],[//]]="","",INDEX(Table1[pembuat nota :],pajak[//]-offset))</f>
        <v>NOVI / CONDRO</v>
      </c>
      <c r="O6" s="291" t="str">
        <f ca="1">IF(pajak[[#This Row],[//]]="","",IF(INDEX(Table1[edited :],pajak[//]-offset)="","",INDEX(Table1[edited :],pajak[//]-offset)))</f>
        <v/>
      </c>
      <c r="P6" s="290"/>
      <c r="R6" s="3" t="str">
        <f>Table4[[#Headers],[AM]]</f>
        <v>AM</v>
      </c>
      <c r="S6" s="3">
        <f t="shared" si="1"/>
        <v>24020002</v>
      </c>
      <c r="T6" s="292" t="e">
        <f ca="1">IF(Table4[[#This Row],[AM]]&amp;" "&amp;Table4[[#This Row],[---]]=INDIRECT("pajak[@["&amp;Table4[#Headers]&amp;"]]"),MATCH(Table4[[#This Row],[---]],INDIRECT($3:$3),0))</f>
        <v>#REF!</v>
      </c>
      <c r="U6" s="292" t="e">
        <f ca="1">IF((INDEX(INDIRECT($3:$3),Table4[[#This Row],[No. Invoice :]]+$2:$2))=INDIRECT("pajak[@["&amp;Table4[#Headers]&amp;"]]"),1)</f>
        <v>#REF!</v>
      </c>
      <c r="V6" s="292" t="e">
        <f ca="1">IF((INDEX(INDIRECT($3:$3),Table4[[#This Row],[No. Invoice :]]+$2:$2))=INDIRECT("pajak[@["&amp;Table4[#Headers]&amp;"]]"),1)</f>
        <v>#REF!</v>
      </c>
      <c r="W6" s="292" t="e">
        <f ca="1">IF((INDEX(INDIRECT($3:$3),Table4[[#This Row],[No. Invoice :]]+$2:$2))=INDIRECT("pajak[@["&amp;Table4[#Headers]&amp;"]]"),1)</f>
        <v>#REF!</v>
      </c>
      <c r="X6" s="300" t="e">
        <f ca="1">IF((INDEX(INDIRECT($3:$3),Table4[[#This Row],[No. Invoice :]]+$2:$2))=INDIRECT("pajak[@["&amp;Table4[#Headers]&amp;"]]"),1)</f>
        <v>#REF!</v>
      </c>
      <c r="AA6" s="290">
        <f ca="1">(AA4/1.11)*11%</f>
        <v>27621482.117117114</v>
      </c>
    </row>
    <row r="7" spans="1:27" x14ac:dyDescent="0.25">
      <c r="A7" s="295">
        <v>10</v>
      </c>
      <c r="D7" s="3">
        <f t="shared" ca="1" si="0"/>
        <v>10</v>
      </c>
      <c r="E7" s="3" t="str">
        <f ca="1">IF(pajak[[#This Row],[//]]="","",INDEX(Table1[No. Invoice :],pajak[//]-offset))</f>
        <v>AM 24020003</v>
      </c>
      <c r="F7" s="289">
        <f ca="1">IF(pajak[[#This Row],[//]]="","",INDEX(Table1[Tgl Invoice :],pajak[//]-offset))</f>
        <v>45327</v>
      </c>
      <c r="G7" s="3" t="str">
        <f ca="1">IF(pajak[[#This Row],[//]]="","",INDEX(Table1[Kode Sales :],pajak[//]-offset))</f>
        <v>G 0930</v>
      </c>
      <c r="H7" s="3" t="str">
        <f ca="1">IF(pajak[[#This Row],[//]]="","",INDEX(Table1[Toko],pajak[//]-offset))</f>
        <v>MUHAMMAD AGUS MUNADI ( SINAR BHAKTI ) YOGYAKARTA</v>
      </c>
      <c r="I7" s="290">
        <f ca="1">IF(pajak[[#This Row],[//]]="","",SUMIF(Table1[h_id],pajak[[#This Row],[//]],Table1[h_hargasebelumdiskon]))</f>
        <v>287000</v>
      </c>
      <c r="J7" s="290">
        <f ca="1">IF(pajak[[#This Row],[//]]="","",SUMIF(Table1[h_id],pajak[[#This Row],[//]],Table1[h_diskon]))</f>
        <v>0</v>
      </c>
      <c r="K7" s="290">
        <f ca="1">IF(pajak[[#This Row],[//]]="","",SUMIF(Table1[h_id],pajak[[#This Row],[//]],Table1[h_hargasetelahdiskon]))</f>
        <v>287000</v>
      </c>
      <c r="L7" s="290">
        <f ca="1">IF(pajak[//]="","",pajak[[#This Row],[Sub Total]]/1.11*11%)</f>
        <v>28441.441441441439</v>
      </c>
      <c r="M7" s="290">
        <f ca="1">pajak[[#This Row],[Sub Total]]</f>
        <v>287000</v>
      </c>
      <c r="N7" s="291" t="str">
        <f ca="1">IF(pajak[[#This Row],[//]]="","",INDEX(Table1[pembuat nota :],pajak[//]-offset))</f>
        <v>RISMA / YO</v>
      </c>
      <c r="O7" s="291" t="str">
        <f ca="1">IF(pajak[[#This Row],[//]]="","",IF(INDEX(Table1[edited :],pajak[//]-offset)="","",INDEX(Table1[edited :],pajak[//]-offset)))</f>
        <v/>
      </c>
      <c r="P7" s="290"/>
      <c r="R7" s="3" t="str">
        <f>Table4[[#Headers],[AM]]</f>
        <v>AM</v>
      </c>
      <c r="S7" s="3">
        <f t="shared" si="1"/>
        <v>24020003</v>
      </c>
      <c r="T7" s="292" t="e">
        <f ca="1">IF(Table4[[#This Row],[AM]]&amp;" "&amp;Table4[[#This Row],[---]]=INDIRECT("pajak[@["&amp;Table4[#Headers]&amp;"]]"),MATCH(Table4[[#This Row],[---]],INDIRECT($3:$3),0))</f>
        <v>#REF!</v>
      </c>
      <c r="U7" s="292" t="e">
        <f ca="1">IF((INDEX(INDIRECT($3:$3),Table4[[#This Row],[No. Invoice :]]+$2:$2))=INDIRECT("pajak[@["&amp;Table4[#Headers]&amp;"]]"),1)</f>
        <v>#REF!</v>
      </c>
      <c r="V7" s="292" t="e">
        <f ca="1">IF((INDEX(INDIRECT($3:$3),Table4[[#This Row],[No. Invoice :]]+$2:$2))=INDIRECT("pajak[@["&amp;Table4[#Headers]&amp;"]]"),1)</f>
        <v>#REF!</v>
      </c>
      <c r="W7" s="292" t="e">
        <f ca="1">IF((INDEX(INDIRECT($3:$3),Table4[[#This Row],[No. Invoice :]]+$2:$2))=INDIRECT("pajak[@["&amp;Table4[#Headers]&amp;"]]"),1)</f>
        <v>#REF!</v>
      </c>
      <c r="X7" s="300" t="e">
        <f ca="1">IF((INDEX(INDIRECT($3:$3),Table4[[#This Row],[No. Invoice :]]+$2:$2))=INDIRECT("pajak[@["&amp;Table4[#Headers]&amp;"]]"),1)</f>
        <v>#REF!</v>
      </c>
    </row>
    <row r="8" spans="1:27" x14ac:dyDescent="0.25">
      <c r="A8" s="295">
        <v>13</v>
      </c>
      <c r="D8" s="3">
        <f t="shared" ca="1" si="0"/>
        <v>13</v>
      </c>
      <c r="E8" s="3" t="str">
        <f ca="1">IF(pajak[[#This Row],[//]]="","",INDEX(Table1[No. Invoice :],pajak[//]-offset))</f>
        <v>AM 24020004</v>
      </c>
      <c r="F8" s="289">
        <f ca="1">IF(pajak[[#This Row],[//]]="","",INDEX(Table1[Tgl Invoice :],pajak[//]-offset))</f>
        <v>45328</v>
      </c>
      <c r="G8" s="3" t="str">
        <f ca="1">IF(pajak[[#This Row],[//]]="","",INDEX(Table1[Kode Sales :],pajak[//]-offset))</f>
        <v>A 0222</v>
      </c>
      <c r="H8" s="3" t="str">
        <f ca="1">IF(pajak[[#This Row],[//]]="","",INDEX(Table1[Toko],pajak[//]-offset))</f>
        <v>PT RAMAI SANTOSO SEJAHTERA ( RAMAI SWALAYAN ) UNGARAN</v>
      </c>
      <c r="I8" s="290">
        <f ca="1">IF(pajak[[#This Row],[//]]="","",SUMIF(Table1[h_id],pajak[[#This Row],[//]],Table1[h_hargasebelumdiskon]))</f>
        <v>259000</v>
      </c>
      <c r="J8" s="290">
        <f ca="1">IF(pajak[[#This Row],[//]]="","",SUMIF(Table1[h_id],pajak[[#This Row],[//]],Table1[h_diskon]))</f>
        <v>0</v>
      </c>
      <c r="K8" s="290">
        <f ca="1">IF(pajak[[#This Row],[//]]="","",SUMIF(Table1[h_id],pajak[[#This Row],[//]],Table1[h_hargasetelahdiskon]))</f>
        <v>259000</v>
      </c>
      <c r="L8" s="290">
        <f ca="1">IF(pajak[//]="","",pajak[[#This Row],[Sub Total]]/1.11*11%)</f>
        <v>25666.666666666664</v>
      </c>
      <c r="M8" s="290">
        <f ca="1">pajak[[#This Row],[Sub Total]]</f>
        <v>259000</v>
      </c>
      <c r="N8" s="291" t="str">
        <f ca="1">IF(pajak[[#This Row],[//]]="","",INDEX(Table1[pembuat nota :],pajak[//]-offset))</f>
        <v>NOVI / YO</v>
      </c>
      <c r="O8" s="291" t="str">
        <f ca="1">IF(pajak[[#This Row],[//]]="","",IF(INDEX(Table1[edited :],pajak[//]-offset)="","",INDEX(Table1[edited :],pajak[//]-offset)))</f>
        <v/>
      </c>
      <c r="P8" s="290"/>
      <c r="R8" s="3" t="str">
        <f>Table4[[#Headers],[AM]]</f>
        <v>AM</v>
      </c>
      <c r="S8" s="3">
        <f t="shared" si="1"/>
        <v>24020004</v>
      </c>
      <c r="T8" s="292" t="e">
        <f ca="1">IF(Table4[[#This Row],[AM]]&amp;" "&amp;Table4[[#This Row],[---]]=INDIRECT("pajak[@["&amp;Table4[#Headers]&amp;"]]"),MATCH(Table4[[#This Row],[---]],INDIRECT($3:$3),0))</f>
        <v>#REF!</v>
      </c>
      <c r="U8" s="292" t="e">
        <f ca="1">IF((INDEX(INDIRECT($3:$3),Table4[[#This Row],[No. Invoice :]]+$2:$2))=INDIRECT("pajak[@["&amp;Table4[#Headers]&amp;"]]"),1)</f>
        <v>#REF!</v>
      </c>
      <c r="V8" s="292" t="e">
        <f ca="1">IF((INDEX(INDIRECT($3:$3),Table4[[#This Row],[No. Invoice :]]+$2:$2))=INDIRECT("pajak[@["&amp;Table4[#Headers]&amp;"]]"),1)</f>
        <v>#REF!</v>
      </c>
      <c r="W8" s="292" t="e">
        <f ca="1">IF((INDEX(INDIRECT($3:$3),Table4[[#This Row],[No. Invoice :]]+$2:$2))=INDIRECT("pajak[@["&amp;Table4[#Headers]&amp;"]]"),1)</f>
        <v>#REF!</v>
      </c>
      <c r="X8" s="300" t="e">
        <f ca="1">IF((INDEX(INDIRECT($3:$3),Table4[[#This Row],[No. Invoice :]]+$2:$2))=INDIRECT("pajak[@["&amp;Table4[#Headers]&amp;"]]"),1)</f>
        <v>#REF!</v>
      </c>
    </row>
    <row r="9" spans="1:27" x14ac:dyDescent="0.25">
      <c r="A9" s="295">
        <v>17</v>
      </c>
      <c r="D9" s="3">
        <f t="shared" ca="1" si="0"/>
        <v>17</v>
      </c>
      <c r="E9" s="3" t="str">
        <f ca="1">IF(pajak[[#This Row],[//]]="","",INDEX(Table1[No. Invoice :],pajak[//]-offset))</f>
        <v>AM 24020005</v>
      </c>
      <c r="F9" s="289">
        <f ca="1">IF(pajak[[#This Row],[//]]="","",INDEX(Table1[Tgl Invoice :],pajak[//]-offset))</f>
        <v>45328</v>
      </c>
      <c r="G9" s="3" t="str">
        <f ca="1">IF(pajak[[#This Row],[//]]="","",INDEX(Table1[Kode Sales :],pajak[//]-offset))</f>
        <v>KO 2605</v>
      </c>
      <c r="H9" s="3" t="str">
        <f ca="1">IF(pajak[[#This Row],[//]]="","",INDEX(Table1[Toko],pajak[//]-offset))</f>
        <v>CV LANCAR JAYA SENTOSA MALANG</v>
      </c>
      <c r="I9" s="290">
        <f ca="1">IF(pajak[[#This Row],[//]]="","",SUMIF(Table1[h_id],pajak[[#This Row],[//]],Table1[h_hargasebelumdiskon]))</f>
        <v>3588000</v>
      </c>
      <c r="J9" s="290">
        <f ca="1">IF(pajak[[#This Row],[//]]="","",SUMIF(Table1[h_id],pajak[[#This Row],[//]],Table1[h_diskon]))</f>
        <v>136000</v>
      </c>
      <c r="K9" s="290">
        <f ca="1">IF(pajak[[#This Row],[//]]="","",SUMIF(Table1[h_id],pajak[[#This Row],[//]],Table1[h_hargasetelahdiskon]))</f>
        <v>3452000</v>
      </c>
      <c r="L9" s="290">
        <f ca="1">IF(pajak[//]="","",pajak[[#This Row],[Sub Total]]/1.11*11%)</f>
        <v>342090.09009009006</v>
      </c>
      <c r="M9" s="290">
        <f ca="1">pajak[[#This Row],[Sub Total]]</f>
        <v>3452000</v>
      </c>
      <c r="N9" s="291" t="str">
        <f ca="1">IF(pajak[[#This Row],[//]]="","",INDEX(Table1[pembuat nota :],pajak[//]-offset))</f>
        <v>NOVI / YO</v>
      </c>
      <c r="O9" s="291" t="str">
        <f ca="1">IF(pajak[[#This Row],[//]]="","",IF(INDEX(Table1[edited :],pajak[//]-offset)="","",INDEX(Table1[edited :],pajak[//]-offset)))</f>
        <v/>
      </c>
      <c r="P9" s="290"/>
      <c r="R9" s="3" t="str">
        <f>Table4[[#Headers],[AM]]</f>
        <v>AM</v>
      </c>
      <c r="S9" s="3">
        <f t="shared" si="1"/>
        <v>24020005</v>
      </c>
      <c r="T9" s="292" t="e">
        <f ca="1">IF(Table4[[#This Row],[AM]]&amp;" "&amp;Table4[[#This Row],[---]]=INDIRECT("pajak[@["&amp;Table4[#Headers]&amp;"]]"),MATCH(Table4[[#This Row],[---]],INDIRECT($3:$3),0))</f>
        <v>#REF!</v>
      </c>
      <c r="U9" s="292" t="e">
        <f ca="1">IF((INDEX(INDIRECT($3:$3),Table4[[#This Row],[No. Invoice :]]+$2:$2))=INDIRECT("pajak[@["&amp;Table4[#Headers]&amp;"]]"),1)</f>
        <v>#REF!</v>
      </c>
      <c r="V9" s="292" t="e">
        <f ca="1">IF((INDEX(INDIRECT($3:$3),Table4[[#This Row],[No. Invoice :]]+$2:$2))=INDIRECT("pajak[@["&amp;Table4[#Headers]&amp;"]]"),1)</f>
        <v>#REF!</v>
      </c>
      <c r="W9" s="292" t="e">
        <f ca="1">IF((INDEX(INDIRECT($3:$3),Table4[[#This Row],[No. Invoice :]]+$2:$2))=INDIRECT("pajak[@["&amp;Table4[#Headers]&amp;"]]"),1)</f>
        <v>#REF!</v>
      </c>
      <c r="X9" s="300" t="e">
        <f ca="1">IF((INDEX(INDIRECT($3:$3),Table4[[#This Row],[No. Invoice :]]+$2:$2))=INDIRECT("pajak[@["&amp;Table4[#Headers]&amp;"]]"),1)</f>
        <v>#REF!</v>
      </c>
    </row>
    <row r="10" spans="1:27" x14ac:dyDescent="0.25">
      <c r="A10" s="295">
        <v>20</v>
      </c>
      <c r="D10" s="3">
        <f t="shared" ca="1" si="0"/>
        <v>20</v>
      </c>
      <c r="E10" s="3" t="str">
        <f ca="1">IF(pajak[[#This Row],[//]]="","",INDEX(Table1[No. Invoice :],pajak[//]-offset))</f>
        <v>AM 24020006</v>
      </c>
      <c r="F10" s="289">
        <f ca="1">IF(pajak[[#This Row],[//]]="","",INDEX(Table1[Tgl Invoice :],pajak[//]-offset))</f>
        <v>45329</v>
      </c>
      <c r="G10" s="3" t="str">
        <f ca="1">IF(pajak[[#This Row],[//]]="","",INDEX(Table1[Kode Sales :],pajak[//]-offset))</f>
        <v>G 2662</v>
      </c>
      <c r="H10" s="3" t="str">
        <f ca="1">IF(pajak[[#This Row],[//]]="","",INDEX(Table1[Toko],pajak[//]-offset))</f>
        <v>LILY JULIAWATI (REJO AGUNG) JOMBANG</v>
      </c>
      <c r="I10" s="290">
        <f ca="1">IF(pajak[[#This Row],[//]]="","",SUMIF(Table1[h_id],pajak[[#This Row],[//]],Table1[h_hargasebelumdiskon]))</f>
        <v>20076000</v>
      </c>
      <c r="J10" s="290">
        <f ca="1">IF(pajak[[#This Row],[//]]="","",SUMIF(Table1[h_id],pajak[[#This Row],[//]],Table1[h_diskon]))</f>
        <v>2509500</v>
      </c>
      <c r="K10" s="290">
        <f ca="1">IF(pajak[[#This Row],[//]]="","",SUMIF(Table1[h_id],pajak[[#This Row],[//]],Table1[h_hargasetelahdiskon]))</f>
        <v>17566500</v>
      </c>
      <c r="L10" s="290">
        <f ca="1">IF(pajak[//]="","",pajak[[#This Row],[Sub Total]]/1.11*11%)</f>
        <v>1740824.324324324</v>
      </c>
      <c r="M10" s="290">
        <f ca="1">pajak[[#This Row],[Sub Total]]</f>
        <v>17566500</v>
      </c>
      <c r="N10" s="291" t="str">
        <f ca="1">IF(pajak[[#This Row],[//]]="","",INDEX(Table1[pembuat nota :],pajak[//]-offset))</f>
        <v>NOVI / CONDRO</v>
      </c>
      <c r="O10" s="291" t="str">
        <f ca="1">IF(pajak[[#This Row],[//]]="","",IF(INDEX(Table1[edited :],pajak[//]-offset)="","",INDEX(Table1[edited :],pajak[//]-offset)))</f>
        <v/>
      </c>
      <c r="P10" s="290"/>
      <c r="R10" s="3" t="str">
        <f>Table4[[#Headers],[AM]]</f>
        <v>AM</v>
      </c>
      <c r="S10" s="3">
        <f t="shared" si="1"/>
        <v>24020006</v>
      </c>
      <c r="T10" s="292" t="e">
        <f ca="1">IF(Table4[[#This Row],[AM]]&amp;" "&amp;Table4[[#This Row],[---]]=INDIRECT("pajak[@["&amp;Table4[#Headers]&amp;"]]"),MATCH(Table4[[#This Row],[---]],INDIRECT($3:$3),0))</f>
        <v>#REF!</v>
      </c>
      <c r="U10" s="292" t="e">
        <f ca="1">IF((INDEX(INDIRECT($3:$3),Table4[[#This Row],[No. Invoice :]]+$2:$2))=INDIRECT("pajak[@["&amp;Table4[#Headers]&amp;"]]"),1)</f>
        <v>#REF!</v>
      </c>
      <c r="V10" s="292" t="e">
        <f ca="1">IF((INDEX(INDIRECT($3:$3),Table4[[#This Row],[No. Invoice :]]+$2:$2))=INDIRECT("pajak[@["&amp;Table4[#Headers]&amp;"]]"),1)</f>
        <v>#REF!</v>
      </c>
      <c r="W10" s="292" t="e">
        <f ca="1">IF((INDEX(INDIRECT($3:$3),Table4[[#This Row],[No. Invoice :]]+$2:$2))=INDIRECT("pajak[@["&amp;Table4[#Headers]&amp;"]]"),1)</f>
        <v>#REF!</v>
      </c>
      <c r="X10" s="300" t="e">
        <f ca="1">IF((INDEX(INDIRECT($3:$3),Table4[[#This Row],[No. Invoice :]]+$2:$2))=INDIRECT("pajak[@["&amp;Table4[#Headers]&amp;"]]"),1)</f>
        <v>#REF!</v>
      </c>
    </row>
    <row r="11" spans="1:27" x14ac:dyDescent="0.25">
      <c r="A11" s="295">
        <v>25</v>
      </c>
      <c r="D11" s="3">
        <f t="shared" ca="1" si="0"/>
        <v>25</v>
      </c>
      <c r="E11" s="3" t="str">
        <f ca="1">IF(pajak[[#This Row],[//]]="","",INDEX(Table1[No. Invoice :],pajak[//]-offset))</f>
        <v>AM 24020007</v>
      </c>
      <c r="F11" s="289">
        <f ca="1">IF(pajak[[#This Row],[//]]="","",INDEX(Table1[Tgl Invoice :],pajak[//]-offset))</f>
        <v>45329</v>
      </c>
      <c r="G11" s="3" t="str">
        <f ca="1">IF(pajak[[#This Row],[//]]="","",INDEX(Table1[Kode Sales :],pajak[//]-offset))</f>
        <v>KO 2666</v>
      </c>
      <c r="H11" s="3" t="str">
        <f ca="1">IF(pajak[[#This Row],[//]]="","",INDEX(Table1[Toko],pajak[//]-offset))</f>
        <v>CV PELITA JAYA (ANUGERAH SEJAHTERA) PURWOKERTO</v>
      </c>
      <c r="I11" s="290">
        <f ca="1">IF(pajak[[#This Row],[//]]="","",SUMIF(Table1[h_id],pajak[[#This Row],[//]],Table1[h_hargasebelumdiskon]))</f>
        <v>11470000</v>
      </c>
      <c r="J11" s="290">
        <f ca="1">IF(pajak[[#This Row],[//]]="","",SUMIF(Table1[h_id],pajak[[#This Row],[//]],Table1[h_diskon]))</f>
        <v>1548450</v>
      </c>
      <c r="K11" s="290">
        <f ca="1">IF(pajak[[#This Row],[//]]="","",SUMIF(Table1[h_id],pajak[[#This Row],[//]],Table1[h_hargasetelahdiskon]))</f>
        <v>9921550</v>
      </c>
      <c r="L11" s="290">
        <f ca="1">IF(pajak[//]="","",pajak[[#This Row],[Sub Total]]/1.11*11%)</f>
        <v>983216.66666666651</v>
      </c>
      <c r="M11" s="290">
        <f ca="1">pajak[[#This Row],[Sub Total]]</f>
        <v>9921550</v>
      </c>
      <c r="N11" s="291" t="str">
        <f ca="1">IF(pajak[[#This Row],[//]]="","",INDEX(Table1[pembuat nota :],pajak[//]-offset))</f>
        <v>NOVI / CONDRO</v>
      </c>
      <c r="O11" s="291" t="str">
        <f ca="1">IF(pajak[[#This Row],[//]]="","",IF(INDEX(Table1[edited :],pajak[//]-offset)="","",INDEX(Table1[edited :],pajak[//]-offset)))</f>
        <v/>
      </c>
      <c r="P11" s="290"/>
      <c r="R11" s="3" t="str">
        <f>Table4[[#Headers],[AM]]</f>
        <v>AM</v>
      </c>
      <c r="S11" s="3">
        <f t="shared" si="1"/>
        <v>24020007</v>
      </c>
      <c r="T11" s="292" t="e">
        <f ca="1">IF(Table4[[#This Row],[AM]]&amp;" "&amp;Table4[[#This Row],[---]]=INDIRECT("pajak[@["&amp;Table4[#Headers]&amp;"]]"),MATCH(Table4[[#This Row],[---]],INDIRECT($3:$3),0))</f>
        <v>#REF!</v>
      </c>
      <c r="U11" s="292" t="e">
        <f ca="1">IF((INDEX(INDIRECT($3:$3),Table4[[#This Row],[No. Invoice :]]+$2:$2))=INDIRECT("pajak[@["&amp;Table4[#Headers]&amp;"]]"),1)</f>
        <v>#REF!</v>
      </c>
      <c r="V11" s="292" t="e">
        <f ca="1">IF((INDEX(INDIRECT($3:$3),Table4[[#This Row],[No. Invoice :]]+$2:$2))=INDIRECT("pajak[@["&amp;Table4[#Headers]&amp;"]]"),1)</f>
        <v>#REF!</v>
      </c>
      <c r="W11" s="292" t="e">
        <f ca="1">IF((INDEX(INDIRECT($3:$3),Table4[[#This Row],[No. Invoice :]]+$2:$2))=INDIRECT("pajak[@["&amp;Table4[#Headers]&amp;"]]"),1)</f>
        <v>#REF!</v>
      </c>
      <c r="X11" s="300" t="e">
        <f ca="1">IF((INDEX(INDIRECT($3:$3),Table4[[#This Row],[No. Invoice :]]+$2:$2))=INDIRECT("pajak[@["&amp;Table4[#Headers]&amp;"]]"),1)</f>
        <v>#REF!</v>
      </c>
    </row>
    <row r="12" spans="1:27" x14ac:dyDescent="0.25">
      <c r="A12" s="295">
        <v>32</v>
      </c>
      <c r="D12" s="3">
        <f t="shared" ca="1" si="0"/>
        <v>32</v>
      </c>
      <c r="E12" s="3" t="str">
        <f ca="1">IF(pajak[[#This Row],[//]]="","",INDEX(Table1[No. Invoice :],pajak[//]-offset))</f>
        <v>AM 24020008</v>
      </c>
      <c r="F12" s="289">
        <f ca="1">IF(pajak[[#This Row],[//]]="","",INDEX(Table1[Tgl Invoice :],pajak[//]-offset))</f>
        <v>45334</v>
      </c>
      <c r="G12" s="3" t="str">
        <f ca="1">IF(pajak[[#This Row],[//]]="","",INDEX(Table1[Kode Sales :],pajak[//]-offset))</f>
        <v>KO 2672</v>
      </c>
      <c r="H12" s="3" t="str">
        <f ca="1">IF(pajak[[#This Row],[//]]="","",INDEX(Table1[Toko],pajak[//]-offset))</f>
        <v>HARNOYO (BENDAN) PEKALONGAN</v>
      </c>
      <c r="I12" s="290">
        <f ca="1">IF(pajak[[#This Row],[//]]="","",SUMIF(Table1[h_id],pajak[[#This Row],[//]],Table1[h_hargasebelumdiskon]))</f>
        <v>4140000</v>
      </c>
      <c r="J12" s="290">
        <f ca="1">IF(pajak[[#This Row],[//]]="","",SUMIF(Table1[h_id],pajak[[#This Row],[//]],Table1[h_diskon]))</f>
        <v>579600.00000000012</v>
      </c>
      <c r="K12" s="290">
        <f ca="1">IF(pajak[[#This Row],[//]]="","",SUMIF(Table1[h_id],pajak[[#This Row],[//]],Table1[h_hargasetelahdiskon]))</f>
        <v>3560400</v>
      </c>
      <c r="L12" s="290">
        <f ca="1">IF(pajak[//]="","",pajak[[#This Row],[Sub Total]]/1.11*11%)</f>
        <v>352832.43243243243</v>
      </c>
      <c r="M12" s="290">
        <f ca="1">pajak[[#This Row],[Sub Total]]</f>
        <v>3560400</v>
      </c>
      <c r="N12" s="291" t="str">
        <f ca="1">IF(pajak[[#This Row],[//]]="","",INDEX(Table1[pembuat nota :],pajak[//]-offset))</f>
        <v>NOVI / CONDRO</v>
      </c>
      <c r="O12" s="291" t="str">
        <f ca="1">IF(pajak[[#This Row],[//]]="","",IF(INDEX(Table1[edited :],pajak[//]-offset)="","",INDEX(Table1[edited :],pajak[//]-offset)))</f>
        <v/>
      </c>
      <c r="P12" s="290"/>
      <c r="R12" s="3" t="str">
        <f>Table4[[#Headers],[AM]]</f>
        <v>AM</v>
      </c>
      <c r="S12" s="3">
        <f t="shared" si="1"/>
        <v>24020008</v>
      </c>
      <c r="T12" s="292" t="e">
        <f ca="1">IF(Table4[[#This Row],[AM]]&amp;" "&amp;Table4[[#This Row],[---]]=INDIRECT("pajak[@["&amp;Table4[#Headers]&amp;"]]"),MATCH(Table4[[#This Row],[---]],INDIRECT($3:$3),0))</f>
        <v>#REF!</v>
      </c>
      <c r="U12" s="292" t="e">
        <f ca="1">IF((INDEX(INDIRECT($3:$3),Table4[[#This Row],[No. Invoice :]]+$2:$2))=INDIRECT("pajak[@["&amp;Table4[#Headers]&amp;"]]"),1)</f>
        <v>#REF!</v>
      </c>
      <c r="V12" s="292" t="e">
        <f ca="1">IF((INDEX(INDIRECT($3:$3),Table4[[#This Row],[No. Invoice :]]+$2:$2))=INDIRECT("pajak[@["&amp;Table4[#Headers]&amp;"]]"),1)</f>
        <v>#REF!</v>
      </c>
      <c r="W12" s="292" t="e">
        <f ca="1">IF((INDEX(INDIRECT($3:$3),Table4[[#This Row],[No. Invoice :]]+$2:$2))=INDIRECT("pajak[@["&amp;Table4[#Headers]&amp;"]]"),1)</f>
        <v>#REF!</v>
      </c>
      <c r="X12" s="300" t="e">
        <f ca="1">IF((INDEX(INDIRECT($3:$3),Table4[[#This Row],[No. Invoice :]]+$2:$2))=INDIRECT("pajak[@["&amp;Table4[#Headers]&amp;"]]"),1)</f>
        <v>#REF!</v>
      </c>
    </row>
    <row r="13" spans="1:27" x14ac:dyDescent="0.25">
      <c r="A13" s="295">
        <v>35</v>
      </c>
      <c r="D13" s="3">
        <f t="shared" ca="1" si="0"/>
        <v>35</v>
      </c>
      <c r="E13" s="3" t="str">
        <f ca="1">IF(pajak[[#This Row],[//]]="","",INDEX(Table1[No. Invoice :],pajak[//]-offset))</f>
        <v>AM 24020009</v>
      </c>
      <c r="F13" s="289">
        <f ca="1">IF(pajak[[#This Row],[//]]="","",INDEX(Table1[Tgl Invoice :],pajak[//]-offset))</f>
        <v>45335</v>
      </c>
      <c r="G13" s="3" t="str">
        <f ca="1">IF(pajak[[#This Row],[//]]="","",INDEX(Table1[Kode Sales :],pajak[//]-offset))</f>
        <v>G 0936</v>
      </c>
      <c r="H13" s="3" t="str">
        <f ca="1">IF(pajak[[#This Row],[//]]="","",INDEX(Table1[Toko],pajak[//]-offset))</f>
        <v>CV UTAMA PUTRA TULUNG AGUNG</v>
      </c>
      <c r="I13" s="290">
        <f ca="1">IF(pajak[[#This Row],[//]]="","",SUMIF(Table1[h_id],pajak[[#This Row],[//]],Table1[h_hargasebelumdiskon]))</f>
        <v>11966400</v>
      </c>
      <c r="J13" s="290">
        <f ca="1">IF(pajak[[#This Row],[//]]="","",SUMIF(Table1[h_id],pajak[[#This Row],[//]],Table1[h_diskon]))</f>
        <v>1495800</v>
      </c>
      <c r="K13" s="290">
        <f ca="1">IF(pajak[[#This Row],[//]]="","",SUMIF(Table1[h_id],pajak[[#This Row],[//]],Table1[h_hargasetelahdiskon]))</f>
        <v>10470600</v>
      </c>
      <c r="L13" s="290">
        <f ca="1">IF(pajak[//]="","",pajak[[#This Row],[Sub Total]]/1.11*11%)</f>
        <v>1037627.027027027</v>
      </c>
      <c r="M13" s="290">
        <f ca="1">pajak[[#This Row],[Sub Total]]</f>
        <v>10470600</v>
      </c>
      <c r="N13" s="291" t="str">
        <f ca="1">IF(pajak[[#This Row],[//]]="","",INDEX(Table1[pembuat nota :],pajak[//]-offset))</f>
        <v>NOVI / CONDRO</v>
      </c>
      <c r="O13" s="291" t="str">
        <f ca="1">IF(pajak[[#This Row],[//]]="","",IF(INDEX(Table1[edited :],pajak[//]-offset)="","",INDEX(Table1[edited :],pajak[//]-offset)))</f>
        <v/>
      </c>
      <c r="P13" s="290"/>
      <c r="R13" s="3" t="str">
        <f>Table4[[#Headers],[AM]]</f>
        <v>AM</v>
      </c>
      <c r="S13" s="3">
        <f t="shared" si="1"/>
        <v>24020009</v>
      </c>
      <c r="T13" s="292" t="e">
        <f ca="1">IF(Table4[[#This Row],[AM]]&amp;" "&amp;Table4[[#This Row],[---]]=INDIRECT("pajak[@["&amp;Table4[#Headers]&amp;"]]"),MATCH(Table4[[#This Row],[---]],INDIRECT($3:$3),0))</f>
        <v>#REF!</v>
      </c>
      <c r="U13" s="292" t="e">
        <f ca="1">IF((INDEX(INDIRECT($3:$3),Table4[[#This Row],[No. Invoice :]]+$2:$2))=INDIRECT("pajak[@["&amp;Table4[#Headers]&amp;"]]"),1)</f>
        <v>#REF!</v>
      </c>
      <c r="V13" s="292" t="e">
        <f ca="1">IF((INDEX(INDIRECT($3:$3),Table4[[#This Row],[No. Invoice :]]+$2:$2))=INDIRECT("pajak[@["&amp;Table4[#Headers]&amp;"]]"),1)</f>
        <v>#REF!</v>
      </c>
      <c r="W13" s="292" t="e">
        <f ca="1">IF((INDEX(INDIRECT($3:$3),Table4[[#This Row],[No. Invoice :]]+$2:$2))=INDIRECT("pajak[@["&amp;Table4[#Headers]&amp;"]]"),1)</f>
        <v>#REF!</v>
      </c>
      <c r="X13" s="300" t="e">
        <f ca="1">IF((INDEX(INDIRECT($3:$3),Table4[[#This Row],[No. Invoice :]]+$2:$2))=INDIRECT("pajak[@["&amp;Table4[#Headers]&amp;"]]"),1)</f>
        <v>#REF!</v>
      </c>
    </row>
    <row r="14" spans="1:27" x14ac:dyDescent="0.25">
      <c r="A14" s="295">
        <v>42</v>
      </c>
      <c r="D14" s="291">
        <f t="shared" ca="1" si="0"/>
        <v>42</v>
      </c>
      <c r="E14" s="3" t="str">
        <f ca="1">IF(pajak[[#This Row],[//]]="","",INDEX(Table1[No. Invoice :],pajak[//]-offset))</f>
        <v>AM 24020010</v>
      </c>
      <c r="F14" s="289">
        <f ca="1">IF(pajak[[#This Row],[//]]="","",INDEX(Table1[Tgl Invoice :],pajak[//]-offset))</f>
        <v>45335</v>
      </c>
      <c r="G14" s="291" t="str">
        <f ca="1">IF(pajak[[#This Row],[//]]="","",INDEX(Table1[Kode Sales :],pajak[//]-offset))</f>
        <v>G 2682</v>
      </c>
      <c r="H14" s="291" t="str">
        <f ca="1">IF(pajak[[#This Row],[//]]="","",INDEX(Table1[Toko],pajak[//]-offset))</f>
        <v>LILY JULIAWATI (REJO AGUNG) JOMBANG</v>
      </c>
      <c r="I14" s="290">
        <f ca="1">IF(pajak[[#This Row],[//]]="","",SUMIF(Table1[h_id],pajak[[#This Row],[//]],Table1[h_hargasebelumdiskon]))</f>
        <v>42768000</v>
      </c>
      <c r="J14" s="290">
        <f ca="1">IF(pajak[[#This Row],[//]]="","",SUMIF(Table1[h_id],pajak[[#This Row],[//]],Table1[h_diskon]))</f>
        <v>5346000</v>
      </c>
      <c r="K14" s="290">
        <f ca="1">IF(pajak[[#This Row],[//]]="","",SUMIF(Table1[h_id],pajak[[#This Row],[//]],Table1[h_hargasetelahdiskon]))</f>
        <v>37422000</v>
      </c>
      <c r="L14" s="290">
        <f ca="1">IF(pajak[//]="","",pajak[[#This Row],[Sub Total]]/1.11*11%)</f>
        <v>3708486.4864864866</v>
      </c>
      <c r="M14" s="290">
        <f ca="1">pajak[[#This Row],[Sub Total]]</f>
        <v>37422000</v>
      </c>
      <c r="N14" s="291" t="str">
        <f ca="1">IF(pajak[[#This Row],[//]]="","",INDEX(Table1[pembuat nota :],pajak[//]-offset))</f>
        <v>NOVI / CONDRO</v>
      </c>
      <c r="O14" s="291" t="str">
        <f ca="1">IF(pajak[[#This Row],[//]]="","",IF(INDEX(Table1[edited :],pajak[//]-offset)="","",INDEX(Table1[edited :],pajak[//]-offset)))</f>
        <v/>
      </c>
      <c r="P14" s="290"/>
      <c r="R14" s="3" t="str">
        <f>Table4[[#Headers],[AM]]</f>
        <v>AM</v>
      </c>
      <c r="S14" s="3">
        <f t="shared" si="1"/>
        <v>24020010</v>
      </c>
      <c r="T14" s="292" t="e">
        <f ca="1">IF(Table4[[#This Row],[AM]]&amp;" "&amp;Table4[[#This Row],[---]]=INDIRECT("pajak[@["&amp;Table4[#Headers]&amp;"]]"),MATCH(Table4[[#This Row],[---]],INDIRECT($3:$3),0))</f>
        <v>#REF!</v>
      </c>
      <c r="U14" s="292" t="e">
        <f ca="1">IF((INDEX(INDIRECT($3:$3),Table4[[#This Row],[No. Invoice :]]+$2:$2))=INDIRECT("pajak[@["&amp;Table4[#Headers]&amp;"]]"),1)</f>
        <v>#REF!</v>
      </c>
      <c r="V14" s="292" t="e">
        <f ca="1">IF((INDEX(INDIRECT($3:$3),Table4[[#This Row],[No. Invoice :]]+$2:$2))=INDIRECT("pajak[@["&amp;Table4[#Headers]&amp;"]]"),1)</f>
        <v>#REF!</v>
      </c>
      <c r="W14" s="292" t="e">
        <f ca="1">IF((INDEX(INDIRECT($3:$3),Table4[[#This Row],[No. Invoice :]]+$2:$2))=INDIRECT("pajak[@["&amp;Table4[#Headers]&amp;"]]"),1)</f>
        <v>#REF!</v>
      </c>
      <c r="X14" s="300" t="e">
        <f ca="1">IF((INDEX(INDIRECT($3:$3),Table4[[#This Row],[No. Invoice :]]+$2:$2))=INDIRECT("pajak[@["&amp;Table4[#Headers]&amp;"]]"),1)</f>
        <v>#REF!</v>
      </c>
    </row>
    <row r="15" spans="1:27" x14ac:dyDescent="0.25">
      <c r="A15" s="295">
        <v>45</v>
      </c>
      <c r="D15" s="291">
        <f t="shared" ca="1" si="0"/>
        <v>45</v>
      </c>
      <c r="E15" s="3" t="str">
        <f ca="1">IF(pajak[[#This Row],[//]]="","",INDEX(Table1[No. Invoice :],pajak[//]-offset))</f>
        <v>AM 24020011</v>
      </c>
      <c r="F15" s="289">
        <f ca="1">IF(pajak[[#This Row],[//]]="","",INDEX(Table1[Tgl Invoice :],pajak[//]-offset))</f>
        <v>45338</v>
      </c>
      <c r="G15" s="291" t="str">
        <f ca="1">IF(pajak[[#This Row],[//]]="","",INDEX(Table1[Kode Sales :],pajak[//]-offset))</f>
        <v>KO 2620</v>
      </c>
      <c r="H15" s="291" t="str">
        <f ca="1">IF(pajak[[#This Row],[//]]="","",INDEX(Table1[Toko],pajak[//]-offset))</f>
        <v>CV LANCAR JAYA SENTOSA MALANG</v>
      </c>
      <c r="I15" s="290">
        <f ca="1">IF(pajak[[#This Row],[//]]="","",SUMIF(Table1[h_id],pajak[[#This Row],[//]],Table1[h_hargasebelumdiskon]))</f>
        <v>9260800</v>
      </c>
      <c r="J15" s="290">
        <f ca="1">IF(pajak[[#This Row],[//]]="","",SUMIF(Table1[h_id],pajak[[#This Row],[//]],Table1[h_diskon]))</f>
        <v>1157600</v>
      </c>
      <c r="K15" s="290">
        <f ca="1">IF(pajak[[#This Row],[//]]="","",SUMIF(Table1[h_id],pajak[[#This Row],[//]],Table1[h_hargasetelahdiskon]))</f>
        <v>8103200</v>
      </c>
      <c r="L15" s="290">
        <f ca="1">IF(pajak[//]="","",pajak[[#This Row],[Sub Total]]/1.11*11%)</f>
        <v>803019.81981981976</v>
      </c>
      <c r="M15" s="290">
        <f ca="1">pajak[[#This Row],[Sub Total]]</f>
        <v>8103200</v>
      </c>
      <c r="N15" s="291" t="str">
        <f ca="1">IF(pajak[[#This Row],[//]]="","",INDEX(Table1[pembuat nota :],pajak[//]-offset))</f>
        <v>NOVI / CONDRO</v>
      </c>
      <c r="O15" s="291" t="str">
        <f ca="1">IF(pajak[[#This Row],[//]]="","",IF(INDEX(Table1[edited :],pajak[//]-offset)="","",INDEX(Table1[edited :],pajak[//]-offset)))</f>
        <v/>
      </c>
      <c r="P15" s="290"/>
      <c r="R15" s="3" t="str">
        <f>Table4[[#Headers],[AM]]</f>
        <v>AM</v>
      </c>
      <c r="S15" s="3">
        <f t="shared" si="1"/>
        <v>24020011</v>
      </c>
      <c r="T15" s="292" t="e">
        <f ca="1">IF(Table4[[#This Row],[AM]]&amp;" "&amp;Table4[[#This Row],[---]]=INDIRECT("pajak[@["&amp;Table4[#Headers]&amp;"]]"),MATCH(Table4[[#This Row],[---]],INDIRECT($3:$3),0))</f>
        <v>#REF!</v>
      </c>
      <c r="U15" s="292" t="e">
        <f ca="1">IF((INDEX(INDIRECT($3:$3),Table4[[#This Row],[No. Invoice :]]+$2:$2))=INDIRECT("pajak[@["&amp;Table4[#Headers]&amp;"]]"),1)</f>
        <v>#REF!</v>
      </c>
      <c r="V15" s="292" t="e">
        <f ca="1">IF((INDEX(INDIRECT($3:$3),Table4[[#This Row],[No. Invoice :]]+$2:$2))=INDIRECT("pajak[@["&amp;Table4[#Headers]&amp;"]]"),1)</f>
        <v>#REF!</v>
      </c>
      <c r="W15" s="292" t="e">
        <f ca="1">IF((INDEX(INDIRECT($3:$3),Table4[[#This Row],[No. Invoice :]]+$2:$2))=INDIRECT("pajak[@["&amp;Table4[#Headers]&amp;"]]"),1)</f>
        <v>#REF!</v>
      </c>
      <c r="X15" s="300" t="e">
        <f ca="1">IF((INDEX(INDIRECT($3:$3),Table4[[#This Row],[No. Invoice :]]+$2:$2))=INDIRECT("pajak[@["&amp;Table4[#Headers]&amp;"]]"),1)</f>
        <v>#REF!</v>
      </c>
    </row>
    <row r="16" spans="1:27" x14ac:dyDescent="0.25">
      <c r="A16" s="295">
        <v>50</v>
      </c>
      <c r="D16" s="291">
        <f t="shared" ca="1" si="0"/>
        <v>50</v>
      </c>
      <c r="E16" s="3" t="str">
        <f ca="1">IF(pajak[[#This Row],[//]]="","",INDEX(Table1[No. Invoice :],pajak[//]-offset))</f>
        <v>AM 24020012</v>
      </c>
      <c r="F16" s="289">
        <f ca="1">IF(pajak[[#This Row],[//]]="","",INDEX(Table1[Tgl Invoice :],pajak[//]-offset))</f>
        <v>45338</v>
      </c>
      <c r="G16" s="291" t="str">
        <f ca="1">IF(pajak[[#This Row],[//]]="","",INDEX(Table1[Kode Sales :],pajak[//]-offset))</f>
        <v>KO 2696</v>
      </c>
      <c r="H16" s="291" t="str">
        <f ca="1">IF(pajak[[#This Row],[//]]="","",INDEX(Table1[Toko],pajak[//]-offset))</f>
        <v>HARNOYO (BENDAN) PEKALONGAN</v>
      </c>
      <c r="I16" s="290">
        <f ca="1">IF(pajak[[#This Row],[//]]="","",SUMIF(Table1[h_id],pajak[[#This Row],[//]],Table1[h_hargasebelumdiskon]))</f>
        <v>3066000</v>
      </c>
      <c r="J16" s="290">
        <f ca="1">IF(pajak[[#This Row],[//]]="","",SUMIF(Table1[h_id],pajak[[#This Row],[//]],Table1[h_diskon]))</f>
        <v>429240.00000000006</v>
      </c>
      <c r="K16" s="290">
        <f ca="1">IF(pajak[[#This Row],[//]]="","",SUMIF(Table1[h_id],pajak[[#This Row],[//]],Table1[h_hargasetelahdiskon]))</f>
        <v>2636760</v>
      </c>
      <c r="L16" s="290">
        <f ca="1">IF(pajak[//]="","",pajak[[#This Row],[Sub Total]]/1.11*11%)</f>
        <v>261300.54054054053</v>
      </c>
      <c r="M16" s="290">
        <f ca="1">pajak[[#This Row],[Sub Total]]</f>
        <v>2636760</v>
      </c>
      <c r="N16" s="291" t="str">
        <f ca="1">IF(pajak[[#This Row],[//]]="","",INDEX(Table1[pembuat nota :],pajak[//]-offset))</f>
        <v>NOVI / CONDRO</v>
      </c>
      <c r="O16" s="291" t="str">
        <f ca="1">IF(pajak[[#This Row],[//]]="","",IF(INDEX(Table1[edited :],pajak[//]-offset)="","",INDEX(Table1[edited :],pajak[//]-offset)))</f>
        <v/>
      </c>
      <c r="P16" s="290"/>
      <c r="R16" s="3" t="str">
        <f>Table4[[#Headers],[AM]]</f>
        <v>AM</v>
      </c>
      <c r="S16" s="3">
        <f t="shared" si="1"/>
        <v>24020012</v>
      </c>
      <c r="T16" s="292" t="e">
        <f ca="1">IF(Table4[[#This Row],[AM]]&amp;" "&amp;Table4[[#This Row],[---]]=INDIRECT("pajak[@["&amp;Table4[#Headers]&amp;"]]"),MATCH(Table4[[#This Row],[---]],INDIRECT($3:$3),0))</f>
        <v>#REF!</v>
      </c>
      <c r="U16" s="292" t="e">
        <f ca="1">IF((INDEX(INDIRECT($3:$3),Table4[[#This Row],[No. Invoice :]]+$2:$2))=INDIRECT("pajak[@["&amp;Table4[#Headers]&amp;"]]"),1)</f>
        <v>#REF!</v>
      </c>
      <c r="V16" s="292" t="e">
        <f ca="1">IF((INDEX(INDIRECT($3:$3),Table4[[#This Row],[No. Invoice :]]+$2:$2))=INDIRECT("pajak[@["&amp;Table4[#Headers]&amp;"]]"),1)</f>
        <v>#REF!</v>
      </c>
      <c r="W16" s="292" t="e">
        <f ca="1">IF((INDEX(INDIRECT($3:$3),Table4[[#This Row],[No. Invoice :]]+$2:$2))=INDIRECT("pajak[@["&amp;Table4[#Headers]&amp;"]]"),1)</f>
        <v>#REF!</v>
      </c>
      <c r="X16" s="300" t="e">
        <f ca="1">IF((INDEX(INDIRECT($3:$3),Table4[[#This Row],[No. Invoice :]]+$2:$2))=INDIRECT("pajak[@["&amp;Table4[#Headers]&amp;"]]"),1)</f>
        <v>#REF!</v>
      </c>
    </row>
    <row r="17" spans="1:24" x14ac:dyDescent="0.25">
      <c r="A17" s="295">
        <v>53</v>
      </c>
      <c r="D17" s="291">
        <f t="shared" ca="1" si="0"/>
        <v>53</v>
      </c>
      <c r="E17" s="3" t="str">
        <f ca="1">IF(pajak[[#This Row],[//]]="","",INDEX(Table1[No. Invoice :],pajak[//]-offset))</f>
        <v>AM 24020013</v>
      </c>
      <c r="F17" s="289">
        <f ca="1">IF(pajak[[#This Row],[//]]="","",INDEX(Table1[Tgl Invoice :],pajak[//]-offset))</f>
        <v>45339</v>
      </c>
      <c r="G17" s="291" t="str">
        <f ca="1">IF(pajak[[#This Row],[//]]="","",INDEX(Table1[Kode Sales :],pajak[//]-offset))</f>
        <v>KO 2701</v>
      </c>
      <c r="H17" s="291" t="str">
        <f ca="1">IF(pajak[[#This Row],[//]]="","",INDEX(Table1[Toko],pajak[//]-offset))</f>
        <v>CV DWI JAYA YOGYAKARTA</v>
      </c>
      <c r="I17" s="290">
        <f ca="1">IF(pajak[[#This Row],[//]]="","",SUMIF(Table1[h_id],pajak[[#This Row],[//]],Table1[h_hargasebelumdiskon]))</f>
        <v>806400</v>
      </c>
      <c r="J17" s="290">
        <f ca="1">IF(pajak[[#This Row],[//]]="","",SUMIF(Table1[h_id],pajak[[#This Row],[//]],Table1[h_diskon]))</f>
        <v>80640</v>
      </c>
      <c r="K17" s="290">
        <f ca="1">IF(pajak[[#This Row],[//]]="","",SUMIF(Table1[h_id],pajak[[#This Row],[//]],Table1[h_hargasetelahdiskon]))</f>
        <v>725760</v>
      </c>
      <c r="L17" s="290">
        <f ca="1">IF(pajak[//]="","",pajak[[#This Row],[Sub Total]]/1.11*11%)</f>
        <v>71922.16216216216</v>
      </c>
      <c r="M17" s="290">
        <f ca="1">pajak[[#This Row],[Sub Total]]</f>
        <v>725760</v>
      </c>
      <c r="N17" s="291" t="str">
        <f ca="1">IF(pajak[[#This Row],[//]]="","",INDEX(Table1[pembuat nota :],pajak[//]-offset))</f>
        <v>NOVI / CONDRO</v>
      </c>
      <c r="O17" s="291" t="str">
        <f ca="1">IF(pajak[[#This Row],[//]]="","",IF(INDEX(Table1[edited :],pajak[//]-offset)="","",INDEX(Table1[edited :],pajak[//]-offset)))</f>
        <v/>
      </c>
      <c r="P17" s="290"/>
      <c r="R17" s="3" t="str">
        <f>Table4[[#Headers],[AM]]</f>
        <v>AM</v>
      </c>
      <c r="S17" s="3">
        <f t="shared" si="1"/>
        <v>24020013</v>
      </c>
      <c r="T17" s="292" t="e">
        <f ca="1">IF(Table4[[#This Row],[AM]]&amp;" "&amp;Table4[[#This Row],[---]]=INDIRECT("pajak[@["&amp;Table4[#Headers]&amp;"]]"),MATCH(Table4[[#This Row],[---]],INDIRECT($3:$3),0))</f>
        <v>#REF!</v>
      </c>
      <c r="U17" s="292" t="e">
        <f ca="1">IF((INDEX(INDIRECT($3:$3),Table4[[#This Row],[No. Invoice :]]+$2:$2))=INDIRECT("pajak[@["&amp;Table4[#Headers]&amp;"]]"),1)</f>
        <v>#REF!</v>
      </c>
      <c r="V17" s="292" t="e">
        <f ca="1">IF((INDEX(INDIRECT($3:$3),Table4[[#This Row],[No. Invoice :]]+$2:$2))=INDIRECT("pajak[@["&amp;Table4[#Headers]&amp;"]]"),1)</f>
        <v>#REF!</v>
      </c>
      <c r="W17" s="292" t="e">
        <f ca="1">IF((INDEX(INDIRECT($3:$3),Table4[[#This Row],[No. Invoice :]]+$2:$2))=INDIRECT("pajak[@["&amp;Table4[#Headers]&amp;"]]"),1)</f>
        <v>#REF!</v>
      </c>
      <c r="X17" s="300" t="e">
        <f ca="1">IF((INDEX(INDIRECT($3:$3),Table4[[#This Row],[No. Invoice :]]+$2:$2))=INDIRECT("pajak[@["&amp;Table4[#Headers]&amp;"]]"),1)</f>
        <v>#REF!</v>
      </c>
    </row>
    <row r="18" spans="1:24" x14ac:dyDescent="0.25">
      <c r="A18" s="295">
        <v>56</v>
      </c>
      <c r="D18" s="291">
        <f t="shared" ca="1" si="0"/>
        <v>56</v>
      </c>
      <c r="E18" s="3" t="str">
        <f ca="1">IF(pajak[[#This Row],[//]]="","",INDEX(Table1[No. Invoice :],pajak[//]-offset))</f>
        <v>AM 24020014</v>
      </c>
      <c r="F18" s="289">
        <f ca="1">IF(pajak[[#This Row],[//]]="","",INDEX(Table1[Tgl Invoice :],pajak[//]-offset))</f>
        <v>45342</v>
      </c>
      <c r="G18" s="291" t="str">
        <f ca="1">IF(pajak[[#This Row],[//]]="","",INDEX(Table1[Kode Sales :],pajak[//]-offset))</f>
        <v>G 2710</v>
      </c>
      <c r="H18" s="291" t="str">
        <f ca="1">IF(pajak[[#This Row],[//]]="","",INDEX(Table1[Toko],pajak[//]-offset))</f>
        <v>LILY JULIAWATI (REJO AGUNG) JOMBANG</v>
      </c>
      <c r="I18" s="290">
        <f ca="1">IF(pajak[[#This Row],[//]]="","",SUMIF(Table1[h_id],pajak[[#This Row],[//]],Table1[h_hargasebelumdiskon]))</f>
        <v>70450000</v>
      </c>
      <c r="J18" s="290">
        <f ca="1">IF(pajak[[#This Row],[//]]="","",SUMIF(Table1[h_id],pajak[[#This Row],[//]],Table1[h_diskon]))</f>
        <v>8806250</v>
      </c>
      <c r="K18" s="290">
        <f ca="1">IF(pajak[[#This Row],[//]]="","",SUMIF(Table1[h_id],pajak[[#This Row],[//]],Table1[h_hargasetelahdiskon]))</f>
        <v>61643750</v>
      </c>
      <c r="L18" s="290">
        <f ca="1">IF(pajak[//]="","",pajak[[#This Row],[Sub Total]]/1.11*11%)</f>
        <v>6108840.0900900895</v>
      </c>
      <c r="M18" s="290">
        <f ca="1">pajak[[#This Row],[Sub Total]]</f>
        <v>61643750</v>
      </c>
      <c r="N18" s="291" t="str">
        <f ca="1">IF(pajak[[#This Row],[//]]="","",INDEX(Table1[pembuat nota :],pajak[//]-offset))</f>
        <v>NOVI / YO</v>
      </c>
      <c r="O18" s="291" t="str">
        <f ca="1">IF(pajak[[#This Row],[//]]="","",IF(INDEX(Table1[edited :],pajak[//]-offset)="","",INDEX(Table1[edited :],pajak[//]-offset)))</f>
        <v/>
      </c>
      <c r="P18" s="290"/>
      <c r="R18" s="3" t="str">
        <f>Table4[[#Headers],[AM]]</f>
        <v>AM</v>
      </c>
      <c r="S18" s="3">
        <f t="shared" si="1"/>
        <v>24020014</v>
      </c>
      <c r="T18" s="292" t="e">
        <f ca="1">IF(Table4[[#This Row],[AM]]&amp;" "&amp;Table4[[#This Row],[---]]=INDIRECT("pajak[@["&amp;Table4[#Headers]&amp;"]]"),MATCH(Table4[[#This Row],[---]],INDIRECT($3:$3),0))</f>
        <v>#REF!</v>
      </c>
      <c r="U18" s="292" t="e">
        <f ca="1">IF((INDEX(INDIRECT($3:$3),Table4[[#This Row],[No. Invoice :]]+$2:$2))=INDIRECT("pajak[@["&amp;Table4[#Headers]&amp;"]]"),1)</f>
        <v>#REF!</v>
      </c>
      <c r="V18" s="292" t="e">
        <f ca="1">IF((INDEX(INDIRECT($3:$3),Table4[[#This Row],[No. Invoice :]]+$2:$2))=INDIRECT("pajak[@["&amp;Table4[#Headers]&amp;"]]"),1)</f>
        <v>#REF!</v>
      </c>
      <c r="W18" s="292" t="e">
        <f ca="1">IF((INDEX(INDIRECT($3:$3),Table4[[#This Row],[No. Invoice :]]+$2:$2))=INDIRECT("pajak[@["&amp;Table4[#Headers]&amp;"]]"),1)</f>
        <v>#REF!</v>
      </c>
      <c r="X18" s="300" t="e">
        <f ca="1">IF((INDEX(INDIRECT($3:$3),Table4[[#This Row],[No. Invoice :]]+$2:$2))=INDIRECT("pajak[@["&amp;Table4[#Headers]&amp;"]]"),1)</f>
        <v>#REF!</v>
      </c>
    </row>
    <row r="19" spans="1:24" x14ac:dyDescent="0.25">
      <c r="A19" s="295">
        <v>71</v>
      </c>
      <c r="D19" s="291">
        <f t="shared" ca="1" si="0"/>
        <v>71</v>
      </c>
      <c r="E19" s="3" t="str">
        <f ca="1">IF(pajak[[#This Row],[//]]="","",INDEX(Table1[No. Invoice :],pajak[//]-offset))</f>
        <v>AM 24020015</v>
      </c>
      <c r="F19" s="289">
        <f ca="1">IF(pajak[[#This Row],[//]]="","",INDEX(Table1[Tgl Invoice :],pajak[//]-offset))</f>
        <v>45342</v>
      </c>
      <c r="G19" s="291" t="str">
        <f ca="1">IF(pajak[[#This Row],[//]]="","",INDEX(Table1[Kode Sales :],pajak[//]-offset))</f>
        <v>G 2711</v>
      </c>
      <c r="H19" s="291" t="str">
        <f ca="1">IF(pajak[[#This Row],[//]]="","",INDEX(Table1[Toko],pajak[//]-offset))</f>
        <v>LILY JULIAWATI (REJO AGUNG) JOMBANG</v>
      </c>
      <c r="I19" s="290">
        <f ca="1">IF(pajak[[#This Row],[//]]="","",SUMIF(Table1[h_id],pajak[[#This Row],[//]],Table1[h_hargasebelumdiskon]))</f>
        <v>25268400</v>
      </c>
      <c r="J19" s="290">
        <f ca="1">IF(pajak[[#This Row],[//]]="","",SUMIF(Table1[h_id],pajak[[#This Row],[//]],Table1[h_diskon]))</f>
        <v>3158550</v>
      </c>
      <c r="K19" s="290">
        <f ca="1">IF(pajak[[#This Row],[//]]="","",SUMIF(Table1[h_id],pajak[[#This Row],[//]],Table1[h_hargasetelahdiskon]))</f>
        <v>22109850</v>
      </c>
      <c r="L19" s="290">
        <f ca="1">IF(pajak[//]="","",pajak[[#This Row],[Sub Total]]/1.11*11%)</f>
        <v>2191066.2162162159</v>
      </c>
      <c r="M19" s="290">
        <f ca="1">pajak[[#This Row],[Sub Total]]</f>
        <v>22109850</v>
      </c>
      <c r="N19" s="291" t="str">
        <f ca="1">IF(pajak[[#This Row],[//]]="","",INDEX(Table1[pembuat nota :],pajak[//]-offset))</f>
        <v>NOVI / YO</v>
      </c>
      <c r="O19" s="291" t="str">
        <f ca="1">IF(pajak[[#This Row],[//]]="","",IF(INDEX(Table1[edited :],pajak[//]-offset)="","",INDEX(Table1[edited :],pajak[//]-offset)))</f>
        <v/>
      </c>
      <c r="P19" s="290"/>
      <c r="R19" s="3" t="str">
        <f>Table4[[#Headers],[AM]]</f>
        <v>AM</v>
      </c>
      <c r="S19" s="3">
        <f t="shared" si="1"/>
        <v>24020015</v>
      </c>
      <c r="T19" s="292" t="e">
        <f ca="1">IF(Table4[[#This Row],[AM]]&amp;" "&amp;Table4[[#This Row],[---]]=INDIRECT("pajak[@["&amp;Table4[#Headers]&amp;"]]"),MATCH(Table4[[#This Row],[---]],INDIRECT($3:$3),0))</f>
        <v>#REF!</v>
      </c>
      <c r="U19" s="292" t="e">
        <f ca="1">IF((INDEX(INDIRECT($3:$3),Table4[[#This Row],[No. Invoice :]]+$2:$2))=INDIRECT("pajak[@["&amp;Table4[#Headers]&amp;"]]"),1)</f>
        <v>#REF!</v>
      </c>
      <c r="V19" s="292" t="e">
        <f ca="1">IF((INDEX(INDIRECT($3:$3),Table4[[#This Row],[No. Invoice :]]+$2:$2))=INDIRECT("pajak[@["&amp;Table4[#Headers]&amp;"]]"),1)</f>
        <v>#REF!</v>
      </c>
      <c r="W19" s="292" t="e">
        <f ca="1">IF((INDEX(INDIRECT($3:$3),Table4[[#This Row],[No. Invoice :]]+$2:$2))=INDIRECT("pajak[@["&amp;Table4[#Headers]&amp;"]]"),1)</f>
        <v>#REF!</v>
      </c>
      <c r="X19" s="300" t="e">
        <f ca="1">IF((INDEX(INDIRECT($3:$3),Table4[[#This Row],[No. Invoice :]]+$2:$2))=INDIRECT("pajak[@["&amp;Table4[#Headers]&amp;"]]"),1)</f>
        <v>#REF!</v>
      </c>
    </row>
    <row r="20" spans="1:24" x14ac:dyDescent="0.25">
      <c r="A20" s="295">
        <v>81</v>
      </c>
      <c r="D20" s="291">
        <f t="shared" ca="1" si="0"/>
        <v>81</v>
      </c>
      <c r="E20" s="3" t="str">
        <f ca="1">IF(pajak[[#This Row],[//]]="","",INDEX(Table1[No. Invoice :],pajak[//]-offset))</f>
        <v>AM 24020016</v>
      </c>
      <c r="F20" s="289">
        <f ca="1">IF(pajak[[#This Row],[//]]="","",INDEX(Table1[Tgl Invoice :],pajak[//]-offset))</f>
        <v>45342</v>
      </c>
      <c r="G20" s="291" t="str">
        <f ca="1">IF(pajak[[#This Row],[//]]="","",INDEX(Table1[Kode Sales :],pajak[//]-offset))</f>
        <v>KO 2712</v>
      </c>
      <c r="H20" s="291" t="str">
        <f ca="1">IF(pajak[[#This Row],[//]]="","",INDEX(Table1[Toko],pajak[//]-offset))</f>
        <v>HARNOYO (BENDAN) PEKALONGAN</v>
      </c>
      <c r="I20" s="290">
        <f ca="1">IF(pajak[[#This Row],[//]]="","",SUMIF(Table1[h_id],pajak[[#This Row],[//]],Table1[h_hargasebelumdiskon]))</f>
        <v>980000</v>
      </c>
      <c r="J20" s="290">
        <f ca="1">IF(pajak[[#This Row],[//]]="","",SUMIF(Table1[h_id],pajak[[#This Row],[//]],Table1[h_diskon]))</f>
        <v>137200</v>
      </c>
      <c r="K20" s="290">
        <f ca="1">IF(pajak[[#This Row],[//]]="","",SUMIF(Table1[h_id],pajak[[#This Row],[//]],Table1[h_hargasetelahdiskon]))</f>
        <v>842800</v>
      </c>
      <c r="L20" s="290">
        <f ca="1">IF(pajak[//]="","",pajak[[#This Row],[Sub Total]]/1.11*11%)</f>
        <v>83520.72072072071</v>
      </c>
      <c r="M20" s="290">
        <f ca="1">pajak[[#This Row],[Sub Total]]</f>
        <v>842800</v>
      </c>
      <c r="N20" s="291" t="str">
        <f ca="1">IF(pajak[[#This Row],[//]]="","",INDEX(Table1[pembuat nota :],pajak[//]-offset))</f>
        <v>NOVI / YO</v>
      </c>
      <c r="O20" s="291" t="str">
        <f ca="1">IF(pajak[[#This Row],[//]]="","",IF(INDEX(Table1[edited :],pajak[//]-offset)="","",INDEX(Table1[edited :],pajak[//]-offset)))</f>
        <v/>
      </c>
      <c r="P20" s="290"/>
      <c r="R20" s="3" t="str">
        <f>Table4[[#Headers],[AM]]</f>
        <v>AM</v>
      </c>
      <c r="S20" s="3">
        <f t="shared" si="1"/>
        <v>24020016</v>
      </c>
      <c r="T20" s="292" t="e">
        <f ca="1">IF(Table4[[#This Row],[AM]]&amp;" "&amp;Table4[[#This Row],[---]]=INDIRECT("pajak[@["&amp;Table4[#Headers]&amp;"]]"),MATCH(Table4[[#This Row],[---]],INDIRECT($3:$3),0))</f>
        <v>#REF!</v>
      </c>
      <c r="U20" s="292" t="e">
        <f ca="1">IF((INDEX(INDIRECT($3:$3),Table4[[#This Row],[No. Invoice :]]+$2:$2))=INDIRECT("pajak[@["&amp;Table4[#Headers]&amp;"]]"),1)</f>
        <v>#REF!</v>
      </c>
      <c r="V20" s="292" t="e">
        <f ca="1">IF((INDEX(INDIRECT($3:$3),Table4[[#This Row],[No. Invoice :]]+$2:$2))=INDIRECT("pajak[@["&amp;Table4[#Headers]&amp;"]]"),1)</f>
        <v>#REF!</v>
      </c>
      <c r="W20" s="292" t="e">
        <f ca="1">IF((INDEX(INDIRECT($3:$3),Table4[[#This Row],[No. Invoice :]]+$2:$2))=INDIRECT("pajak[@["&amp;Table4[#Headers]&amp;"]]"),1)</f>
        <v>#REF!</v>
      </c>
      <c r="X20" s="300" t="e">
        <f ca="1">IF((INDEX(INDIRECT($3:$3),Table4[[#This Row],[No. Invoice :]]+$2:$2))=INDIRECT("pajak[@["&amp;Table4[#Headers]&amp;"]]"),1)</f>
        <v>#REF!</v>
      </c>
    </row>
    <row r="21" spans="1:24" x14ac:dyDescent="0.25">
      <c r="A21" s="295">
        <v>83</v>
      </c>
      <c r="D21" s="291">
        <f t="shared" ca="1" si="0"/>
        <v>83</v>
      </c>
      <c r="E21" s="3" t="str">
        <f ca="1">IF(pajak[[#This Row],[//]]="","",INDEX(Table1[No. Invoice :],pajak[//]-offset))</f>
        <v>AM 24020017</v>
      </c>
      <c r="F21" s="289">
        <f ca="1">IF(pajak[[#This Row],[//]]="","",INDEX(Table1[Tgl Invoice :],pajak[//]-offset))</f>
        <v>45342</v>
      </c>
      <c r="G21" s="291" t="str">
        <f ca="1">IF(pajak[[#This Row],[//]]="","",INDEX(Table1[Kode Sales :],pajak[//]-offset))</f>
        <v>KO 2623</v>
      </c>
      <c r="H21" s="291" t="str">
        <f ca="1">IF(pajak[[#This Row],[//]]="","",INDEX(Table1[Toko],pajak[//]-offset))</f>
        <v>CV RAINBOW NUSANTARA ( PELANGI ) SIDOARJO</v>
      </c>
      <c r="I21" s="290">
        <f ca="1">IF(pajak[[#This Row],[//]]="","",SUMIF(Table1[h_id],pajak[[#This Row],[//]],Table1[h_hargasebelumdiskon]))</f>
        <v>7644000</v>
      </c>
      <c r="J21" s="290">
        <f ca="1">IF(pajak[[#This Row],[//]]="","",SUMIF(Table1[h_id],pajak[[#This Row],[//]],Table1[h_diskon]))</f>
        <v>1108380</v>
      </c>
      <c r="K21" s="290">
        <f ca="1">IF(pajak[[#This Row],[//]]="","",SUMIF(Table1[h_id],pajak[[#This Row],[//]],Table1[h_hargasetelahdiskon]))</f>
        <v>6535620</v>
      </c>
      <c r="L21" s="290">
        <f ca="1">IF(pajak[//]="","",pajak[[#This Row],[Sub Total]]/1.11*11%)</f>
        <v>647674.05405405397</v>
      </c>
      <c r="M21" s="290">
        <f ca="1">pajak[[#This Row],[Sub Total]]</f>
        <v>6535620</v>
      </c>
      <c r="N21" s="291" t="str">
        <f ca="1">IF(pajak[[#This Row],[//]]="","",INDEX(Table1[pembuat nota :],pajak[//]-offset))</f>
        <v>NOVI / YO</v>
      </c>
      <c r="O21" s="291" t="str">
        <f ca="1">IF(pajak[[#This Row],[//]]="","",IF(INDEX(Table1[edited :],pajak[//]-offset)="","",INDEX(Table1[edited :],pajak[//]-offset)))</f>
        <v/>
      </c>
      <c r="P21" s="290"/>
      <c r="R21" s="3" t="str">
        <f>Table4[[#Headers],[AM]]</f>
        <v>AM</v>
      </c>
      <c r="S21" s="3">
        <f t="shared" si="1"/>
        <v>24020017</v>
      </c>
      <c r="T21" s="292" t="e">
        <f ca="1">IF(Table4[[#This Row],[AM]]&amp;" "&amp;Table4[[#This Row],[---]]=INDIRECT("pajak[@["&amp;Table4[#Headers]&amp;"]]"),MATCH(Table4[[#This Row],[---]],INDIRECT($3:$3),0))</f>
        <v>#REF!</v>
      </c>
      <c r="U21" s="292" t="e">
        <f ca="1">IF((INDEX(INDIRECT($3:$3),Table4[[#This Row],[No. Invoice :]]+$2:$2))=INDIRECT("pajak[@["&amp;Table4[#Headers]&amp;"]]"),1)</f>
        <v>#REF!</v>
      </c>
      <c r="V21" s="292" t="e">
        <f ca="1">IF((INDEX(INDIRECT($3:$3),Table4[[#This Row],[No. Invoice :]]+$2:$2))=INDIRECT("pajak[@["&amp;Table4[#Headers]&amp;"]]"),1)</f>
        <v>#REF!</v>
      </c>
      <c r="W21" s="292" t="e">
        <f ca="1">IF((INDEX(INDIRECT($3:$3),Table4[[#This Row],[No. Invoice :]]+$2:$2))=INDIRECT("pajak[@["&amp;Table4[#Headers]&amp;"]]"),1)</f>
        <v>#REF!</v>
      </c>
      <c r="X21" s="300" t="e">
        <f ca="1">IF((INDEX(INDIRECT($3:$3),Table4[[#This Row],[No. Invoice :]]+$2:$2))=INDIRECT("pajak[@["&amp;Table4[#Headers]&amp;"]]"),1)</f>
        <v>#REF!</v>
      </c>
    </row>
    <row r="22" spans="1:24" x14ac:dyDescent="0.25">
      <c r="A22" s="295">
        <v>89</v>
      </c>
      <c r="B22" s="295"/>
      <c r="D22" s="291">
        <f t="shared" ca="1" si="0"/>
        <v>89</v>
      </c>
      <c r="E22" s="3" t="str">
        <f ca="1">IF(pajak[[#This Row],[//]]="","",INDEX(Table1[No. Invoice :],pajak[//]-offset))</f>
        <v>AM 24020018</v>
      </c>
      <c r="F22" s="289">
        <f ca="1">IF(pajak[[#This Row],[//]]="","",INDEX(Table1[Tgl Invoice :],pajak[//]-offset))</f>
        <v>45342</v>
      </c>
      <c r="G22" s="291" t="str">
        <f ca="1">IF(pajak[[#This Row],[//]]="","",INDEX(Table1[Kode Sales :],pajak[//]-offset))</f>
        <v>KO 4995</v>
      </c>
      <c r="H22" s="291" t="str">
        <f ca="1">IF(pajak[[#This Row],[//]]="","",INDEX(Table1[Toko],pajak[//]-offset))</f>
        <v>CV RAINBOW NUSANTARA ( PELANGI ) SIDOARJO</v>
      </c>
      <c r="I22" s="290">
        <f ca="1">IF(pajak[[#This Row],[//]]="","",SUMIF(Table1[h_id],pajak[[#This Row],[//]],Table1[h_hargasebelumdiskon]))</f>
        <v>5516400</v>
      </c>
      <c r="J22" s="290">
        <f ca="1">IF(pajak[[#This Row],[//]]="","",SUMIF(Table1[h_id],pajak[[#This Row],[//]],Table1[h_diskon]))</f>
        <v>799878</v>
      </c>
      <c r="K22" s="290">
        <f ca="1">IF(pajak[[#This Row],[//]]="","",SUMIF(Table1[h_id],pajak[[#This Row],[//]],Table1[h_hargasetelahdiskon]))</f>
        <v>4716522</v>
      </c>
      <c r="L22" s="290">
        <f ca="1">IF(pajak[//]="","",pajak[[#This Row],[Sub Total]]/1.11*11%)</f>
        <v>467403.08108108107</v>
      </c>
      <c r="M22" s="290">
        <f ca="1">pajak[[#This Row],[Sub Total]]</f>
        <v>4716522</v>
      </c>
      <c r="N22" s="291" t="str">
        <f ca="1">IF(pajak[[#This Row],[//]]="","",INDEX(Table1[pembuat nota :],pajak[//]-offset))</f>
        <v>NOVI / YO</v>
      </c>
      <c r="O22" s="291" t="str">
        <f ca="1">IF(pajak[[#This Row],[//]]="","",IF(INDEX(Table1[edited :],pajak[//]-offset)="","",INDEX(Table1[edited :],pajak[//]-offset)))</f>
        <v/>
      </c>
      <c r="P22" s="290"/>
      <c r="R22" s="3" t="str">
        <f>Table4[[#Headers],[AM]]</f>
        <v>AM</v>
      </c>
      <c r="S22" s="3">
        <f t="shared" si="1"/>
        <v>24020018</v>
      </c>
      <c r="T22" s="292" t="e">
        <f ca="1">IF(Table4[[#This Row],[AM]]&amp;" "&amp;Table4[[#This Row],[---]]=INDIRECT("pajak[@["&amp;Table4[#Headers]&amp;"]]"),MATCH(Table4[[#This Row],[---]],INDIRECT($3:$3),0))</f>
        <v>#REF!</v>
      </c>
      <c r="U22" s="292" t="e">
        <f ca="1">IF((INDEX(INDIRECT($3:$3),Table4[[#This Row],[No. Invoice :]]+$2:$2))=INDIRECT("pajak[@["&amp;Table4[#Headers]&amp;"]]"),1)</f>
        <v>#REF!</v>
      </c>
      <c r="V22" s="292" t="e">
        <f ca="1">IF((INDEX(INDIRECT($3:$3),Table4[[#This Row],[No. Invoice :]]+$2:$2))=INDIRECT("pajak[@["&amp;Table4[#Headers]&amp;"]]"),1)</f>
        <v>#REF!</v>
      </c>
      <c r="W22" s="292" t="e">
        <f ca="1">IF((INDEX(INDIRECT($3:$3),Table4[[#This Row],[No. Invoice :]]+$2:$2))=INDIRECT("pajak[@["&amp;Table4[#Headers]&amp;"]]"),1)</f>
        <v>#REF!</v>
      </c>
      <c r="X22" s="300" t="e">
        <f ca="1">IF((INDEX(INDIRECT($3:$3),Table4[[#This Row],[No. Invoice :]]+$2:$2))=INDIRECT("pajak[@["&amp;Table4[#Headers]&amp;"]]"),1)</f>
        <v>#REF!</v>
      </c>
    </row>
    <row r="23" spans="1:24" x14ac:dyDescent="0.25">
      <c r="A23" s="295">
        <v>97</v>
      </c>
      <c r="D23" s="291">
        <f t="shared" ca="1" si="0"/>
        <v>97</v>
      </c>
      <c r="E23" s="3" t="str">
        <f ca="1">IF(pajak[[#This Row],[//]]="","",INDEX(Table1[No. Invoice :],pajak[//]-offset))</f>
        <v>AM 24020019</v>
      </c>
      <c r="F23" s="289">
        <f ca="1">IF(pajak[[#This Row],[//]]="","",INDEX(Table1[Tgl Invoice :],pajak[//]-offset))</f>
        <v>45343</v>
      </c>
      <c r="G23" s="291" t="str">
        <f ca="1">IF(pajak[[#This Row],[//]]="","",INDEX(Table1[Kode Sales :],pajak[//]-offset))</f>
        <v>KO 2743</v>
      </c>
      <c r="H23" s="291" t="str">
        <f ca="1">IF(pajak[[#This Row],[//]]="","",INDEX(Table1[Toko],pajak[//]-offset))</f>
        <v>CV DWI JAYA YOGYAKARTA</v>
      </c>
      <c r="I23" s="290">
        <f ca="1">IF(pajak[[#This Row],[//]]="","",SUMIF(Table1[h_id],pajak[[#This Row],[//]],Table1[h_hargasebelumdiskon]))</f>
        <v>1685400</v>
      </c>
      <c r="J23" s="290">
        <f ca="1">IF(pajak[[#This Row],[//]]="","",SUMIF(Table1[h_id],pajak[[#This Row],[//]],Table1[h_diskon]))</f>
        <v>168540</v>
      </c>
      <c r="K23" s="290">
        <f ca="1">IF(pajak[[#This Row],[//]]="","",SUMIF(Table1[h_id],pajak[[#This Row],[//]],Table1[h_hargasetelahdiskon]))</f>
        <v>1516860</v>
      </c>
      <c r="L23" s="290">
        <f ca="1">IF(pajak[//]="","",pajak[[#This Row],[Sub Total]]/1.11*11%)</f>
        <v>150319.45945945944</v>
      </c>
      <c r="M23" s="290">
        <f ca="1">pajak[[#This Row],[Sub Total]]</f>
        <v>1516860</v>
      </c>
      <c r="N23" s="291" t="str">
        <f ca="1">IF(pajak[[#This Row],[//]]="","",INDEX(Table1[pembuat nota :],pajak[//]-offset))</f>
        <v>NOVI / CONDRO</v>
      </c>
      <c r="O23" s="291" t="str">
        <f ca="1">IF(pajak[[#This Row],[//]]="","",IF(INDEX(Table1[edited :],pajak[//]-offset)="","",INDEX(Table1[edited :],pajak[//]-offset)))</f>
        <v/>
      </c>
      <c r="P23" s="290"/>
      <c r="R23" s="3" t="str">
        <f>Table4[[#Headers],[AM]]</f>
        <v>AM</v>
      </c>
      <c r="S23" s="3">
        <f t="shared" si="1"/>
        <v>24020019</v>
      </c>
      <c r="T23" s="292" t="e">
        <f ca="1">IF(Table4[[#This Row],[AM]]&amp;" "&amp;Table4[[#This Row],[---]]=INDIRECT("pajak[@["&amp;Table4[#Headers]&amp;"]]"),MATCH(Table4[[#This Row],[---]],INDIRECT($3:$3),0))</f>
        <v>#REF!</v>
      </c>
      <c r="U23" s="292" t="e">
        <f ca="1">IF((INDEX(INDIRECT($3:$3),Table4[[#This Row],[No. Invoice :]]+$2:$2))=INDIRECT("pajak[@["&amp;Table4[#Headers]&amp;"]]"),1)</f>
        <v>#REF!</v>
      </c>
      <c r="V23" s="292" t="e">
        <f ca="1">IF((INDEX(INDIRECT($3:$3),Table4[[#This Row],[No. Invoice :]]+$2:$2))=INDIRECT("pajak[@["&amp;Table4[#Headers]&amp;"]]"),1)</f>
        <v>#REF!</v>
      </c>
      <c r="W23" s="292" t="e">
        <f ca="1">IF((INDEX(INDIRECT($3:$3),Table4[[#This Row],[No. Invoice :]]+$2:$2))=INDIRECT("pajak[@["&amp;Table4[#Headers]&amp;"]]"),1)</f>
        <v>#REF!</v>
      </c>
      <c r="X23" s="300" t="e">
        <f ca="1">IF((INDEX(INDIRECT($3:$3),Table4[[#This Row],[No. Invoice :]]+$2:$2))=INDIRECT("pajak[@["&amp;Table4[#Headers]&amp;"]]"),1)</f>
        <v>#REF!</v>
      </c>
    </row>
    <row r="24" spans="1:24" x14ac:dyDescent="0.25">
      <c r="A24" s="295">
        <v>102</v>
      </c>
      <c r="D24" s="291">
        <f t="shared" ca="1" si="0"/>
        <v>102</v>
      </c>
      <c r="E24" s="291" t="str">
        <f ca="1">IF(pajak[[#This Row],[//]]="","",INDEX(Table1[No. Invoice :],pajak[//]-offset))</f>
        <v>AM 24020020</v>
      </c>
      <c r="F24" s="289">
        <f ca="1">IF(pajak[[#This Row],[//]]="","",INDEX(Table1[Tgl Invoice :],pajak[//]-offset))</f>
        <v>45343</v>
      </c>
      <c r="G24" s="291" t="str">
        <f ca="1">IF(pajak[[#This Row],[//]]="","",INDEX(Table1[Kode Sales :],pajak[//]-offset))</f>
        <v>G 2720</v>
      </c>
      <c r="H24" s="291" t="str">
        <f ca="1">IF(pajak[[#This Row],[//]]="","",INDEX(Table1[Toko],pajak[//]-offset))</f>
        <v>CV UTAMA PUTRA TULUNG AGUNG</v>
      </c>
      <c r="I24" s="290">
        <f ca="1">IF(pajak[[#This Row],[//]]="","",SUMIF(Table1[h_id],pajak[[#This Row],[//]],Table1[h_hargasebelumdiskon]))</f>
        <v>13724000</v>
      </c>
      <c r="J24" s="290">
        <f ca="1">IF(pajak[[#This Row],[//]]="","",SUMIF(Table1[h_id],pajak[[#This Row],[//]],Table1[h_diskon]))</f>
        <v>0</v>
      </c>
      <c r="K24" s="290">
        <f ca="1">IF(pajak[[#This Row],[//]]="","",SUMIF(Table1[h_id],pajak[[#This Row],[//]],Table1[h_hargasetelahdiskon]))</f>
        <v>13724000</v>
      </c>
      <c r="L24" s="290">
        <f ca="1">IF(pajak[//]="","",pajak[[#This Row],[Sub Total]]/1.11*11%)</f>
        <v>1360036.036036036</v>
      </c>
      <c r="M24" s="290">
        <f ca="1">pajak[[#This Row],[Sub Total]]</f>
        <v>13724000</v>
      </c>
      <c r="N24" s="291" t="str">
        <f ca="1">IF(pajak[[#This Row],[//]]="","",INDEX(Table1[pembuat nota :],pajak[//]-offset))</f>
        <v>NOVI / CONDRO</v>
      </c>
      <c r="O24" s="291" t="str">
        <f ca="1">IF(pajak[[#This Row],[//]]="","",IF(INDEX(Table1[edited :],pajak[//]-offset)="","",INDEX(Table1[edited :],pajak[//]-offset)))</f>
        <v/>
      </c>
      <c r="P24" s="290"/>
      <c r="R24" s="3" t="str">
        <f>Table4[[#Headers],[AM]]</f>
        <v>AM</v>
      </c>
      <c r="S24" s="3">
        <f t="shared" si="1"/>
        <v>24020020</v>
      </c>
      <c r="T24" s="292" t="e">
        <f ca="1">IF(Table4[[#This Row],[AM]]&amp;" "&amp;Table4[[#This Row],[---]]=INDIRECT("pajak[@["&amp;Table4[#Headers]&amp;"]]"),MATCH(Table4[[#This Row],[---]],INDIRECT($3:$3),0))</f>
        <v>#REF!</v>
      </c>
      <c r="U24" s="292" t="e">
        <f ca="1">IF((INDEX(INDIRECT($3:$3),Table4[[#This Row],[No. Invoice :]]+$2:$2))=INDIRECT("pajak[@["&amp;Table4[#Headers]&amp;"]]"),1)</f>
        <v>#REF!</v>
      </c>
      <c r="V24" s="292" t="e">
        <f ca="1">IF((INDEX(INDIRECT($3:$3),Table4[[#This Row],[No. Invoice :]]+$2:$2))=INDIRECT("pajak[@["&amp;Table4[#Headers]&amp;"]]"),1)</f>
        <v>#REF!</v>
      </c>
      <c r="W24" s="292" t="e">
        <f ca="1">IF((INDEX(INDIRECT($3:$3),Table4[[#This Row],[No. Invoice :]]+$2:$2))=INDIRECT("pajak[@["&amp;Table4[#Headers]&amp;"]]"),1)</f>
        <v>#REF!</v>
      </c>
      <c r="X24" s="300" t="e">
        <f ca="1">IF((INDEX(INDIRECT($3:$3),Table4[[#This Row],[No. Invoice :]]+$2:$2))=INDIRECT("pajak[@["&amp;Table4[#Headers]&amp;"]]"),1)</f>
        <v>#REF!</v>
      </c>
    </row>
    <row r="25" spans="1:24" x14ac:dyDescent="0.25">
      <c r="A25" s="295">
        <v>109</v>
      </c>
      <c r="D25" s="291">
        <f t="shared" ca="1" si="0"/>
        <v>109</v>
      </c>
      <c r="E25" s="291" t="str">
        <f ca="1">IF(pajak[[#This Row],[//]]="","",INDEX(Table1[No. Invoice :],pajak[//]-offset))</f>
        <v>AM 24020021</v>
      </c>
      <c r="F25" s="289">
        <f ca="1">IF(pajak[[#This Row],[//]]="","",INDEX(Table1[Tgl Invoice :],pajak[//]-offset))</f>
        <v>45344</v>
      </c>
      <c r="G25" s="291" t="str">
        <f ca="1">IF(pajak[[#This Row],[//]]="","",INDEX(Table1[Kode Sales :],pajak[//]-offset))</f>
        <v>KO 0943</v>
      </c>
      <c r="H25" s="291" t="str">
        <f ca="1">IF(pajak[[#This Row],[//]]="","",INDEX(Table1[Toko],pajak[//]-offset))</f>
        <v>CV GANESHA WONOSOBO</v>
      </c>
      <c r="I25" s="290">
        <f ca="1">IF(pajak[[#This Row],[//]]="","",SUMIF(Table1[h_id],pajak[[#This Row],[//]],Table1[h_hargasebelumdiskon]))</f>
        <v>1764200</v>
      </c>
      <c r="J25" s="290">
        <f ca="1">IF(pajak[[#This Row],[//]]="","",SUMIF(Table1[h_id],pajak[[#This Row],[//]],Table1[h_diskon]))</f>
        <v>176420</v>
      </c>
      <c r="K25" s="290">
        <f ca="1">IF(pajak[[#This Row],[//]]="","",SUMIF(Table1[h_id],pajak[[#This Row],[//]],Table1[h_hargasetelahdiskon]))</f>
        <v>1587780</v>
      </c>
      <c r="L25" s="290">
        <f ca="1">IF(pajak[//]="","",pajak[[#This Row],[Sub Total]]/1.11*11%)</f>
        <v>157347.56756756754</v>
      </c>
      <c r="M25" s="290">
        <f ca="1">pajak[[#This Row],[Sub Total]]</f>
        <v>1587780</v>
      </c>
      <c r="N25" s="291" t="str">
        <f ca="1">IF(pajak[[#This Row],[//]]="","",INDEX(Table1[pembuat nota :],pajak[//]-offset))</f>
        <v>NOVI / CONDRO</v>
      </c>
      <c r="O25" s="291" t="str">
        <f ca="1">IF(pajak[[#This Row],[//]]="","",IF(INDEX(Table1[edited :],pajak[//]-offset)="","",INDEX(Table1[edited :],pajak[//]-offset)))</f>
        <v/>
      </c>
      <c r="P25" s="290"/>
      <c r="R25" s="3" t="str">
        <f>Table4[[#Headers],[AM]]</f>
        <v>AM</v>
      </c>
      <c r="S25" s="3">
        <f t="shared" si="1"/>
        <v>24020021</v>
      </c>
      <c r="T25" s="292" t="e">
        <f ca="1">IF(Table4[[#This Row],[AM]]&amp;" "&amp;Table4[[#This Row],[---]]=INDIRECT("pajak[@["&amp;Table4[#Headers]&amp;"]]"),MATCH(Table4[[#This Row],[---]],INDIRECT($3:$3),0))</f>
        <v>#REF!</v>
      </c>
      <c r="U25" s="292" t="e">
        <f ca="1">IF((INDEX(INDIRECT($3:$3),Table4[[#This Row],[No. Invoice :]]+$2:$2))=INDIRECT("pajak[@["&amp;Table4[#Headers]&amp;"]]"),1)</f>
        <v>#REF!</v>
      </c>
      <c r="V25" s="292" t="e">
        <f ca="1">IF((INDEX(INDIRECT($3:$3),Table4[[#This Row],[No. Invoice :]]+$2:$2))=INDIRECT("pajak[@["&amp;Table4[#Headers]&amp;"]]"),1)</f>
        <v>#REF!</v>
      </c>
      <c r="W25" s="292" t="e">
        <f ca="1">IF((INDEX(INDIRECT($3:$3),Table4[[#This Row],[No. Invoice :]]+$2:$2))=INDIRECT("pajak[@["&amp;Table4[#Headers]&amp;"]]"),1)</f>
        <v>#REF!</v>
      </c>
      <c r="X25" s="300" t="e">
        <f ca="1">IF((INDEX(INDIRECT($3:$3),Table4[[#This Row],[No. Invoice :]]+$2:$2))=INDIRECT("pajak[@["&amp;Table4[#Headers]&amp;"]]"),1)</f>
        <v>#REF!</v>
      </c>
    </row>
    <row r="26" spans="1:24" x14ac:dyDescent="0.25">
      <c r="A26" s="295">
        <v>115</v>
      </c>
      <c r="D26" s="291">
        <f t="shared" ca="1" si="0"/>
        <v>115</v>
      </c>
      <c r="E26" s="291" t="str">
        <f ca="1">IF(pajak[[#This Row],[//]]="","",INDEX(Table1[No. Invoice :],pajak[//]-offset))</f>
        <v>AM 24020022</v>
      </c>
      <c r="F26" s="289">
        <f ca="1">IF(pajak[[#This Row],[//]]="","",INDEX(Table1[Tgl Invoice :],pajak[//]-offset))</f>
        <v>45344</v>
      </c>
      <c r="G26" s="291" t="str">
        <f ca="1">IF(pajak[[#This Row],[//]]="","",INDEX(Table1[Kode Sales :],pajak[//]-offset))</f>
        <v>KO 0944</v>
      </c>
      <c r="H26" s="291" t="str">
        <f ca="1">IF(pajak[[#This Row],[//]]="","",INDEX(Table1[Toko],pajak[//]-offset))</f>
        <v>CV SINAR CAHAYA NIRMALA BREBES</v>
      </c>
      <c r="I26" s="290">
        <f ca="1">IF(pajak[[#This Row],[//]]="","",SUMIF(Table1[h_id],pajak[[#This Row],[//]],Table1[h_hargasebelumdiskon]))</f>
        <v>1472740</v>
      </c>
      <c r="J26" s="290">
        <f ca="1">IF(pajak[[#This Row],[//]]="","",SUMIF(Table1[h_id],pajak[[#This Row],[//]],Table1[h_diskon]))</f>
        <v>104124</v>
      </c>
      <c r="K26" s="290">
        <f ca="1">IF(pajak[[#This Row],[//]]="","",SUMIF(Table1[h_id],pajak[[#This Row],[//]],Table1[h_hargasetelahdiskon]))</f>
        <v>1368616</v>
      </c>
      <c r="L26" s="290">
        <f ca="1">IF(pajak[//]="","",pajak[[#This Row],[Sub Total]]/1.11*11%)</f>
        <v>135628.6126126126</v>
      </c>
      <c r="M26" s="290">
        <f ca="1">pajak[[#This Row],[Sub Total]]</f>
        <v>1368616</v>
      </c>
      <c r="N26" s="291" t="str">
        <f ca="1">IF(pajak[[#This Row],[//]]="","",INDEX(Table1[pembuat nota :],pajak[//]-offset))</f>
        <v>RISMA / CONDRO</v>
      </c>
      <c r="O26" s="291" t="str">
        <f ca="1">IF(pajak[[#This Row],[//]]="","",IF(INDEX(Table1[edited :],pajak[//]-offset)="","",INDEX(Table1[edited :],pajak[//]-offset)))</f>
        <v/>
      </c>
      <c r="P26" s="290"/>
      <c r="R26" s="291" t="str">
        <f>Table4[[#Headers],[AM]]</f>
        <v>AM</v>
      </c>
      <c r="S26" s="291">
        <f t="shared" si="1"/>
        <v>24020022</v>
      </c>
      <c r="T26" s="300" t="e">
        <f ca="1">IF(Table4[[#This Row],[AM]]&amp;" "&amp;Table4[[#This Row],[---]]=INDIRECT("pajak[@["&amp;Table4[#Headers]&amp;"]]"),MATCH(Table4[[#This Row],[---]],INDIRECT($3:$3),0))</f>
        <v>#REF!</v>
      </c>
      <c r="U26" s="300" t="e">
        <f ca="1">IF((INDEX(INDIRECT($3:$3),Table4[[#This Row],[No. Invoice :]]+$2:$2))=INDIRECT("pajak[@["&amp;Table4[#Headers]&amp;"]]"),1)</f>
        <v>#REF!</v>
      </c>
      <c r="V26" s="300" t="e">
        <f ca="1">IF((INDEX(INDIRECT($3:$3),Table4[[#This Row],[No. Invoice :]]+$2:$2))=INDIRECT("pajak[@["&amp;Table4[#Headers]&amp;"]]"),1)</f>
        <v>#REF!</v>
      </c>
      <c r="W26" s="300" t="e">
        <f ca="1">IF((INDEX(INDIRECT($3:$3),Table4[[#This Row],[No. Invoice :]]+$2:$2))=INDIRECT("pajak[@["&amp;Table4[#Headers]&amp;"]]"),1)</f>
        <v>#REF!</v>
      </c>
      <c r="X26" s="300" t="e">
        <f ca="1">IF((INDEX(INDIRECT($3:$3),Table4[[#This Row],[No. Invoice :]]+$2:$2))=INDIRECT("pajak[@["&amp;Table4[#Headers]&amp;"]]"),1)</f>
        <v>#REF!</v>
      </c>
    </row>
    <row r="27" spans="1:24" x14ac:dyDescent="0.25">
      <c r="A27" s="295">
        <v>126</v>
      </c>
      <c r="D27" s="291">
        <f t="shared" ca="1" si="0"/>
        <v>126</v>
      </c>
      <c r="E27" s="291" t="str">
        <f ca="1">IF(pajak[[#This Row],[//]]="","",INDEX(Table1[No. Invoice :],pajak[//]-offset))</f>
        <v>AM 24020023</v>
      </c>
      <c r="F27" s="289">
        <f ca="1">IF(pajak[[#This Row],[//]]="","",INDEX(Table1[Tgl Invoice :],pajak[//]-offset))</f>
        <v>45344</v>
      </c>
      <c r="G27" s="291" t="str">
        <f ca="1">IF(pajak[[#This Row],[//]]="","",INDEX(Table1[Kode Sales :],pajak[//]-offset))</f>
        <v>KO 2756</v>
      </c>
      <c r="H27" s="291" t="str">
        <f ca="1">IF(pajak[[#This Row],[//]]="","",INDEX(Table1[Toko],pajak[//]-offset))</f>
        <v>HARNOYO (BENDAN) PEKALONGAN</v>
      </c>
      <c r="I27" s="290">
        <f ca="1">IF(pajak[[#This Row],[//]]="","",SUMIF(Table1[h_id],pajak[[#This Row],[//]],Table1[h_hargasebelumdiskon]))</f>
        <v>3949800</v>
      </c>
      <c r="J27" s="290">
        <f ca="1">IF(pajak[[#This Row],[//]]="","",SUMIF(Table1[h_id],pajak[[#This Row],[//]],Table1[h_diskon]))</f>
        <v>552972</v>
      </c>
      <c r="K27" s="290">
        <f ca="1">IF(pajak[[#This Row],[//]]="","",SUMIF(Table1[h_id],pajak[[#This Row],[//]],Table1[h_hargasetelahdiskon]))</f>
        <v>3396828</v>
      </c>
      <c r="L27" s="290">
        <f ca="1">IF(pajak[//]="","",pajak[[#This Row],[Sub Total]]/1.11*11%)</f>
        <v>336622.59459459456</v>
      </c>
      <c r="M27" s="290">
        <f ca="1">pajak[[#This Row],[Sub Total]]</f>
        <v>3396828</v>
      </c>
      <c r="N27" s="291" t="str">
        <f ca="1">IF(pajak[[#This Row],[//]]="","",INDEX(Table1[pembuat nota :],pajak[//]-offset))</f>
        <v>NOVI / CONDRO</v>
      </c>
      <c r="O27" s="291" t="str">
        <f ca="1">IF(pajak[[#This Row],[//]]="","",IF(INDEX(Table1[edited :],pajak[//]-offset)="","",INDEX(Table1[edited :],pajak[//]-offset)))</f>
        <v/>
      </c>
      <c r="P27" s="290"/>
      <c r="R27" s="291" t="str">
        <f>Table4[[#Headers],[AM]]</f>
        <v>AM</v>
      </c>
      <c r="S27" s="291">
        <f t="shared" si="1"/>
        <v>24020023</v>
      </c>
      <c r="T27" s="300" t="e">
        <f ca="1">IF(Table4[[#This Row],[AM]]&amp;" "&amp;Table4[[#This Row],[---]]=INDIRECT("pajak[@["&amp;Table4[#Headers]&amp;"]]"),MATCH(Table4[[#This Row],[---]],INDIRECT($3:$3),0))</f>
        <v>#REF!</v>
      </c>
      <c r="U27" s="300" t="e">
        <f ca="1">IF((INDEX(INDIRECT($3:$3),Table4[[#This Row],[No. Invoice :]]+$2:$2))=INDIRECT("pajak[@["&amp;Table4[#Headers]&amp;"]]"),1)</f>
        <v>#REF!</v>
      </c>
      <c r="V27" s="300" t="e">
        <f ca="1">IF((INDEX(INDIRECT($3:$3),Table4[[#This Row],[No. Invoice :]]+$2:$2))=INDIRECT("pajak[@["&amp;Table4[#Headers]&amp;"]]"),1)</f>
        <v>#REF!</v>
      </c>
      <c r="W27" s="300" t="e">
        <f ca="1">IF((INDEX(INDIRECT($3:$3),Table4[[#This Row],[No. Invoice :]]+$2:$2))=INDIRECT("pajak[@["&amp;Table4[#Headers]&amp;"]]"),1)</f>
        <v>#REF!</v>
      </c>
      <c r="X27" s="300" t="e">
        <f ca="1">IF((INDEX(INDIRECT($3:$3),Table4[[#This Row],[No. Invoice :]]+$2:$2))=INDIRECT("pajak[@["&amp;Table4[#Headers]&amp;"]]"),1)</f>
        <v>#REF!</v>
      </c>
    </row>
    <row r="28" spans="1:24" x14ac:dyDescent="0.25">
      <c r="A28" s="295">
        <v>129</v>
      </c>
      <c r="D28" s="291">
        <f t="shared" ca="1" si="0"/>
        <v>129</v>
      </c>
      <c r="E28" s="291" t="str">
        <f ca="1">IF(pajak[[#This Row],[//]]="","",INDEX(Table1[No. Invoice :],pajak[//]-offset))</f>
        <v>AM 24020024</v>
      </c>
      <c r="F28" s="289">
        <f ca="1">IF(pajak[[#This Row],[//]]="","",INDEX(Table1[Tgl Invoice :],pajak[//]-offset))</f>
        <v>45346</v>
      </c>
      <c r="G28" s="291" t="str">
        <f ca="1">IF(pajak[[#This Row],[//]]="","",INDEX(Table1[Kode Sales :],pajak[//]-offset))</f>
        <v>A 2772</v>
      </c>
      <c r="H28" s="291" t="str">
        <f ca="1">IF(pajak[[#This Row],[//]]="","",INDEX(Table1[Toko],pajak[//]-offset))</f>
        <v>CV FM 90 KEBUMEN</v>
      </c>
      <c r="I28" s="290">
        <f ca="1">IF(pajak[[#This Row],[//]]="","",SUMIF(Table1[h_id],pajak[[#This Row],[//]],Table1[h_hargasebelumdiskon]))</f>
        <v>12312000</v>
      </c>
      <c r="J28" s="290">
        <f ca="1">IF(pajak[[#This Row],[//]]="","",SUMIF(Table1[h_id],pajak[[#This Row],[//]],Table1[h_diskon]))</f>
        <v>0</v>
      </c>
      <c r="K28" s="290">
        <f ca="1">IF(pajak[[#This Row],[//]]="","",SUMIF(Table1[h_id],pajak[[#This Row],[//]],Table1[h_hargasetelahdiskon]))</f>
        <v>12312000</v>
      </c>
      <c r="L28" s="290">
        <f ca="1">IF(pajak[//]="","",pajak[[#This Row],[Sub Total]]/1.11*11%)</f>
        <v>1220108.1081081079</v>
      </c>
      <c r="M28" s="290">
        <f ca="1">pajak[[#This Row],[Sub Total]]</f>
        <v>12312000</v>
      </c>
      <c r="N28" s="291" t="str">
        <f ca="1">IF(pajak[[#This Row],[//]]="","",INDEX(Table1[pembuat nota :],pajak[//]-offset))</f>
        <v>NOVI / CONDRO</v>
      </c>
      <c r="O28" s="291" t="str">
        <f ca="1">IF(pajak[[#This Row],[//]]="","",IF(INDEX(Table1[edited :],pajak[//]-offset)="","",INDEX(Table1[edited :],pajak[//]-offset)))</f>
        <v/>
      </c>
      <c r="P28" s="290"/>
      <c r="R28" s="291" t="str">
        <f>Table4[[#Headers],[AM]]</f>
        <v>AM</v>
      </c>
      <c r="S28" s="291">
        <f t="shared" si="1"/>
        <v>24020024</v>
      </c>
      <c r="T28" s="300" t="e">
        <f ca="1">IF(Table4[[#This Row],[AM]]&amp;" "&amp;Table4[[#This Row],[---]]=INDIRECT("pajak[@["&amp;Table4[#Headers]&amp;"]]"),MATCH(Table4[[#This Row],[---]],INDIRECT($3:$3),0))</f>
        <v>#REF!</v>
      </c>
      <c r="U28" s="300" t="e">
        <f ca="1">IF((INDEX(INDIRECT($3:$3),Table4[[#This Row],[No. Invoice :]]+$2:$2))=INDIRECT("pajak[@["&amp;Table4[#Headers]&amp;"]]"),1)</f>
        <v>#REF!</v>
      </c>
      <c r="V28" s="300" t="e">
        <f ca="1">IF((INDEX(INDIRECT($3:$3),Table4[[#This Row],[No. Invoice :]]+$2:$2))=INDIRECT("pajak[@["&amp;Table4[#Headers]&amp;"]]"),1)</f>
        <v>#REF!</v>
      </c>
      <c r="W28" s="300" t="e">
        <f ca="1">IF((INDEX(INDIRECT($3:$3),Table4[[#This Row],[No. Invoice :]]+$2:$2))=INDIRECT("pajak[@["&amp;Table4[#Headers]&amp;"]]"),1)</f>
        <v>#REF!</v>
      </c>
      <c r="X28" s="300" t="e">
        <f ca="1">IF((INDEX(INDIRECT($3:$3),Table4[[#This Row],[No. Invoice :]]+$2:$2))=INDIRECT("pajak[@["&amp;Table4[#Headers]&amp;"]]"),1)</f>
        <v>#REF!</v>
      </c>
    </row>
    <row r="29" spans="1:24" x14ac:dyDescent="0.25">
      <c r="A29" s="295">
        <v>132</v>
      </c>
      <c r="D29" s="291">
        <f t="shared" ca="1" si="0"/>
        <v>132</v>
      </c>
      <c r="E29" s="291" t="str">
        <f ca="1">IF(pajak[[#This Row],[//]]="","",INDEX(Table1[No. Invoice :],pajak[//]-offset))</f>
        <v>AM 24020025</v>
      </c>
      <c r="F29" s="289">
        <f ca="1">IF(pajak[[#This Row],[//]]="","",INDEX(Table1[Tgl Invoice :],pajak[//]-offset))</f>
        <v>45346</v>
      </c>
      <c r="G29" s="291" t="str">
        <f ca="1">IF(pajak[[#This Row],[//]]="","",INDEX(Table1[Kode Sales :],pajak[//]-offset))</f>
        <v>KO 2777</v>
      </c>
      <c r="H29" s="291" t="str">
        <f ca="1">IF(pajak[[#This Row],[//]]="","",INDEX(Table1[Toko],pajak[//]-offset))</f>
        <v>HARNOYO (BENDAN) PEKALONGAN</v>
      </c>
      <c r="I29" s="290">
        <f ca="1">IF(pajak[[#This Row],[//]]="","",SUMIF(Table1[h_id],pajak[[#This Row],[//]],Table1[h_hargasebelumdiskon]))</f>
        <v>252000</v>
      </c>
      <c r="J29" s="290">
        <f ca="1">IF(pajak[[#This Row],[//]]="","",SUMIF(Table1[h_id],pajak[[#This Row],[//]],Table1[h_diskon]))</f>
        <v>31500</v>
      </c>
      <c r="K29" s="290">
        <f ca="1">IF(pajak[[#This Row],[//]]="","",SUMIF(Table1[h_id],pajak[[#This Row],[//]],Table1[h_hargasetelahdiskon]))</f>
        <v>220500</v>
      </c>
      <c r="L29" s="290">
        <f ca="1">IF(pajak[//]="","",pajak[[#This Row],[Sub Total]]/1.11*11%)</f>
        <v>21851.35135135135</v>
      </c>
      <c r="M29" s="290">
        <f ca="1">pajak[[#This Row],[Sub Total]]</f>
        <v>220500</v>
      </c>
      <c r="N29" s="291" t="str">
        <f ca="1">IF(pajak[[#This Row],[//]]="","",INDEX(Table1[pembuat nota :],pajak[//]-offset))</f>
        <v>NOVI / CONDRO</v>
      </c>
      <c r="O29" s="291" t="str">
        <f ca="1">IF(pajak[[#This Row],[//]]="","",IF(INDEX(Table1[edited :],pajak[//]-offset)="","",INDEX(Table1[edited :],pajak[//]-offset)))</f>
        <v/>
      </c>
      <c r="P29" s="290"/>
      <c r="R29" s="291" t="str">
        <f>Table4[[#Headers],[AM]]</f>
        <v>AM</v>
      </c>
      <c r="S29" s="291">
        <f t="shared" si="1"/>
        <v>24020025</v>
      </c>
      <c r="T29" s="300" t="e">
        <f ca="1">IF(Table4[[#This Row],[AM]]&amp;" "&amp;Table4[[#This Row],[---]]=INDIRECT("pajak[@["&amp;Table4[#Headers]&amp;"]]"),MATCH(Table4[[#This Row],[---]],INDIRECT($3:$3),0))</f>
        <v>#REF!</v>
      </c>
      <c r="U29" s="300" t="e">
        <f ca="1">IF((INDEX(INDIRECT($3:$3),Table4[[#This Row],[No. Invoice :]]+$2:$2))=INDIRECT("pajak[@["&amp;Table4[#Headers]&amp;"]]"),1)</f>
        <v>#REF!</v>
      </c>
      <c r="V29" s="300" t="e">
        <f ca="1">IF((INDEX(INDIRECT($3:$3),Table4[[#This Row],[No. Invoice :]]+$2:$2))=INDIRECT("pajak[@["&amp;Table4[#Headers]&amp;"]]"),1)</f>
        <v>#REF!</v>
      </c>
      <c r="W29" s="300" t="e">
        <f ca="1">IF((INDEX(INDIRECT($3:$3),Table4[[#This Row],[No. Invoice :]]+$2:$2))=INDIRECT("pajak[@["&amp;Table4[#Headers]&amp;"]]"),1)</f>
        <v>#REF!</v>
      </c>
      <c r="X29" s="300" t="e">
        <f ca="1">IF((INDEX(INDIRECT($3:$3),Table4[[#This Row],[No. Invoice :]]+$2:$2))=INDIRECT("pajak[@["&amp;Table4[#Headers]&amp;"]]"),1)</f>
        <v>#REF!</v>
      </c>
    </row>
    <row r="30" spans="1:24" x14ac:dyDescent="0.25">
      <c r="A30" s="295">
        <v>134</v>
      </c>
      <c r="D30" s="291">
        <f t="shared" ca="1" si="0"/>
        <v>134</v>
      </c>
      <c r="E30" s="291" t="str">
        <f ca="1">IF(pajak[[#This Row],[//]]="","",INDEX(Table1[No. Invoice :],pajak[//]-offset))</f>
        <v>AM 24020026</v>
      </c>
      <c r="F30" s="289">
        <f ca="1">IF(pajak[[#This Row],[//]]="","",INDEX(Table1[Tgl Invoice :],pajak[//]-offset))</f>
        <v>45346</v>
      </c>
      <c r="G30" s="291" t="str">
        <f ca="1">IF(pajak[[#This Row],[//]]="","",INDEX(Table1[Kode Sales :],pajak[//]-offset))</f>
        <v>KO 2778</v>
      </c>
      <c r="H30" s="291" t="str">
        <f ca="1">IF(pajak[[#This Row],[//]]="","",INDEX(Table1[Toko],pajak[//]-offset))</f>
        <v>HARNOYO (BENDAN) PEKALONGAN</v>
      </c>
      <c r="I30" s="290">
        <f ca="1">IF(pajak[[#This Row],[//]]="","",SUMIF(Table1[h_id],pajak[[#This Row],[//]],Table1[h_hargasebelumdiskon]))</f>
        <v>9428400</v>
      </c>
      <c r="J30" s="290">
        <f ca="1">IF(pajak[[#This Row],[//]]="","",SUMIF(Table1[h_id],pajak[[#This Row],[//]],Table1[h_diskon]))</f>
        <v>1319976</v>
      </c>
      <c r="K30" s="290">
        <f ca="1">IF(pajak[[#This Row],[//]]="","",SUMIF(Table1[h_id],pajak[[#This Row],[//]],Table1[h_hargasetelahdiskon]))</f>
        <v>8108424</v>
      </c>
      <c r="L30" s="290">
        <f ca="1">IF(pajak[//]="","",pajak[[#This Row],[Sub Total]]/1.11*11%)</f>
        <v>803537.51351351349</v>
      </c>
      <c r="M30" s="290">
        <f ca="1">pajak[[#This Row],[Sub Total]]</f>
        <v>8108424</v>
      </c>
      <c r="N30" s="291" t="str">
        <f ca="1">IF(pajak[[#This Row],[//]]="","",INDEX(Table1[pembuat nota :],pajak[//]-offset))</f>
        <v>NOVI / CONDRO</v>
      </c>
      <c r="O30" s="291" t="str">
        <f ca="1">IF(pajak[[#This Row],[//]]="","",IF(INDEX(Table1[edited :],pajak[//]-offset)="","",INDEX(Table1[edited :],pajak[//]-offset)))</f>
        <v/>
      </c>
      <c r="P30" s="290"/>
      <c r="Q30" s="3"/>
      <c r="R30" s="291" t="str">
        <f>Table4[[#Headers],[AM]]</f>
        <v>AM</v>
      </c>
      <c r="S30" s="291">
        <f t="shared" si="1"/>
        <v>24020026</v>
      </c>
      <c r="T30" s="300" t="e">
        <f ca="1">IF(Table4[[#This Row],[AM]]&amp;" "&amp;Table4[[#This Row],[---]]=INDIRECT("pajak[@["&amp;Table4[#Headers]&amp;"]]"),MATCH(Table4[[#This Row],[---]],INDIRECT($3:$3),0))</f>
        <v>#REF!</v>
      </c>
      <c r="U30" s="300" t="e">
        <f ca="1">IF((INDEX(INDIRECT($3:$3),Table4[[#This Row],[No. Invoice :]]+$2:$2))=INDIRECT("pajak[@["&amp;Table4[#Headers]&amp;"]]"),1)</f>
        <v>#REF!</v>
      </c>
      <c r="V30" s="300" t="e">
        <f ca="1">IF((INDEX(INDIRECT($3:$3),Table4[[#This Row],[No. Invoice :]]+$2:$2))=INDIRECT("pajak[@["&amp;Table4[#Headers]&amp;"]]"),1)</f>
        <v>#REF!</v>
      </c>
      <c r="W30" s="300" t="e">
        <f ca="1">IF((INDEX(INDIRECT($3:$3),Table4[[#This Row],[No. Invoice :]]+$2:$2))=INDIRECT("pajak[@["&amp;Table4[#Headers]&amp;"]]"),1)</f>
        <v>#REF!</v>
      </c>
      <c r="X30" s="300" t="e">
        <f ca="1">IF((INDEX(INDIRECT($3:$3),Table4[[#This Row],[No. Invoice :]]+$2:$2))=INDIRECT("pajak[@["&amp;Table4[#Headers]&amp;"]]"),1)</f>
        <v>#REF!</v>
      </c>
    </row>
    <row r="31" spans="1:24" x14ac:dyDescent="0.25">
      <c r="A31" s="295">
        <v>138</v>
      </c>
      <c r="D31" s="291">
        <f t="shared" ca="1" si="0"/>
        <v>138</v>
      </c>
      <c r="E31" s="291" t="str">
        <f ca="1">IF(pajak[[#This Row],[//]]="","",INDEX(Table1[No. Invoice :],pajak[//]-offset))</f>
        <v>AM 24020027</v>
      </c>
      <c r="F31" s="289">
        <f ca="1">IF(pajak[[#This Row],[//]]="","",INDEX(Table1[Tgl Invoice :],pajak[//]-offset))</f>
        <v>45346</v>
      </c>
      <c r="G31" s="291" t="str">
        <f ca="1">IF(pajak[[#This Row],[//]]="","",INDEX(Table1[Kode Sales :],pajak[//]-offset))</f>
        <v>KO 2626</v>
      </c>
      <c r="H31" s="291" t="str">
        <f ca="1">IF(pajak[[#This Row],[//]]="","",INDEX(Table1[Toko],pajak[//]-offset))</f>
        <v>CV LANCAR JAYA SENTOSA MALANG</v>
      </c>
      <c r="I31" s="290">
        <f ca="1">IF(pajak[[#This Row],[//]]="","",SUMIF(Table1[h_id],pajak[[#This Row],[//]],Table1[h_hargasebelumdiskon]))</f>
        <v>8941000</v>
      </c>
      <c r="J31" s="290">
        <f ca="1">IF(pajak[[#This Row],[//]]="","",SUMIF(Table1[h_id],pajak[[#This Row],[//]],Table1[h_diskon]))</f>
        <v>961375</v>
      </c>
      <c r="K31" s="290">
        <f ca="1">IF(pajak[[#This Row],[//]]="","",SUMIF(Table1[h_id],pajak[[#This Row],[//]],Table1[h_hargasetelahdiskon]))</f>
        <v>7979625</v>
      </c>
      <c r="L31" s="290">
        <f ca="1">IF(pajak[//]="","",pajak[[#This Row],[Sub Total]]/1.11*11%)</f>
        <v>790773.64864864852</v>
      </c>
      <c r="M31" s="290">
        <f ca="1">pajak[[#This Row],[Sub Total]]</f>
        <v>7979625</v>
      </c>
      <c r="N31" s="291" t="str">
        <f ca="1">IF(pajak[[#This Row],[//]]="","",INDEX(Table1[pembuat nota :],pajak[//]-offset))</f>
        <v>NOVI / CONDRO</v>
      </c>
      <c r="O31" s="291" t="str">
        <f ca="1">IF(pajak[[#This Row],[//]]="","",IF(INDEX(Table1[edited :],pajak[//]-offset)="","",INDEX(Table1[edited :],pajak[//]-offset)))</f>
        <v/>
      </c>
      <c r="P31" s="290"/>
      <c r="R31" s="291" t="str">
        <f>Table4[[#Headers],[AM]]</f>
        <v>AM</v>
      </c>
      <c r="S31" s="291">
        <f t="shared" si="1"/>
        <v>24020027</v>
      </c>
      <c r="T31" s="300" t="e">
        <f ca="1">IF(Table4[[#This Row],[AM]]&amp;" "&amp;Table4[[#This Row],[---]]=INDIRECT("pajak[@["&amp;Table4[#Headers]&amp;"]]"),MATCH(Table4[[#This Row],[---]],INDIRECT($3:$3),0))</f>
        <v>#REF!</v>
      </c>
      <c r="U31" s="300" t="e">
        <f ca="1">IF((INDEX(INDIRECT($3:$3),Table4[[#This Row],[No. Invoice :]]+$2:$2))=INDIRECT("pajak[@["&amp;Table4[#Headers]&amp;"]]"),1)</f>
        <v>#REF!</v>
      </c>
      <c r="V31" s="300" t="e">
        <f ca="1">IF((INDEX(INDIRECT($3:$3),Table4[[#This Row],[No. Invoice :]]+$2:$2))=INDIRECT("pajak[@["&amp;Table4[#Headers]&amp;"]]"),1)</f>
        <v>#REF!</v>
      </c>
      <c r="W31" s="300" t="e">
        <f ca="1">IF((INDEX(INDIRECT($3:$3),Table4[[#This Row],[No. Invoice :]]+$2:$2))=INDIRECT("pajak[@["&amp;Table4[#Headers]&amp;"]]"),1)</f>
        <v>#REF!</v>
      </c>
      <c r="X31" s="300" t="e">
        <f ca="1">IF((INDEX(INDIRECT($3:$3),Table4[[#This Row],[No. Invoice :]]+$2:$2))=INDIRECT("pajak[@["&amp;Table4[#Headers]&amp;"]]"),1)</f>
        <v>#REF!</v>
      </c>
    </row>
    <row r="32" spans="1:24" x14ac:dyDescent="0.25">
      <c r="A32" s="295">
        <v>143</v>
      </c>
      <c r="D32" s="291">
        <f t="shared" ca="1" si="0"/>
        <v>143</v>
      </c>
      <c r="E32" s="291" t="str">
        <f ca="1">IF(pajak[[#This Row],[//]]="","",INDEX(Table1[No. Invoice :],pajak[//]-offset))</f>
        <v>AM 24020028</v>
      </c>
      <c r="F32" s="289">
        <f ca="1">IF(pajak[[#This Row],[//]]="","",INDEX(Table1[Tgl Invoice :],pajak[//]-offset))</f>
        <v>45346</v>
      </c>
      <c r="G32" s="291" t="str">
        <f ca="1">IF(pajak[[#This Row],[//]]="","",INDEX(Table1[Kode Sales :],pajak[//]-offset))</f>
        <v>KO 2784</v>
      </c>
      <c r="H32" s="291" t="str">
        <f ca="1">IF(pajak[[#This Row],[//]]="","",INDEX(Table1[Toko],pajak[//]-offset))</f>
        <v>CV PELITA JAYA (ANUGERAH SEJAHTERA) PURWOKERTO</v>
      </c>
      <c r="I32" s="290">
        <f ca="1">IF(pajak[[#This Row],[//]]="","",SUMIF(Table1[h_id],pajak[[#This Row],[//]],Table1[h_hargasebelumdiskon]))</f>
        <v>19548000</v>
      </c>
      <c r="J32" s="290">
        <f ca="1">IF(pajak[[#This Row],[//]]="","",SUMIF(Table1[h_id],pajak[[#This Row],[//]],Table1[h_diskon]))</f>
        <v>2638980</v>
      </c>
      <c r="K32" s="290">
        <f ca="1">IF(pajak[[#This Row],[//]]="","",SUMIF(Table1[h_id],pajak[[#This Row],[//]],Table1[h_hargasetelahdiskon]))</f>
        <v>16909020</v>
      </c>
      <c r="L32" s="290">
        <f ca="1">IF(pajak[//]="","",pajak[[#This Row],[Sub Total]]/1.11*11%)</f>
        <v>1675668.6486486485</v>
      </c>
      <c r="M32" s="290">
        <f ca="1">pajak[[#This Row],[Sub Total]]</f>
        <v>16909020</v>
      </c>
      <c r="N32" s="291" t="str">
        <f ca="1">IF(pajak[[#This Row],[//]]="","",INDEX(Table1[pembuat nota :],pajak[//]-offset))</f>
        <v>NOVI / CONDRO</v>
      </c>
      <c r="O32" s="291" t="str">
        <f ca="1">IF(pajak[[#This Row],[//]]="","",IF(INDEX(Table1[edited :],pajak[//]-offset)="","",INDEX(Table1[edited :],pajak[//]-offset)))</f>
        <v/>
      </c>
      <c r="P32" s="290"/>
      <c r="R32" s="291" t="str">
        <f>Table4[[#Headers],[AM]]</f>
        <v>AM</v>
      </c>
      <c r="S32" s="291">
        <f t="shared" si="1"/>
        <v>24020028</v>
      </c>
      <c r="T32" s="300" t="e">
        <f ca="1">IF(Table4[[#This Row],[AM]]&amp;" "&amp;Table4[[#This Row],[---]]=INDIRECT("pajak[@["&amp;Table4[#Headers]&amp;"]]"),MATCH(Table4[[#This Row],[---]],INDIRECT($3:$3),0))</f>
        <v>#REF!</v>
      </c>
      <c r="U32" s="300" t="e">
        <f ca="1">IF((INDEX(INDIRECT($3:$3),Table4[[#This Row],[No. Invoice :]]+$2:$2))=INDIRECT("pajak[@["&amp;Table4[#Headers]&amp;"]]"),1)</f>
        <v>#REF!</v>
      </c>
      <c r="V32" s="300" t="e">
        <f ca="1">IF((INDEX(INDIRECT($3:$3),Table4[[#This Row],[No. Invoice :]]+$2:$2))=INDIRECT("pajak[@["&amp;Table4[#Headers]&amp;"]]"),1)</f>
        <v>#REF!</v>
      </c>
      <c r="W32" s="300" t="e">
        <f ca="1">IF((INDEX(INDIRECT($3:$3),Table4[[#This Row],[No. Invoice :]]+$2:$2))=INDIRECT("pajak[@["&amp;Table4[#Headers]&amp;"]]"),1)</f>
        <v>#REF!</v>
      </c>
      <c r="X32" s="300" t="e">
        <f ca="1">IF((INDEX(INDIRECT($3:$3),Table4[[#This Row],[No. Invoice :]]+$2:$2))=INDIRECT("pajak[@["&amp;Table4[#Headers]&amp;"]]"),1)</f>
        <v>#REF!</v>
      </c>
    </row>
    <row r="33" spans="1:24" x14ac:dyDescent="0.25">
      <c r="A33" s="295">
        <v>145</v>
      </c>
      <c r="D33" s="291">
        <f t="shared" ca="1" si="0"/>
        <v>145</v>
      </c>
      <c r="E33" s="291" t="str">
        <f ca="1">IF(pajak[[#This Row],[//]]="","",INDEX(Table1[No. Invoice :],pajak[//]-offset))</f>
        <v>AM 24020029</v>
      </c>
      <c r="F33" s="289">
        <f ca="1">IF(pajak[[#This Row],[//]]="","",INDEX(Table1[Tgl Invoice :],pajak[//]-offset))</f>
        <v>45346</v>
      </c>
      <c r="G33" s="291" t="str">
        <f ca="1">IF(pajak[[#This Row],[//]]="","",INDEX(Table1[Kode Sales :],pajak[//]-offset))</f>
        <v>KO 2785</v>
      </c>
      <c r="H33" s="291" t="str">
        <f ca="1">IF(pajak[[#This Row],[//]]="","",INDEX(Table1[Toko],pajak[//]-offset))</f>
        <v>CV GANESHA WONOSOBO</v>
      </c>
      <c r="I33" s="290">
        <f ca="1">IF(pajak[[#This Row],[//]]="","",SUMIF(Table1[h_id],pajak[[#This Row],[//]],Table1[h_hargasebelumdiskon]))</f>
        <v>215000</v>
      </c>
      <c r="J33" s="290">
        <f ca="1">IF(pajak[[#This Row],[//]]="","",SUMIF(Table1[h_id],pajak[[#This Row],[//]],Table1[h_diskon]))</f>
        <v>21500</v>
      </c>
      <c r="K33" s="290">
        <f ca="1">IF(pajak[[#This Row],[//]]="","",SUMIF(Table1[h_id],pajak[[#This Row],[//]],Table1[h_hargasetelahdiskon]))</f>
        <v>193500</v>
      </c>
      <c r="L33" s="290">
        <f ca="1">IF(pajak[//]="","",pajak[[#This Row],[Sub Total]]/1.11*11%)</f>
        <v>19175.675675675677</v>
      </c>
      <c r="M33" s="290">
        <f ca="1">pajak[[#This Row],[Sub Total]]</f>
        <v>193500</v>
      </c>
      <c r="N33" s="291" t="str">
        <f ca="1">IF(pajak[[#This Row],[//]]="","",INDEX(Table1[pembuat nota :],pajak[//]-offset))</f>
        <v>NOVI / CONDRO</v>
      </c>
      <c r="O33" s="291" t="str">
        <f ca="1">IF(pajak[[#This Row],[//]]="","",IF(INDEX(Table1[edited :],pajak[//]-offset)="","",INDEX(Table1[edited :],pajak[//]-offset)))</f>
        <v/>
      </c>
      <c r="P33" s="290"/>
      <c r="R33" s="291" t="str">
        <f>Table4[[#Headers],[AM]]</f>
        <v>AM</v>
      </c>
      <c r="S33" s="291">
        <f t="shared" si="1"/>
        <v>24020029</v>
      </c>
      <c r="T33" s="300" t="e">
        <f ca="1">IF(Table4[[#This Row],[AM]]&amp;" "&amp;Table4[[#This Row],[---]]=INDIRECT("pajak[@["&amp;Table4[#Headers]&amp;"]]"),MATCH(Table4[[#This Row],[---]],INDIRECT($3:$3),0))</f>
        <v>#REF!</v>
      </c>
      <c r="U33" s="300" t="e">
        <f ca="1">IF((INDEX(INDIRECT($3:$3),Table4[[#This Row],[No. Invoice :]]+$2:$2))=INDIRECT("pajak[@["&amp;Table4[#Headers]&amp;"]]"),1)</f>
        <v>#REF!</v>
      </c>
      <c r="V33" s="300" t="e">
        <f ca="1">IF((INDEX(INDIRECT($3:$3),Table4[[#This Row],[No. Invoice :]]+$2:$2))=INDIRECT("pajak[@["&amp;Table4[#Headers]&amp;"]]"),1)</f>
        <v>#REF!</v>
      </c>
      <c r="W33" s="300" t="e">
        <f ca="1">IF((INDEX(INDIRECT($3:$3),Table4[[#This Row],[No. Invoice :]]+$2:$2))=INDIRECT("pajak[@["&amp;Table4[#Headers]&amp;"]]"),1)</f>
        <v>#REF!</v>
      </c>
      <c r="X33" s="300" t="e">
        <f ca="1">IF((INDEX(INDIRECT($3:$3),Table4[[#This Row],[No. Invoice :]]+$2:$2))=INDIRECT("pajak[@["&amp;Table4[#Headers]&amp;"]]"),1)</f>
        <v>#REF!</v>
      </c>
    </row>
    <row r="34" spans="1:24" x14ac:dyDescent="0.25">
      <c r="A34" s="295"/>
      <c r="D34" s="291" t="str">
        <f t="shared" ca="1" si="0"/>
        <v/>
      </c>
      <c r="E34" s="291" t="str">
        <f ca="1">IF(pajak[[#This Row],[//]]="","",INDEX(Table1[No. Invoice :],pajak[//]-offset))</f>
        <v/>
      </c>
      <c r="F34" s="289" t="str">
        <f ca="1">IF(pajak[[#This Row],[//]]="","",INDEX(Table1[Tgl Invoice :],pajak[//]-offset))</f>
        <v/>
      </c>
      <c r="G34" s="291" t="str">
        <f ca="1">IF(pajak[[#This Row],[//]]="","",INDEX(Table1[Kode Sales :],pajak[//]-offset))</f>
        <v/>
      </c>
      <c r="H34" s="291" t="str">
        <f ca="1">IF(pajak[[#This Row],[//]]="","",INDEX(Table1[Toko],pajak[//]-offset))</f>
        <v/>
      </c>
      <c r="I34" s="290" t="str">
        <f ca="1">IF(pajak[[#This Row],[//]]="","",SUMIF(Table1[h_id],pajak[[#This Row],[//]],Table1[h_hargasebelumdiskon]))</f>
        <v/>
      </c>
      <c r="J34" s="290" t="str">
        <f ca="1">IF(pajak[[#This Row],[//]]="","",SUMIF(Table1[h_id],pajak[[#This Row],[//]],Table1[h_diskon]))</f>
        <v/>
      </c>
      <c r="K34" s="290" t="str">
        <f ca="1">IF(pajak[[#This Row],[//]]="","",SUMIF(Table1[h_id],pajak[[#This Row],[//]],Table1[h_hargasetelahdiskon]))</f>
        <v/>
      </c>
      <c r="L34" s="290" t="str">
        <f ca="1">IF(pajak[//]="","",pajak[[#This Row],[Sub Total]]/1.11*11%)</f>
        <v/>
      </c>
      <c r="M34" s="290" t="str">
        <f ca="1">pajak[[#This Row],[Sub Total]]</f>
        <v/>
      </c>
      <c r="N34" s="291" t="str">
        <f ca="1">IF(pajak[[#This Row],[//]]="","",INDEX(Table1[pembuat nota :],pajak[//]-offset))</f>
        <v/>
      </c>
      <c r="O34" s="291" t="str">
        <f ca="1">IF(pajak[[#This Row],[//]]="","",IF(INDEX(Table1[edited :],pajak[//]-offset)="","",INDEX(Table1[edited :],pajak[//]-offset)))</f>
        <v/>
      </c>
      <c r="P34" s="290"/>
      <c r="R34" s="291" t="str">
        <f>Table4[[#Headers],[AM]]</f>
        <v>AM</v>
      </c>
      <c r="S34" s="291">
        <f t="shared" si="1"/>
        <v>24020030</v>
      </c>
      <c r="T34" s="300" t="b">
        <f ca="1">IF(Table4[[#This Row],[AM]]&amp;" "&amp;Table4[[#This Row],[---]]=INDIRECT("pajak[@["&amp;Table4[#Headers]&amp;"]]"),MATCH(Table4[[#This Row],[---]],INDIRECT($3:$3),0))</f>
        <v>0</v>
      </c>
      <c r="U34" s="300" t="e">
        <f ca="1">IF((INDEX(INDIRECT($3:$3),Table4[[#This Row],[No. Invoice :]]+$2:$2))=INDIRECT("pajak[@["&amp;Table4[#Headers]&amp;"]]"),1)</f>
        <v>#REF!</v>
      </c>
      <c r="V34" s="300" t="e">
        <f ca="1">IF((INDEX(INDIRECT($3:$3),Table4[[#This Row],[No. Invoice :]]+$2:$2))=INDIRECT("pajak[@["&amp;Table4[#Headers]&amp;"]]"),1)</f>
        <v>#REF!</v>
      </c>
      <c r="W34" s="300" t="e">
        <f ca="1">IF((INDEX(INDIRECT($3:$3),Table4[[#This Row],[No. Invoice :]]+$2:$2))=INDIRECT("pajak[@["&amp;Table4[#Headers]&amp;"]]"),1)</f>
        <v>#REF!</v>
      </c>
      <c r="X34" s="300" t="e">
        <f ca="1">IF((INDEX(INDIRECT($3:$3),Table4[[#This Row],[No. Invoice :]]+$2:$2))=INDIRECT("pajak[@["&amp;Table4[#Headers]&amp;"]]"),1)</f>
        <v>#REF!</v>
      </c>
    </row>
    <row r="35" spans="1:24" x14ac:dyDescent="0.25">
      <c r="A35" s="295" t="s">
        <v>52</v>
      </c>
      <c r="D35" s="291" t="str">
        <f t="shared" ca="1" si="0"/>
        <v/>
      </c>
      <c r="E35" s="291" t="str">
        <f ca="1">IF(pajak[[#This Row],[//]]="","",INDEX(Table1[No. Invoice :],pajak[//]-offset))</f>
        <v/>
      </c>
      <c r="F35" s="289" t="str">
        <f ca="1">IF(pajak[[#This Row],[//]]="","",INDEX(Table1[Tgl Invoice :],pajak[//]-offset))</f>
        <v/>
      </c>
      <c r="G35" s="291" t="str">
        <f ca="1">IF(pajak[[#This Row],[//]]="","",INDEX(Table1[Kode Sales :],pajak[//]-offset))</f>
        <v/>
      </c>
      <c r="H35" s="291" t="str">
        <f ca="1">IF(pajak[[#This Row],[//]]="","",INDEX(Table1[Toko],pajak[//]-offset))</f>
        <v/>
      </c>
      <c r="I35" s="290" t="str">
        <f ca="1">IF(pajak[[#This Row],[//]]="","",SUMIF(Table1[h_id],pajak[[#This Row],[//]],Table1[h_hargasebelumdiskon]))</f>
        <v/>
      </c>
      <c r="J35" s="290" t="str">
        <f ca="1">IF(pajak[[#This Row],[//]]="","",SUMIF(Table1[h_id],pajak[[#This Row],[//]],Table1[h_diskon]))</f>
        <v/>
      </c>
      <c r="K35" s="290" t="str">
        <f ca="1">IF(pajak[[#This Row],[//]]="","",SUMIF(Table1[h_id],pajak[[#This Row],[//]],Table1[h_hargasetelahdiskon]))</f>
        <v/>
      </c>
      <c r="L35" s="290" t="str">
        <f ca="1">IF(pajak[//]="","",pajak[[#This Row],[Sub Total]]/1.11*11%)</f>
        <v/>
      </c>
      <c r="M35" s="290" t="str">
        <f ca="1">pajak[[#This Row],[Sub Total]]</f>
        <v/>
      </c>
      <c r="N35" s="291" t="str">
        <f ca="1">IF(pajak[[#This Row],[//]]="","",INDEX(Table1[pembuat nota :],pajak[//]-offset))</f>
        <v/>
      </c>
      <c r="O35" s="291" t="str">
        <f ca="1">IF(pajak[[#This Row],[//]]="","",IF(INDEX(Table1[edited :],pajak[//]-offset)="","",INDEX(Table1[edited :],pajak[//]-offset)))</f>
        <v/>
      </c>
      <c r="P35" s="290"/>
      <c r="R35" s="291" t="str">
        <f>Table4[[#Headers],[AM]]</f>
        <v>AM</v>
      </c>
      <c r="S35" s="291">
        <f t="shared" si="1"/>
        <v>24020031</v>
      </c>
      <c r="T35" s="300" t="b">
        <f ca="1">IF(Table4[[#This Row],[AM]]&amp;" "&amp;Table4[[#This Row],[---]]=INDIRECT("pajak[@["&amp;Table4[#Headers]&amp;"]]"),MATCH(Table4[[#This Row],[---]],INDIRECT($3:$3),0))</f>
        <v>0</v>
      </c>
      <c r="U35" s="300" t="e">
        <f ca="1">IF((INDEX(INDIRECT($3:$3),Table4[[#This Row],[No. Invoice :]]+$2:$2))=INDIRECT("pajak[@["&amp;Table4[#Headers]&amp;"]]"),1)</f>
        <v>#REF!</v>
      </c>
      <c r="V35" s="300" t="e">
        <f ca="1">IF((INDEX(INDIRECT($3:$3),Table4[[#This Row],[No. Invoice :]]+$2:$2))=INDIRECT("pajak[@["&amp;Table4[#Headers]&amp;"]]"),1)</f>
        <v>#REF!</v>
      </c>
      <c r="W35" s="300" t="e">
        <f ca="1">IF((INDEX(INDIRECT($3:$3),Table4[[#This Row],[No. Invoice :]]+$2:$2))=INDIRECT("pajak[@["&amp;Table4[#Headers]&amp;"]]"),1)</f>
        <v>#REF!</v>
      </c>
      <c r="X35" s="300" t="e">
        <f ca="1">IF((INDEX(INDIRECT($3:$3),Table4[[#This Row],[No. Invoice :]]+$2:$2))=INDIRECT("pajak[@["&amp;Table4[#Headers]&amp;"]]"),1)</f>
        <v>#REF!</v>
      </c>
    </row>
    <row r="36" spans="1:24" x14ac:dyDescent="0.25">
      <c r="A36"/>
      <c r="D36" s="291" t="str">
        <f t="shared" ca="1" si="0"/>
        <v/>
      </c>
      <c r="E36" s="291" t="str">
        <f ca="1">IF(pajak[[#This Row],[//]]="","",INDEX(Table1[No. Invoice :],pajak[//]-offset))</f>
        <v/>
      </c>
      <c r="F36" s="289" t="str">
        <f ca="1">IF(pajak[[#This Row],[//]]="","",INDEX(Table1[Tgl Invoice :],pajak[//]-offset))</f>
        <v/>
      </c>
      <c r="G36" s="291" t="str">
        <f ca="1">IF(pajak[[#This Row],[//]]="","",INDEX(Table1[Kode Sales :],pajak[//]-offset))</f>
        <v/>
      </c>
      <c r="H36" s="291" t="str">
        <f ca="1">IF(pajak[[#This Row],[//]]="","",INDEX(Table1[Toko],pajak[//]-offset))</f>
        <v/>
      </c>
      <c r="I36" s="290" t="str">
        <f ca="1">IF(pajak[[#This Row],[//]]="","",SUMIF(Table1[h_id],pajak[[#This Row],[//]],Table1[h_hargasebelumdiskon]))</f>
        <v/>
      </c>
      <c r="J36" s="290" t="str">
        <f ca="1">IF(pajak[[#This Row],[//]]="","",SUMIF(Table1[h_id],pajak[[#This Row],[//]],Table1[h_diskon]))</f>
        <v/>
      </c>
      <c r="K36" s="290" t="str">
        <f ca="1">IF(pajak[[#This Row],[//]]="","",SUMIF(Table1[h_id],pajak[[#This Row],[//]],Table1[h_hargasetelahdiskon]))</f>
        <v/>
      </c>
      <c r="L36" s="290" t="str">
        <f ca="1">IF(pajak[//]="","",pajak[[#This Row],[Sub Total]]/1.11*11%)</f>
        <v/>
      </c>
      <c r="M36" s="290" t="str">
        <f ca="1">pajak[[#This Row],[Sub Total]]</f>
        <v/>
      </c>
      <c r="N36" s="291" t="str">
        <f ca="1">IF(pajak[[#This Row],[//]]="","",INDEX(Table1[pembuat nota :],pajak[//]-offset))</f>
        <v/>
      </c>
      <c r="O36" s="291" t="str">
        <f ca="1">IF(pajak[[#This Row],[//]]="","",IF(INDEX(Table1[edited :],pajak[//]-offset)="","",INDEX(Table1[edited :],pajak[//]-offset)))</f>
        <v/>
      </c>
      <c r="P36" s="290"/>
      <c r="R36" s="291" t="str">
        <f>Table4[[#Headers],[AM]]</f>
        <v>AM</v>
      </c>
      <c r="S36" s="291">
        <f t="shared" si="1"/>
        <v>24020032</v>
      </c>
      <c r="T36" s="300" t="b">
        <f ca="1">IF(Table4[[#This Row],[AM]]&amp;" "&amp;Table4[[#This Row],[---]]=INDIRECT("pajak[@["&amp;Table4[#Headers]&amp;"]]"),MATCH(Table4[[#This Row],[---]],INDIRECT($3:$3),0))</f>
        <v>0</v>
      </c>
      <c r="U36" s="300" t="e">
        <f ca="1">IF((INDEX(INDIRECT($3:$3),Table4[[#This Row],[No. Invoice :]]+$2:$2))=INDIRECT("pajak[@["&amp;Table4[#Headers]&amp;"]]"),1)</f>
        <v>#REF!</v>
      </c>
      <c r="V36" s="300" t="e">
        <f ca="1">IF((INDEX(INDIRECT($3:$3),Table4[[#This Row],[No. Invoice :]]+$2:$2))=INDIRECT("pajak[@["&amp;Table4[#Headers]&amp;"]]"),1)</f>
        <v>#REF!</v>
      </c>
      <c r="W36" s="300" t="e">
        <f ca="1">IF((INDEX(INDIRECT($3:$3),Table4[[#This Row],[No. Invoice :]]+$2:$2))=INDIRECT("pajak[@["&amp;Table4[#Headers]&amp;"]]"),1)</f>
        <v>#REF!</v>
      </c>
      <c r="X36" s="300" t="e">
        <f ca="1">IF((INDEX(INDIRECT($3:$3),Table4[[#This Row],[No. Invoice :]]+$2:$2))=INDIRECT("pajak[@["&amp;Table4[#Headers]&amp;"]]"),1)</f>
        <v>#REF!</v>
      </c>
    </row>
    <row r="37" spans="1:24" x14ac:dyDescent="0.25">
      <c r="A37"/>
      <c r="D37" s="291" t="str">
        <f t="shared" ref="D37:D57" ca="1" si="2">IF(ROW()-(COUNTBLANK($D$1:$D$3)+1)&lt;=jNota,A37,"")</f>
        <v/>
      </c>
      <c r="E37" s="291" t="str">
        <f ca="1">IF(pajak[[#This Row],[//]]="","",INDEX(Table1[No. Invoice :],pajak[//]-offset))</f>
        <v/>
      </c>
      <c r="F37" s="289" t="str">
        <f ca="1">IF(pajak[[#This Row],[//]]="","",INDEX(Table1[Tgl Invoice :],pajak[//]-offset))</f>
        <v/>
      </c>
      <c r="G37" s="291" t="str">
        <f ca="1">IF(pajak[[#This Row],[//]]="","",INDEX(Table1[Kode Sales :],pajak[//]-offset))</f>
        <v/>
      </c>
      <c r="H37" s="291" t="str">
        <f ca="1">IF(pajak[[#This Row],[//]]="","",INDEX(Table1[Toko],pajak[//]-offset))</f>
        <v/>
      </c>
      <c r="I37" s="290" t="str">
        <f ca="1">IF(pajak[[#This Row],[//]]="","",SUMIF(Table1[h_id],pajak[[#This Row],[//]],Table1[h_hargasebelumdiskon]))</f>
        <v/>
      </c>
      <c r="J37" s="290" t="str">
        <f ca="1">IF(pajak[[#This Row],[//]]="","",SUMIF(Table1[h_id],pajak[[#This Row],[//]],Table1[h_diskon]))</f>
        <v/>
      </c>
      <c r="K37" s="290" t="str">
        <f ca="1">IF(pajak[[#This Row],[//]]="","",SUMIF(Table1[h_id],pajak[[#This Row],[//]],Table1[h_hargasetelahdiskon]))</f>
        <v/>
      </c>
      <c r="L37" s="290" t="str">
        <f ca="1">IF(pajak[//]="","",pajak[[#This Row],[Sub Total]]/1.11*11%)</f>
        <v/>
      </c>
      <c r="M37" s="290" t="str">
        <f ca="1">pajak[[#This Row],[Sub Total]]</f>
        <v/>
      </c>
      <c r="N37" s="291" t="str">
        <f ca="1">IF(pajak[[#This Row],[//]]="","",INDEX(Table1[pembuat nota :],pajak[//]-offset))</f>
        <v/>
      </c>
      <c r="O37" s="291" t="str">
        <f ca="1">IF(pajak[[#This Row],[//]]="","",IF(INDEX(Table1[edited :],pajak[//]-offset)="","",INDEX(Table1[edited :],pajak[//]-offset)))</f>
        <v/>
      </c>
      <c r="P37" s="290"/>
      <c r="R37" s="291" t="str">
        <f>Table4[[#Headers],[AM]]</f>
        <v>AM</v>
      </c>
      <c r="S37" s="291">
        <f t="shared" ref="S37:S57" si="3">S$3+ROW()-5</f>
        <v>24020033</v>
      </c>
      <c r="T37" s="300" t="b">
        <f ca="1">IF(Table4[[#This Row],[AM]]&amp;" "&amp;Table4[[#This Row],[---]]=INDIRECT("pajak[@["&amp;Table4[#Headers]&amp;"]]"),MATCH(Table4[[#This Row],[---]],INDIRECT($3:$3),0))</f>
        <v>0</v>
      </c>
      <c r="U37" s="300" t="e">
        <f ca="1">IF((INDEX(INDIRECT($3:$3),Table4[[#This Row],[No. Invoice :]]+$2:$2))=INDIRECT("pajak[@["&amp;Table4[#Headers]&amp;"]]"),1)</f>
        <v>#REF!</v>
      </c>
      <c r="V37" s="300" t="e">
        <f ca="1">IF((INDEX(INDIRECT($3:$3),Table4[[#This Row],[No. Invoice :]]+$2:$2))=INDIRECT("pajak[@["&amp;Table4[#Headers]&amp;"]]"),1)</f>
        <v>#REF!</v>
      </c>
      <c r="W37" s="300" t="e">
        <f ca="1">IF((INDEX(INDIRECT($3:$3),Table4[[#This Row],[No. Invoice :]]+$2:$2))=INDIRECT("pajak[@["&amp;Table4[#Headers]&amp;"]]"),1)</f>
        <v>#REF!</v>
      </c>
      <c r="X37" s="300" t="e">
        <f ca="1">IF((INDEX(INDIRECT($3:$3),Table4[[#This Row],[No. Invoice :]]+$2:$2))=INDIRECT("pajak[@["&amp;Table4[#Headers]&amp;"]]"),1)</f>
        <v>#REF!</v>
      </c>
    </row>
    <row r="38" spans="1:24" x14ac:dyDescent="0.25">
      <c r="A38"/>
      <c r="D38" s="291" t="str">
        <f t="shared" ca="1" si="2"/>
        <v/>
      </c>
      <c r="E38" s="291" t="str">
        <f ca="1">IF(pajak[[#This Row],[//]]="","",INDEX(Table1[No. Invoice :],pajak[//]-offset))</f>
        <v/>
      </c>
      <c r="F38" s="289" t="str">
        <f ca="1">IF(pajak[[#This Row],[//]]="","",INDEX(Table1[Tgl Invoice :],pajak[//]-offset))</f>
        <v/>
      </c>
      <c r="G38" s="291" t="str">
        <f ca="1">IF(pajak[[#This Row],[//]]="","",INDEX(Table1[Kode Sales :],pajak[//]-offset))</f>
        <v/>
      </c>
      <c r="H38" s="291" t="str">
        <f ca="1">IF(pajak[[#This Row],[//]]="","",INDEX(Table1[Toko],pajak[//]-offset))</f>
        <v/>
      </c>
      <c r="I38" s="290" t="str">
        <f ca="1">IF(pajak[[#This Row],[//]]="","",SUMIF(Table1[h_id],pajak[[#This Row],[//]],Table1[h_hargasebelumdiskon]))</f>
        <v/>
      </c>
      <c r="J38" s="290" t="str">
        <f ca="1">IF(pajak[[#This Row],[//]]="","",SUMIF(Table1[h_id],pajak[[#This Row],[//]],Table1[h_diskon]))</f>
        <v/>
      </c>
      <c r="K38" s="290" t="str">
        <f ca="1">IF(pajak[[#This Row],[//]]="","",SUMIF(Table1[h_id],pajak[[#This Row],[//]],Table1[h_hargasetelahdiskon]))</f>
        <v/>
      </c>
      <c r="L38" s="290" t="str">
        <f ca="1">IF(pajak[//]="","",pajak[[#This Row],[Sub Total]]/1.11*11%)</f>
        <v/>
      </c>
      <c r="M38" s="290" t="str">
        <f ca="1">pajak[[#This Row],[Sub Total]]</f>
        <v/>
      </c>
      <c r="N38" s="291" t="str">
        <f ca="1">IF(pajak[[#This Row],[//]]="","",INDEX(Table1[pembuat nota :],pajak[//]-offset))</f>
        <v/>
      </c>
      <c r="O38" s="291" t="str">
        <f ca="1">IF(pajak[[#This Row],[//]]="","",IF(INDEX(Table1[edited :],pajak[//]-offset)="","",INDEX(Table1[edited :],pajak[//]-offset)))</f>
        <v/>
      </c>
      <c r="P38" s="290"/>
      <c r="R38" s="291" t="str">
        <f>Table4[[#Headers],[AM]]</f>
        <v>AM</v>
      </c>
      <c r="S38" s="291">
        <f t="shared" si="3"/>
        <v>24020034</v>
      </c>
      <c r="T38" s="300" t="b">
        <f ca="1">IF(Table4[[#This Row],[AM]]&amp;" "&amp;Table4[[#This Row],[---]]=INDIRECT("pajak[@["&amp;Table4[#Headers]&amp;"]]"),MATCH(Table4[[#This Row],[---]],INDIRECT($3:$3),0))</f>
        <v>0</v>
      </c>
      <c r="U38" s="300" t="e">
        <f ca="1">IF((INDEX(INDIRECT($3:$3),Table4[[#This Row],[No. Invoice :]]+$2:$2))=INDIRECT("pajak[@["&amp;Table4[#Headers]&amp;"]]"),1)</f>
        <v>#REF!</v>
      </c>
      <c r="V38" s="300" t="e">
        <f ca="1">IF((INDEX(INDIRECT($3:$3),Table4[[#This Row],[No. Invoice :]]+$2:$2))=INDIRECT("pajak[@["&amp;Table4[#Headers]&amp;"]]"),1)</f>
        <v>#REF!</v>
      </c>
      <c r="W38" s="300" t="e">
        <f ca="1">IF((INDEX(INDIRECT($3:$3),Table4[[#This Row],[No. Invoice :]]+$2:$2))=INDIRECT("pajak[@["&amp;Table4[#Headers]&amp;"]]"),1)</f>
        <v>#REF!</v>
      </c>
      <c r="X38" s="300" t="e">
        <f ca="1">IF((INDEX(INDIRECT($3:$3),Table4[[#This Row],[No. Invoice :]]+$2:$2))=INDIRECT("pajak[@["&amp;Table4[#Headers]&amp;"]]"),1)</f>
        <v>#REF!</v>
      </c>
    </row>
    <row r="39" spans="1:24" x14ac:dyDescent="0.25">
      <c r="A39"/>
      <c r="D39" s="291" t="str">
        <f t="shared" ca="1" si="2"/>
        <v/>
      </c>
      <c r="E39" s="291" t="str">
        <f ca="1">IF(pajak[[#This Row],[//]]="","",INDEX(Table1[No. Invoice :],pajak[//]-offset))</f>
        <v/>
      </c>
      <c r="F39" s="289" t="str">
        <f ca="1">IF(pajak[[#This Row],[//]]="","",INDEX(Table1[Tgl Invoice :],pajak[//]-offset))</f>
        <v/>
      </c>
      <c r="G39" s="291" t="str">
        <f ca="1">IF(pajak[[#This Row],[//]]="","",INDEX(Table1[Kode Sales :],pajak[//]-offset))</f>
        <v/>
      </c>
      <c r="H39" s="291" t="str">
        <f ca="1">IF(pajak[[#This Row],[//]]="","",INDEX(Table1[Toko],pajak[//]-offset))</f>
        <v/>
      </c>
      <c r="I39" s="290" t="str">
        <f ca="1">IF(pajak[[#This Row],[//]]="","",SUMIF(Table1[h_id],pajak[[#This Row],[//]],Table1[h_hargasebelumdiskon]))</f>
        <v/>
      </c>
      <c r="J39" s="290" t="str">
        <f ca="1">IF(pajak[[#This Row],[//]]="","",SUMIF(Table1[h_id],pajak[[#This Row],[//]],Table1[h_diskon]))</f>
        <v/>
      </c>
      <c r="K39" s="290" t="str">
        <f ca="1">IF(pajak[[#This Row],[//]]="","",SUMIF(Table1[h_id],pajak[[#This Row],[//]],Table1[h_hargasetelahdiskon]))</f>
        <v/>
      </c>
      <c r="L39" s="290" t="str">
        <f ca="1">IF(pajak[//]="","",pajak[[#This Row],[Sub Total]]/1.11*11%)</f>
        <v/>
      </c>
      <c r="M39" s="290" t="str">
        <f ca="1">pajak[[#This Row],[Sub Total]]</f>
        <v/>
      </c>
      <c r="N39" s="291" t="str">
        <f ca="1">IF(pajak[[#This Row],[//]]="","",INDEX(Table1[pembuat nota :],pajak[//]-offset))</f>
        <v/>
      </c>
      <c r="O39" s="291" t="str">
        <f ca="1">IF(pajak[[#This Row],[//]]="","",IF(INDEX(Table1[edited :],pajak[//]-offset)="","",INDEX(Table1[edited :],pajak[//]-offset)))</f>
        <v/>
      </c>
      <c r="P39" s="290"/>
      <c r="R39" s="291" t="str">
        <f>Table4[[#Headers],[AM]]</f>
        <v>AM</v>
      </c>
      <c r="S39" s="291">
        <f t="shared" si="3"/>
        <v>24020035</v>
      </c>
      <c r="T39" s="300" t="b">
        <f ca="1">IF(Table4[[#This Row],[AM]]&amp;" "&amp;Table4[[#This Row],[---]]=INDIRECT("pajak[@["&amp;Table4[#Headers]&amp;"]]"),MATCH(Table4[[#This Row],[---]],INDIRECT($3:$3),0))</f>
        <v>0</v>
      </c>
      <c r="U39" s="300" t="e">
        <f ca="1">IF((INDEX(INDIRECT($3:$3),Table4[[#This Row],[No. Invoice :]]+$2:$2))=INDIRECT("pajak[@["&amp;Table4[#Headers]&amp;"]]"),1)</f>
        <v>#REF!</v>
      </c>
      <c r="V39" s="300" t="e">
        <f ca="1">IF((INDEX(INDIRECT($3:$3),Table4[[#This Row],[No. Invoice :]]+$2:$2))=INDIRECT("pajak[@["&amp;Table4[#Headers]&amp;"]]"),1)</f>
        <v>#REF!</v>
      </c>
      <c r="W39" s="300" t="e">
        <f ca="1">IF((INDEX(INDIRECT($3:$3),Table4[[#This Row],[No. Invoice :]]+$2:$2))=INDIRECT("pajak[@["&amp;Table4[#Headers]&amp;"]]"),1)</f>
        <v>#REF!</v>
      </c>
      <c r="X39" s="300" t="e">
        <f ca="1">IF((INDEX(INDIRECT($3:$3),Table4[[#This Row],[No. Invoice :]]+$2:$2))=INDIRECT("pajak[@["&amp;Table4[#Headers]&amp;"]]"),1)</f>
        <v>#REF!</v>
      </c>
    </row>
    <row r="40" spans="1:24" x14ac:dyDescent="0.25">
      <c r="A40"/>
      <c r="D40" s="291" t="str">
        <f t="shared" ca="1" si="2"/>
        <v/>
      </c>
      <c r="E40" s="291" t="str">
        <f ca="1">IF(pajak[[#This Row],[//]]="","",INDEX(Table1[No. Invoice :],pajak[//]-offset))</f>
        <v/>
      </c>
      <c r="F40" s="289" t="str">
        <f ca="1">IF(pajak[[#This Row],[//]]="","",INDEX(Table1[Tgl Invoice :],pajak[//]-offset))</f>
        <v/>
      </c>
      <c r="G40" s="291" t="str">
        <f ca="1">IF(pajak[[#This Row],[//]]="","",INDEX(Table1[Kode Sales :],pajak[//]-offset))</f>
        <v/>
      </c>
      <c r="H40" s="291" t="str">
        <f ca="1">IF(pajak[[#This Row],[//]]="","",INDEX(Table1[Toko],pajak[//]-offset))</f>
        <v/>
      </c>
      <c r="I40" s="290" t="str">
        <f ca="1">IF(pajak[[#This Row],[//]]="","",SUMIF(Table1[h_id],pajak[[#This Row],[//]],Table1[h_hargasebelumdiskon]))</f>
        <v/>
      </c>
      <c r="J40" s="290" t="str">
        <f ca="1">IF(pajak[[#This Row],[//]]="","",SUMIF(Table1[h_id],pajak[[#This Row],[//]],Table1[h_diskon]))</f>
        <v/>
      </c>
      <c r="K40" s="290" t="str">
        <f ca="1">IF(pajak[[#This Row],[//]]="","",SUMIF(Table1[h_id],pajak[[#This Row],[//]],Table1[h_hargasetelahdiskon]))</f>
        <v/>
      </c>
      <c r="L40" s="290" t="str">
        <f ca="1">IF(pajak[//]="","",pajak[[#This Row],[Sub Total]]/1.11*11%)</f>
        <v/>
      </c>
      <c r="M40" s="290" t="str">
        <f ca="1">pajak[[#This Row],[Sub Total]]</f>
        <v/>
      </c>
      <c r="N40" s="291" t="str">
        <f ca="1">IF(pajak[[#This Row],[//]]="","",INDEX(Table1[pembuat nota :],pajak[//]-offset))</f>
        <v/>
      </c>
      <c r="O40" s="291" t="str">
        <f ca="1">IF(pajak[[#This Row],[//]]="","",IF(INDEX(Table1[edited :],pajak[//]-offset)="","",INDEX(Table1[edited :],pajak[//]-offset)))</f>
        <v/>
      </c>
      <c r="P40" s="290"/>
      <c r="R40" s="291" t="str">
        <f>Table4[[#Headers],[AM]]</f>
        <v>AM</v>
      </c>
      <c r="S40" s="291">
        <f t="shared" si="3"/>
        <v>24020036</v>
      </c>
      <c r="T40" s="300" t="b">
        <f ca="1">IF(Table4[[#This Row],[AM]]&amp;" "&amp;Table4[[#This Row],[---]]=INDIRECT("pajak[@["&amp;Table4[#Headers]&amp;"]]"),MATCH(Table4[[#This Row],[---]],INDIRECT($3:$3),0))</f>
        <v>0</v>
      </c>
      <c r="U40" s="300" t="e">
        <f ca="1">IF((INDEX(INDIRECT($3:$3),Table4[[#This Row],[No. Invoice :]]+$2:$2))=INDIRECT("pajak[@["&amp;Table4[#Headers]&amp;"]]"),1)</f>
        <v>#REF!</v>
      </c>
      <c r="V40" s="300" t="e">
        <f ca="1">IF((INDEX(INDIRECT($3:$3),Table4[[#This Row],[No. Invoice :]]+$2:$2))=INDIRECT("pajak[@["&amp;Table4[#Headers]&amp;"]]"),1)</f>
        <v>#REF!</v>
      </c>
      <c r="W40" s="300" t="e">
        <f ca="1">IF((INDEX(INDIRECT($3:$3),Table4[[#This Row],[No. Invoice :]]+$2:$2))=INDIRECT("pajak[@["&amp;Table4[#Headers]&amp;"]]"),1)</f>
        <v>#REF!</v>
      </c>
      <c r="X40" s="300" t="e">
        <f ca="1">IF((INDEX(INDIRECT($3:$3),Table4[[#This Row],[No. Invoice :]]+$2:$2))=INDIRECT("pajak[@["&amp;Table4[#Headers]&amp;"]]"),1)</f>
        <v>#REF!</v>
      </c>
    </row>
    <row r="41" spans="1:24" x14ac:dyDescent="0.25">
      <c r="A41"/>
      <c r="D41" s="291" t="str">
        <f t="shared" ca="1" si="2"/>
        <v/>
      </c>
      <c r="E41" s="291" t="str">
        <f ca="1">IF(pajak[[#This Row],[//]]="","",INDEX(Table1[No. Invoice :],pajak[//]-offset))</f>
        <v/>
      </c>
      <c r="F41" s="289" t="str">
        <f ca="1">IF(pajak[[#This Row],[//]]="","",INDEX(Table1[Tgl Invoice :],pajak[//]-offset))</f>
        <v/>
      </c>
      <c r="G41" s="291" t="str">
        <f ca="1">IF(pajak[[#This Row],[//]]="","",INDEX(Table1[Kode Sales :],pajak[//]-offset))</f>
        <v/>
      </c>
      <c r="H41" s="291" t="str">
        <f ca="1">IF(pajak[[#This Row],[//]]="","",INDEX(Table1[Toko],pajak[//]-offset))</f>
        <v/>
      </c>
      <c r="I41" s="290" t="str">
        <f ca="1">IF(pajak[[#This Row],[//]]="","",SUMIF(Table1[h_id],pajak[[#This Row],[//]],Table1[h_hargasebelumdiskon]))</f>
        <v/>
      </c>
      <c r="J41" s="290" t="str">
        <f ca="1">IF(pajak[[#This Row],[//]]="","",SUMIF(Table1[h_id],pajak[[#This Row],[//]],Table1[h_diskon]))</f>
        <v/>
      </c>
      <c r="K41" s="290" t="str">
        <f ca="1">IF(pajak[[#This Row],[//]]="","",SUMIF(Table1[h_id],pajak[[#This Row],[//]],Table1[h_hargasetelahdiskon]))</f>
        <v/>
      </c>
      <c r="L41" s="290" t="str">
        <f ca="1">IF(pajak[//]="","",pajak[[#This Row],[Sub Total]]/1.11*11%)</f>
        <v/>
      </c>
      <c r="M41" s="290" t="str">
        <f ca="1">pajak[[#This Row],[Sub Total]]</f>
        <v/>
      </c>
      <c r="N41" s="291" t="str">
        <f ca="1">IF(pajak[[#This Row],[//]]="","",INDEX(Table1[pembuat nota :],pajak[//]-offset))</f>
        <v/>
      </c>
      <c r="O41" s="291" t="str">
        <f ca="1">IF(pajak[[#This Row],[//]]="","",IF(INDEX(Table1[edited :],pajak[//]-offset)="","",INDEX(Table1[edited :],pajak[//]-offset)))</f>
        <v/>
      </c>
      <c r="P41" s="290"/>
      <c r="R41" s="291" t="str">
        <f>Table4[[#Headers],[AM]]</f>
        <v>AM</v>
      </c>
      <c r="S41" s="291">
        <f t="shared" si="3"/>
        <v>24020037</v>
      </c>
      <c r="T41" s="300" t="b">
        <f ca="1">IF(Table4[[#This Row],[AM]]&amp;" "&amp;Table4[[#This Row],[---]]=INDIRECT("pajak[@["&amp;Table4[#Headers]&amp;"]]"),MATCH(Table4[[#This Row],[---]],INDIRECT($3:$3),0))</f>
        <v>0</v>
      </c>
      <c r="U41" s="300" t="e">
        <f ca="1">IF((INDEX(INDIRECT($3:$3),Table4[[#This Row],[No. Invoice :]]+$2:$2))=INDIRECT("pajak[@["&amp;Table4[#Headers]&amp;"]]"),1)</f>
        <v>#REF!</v>
      </c>
      <c r="V41" s="300" t="e">
        <f ca="1">IF((INDEX(INDIRECT($3:$3),Table4[[#This Row],[No. Invoice :]]+$2:$2))=INDIRECT("pajak[@["&amp;Table4[#Headers]&amp;"]]"),1)</f>
        <v>#REF!</v>
      </c>
      <c r="W41" s="300" t="e">
        <f ca="1">IF((INDEX(INDIRECT($3:$3),Table4[[#This Row],[No. Invoice :]]+$2:$2))=INDIRECT("pajak[@["&amp;Table4[#Headers]&amp;"]]"),1)</f>
        <v>#REF!</v>
      </c>
      <c r="X41" s="300" t="e">
        <f ca="1">IF((INDEX(INDIRECT($3:$3),Table4[[#This Row],[No. Invoice :]]+$2:$2))=INDIRECT("pajak[@["&amp;Table4[#Headers]&amp;"]]"),1)</f>
        <v>#REF!</v>
      </c>
    </row>
    <row r="42" spans="1:24" x14ac:dyDescent="0.25">
      <c r="A42"/>
      <c r="D42" s="291" t="str">
        <f t="shared" ca="1" si="2"/>
        <v/>
      </c>
      <c r="E42" s="291" t="str">
        <f ca="1">IF(pajak[[#This Row],[//]]="","",INDEX(Table1[No. Invoice :],pajak[//]-offset))</f>
        <v/>
      </c>
      <c r="F42" s="289" t="str">
        <f ca="1">IF(pajak[[#This Row],[//]]="","",INDEX(Table1[Tgl Invoice :],pajak[//]-offset))</f>
        <v/>
      </c>
      <c r="G42" s="291" t="str">
        <f ca="1">IF(pajak[[#This Row],[//]]="","",INDEX(Table1[Kode Sales :],pajak[//]-offset))</f>
        <v/>
      </c>
      <c r="H42" s="291" t="str">
        <f ca="1">IF(pajak[[#This Row],[//]]="","",INDEX(Table1[Toko],pajak[//]-offset))</f>
        <v/>
      </c>
      <c r="I42" s="290" t="str">
        <f ca="1">IF(pajak[[#This Row],[//]]="","",SUMIF(Table1[h_id],pajak[[#This Row],[//]],Table1[h_hargasebelumdiskon]))</f>
        <v/>
      </c>
      <c r="J42" s="290" t="str">
        <f ca="1">IF(pajak[[#This Row],[//]]="","",SUMIF(Table1[h_id],pajak[[#This Row],[//]],Table1[h_diskon]))</f>
        <v/>
      </c>
      <c r="K42" s="290" t="str">
        <f ca="1">IF(pajak[[#This Row],[//]]="","",SUMIF(Table1[h_id],pajak[[#This Row],[//]],Table1[h_hargasetelahdiskon]))</f>
        <v/>
      </c>
      <c r="L42" s="290" t="str">
        <f ca="1">IF(pajak[//]="","",pajak[[#This Row],[Sub Total]]/1.11*11%)</f>
        <v/>
      </c>
      <c r="M42" s="290" t="str">
        <f ca="1">pajak[[#This Row],[Sub Total]]</f>
        <v/>
      </c>
      <c r="N42" s="291" t="str">
        <f ca="1">IF(pajak[[#This Row],[//]]="","",INDEX(Table1[pembuat nota :],pajak[//]-offset))</f>
        <v/>
      </c>
      <c r="O42" s="291" t="str">
        <f ca="1">IF(pajak[[#This Row],[//]]="","",IF(INDEX(Table1[edited :],pajak[//]-offset)="","",INDEX(Table1[edited :],pajak[//]-offset)))</f>
        <v/>
      </c>
      <c r="P42" s="290"/>
      <c r="R42" s="291" t="str">
        <f>Table4[[#Headers],[AM]]</f>
        <v>AM</v>
      </c>
      <c r="S42" s="291">
        <f t="shared" si="3"/>
        <v>24020038</v>
      </c>
      <c r="T42" s="300" t="b">
        <f ca="1">IF(Table4[[#This Row],[AM]]&amp;" "&amp;Table4[[#This Row],[---]]=INDIRECT("pajak[@["&amp;Table4[#Headers]&amp;"]]"),MATCH(Table4[[#This Row],[---]],INDIRECT($3:$3),0))</f>
        <v>0</v>
      </c>
      <c r="U42" s="300" t="e">
        <f ca="1">IF((INDEX(INDIRECT($3:$3),Table4[[#This Row],[No. Invoice :]]+$2:$2))=INDIRECT("pajak[@["&amp;Table4[#Headers]&amp;"]]"),1)</f>
        <v>#REF!</v>
      </c>
      <c r="V42" s="300" t="e">
        <f ca="1">IF((INDEX(INDIRECT($3:$3),Table4[[#This Row],[No. Invoice :]]+$2:$2))=INDIRECT("pajak[@["&amp;Table4[#Headers]&amp;"]]"),1)</f>
        <v>#REF!</v>
      </c>
      <c r="W42" s="300" t="e">
        <f ca="1">IF((INDEX(INDIRECT($3:$3),Table4[[#This Row],[No. Invoice :]]+$2:$2))=INDIRECT("pajak[@["&amp;Table4[#Headers]&amp;"]]"),1)</f>
        <v>#REF!</v>
      </c>
      <c r="X42" s="300" t="e">
        <f ca="1">IF((INDEX(INDIRECT($3:$3),Table4[[#This Row],[No. Invoice :]]+$2:$2))=INDIRECT("pajak[@["&amp;Table4[#Headers]&amp;"]]"),1)</f>
        <v>#REF!</v>
      </c>
    </row>
    <row r="43" spans="1:24" x14ac:dyDescent="0.25">
      <c r="A43"/>
      <c r="D43" s="291" t="str">
        <f t="shared" ca="1" si="2"/>
        <v/>
      </c>
      <c r="E43" s="291" t="str">
        <f ca="1">IF(pajak[[#This Row],[//]]="","",INDEX(Table1[No. Invoice :],pajak[//]-offset))</f>
        <v/>
      </c>
      <c r="F43" s="289" t="str">
        <f ca="1">IF(pajak[[#This Row],[//]]="","",INDEX(Table1[Tgl Invoice :],pajak[//]-offset))</f>
        <v/>
      </c>
      <c r="G43" s="291" t="str">
        <f ca="1">IF(pajak[[#This Row],[//]]="","",INDEX(Table1[Kode Sales :],pajak[//]-offset))</f>
        <v/>
      </c>
      <c r="H43" s="291" t="str">
        <f ca="1">IF(pajak[[#This Row],[//]]="","",INDEX(Table1[Toko],pajak[//]-offset))</f>
        <v/>
      </c>
      <c r="I43" s="290" t="str">
        <f ca="1">IF(pajak[[#This Row],[//]]="","",SUMIF(Table1[h_id],pajak[[#This Row],[//]],Table1[h_hargasebelumdiskon]))</f>
        <v/>
      </c>
      <c r="J43" s="290" t="str">
        <f ca="1">IF(pajak[[#This Row],[//]]="","",SUMIF(Table1[h_id],pajak[[#This Row],[//]],Table1[h_diskon]))</f>
        <v/>
      </c>
      <c r="K43" s="290" t="str">
        <f ca="1">IF(pajak[[#This Row],[//]]="","",SUMIF(Table1[h_id],pajak[[#This Row],[//]],Table1[h_hargasetelahdiskon]))</f>
        <v/>
      </c>
      <c r="L43" s="290" t="str">
        <f ca="1">IF(pajak[//]="","",pajak[[#This Row],[Sub Total]]/1.11*11%)</f>
        <v/>
      </c>
      <c r="M43" s="290" t="str">
        <f ca="1">pajak[[#This Row],[Sub Total]]</f>
        <v/>
      </c>
      <c r="N43" s="291" t="str">
        <f ca="1">IF(pajak[[#This Row],[//]]="","",INDEX(Table1[pembuat nota :],pajak[//]-offset))</f>
        <v/>
      </c>
      <c r="O43" s="291" t="str">
        <f ca="1">IF(pajak[[#This Row],[//]]="","",IF(INDEX(Table1[edited :],pajak[//]-offset)="","",INDEX(Table1[edited :],pajak[//]-offset)))</f>
        <v/>
      </c>
      <c r="P43" s="290"/>
      <c r="R43" s="291" t="str">
        <f>Table4[[#Headers],[AM]]</f>
        <v>AM</v>
      </c>
      <c r="S43" s="291">
        <f t="shared" si="3"/>
        <v>24020039</v>
      </c>
      <c r="T43" s="300" t="b">
        <f ca="1">IF(Table4[[#This Row],[AM]]&amp;" "&amp;Table4[[#This Row],[---]]=INDIRECT("pajak[@["&amp;Table4[#Headers]&amp;"]]"),MATCH(Table4[[#This Row],[---]],INDIRECT($3:$3),0))</f>
        <v>0</v>
      </c>
      <c r="U43" s="300" t="e">
        <f ca="1">IF((INDEX(INDIRECT($3:$3),Table4[[#This Row],[No. Invoice :]]+$2:$2))=INDIRECT("pajak[@["&amp;Table4[#Headers]&amp;"]]"),1)</f>
        <v>#REF!</v>
      </c>
      <c r="V43" s="300" t="e">
        <f ca="1">IF((INDEX(INDIRECT($3:$3),Table4[[#This Row],[No. Invoice :]]+$2:$2))=INDIRECT("pajak[@["&amp;Table4[#Headers]&amp;"]]"),1)</f>
        <v>#REF!</v>
      </c>
      <c r="W43" s="300" t="e">
        <f ca="1">IF((INDEX(INDIRECT($3:$3),Table4[[#This Row],[No. Invoice :]]+$2:$2))=INDIRECT("pajak[@["&amp;Table4[#Headers]&amp;"]]"),1)</f>
        <v>#REF!</v>
      </c>
      <c r="X43" s="300" t="e">
        <f ca="1">IF((INDEX(INDIRECT($3:$3),Table4[[#This Row],[No. Invoice :]]+$2:$2))=INDIRECT("pajak[@["&amp;Table4[#Headers]&amp;"]]"),1)</f>
        <v>#REF!</v>
      </c>
    </row>
    <row r="44" spans="1:24" x14ac:dyDescent="0.25">
      <c r="A44"/>
      <c r="D44" s="291" t="str">
        <f t="shared" ca="1" si="2"/>
        <v/>
      </c>
      <c r="E44" s="291" t="str">
        <f ca="1">IF(pajak[[#This Row],[//]]="","",INDEX(Table1[No. Invoice :],pajak[//]-offset))</f>
        <v/>
      </c>
      <c r="F44" s="289" t="str">
        <f ca="1">IF(pajak[[#This Row],[//]]="","",INDEX(Table1[Tgl Invoice :],pajak[//]-offset))</f>
        <v/>
      </c>
      <c r="G44" s="291" t="str">
        <f ca="1">IF(pajak[[#This Row],[//]]="","",INDEX(Table1[Kode Sales :],pajak[//]-offset))</f>
        <v/>
      </c>
      <c r="H44" s="291" t="str">
        <f ca="1">IF(pajak[[#This Row],[//]]="","",INDEX(Table1[Toko],pajak[//]-offset))</f>
        <v/>
      </c>
      <c r="I44" s="290" t="str">
        <f ca="1">IF(pajak[[#This Row],[//]]="","",SUMIF(Table1[h_id],pajak[[#This Row],[//]],Table1[h_hargasebelumdiskon]))</f>
        <v/>
      </c>
      <c r="J44" s="290" t="str">
        <f ca="1">IF(pajak[[#This Row],[//]]="","",SUMIF(Table1[h_id],pajak[[#This Row],[//]],Table1[h_diskon]))</f>
        <v/>
      </c>
      <c r="K44" s="290" t="str">
        <f ca="1">IF(pajak[[#This Row],[//]]="","",SUMIF(Table1[h_id],pajak[[#This Row],[//]],Table1[h_hargasetelahdiskon]))</f>
        <v/>
      </c>
      <c r="L44" s="290" t="str">
        <f ca="1">IF(pajak[//]="","",pajak[[#This Row],[Sub Total]]/1.11*11%)</f>
        <v/>
      </c>
      <c r="M44" s="290" t="str">
        <f ca="1">pajak[[#This Row],[Sub Total]]</f>
        <v/>
      </c>
      <c r="N44" s="291" t="str">
        <f ca="1">IF(pajak[[#This Row],[//]]="","",INDEX(Table1[pembuat nota :],pajak[//]-offset))</f>
        <v/>
      </c>
      <c r="O44" s="291" t="str">
        <f ca="1">IF(pajak[[#This Row],[//]]="","",IF(INDEX(Table1[edited :],pajak[//]-offset)="","",INDEX(Table1[edited :],pajak[//]-offset)))</f>
        <v/>
      </c>
      <c r="P44" s="290"/>
      <c r="R44" s="291" t="str">
        <f>Table4[[#Headers],[AM]]</f>
        <v>AM</v>
      </c>
      <c r="S44" s="291">
        <f t="shared" si="3"/>
        <v>24020040</v>
      </c>
      <c r="T44" s="300" t="b">
        <f ca="1">IF(Table4[[#This Row],[AM]]&amp;" "&amp;Table4[[#This Row],[---]]=INDIRECT("pajak[@["&amp;Table4[#Headers]&amp;"]]"),MATCH(Table4[[#This Row],[---]],INDIRECT($3:$3),0))</f>
        <v>0</v>
      </c>
      <c r="U44" s="300" t="e">
        <f ca="1">IF((INDEX(INDIRECT($3:$3),Table4[[#This Row],[No. Invoice :]]+$2:$2))=INDIRECT("pajak[@["&amp;Table4[#Headers]&amp;"]]"),1)</f>
        <v>#REF!</v>
      </c>
      <c r="V44" s="300" t="e">
        <f ca="1">IF((INDEX(INDIRECT($3:$3),Table4[[#This Row],[No. Invoice :]]+$2:$2))=INDIRECT("pajak[@["&amp;Table4[#Headers]&amp;"]]"),1)</f>
        <v>#REF!</v>
      </c>
      <c r="W44" s="300" t="e">
        <f ca="1">IF((INDEX(INDIRECT($3:$3),Table4[[#This Row],[No. Invoice :]]+$2:$2))=INDIRECT("pajak[@["&amp;Table4[#Headers]&amp;"]]"),1)</f>
        <v>#REF!</v>
      </c>
      <c r="X44" s="300" t="e">
        <f ca="1">IF((INDEX(INDIRECT($3:$3),Table4[[#This Row],[No. Invoice :]]+$2:$2))=INDIRECT("pajak[@["&amp;Table4[#Headers]&amp;"]]"),1)</f>
        <v>#REF!</v>
      </c>
    </row>
    <row r="45" spans="1:24" x14ac:dyDescent="0.25">
      <c r="A45"/>
      <c r="D45" s="291" t="str">
        <f t="shared" ca="1" si="2"/>
        <v/>
      </c>
      <c r="E45" s="291" t="str">
        <f ca="1">IF(pajak[[#This Row],[//]]="","",INDEX(Table1[No. Invoice :],pajak[//]-offset))</f>
        <v/>
      </c>
      <c r="F45" s="289" t="str">
        <f ca="1">IF(pajak[[#This Row],[//]]="","",INDEX(Table1[Tgl Invoice :],pajak[//]-offset))</f>
        <v/>
      </c>
      <c r="G45" s="291" t="str">
        <f ca="1">IF(pajak[[#This Row],[//]]="","",INDEX(Table1[Kode Sales :],pajak[//]-offset))</f>
        <v/>
      </c>
      <c r="H45" s="291" t="str">
        <f ca="1">IF(pajak[[#This Row],[//]]="","",INDEX(Table1[Toko],pajak[//]-offset))</f>
        <v/>
      </c>
      <c r="I45" s="290" t="str">
        <f ca="1">IF(pajak[[#This Row],[//]]="","",SUMIF(Table1[h_id],pajak[[#This Row],[//]],Table1[h_hargasebelumdiskon]))</f>
        <v/>
      </c>
      <c r="J45" s="290" t="str">
        <f ca="1">IF(pajak[[#This Row],[//]]="","",SUMIF(Table1[h_id],pajak[[#This Row],[//]],Table1[h_diskon]))</f>
        <v/>
      </c>
      <c r="K45" s="290" t="str">
        <f ca="1">IF(pajak[[#This Row],[//]]="","",SUMIF(Table1[h_id],pajak[[#This Row],[//]],Table1[h_hargasetelahdiskon]))</f>
        <v/>
      </c>
      <c r="L45" s="290" t="str">
        <f ca="1">IF(pajak[//]="","",pajak[[#This Row],[Sub Total]]/1.11*11%)</f>
        <v/>
      </c>
      <c r="M45" s="290" t="str">
        <f ca="1">pajak[[#This Row],[Sub Total]]</f>
        <v/>
      </c>
      <c r="N45" s="291" t="str">
        <f ca="1">IF(pajak[[#This Row],[//]]="","",INDEX(Table1[pembuat nota :],pajak[//]-offset))</f>
        <v/>
      </c>
      <c r="O45" s="291" t="str">
        <f ca="1">IF(pajak[[#This Row],[//]]="","",IF(INDEX(Table1[edited :],pajak[//]-offset)="","",INDEX(Table1[edited :],pajak[//]-offset)))</f>
        <v/>
      </c>
      <c r="P45" s="290"/>
      <c r="R45" s="291" t="str">
        <f>Table4[[#Headers],[AM]]</f>
        <v>AM</v>
      </c>
      <c r="S45" s="291">
        <f t="shared" si="3"/>
        <v>24020041</v>
      </c>
      <c r="T45" s="300" t="b">
        <f ca="1">IF(Table4[[#This Row],[AM]]&amp;" "&amp;Table4[[#This Row],[---]]=INDIRECT("pajak[@["&amp;Table4[#Headers]&amp;"]]"),MATCH(Table4[[#This Row],[---]],INDIRECT($3:$3),0))</f>
        <v>0</v>
      </c>
      <c r="U45" s="300" t="e">
        <f ca="1">IF((INDEX(INDIRECT($3:$3),Table4[[#This Row],[No. Invoice :]]+$2:$2))=INDIRECT("pajak[@["&amp;Table4[#Headers]&amp;"]]"),1)</f>
        <v>#REF!</v>
      </c>
      <c r="V45" s="300" t="e">
        <f ca="1">IF((INDEX(INDIRECT($3:$3),Table4[[#This Row],[No. Invoice :]]+$2:$2))=INDIRECT("pajak[@["&amp;Table4[#Headers]&amp;"]]"),1)</f>
        <v>#REF!</v>
      </c>
      <c r="W45" s="300" t="e">
        <f ca="1">IF((INDEX(INDIRECT($3:$3),Table4[[#This Row],[No. Invoice :]]+$2:$2))=INDIRECT("pajak[@["&amp;Table4[#Headers]&amp;"]]"),1)</f>
        <v>#REF!</v>
      </c>
      <c r="X45" s="300" t="e">
        <f ca="1">IF((INDEX(INDIRECT($3:$3),Table4[[#This Row],[No. Invoice :]]+$2:$2))=INDIRECT("pajak[@["&amp;Table4[#Headers]&amp;"]]"),1)</f>
        <v>#REF!</v>
      </c>
    </row>
    <row r="46" spans="1:24" x14ac:dyDescent="0.25">
      <c r="A46"/>
      <c r="D46" s="291" t="str">
        <f t="shared" ca="1" si="2"/>
        <v/>
      </c>
      <c r="E46" s="291" t="str">
        <f ca="1">IF(pajak[[#This Row],[//]]="","",INDEX(Table1[No. Invoice :],pajak[//]-offset))</f>
        <v/>
      </c>
      <c r="F46" s="289" t="str">
        <f ca="1">IF(pajak[[#This Row],[//]]="","",INDEX(Table1[Tgl Invoice :],pajak[//]-offset))</f>
        <v/>
      </c>
      <c r="G46" s="291" t="str">
        <f ca="1">IF(pajak[[#This Row],[//]]="","",INDEX(Table1[Kode Sales :],pajak[//]-offset))</f>
        <v/>
      </c>
      <c r="H46" s="291" t="str">
        <f ca="1">IF(pajak[[#This Row],[//]]="","",INDEX(Table1[Toko],pajak[//]-offset))</f>
        <v/>
      </c>
      <c r="I46" s="290" t="str">
        <f ca="1">IF(pajak[[#This Row],[//]]="","",SUMIF(Table1[h_id],pajak[[#This Row],[//]],Table1[h_hargasebelumdiskon]))</f>
        <v/>
      </c>
      <c r="J46" s="290" t="str">
        <f ca="1">IF(pajak[[#This Row],[//]]="","",SUMIF(Table1[h_id],pajak[[#This Row],[//]],Table1[h_diskon]))</f>
        <v/>
      </c>
      <c r="K46" s="290" t="str">
        <f ca="1">IF(pajak[[#This Row],[//]]="","",SUMIF(Table1[h_id],pajak[[#This Row],[//]],Table1[h_hargasetelahdiskon]))</f>
        <v/>
      </c>
      <c r="L46" s="290" t="str">
        <f ca="1">IF(pajak[//]="","",pajak[[#This Row],[Sub Total]]/1.11*11%)</f>
        <v/>
      </c>
      <c r="M46" s="290" t="str">
        <f ca="1">pajak[[#This Row],[Sub Total]]</f>
        <v/>
      </c>
      <c r="N46" s="291" t="str">
        <f ca="1">IF(pajak[[#This Row],[//]]="","",INDEX(Table1[pembuat nota :],pajak[//]-offset))</f>
        <v/>
      </c>
      <c r="O46" s="291" t="str">
        <f ca="1">IF(pajak[[#This Row],[//]]="","",IF(INDEX(Table1[edited :],pajak[//]-offset)="","",INDEX(Table1[edited :],pajak[//]-offset)))</f>
        <v/>
      </c>
      <c r="P46" s="290"/>
      <c r="R46" s="291" t="str">
        <f>Table4[[#Headers],[AM]]</f>
        <v>AM</v>
      </c>
      <c r="S46" s="291">
        <f t="shared" si="3"/>
        <v>24020042</v>
      </c>
      <c r="T46" s="300" t="b">
        <f ca="1">IF(Table4[[#This Row],[AM]]&amp;" "&amp;Table4[[#This Row],[---]]=INDIRECT("pajak[@["&amp;Table4[#Headers]&amp;"]]"),MATCH(Table4[[#This Row],[---]],INDIRECT($3:$3),0))</f>
        <v>0</v>
      </c>
      <c r="U46" s="300" t="e">
        <f ca="1">IF((INDEX(INDIRECT($3:$3),Table4[[#This Row],[No. Invoice :]]+$2:$2))=INDIRECT("pajak[@["&amp;Table4[#Headers]&amp;"]]"),1)</f>
        <v>#REF!</v>
      </c>
      <c r="V46" s="300" t="e">
        <f ca="1">IF((INDEX(INDIRECT($3:$3),Table4[[#This Row],[No. Invoice :]]+$2:$2))=INDIRECT("pajak[@["&amp;Table4[#Headers]&amp;"]]"),1)</f>
        <v>#REF!</v>
      </c>
      <c r="W46" s="300" t="e">
        <f ca="1">IF((INDEX(INDIRECT($3:$3),Table4[[#This Row],[No. Invoice :]]+$2:$2))=INDIRECT("pajak[@["&amp;Table4[#Headers]&amp;"]]"),1)</f>
        <v>#REF!</v>
      </c>
      <c r="X46" s="300" t="e">
        <f ca="1">IF((INDEX(INDIRECT($3:$3),Table4[[#This Row],[No. Invoice :]]+$2:$2))=INDIRECT("pajak[@["&amp;Table4[#Headers]&amp;"]]"),1)</f>
        <v>#REF!</v>
      </c>
    </row>
    <row r="47" spans="1:24" x14ac:dyDescent="0.25">
      <c r="A47"/>
      <c r="D47" s="291" t="str">
        <f t="shared" ca="1" si="2"/>
        <v/>
      </c>
      <c r="E47" s="291" t="str">
        <f ca="1">IF(pajak[[#This Row],[//]]="","",INDEX(Table1[No. Invoice :],pajak[//]-offset))</f>
        <v/>
      </c>
      <c r="F47" s="289" t="str">
        <f ca="1">IF(pajak[[#This Row],[//]]="","",INDEX(Table1[Tgl Invoice :],pajak[//]-offset))</f>
        <v/>
      </c>
      <c r="G47" s="291" t="str">
        <f ca="1">IF(pajak[[#This Row],[//]]="","",INDEX(Table1[Kode Sales :],pajak[//]-offset))</f>
        <v/>
      </c>
      <c r="H47" s="291" t="str">
        <f ca="1">IF(pajak[[#This Row],[//]]="","",INDEX(Table1[Toko],pajak[//]-offset))</f>
        <v/>
      </c>
      <c r="I47" s="290" t="str">
        <f ca="1">IF(pajak[[#This Row],[//]]="","",SUMIF(Table1[h_id],pajak[[#This Row],[//]],Table1[h_hargasebelumdiskon]))</f>
        <v/>
      </c>
      <c r="J47" s="290" t="str">
        <f ca="1">IF(pajak[[#This Row],[//]]="","",SUMIF(Table1[h_id],pajak[[#This Row],[//]],Table1[h_diskon]))</f>
        <v/>
      </c>
      <c r="K47" s="290" t="str">
        <f ca="1">IF(pajak[[#This Row],[//]]="","",SUMIF(Table1[h_id],pajak[[#This Row],[//]],Table1[h_hargasetelahdiskon]))</f>
        <v/>
      </c>
      <c r="L47" s="290" t="str">
        <f ca="1">IF(pajak[//]="","",pajak[[#This Row],[Sub Total]]/1.11*11%)</f>
        <v/>
      </c>
      <c r="M47" s="290" t="str">
        <f ca="1">pajak[[#This Row],[Sub Total]]</f>
        <v/>
      </c>
      <c r="N47" s="291" t="str">
        <f ca="1">IF(pajak[[#This Row],[//]]="","",INDEX(Table1[pembuat nota :],pajak[//]-offset))</f>
        <v/>
      </c>
      <c r="O47" s="291" t="str">
        <f ca="1">IF(pajak[[#This Row],[//]]="","",IF(INDEX(Table1[edited :],pajak[//]-offset)="","",INDEX(Table1[edited :],pajak[//]-offset)))</f>
        <v/>
      </c>
      <c r="P47" s="290"/>
      <c r="R47" s="291" t="str">
        <f>Table4[[#Headers],[AM]]</f>
        <v>AM</v>
      </c>
      <c r="S47" s="291">
        <f t="shared" si="3"/>
        <v>24020043</v>
      </c>
      <c r="T47" s="300" t="b">
        <f ca="1">IF(Table4[[#This Row],[AM]]&amp;" "&amp;Table4[[#This Row],[---]]=INDIRECT("pajak[@["&amp;Table4[#Headers]&amp;"]]"),MATCH(Table4[[#This Row],[---]],INDIRECT($3:$3),0))</f>
        <v>0</v>
      </c>
      <c r="U47" s="300" t="e">
        <f ca="1">IF((INDEX(INDIRECT($3:$3),Table4[[#This Row],[No. Invoice :]]+$2:$2))=INDIRECT("pajak[@["&amp;Table4[#Headers]&amp;"]]"),1)</f>
        <v>#REF!</v>
      </c>
      <c r="V47" s="300" t="e">
        <f ca="1">IF((INDEX(INDIRECT($3:$3),Table4[[#This Row],[No. Invoice :]]+$2:$2))=INDIRECT("pajak[@["&amp;Table4[#Headers]&amp;"]]"),1)</f>
        <v>#REF!</v>
      </c>
      <c r="W47" s="300" t="e">
        <f ca="1">IF((INDEX(INDIRECT($3:$3),Table4[[#This Row],[No. Invoice :]]+$2:$2))=INDIRECT("pajak[@["&amp;Table4[#Headers]&amp;"]]"),1)</f>
        <v>#REF!</v>
      </c>
      <c r="X47" s="300" t="e">
        <f ca="1">IF((INDEX(INDIRECT($3:$3),Table4[[#This Row],[No. Invoice :]]+$2:$2))=INDIRECT("pajak[@["&amp;Table4[#Headers]&amp;"]]"),1)</f>
        <v>#REF!</v>
      </c>
    </row>
    <row r="48" spans="1:24" x14ac:dyDescent="0.25">
      <c r="A48"/>
      <c r="D48" s="291" t="str">
        <f t="shared" ca="1" si="2"/>
        <v/>
      </c>
      <c r="E48" s="291" t="str">
        <f ca="1">IF(pajak[[#This Row],[//]]="","",INDEX(Table1[No. Invoice :],pajak[//]-offset))</f>
        <v/>
      </c>
      <c r="F48" s="289" t="str">
        <f ca="1">IF(pajak[[#This Row],[//]]="","",INDEX(Table1[Tgl Invoice :],pajak[//]-offset))</f>
        <v/>
      </c>
      <c r="G48" s="291" t="str">
        <f ca="1">IF(pajak[[#This Row],[//]]="","",INDEX(Table1[Kode Sales :],pajak[//]-offset))</f>
        <v/>
      </c>
      <c r="H48" s="291" t="str">
        <f ca="1">IF(pajak[[#This Row],[//]]="","",INDEX(Table1[Toko],pajak[//]-offset))</f>
        <v/>
      </c>
      <c r="I48" s="290" t="str">
        <f ca="1">IF(pajak[[#This Row],[//]]="","",SUMIF(Table1[h_id],pajak[[#This Row],[//]],Table1[h_hargasebelumdiskon]))</f>
        <v/>
      </c>
      <c r="J48" s="290" t="str">
        <f ca="1">IF(pajak[[#This Row],[//]]="","",SUMIF(Table1[h_id],pajak[[#This Row],[//]],Table1[h_diskon]))</f>
        <v/>
      </c>
      <c r="K48" s="290" t="str">
        <f ca="1">IF(pajak[[#This Row],[//]]="","",SUMIF(Table1[h_id],pajak[[#This Row],[//]],Table1[h_hargasetelahdiskon]))</f>
        <v/>
      </c>
      <c r="L48" s="290" t="str">
        <f ca="1">IF(pajak[//]="","",pajak[[#This Row],[Sub Total]]/1.11*11%)</f>
        <v/>
      </c>
      <c r="M48" s="290" t="str">
        <f ca="1">pajak[[#This Row],[Sub Total]]</f>
        <v/>
      </c>
      <c r="N48" s="291" t="str">
        <f ca="1">IF(pajak[[#This Row],[//]]="","",INDEX(Table1[pembuat nota :],pajak[//]-offset))</f>
        <v/>
      </c>
      <c r="O48" s="291" t="str">
        <f ca="1">IF(pajak[[#This Row],[//]]="","",IF(INDEX(Table1[edited :],pajak[//]-offset)="","",INDEX(Table1[edited :],pajak[//]-offset)))</f>
        <v/>
      </c>
      <c r="P48" s="290"/>
      <c r="R48" s="291" t="str">
        <f>Table4[[#Headers],[AM]]</f>
        <v>AM</v>
      </c>
      <c r="S48" s="291">
        <f t="shared" si="3"/>
        <v>24020044</v>
      </c>
      <c r="T48" s="300" t="b">
        <f ca="1">IF(Table4[[#This Row],[AM]]&amp;" "&amp;Table4[[#This Row],[---]]=INDIRECT("pajak[@["&amp;Table4[#Headers]&amp;"]]"),MATCH(Table4[[#This Row],[---]],INDIRECT($3:$3),0))</f>
        <v>0</v>
      </c>
      <c r="U48" s="300" t="e">
        <f ca="1">IF((INDEX(INDIRECT($3:$3),Table4[[#This Row],[No. Invoice :]]+$2:$2))=INDIRECT("pajak[@["&amp;Table4[#Headers]&amp;"]]"),1)</f>
        <v>#REF!</v>
      </c>
      <c r="V48" s="300" t="e">
        <f ca="1">IF((INDEX(INDIRECT($3:$3),Table4[[#This Row],[No. Invoice :]]+$2:$2))=INDIRECT("pajak[@["&amp;Table4[#Headers]&amp;"]]"),1)</f>
        <v>#REF!</v>
      </c>
      <c r="W48" s="300" t="e">
        <f ca="1">IF((INDEX(INDIRECT($3:$3),Table4[[#This Row],[No. Invoice :]]+$2:$2))=INDIRECT("pajak[@["&amp;Table4[#Headers]&amp;"]]"),1)</f>
        <v>#REF!</v>
      </c>
      <c r="X48" s="300" t="e">
        <f ca="1">IF((INDEX(INDIRECT($3:$3),Table4[[#This Row],[No. Invoice :]]+$2:$2))=INDIRECT("pajak[@["&amp;Table4[#Headers]&amp;"]]"),1)</f>
        <v>#REF!</v>
      </c>
    </row>
    <row r="49" spans="1:24" x14ac:dyDescent="0.25">
      <c r="A49"/>
      <c r="D49" s="291" t="str">
        <f t="shared" ca="1" si="2"/>
        <v/>
      </c>
      <c r="E49" s="291" t="str">
        <f ca="1">IF(pajak[[#This Row],[//]]="","",INDEX(Table1[No. Invoice :],pajak[//]-offset))</f>
        <v/>
      </c>
      <c r="F49" s="289" t="str">
        <f ca="1">IF(pajak[[#This Row],[//]]="","",INDEX(Table1[Tgl Invoice :],pajak[//]-offset))</f>
        <v/>
      </c>
      <c r="G49" s="291" t="str">
        <f ca="1">IF(pajak[[#This Row],[//]]="","",INDEX(Table1[Kode Sales :],pajak[//]-offset))</f>
        <v/>
      </c>
      <c r="H49" s="291" t="str">
        <f ca="1">IF(pajak[[#This Row],[//]]="","",INDEX(Table1[Toko],pajak[//]-offset))</f>
        <v/>
      </c>
      <c r="I49" s="290" t="str">
        <f ca="1">IF(pajak[[#This Row],[//]]="","",SUMIF(Table1[h_id],pajak[[#This Row],[//]],Table1[h_hargasebelumdiskon]))</f>
        <v/>
      </c>
      <c r="J49" s="290" t="str">
        <f ca="1">IF(pajak[[#This Row],[//]]="","",SUMIF(Table1[h_id],pajak[[#This Row],[//]],Table1[h_diskon]))</f>
        <v/>
      </c>
      <c r="K49" s="290" t="str">
        <f ca="1">IF(pajak[[#This Row],[//]]="","",SUMIF(Table1[h_id],pajak[[#This Row],[//]],Table1[h_hargasetelahdiskon]))</f>
        <v/>
      </c>
      <c r="L49" s="290" t="str">
        <f ca="1">IF(pajak[//]="","",pajak[[#This Row],[Sub Total]]/1.11*11%)</f>
        <v/>
      </c>
      <c r="M49" s="290" t="str">
        <f ca="1">pajak[[#This Row],[Sub Total]]</f>
        <v/>
      </c>
      <c r="N49" s="291" t="str">
        <f ca="1">IF(pajak[[#This Row],[//]]="","",INDEX(Table1[pembuat nota :],pajak[//]-offset))</f>
        <v/>
      </c>
      <c r="O49" s="291" t="str">
        <f ca="1">IF(pajak[[#This Row],[//]]="","",IF(INDEX(Table1[edited :],pajak[//]-offset)="","",INDEX(Table1[edited :],pajak[//]-offset)))</f>
        <v/>
      </c>
      <c r="P49" s="290"/>
      <c r="R49" s="291" t="str">
        <f>Table4[[#Headers],[AM]]</f>
        <v>AM</v>
      </c>
      <c r="S49" s="291">
        <f t="shared" si="3"/>
        <v>24020045</v>
      </c>
      <c r="T49" s="300" t="b">
        <f ca="1">IF(Table4[[#This Row],[AM]]&amp;" "&amp;Table4[[#This Row],[---]]=INDIRECT("pajak[@["&amp;Table4[#Headers]&amp;"]]"),MATCH(Table4[[#This Row],[---]],INDIRECT($3:$3),0))</f>
        <v>0</v>
      </c>
      <c r="U49" s="300" t="e">
        <f ca="1">IF((INDEX(INDIRECT($3:$3),Table4[[#This Row],[No. Invoice :]]+$2:$2))=INDIRECT("pajak[@["&amp;Table4[#Headers]&amp;"]]"),1)</f>
        <v>#REF!</v>
      </c>
      <c r="V49" s="300" t="e">
        <f ca="1">IF((INDEX(INDIRECT($3:$3),Table4[[#This Row],[No. Invoice :]]+$2:$2))=INDIRECT("pajak[@["&amp;Table4[#Headers]&amp;"]]"),1)</f>
        <v>#REF!</v>
      </c>
      <c r="W49" s="300" t="e">
        <f ca="1">IF((INDEX(INDIRECT($3:$3),Table4[[#This Row],[No. Invoice :]]+$2:$2))=INDIRECT("pajak[@["&amp;Table4[#Headers]&amp;"]]"),1)</f>
        <v>#REF!</v>
      </c>
      <c r="X49" s="300" t="e">
        <f ca="1">IF((INDEX(INDIRECT($3:$3),Table4[[#This Row],[No. Invoice :]]+$2:$2))=INDIRECT("pajak[@["&amp;Table4[#Headers]&amp;"]]"),1)</f>
        <v>#REF!</v>
      </c>
    </row>
    <row r="50" spans="1:24" x14ac:dyDescent="0.25">
      <c r="A50"/>
      <c r="D50" s="291" t="str">
        <f t="shared" ca="1" si="2"/>
        <v/>
      </c>
      <c r="E50" s="291" t="str">
        <f ca="1">IF(pajak[[#This Row],[//]]="","",INDEX(Table1[No. Invoice :],pajak[//]-offset))</f>
        <v/>
      </c>
      <c r="F50" s="289" t="str">
        <f ca="1">IF(pajak[[#This Row],[//]]="","",INDEX(Table1[Tgl Invoice :],pajak[//]-offset))</f>
        <v/>
      </c>
      <c r="G50" s="291" t="str">
        <f ca="1">IF(pajak[[#This Row],[//]]="","",INDEX(Table1[Kode Sales :],pajak[//]-offset))</f>
        <v/>
      </c>
      <c r="H50" s="291" t="str">
        <f ca="1">IF(pajak[[#This Row],[//]]="","",INDEX(Table1[Toko],pajak[//]-offset))</f>
        <v/>
      </c>
      <c r="I50" s="290" t="str">
        <f ca="1">IF(pajak[[#This Row],[//]]="","",SUMIF(Table1[h_id],pajak[[#This Row],[//]],Table1[h_hargasebelumdiskon]))</f>
        <v/>
      </c>
      <c r="J50" s="290" t="str">
        <f ca="1">IF(pajak[[#This Row],[//]]="","",SUMIF(Table1[h_id],pajak[[#This Row],[//]],Table1[h_diskon]))</f>
        <v/>
      </c>
      <c r="K50" s="290" t="str">
        <f ca="1">IF(pajak[[#This Row],[//]]="","",SUMIF(Table1[h_id],pajak[[#This Row],[//]],Table1[h_hargasetelahdiskon]))</f>
        <v/>
      </c>
      <c r="L50" s="290" t="str">
        <f ca="1">IF(pajak[//]="","",pajak[[#This Row],[Sub Total]]/1.11*11%)</f>
        <v/>
      </c>
      <c r="M50" s="290" t="str">
        <f ca="1">pajak[[#This Row],[Sub Total]]</f>
        <v/>
      </c>
      <c r="N50" s="291" t="str">
        <f ca="1">IF(pajak[[#This Row],[//]]="","",INDEX(Table1[pembuat nota :],pajak[//]-offset))</f>
        <v/>
      </c>
      <c r="O50" s="291" t="str">
        <f ca="1">IF(pajak[[#This Row],[//]]="","",IF(INDEX(Table1[edited :],pajak[//]-offset)="","",INDEX(Table1[edited :],pajak[//]-offset)))</f>
        <v/>
      </c>
      <c r="P50" s="290"/>
      <c r="R50" s="291" t="str">
        <f>Table4[[#Headers],[AM]]</f>
        <v>AM</v>
      </c>
      <c r="S50" s="291">
        <f t="shared" si="3"/>
        <v>24020046</v>
      </c>
      <c r="T50" s="300" t="b">
        <f ca="1">IF(Table4[[#This Row],[AM]]&amp;" "&amp;Table4[[#This Row],[---]]=INDIRECT("pajak[@["&amp;Table4[#Headers]&amp;"]]"),MATCH(Table4[[#This Row],[---]],INDIRECT($3:$3),0))</f>
        <v>0</v>
      </c>
      <c r="U50" s="300" t="e">
        <f ca="1">IF((INDEX(INDIRECT($3:$3),Table4[[#This Row],[No. Invoice :]]+$2:$2))=INDIRECT("pajak[@["&amp;Table4[#Headers]&amp;"]]"),1)</f>
        <v>#REF!</v>
      </c>
      <c r="V50" s="300" t="e">
        <f ca="1">IF((INDEX(INDIRECT($3:$3),Table4[[#This Row],[No. Invoice :]]+$2:$2))=INDIRECT("pajak[@["&amp;Table4[#Headers]&amp;"]]"),1)</f>
        <v>#REF!</v>
      </c>
      <c r="W50" s="300" t="e">
        <f ca="1">IF((INDEX(INDIRECT($3:$3),Table4[[#This Row],[No. Invoice :]]+$2:$2))=INDIRECT("pajak[@["&amp;Table4[#Headers]&amp;"]]"),1)</f>
        <v>#REF!</v>
      </c>
      <c r="X50" s="300" t="e">
        <f ca="1">IF((INDEX(INDIRECT($3:$3),Table4[[#This Row],[No. Invoice :]]+$2:$2))=INDIRECT("pajak[@["&amp;Table4[#Headers]&amp;"]]"),1)</f>
        <v>#REF!</v>
      </c>
    </row>
    <row r="51" spans="1:24" x14ac:dyDescent="0.25">
      <c r="A51"/>
      <c r="D51" s="291" t="str">
        <f t="shared" ca="1" si="2"/>
        <v/>
      </c>
      <c r="E51" s="291" t="str">
        <f ca="1">IF(pajak[[#This Row],[//]]="","",INDEX(Table1[No. Invoice :],pajak[//]-offset))</f>
        <v/>
      </c>
      <c r="F51" s="289" t="str">
        <f ca="1">IF(pajak[[#This Row],[//]]="","",INDEX(Table1[Tgl Invoice :],pajak[//]-offset))</f>
        <v/>
      </c>
      <c r="G51" s="291" t="str">
        <f ca="1">IF(pajak[[#This Row],[//]]="","",INDEX(Table1[Kode Sales :],pajak[//]-offset))</f>
        <v/>
      </c>
      <c r="H51" s="291" t="str">
        <f ca="1">IF(pajak[[#This Row],[//]]="","",INDEX(Table1[Toko],pajak[//]-offset))</f>
        <v/>
      </c>
      <c r="I51" s="290" t="str">
        <f ca="1">IF(pajak[[#This Row],[//]]="","",SUMIF(Table1[h_id],pajak[[#This Row],[//]],Table1[h_hargasebelumdiskon]))</f>
        <v/>
      </c>
      <c r="J51" s="290" t="str">
        <f ca="1">IF(pajak[[#This Row],[//]]="","",SUMIF(Table1[h_id],pajak[[#This Row],[//]],Table1[h_diskon]))</f>
        <v/>
      </c>
      <c r="K51" s="290" t="str">
        <f ca="1">IF(pajak[[#This Row],[//]]="","",SUMIF(Table1[h_id],pajak[[#This Row],[//]],Table1[h_hargasetelahdiskon]))</f>
        <v/>
      </c>
      <c r="L51" s="290" t="str">
        <f ca="1">IF(pajak[//]="","",pajak[[#This Row],[Sub Total]]/1.11*11%)</f>
        <v/>
      </c>
      <c r="M51" s="290" t="str">
        <f ca="1">pajak[[#This Row],[Sub Total]]</f>
        <v/>
      </c>
      <c r="N51" s="291" t="str">
        <f ca="1">IF(pajak[[#This Row],[//]]="","",INDEX(Table1[pembuat nota :],pajak[//]-offset))</f>
        <v/>
      </c>
      <c r="O51" s="291" t="str">
        <f ca="1">IF(pajak[[#This Row],[//]]="","",IF(INDEX(Table1[edited :],pajak[//]-offset)="","",INDEX(Table1[edited :],pajak[//]-offset)))</f>
        <v/>
      </c>
      <c r="P51" s="290"/>
      <c r="R51" s="291" t="str">
        <f>Table4[[#Headers],[AM]]</f>
        <v>AM</v>
      </c>
      <c r="S51" s="291">
        <f t="shared" si="3"/>
        <v>24020047</v>
      </c>
      <c r="T51" s="300" t="b">
        <f ca="1">IF(Table4[[#This Row],[AM]]&amp;" "&amp;Table4[[#This Row],[---]]=INDIRECT("pajak[@["&amp;Table4[#Headers]&amp;"]]"),MATCH(Table4[[#This Row],[---]],INDIRECT($3:$3),0))</f>
        <v>0</v>
      </c>
      <c r="U51" s="300" t="e">
        <f ca="1">IF((INDEX(INDIRECT($3:$3),Table4[[#This Row],[No. Invoice :]]+$2:$2))=INDIRECT("pajak[@["&amp;Table4[#Headers]&amp;"]]"),1)</f>
        <v>#REF!</v>
      </c>
      <c r="V51" s="300" t="e">
        <f ca="1">IF((INDEX(INDIRECT($3:$3),Table4[[#This Row],[No. Invoice :]]+$2:$2))=INDIRECT("pajak[@["&amp;Table4[#Headers]&amp;"]]"),1)</f>
        <v>#REF!</v>
      </c>
      <c r="W51" s="300" t="e">
        <f ca="1">IF((INDEX(INDIRECT($3:$3),Table4[[#This Row],[No. Invoice :]]+$2:$2))=INDIRECT("pajak[@["&amp;Table4[#Headers]&amp;"]]"),1)</f>
        <v>#REF!</v>
      </c>
      <c r="X51" s="300" t="e">
        <f ca="1">IF((INDEX(INDIRECT($3:$3),Table4[[#This Row],[No. Invoice :]]+$2:$2))=INDIRECT("pajak[@["&amp;Table4[#Headers]&amp;"]]"),1)</f>
        <v>#REF!</v>
      </c>
    </row>
    <row r="52" spans="1:24" x14ac:dyDescent="0.25">
      <c r="A52"/>
      <c r="D52" s="291" t="str">
        <f t="shared" ca="1" si="2"/>
        <v/>
      </c>
      <c r="E52" s="291" t="str">
        <f ca="1">IF(pajak[[#This Row],[//]]="","",INDEX(Table1[No. Invoice :],pajak[//]-offset))</f>
        <v/>
      </c>
      <c r="F52" s="289" t="str">
        <f ca="1">IF(pajak[[#This Row],[//]]="","",INDEX(Table1[Tgl Invoice :],pajak[//]-offset))</f>
        <v/>
      </c>
      <c r="G52" s="291" t="str">
        <f ca="1">IF(pajak[[#This Row],[//]]="","",INDEX(Table1[Kode Sales :],pajak[//]-offset))</f>
        <v/>
      </c>
      <c r="H52" s="291" t="str">
        <f ca="1">IF(pajak[[#This Row],[//]]="","",INDEX(Table1[Toko],pajak[//]-offset))</f>
        <v/>
      </c>
      <c r="I52" s="290" t="str">
        <f ca="1">IF(pajak[[#This Row],[//]]="","",SUMIF(Table1[h_id],pajak[[#This Row],[//]],Table1[h_hargasebelumdiskon]))</f>
        <v/>
      </c>
      <c r="J52" s="290" t="str">
        <f ca="1">IF(pajak[[#This Row],[//]]="","",SUMIF(Table1[h_id],pajak[[#This Row],[//]],Table1[h_diskon]))</f>
        <v/>
      </c>
      <c r="K52" s="290" t="str">
        <f ca="1">IF(pajak[[#This Row],[//]]="","",SUMIF(Table1[h_id],pajak[[#This Row],[//]],Table1[h_hargasetelahdiskon]))</f>
        <v/>
      </c>
      <c r="L52" s="290" t="str">
        <f ca="1">IF(pajak[//]="","",pajak[[#This Row],[Sub Total]]/1.11*11%)</f>
        <v/>
      </c>
      <c r="M52" s="290" t="str">
        <f ca="1">pajak[[#This Row],[Sub Total]]</f>
        <v/>
      </c>
      <c r="N52" s="291" t="str">
        <f ca="1">IF(pajak[[#This Row],[//]]="","",INDEX(Table1[pembuat nota :],pajak[//]-offset))</f>
        <v/>
      </c>
      <c r="O52" s="291" t="str">
        <f ca="1">IF(pajak[[#This Row],[//]]="","",IF(INDEX(Table1[edited :],pajak[//]-offset)="","",INDEX(Table1[edited :],pajak[//]-offset)))</f>
        <v/>
      </c>
      <c r="P52" s="290"/>
      <c r="R52" s="291" t="str">
        <f>Table4[[#Headers],[AM]]</f>
        <v>AM</v>
      </c>
      <c r="S52" s="291">
        <f t="shared" si="3"/>
        <v>24020048</v>
      </c>
      <c r="T52" s="300" t="b">
        <f ca="1">IF(Table4[[#This Row],[AM]]&amp;" "&amp;Table4[[#This Row],[---]]=INDIRECT("pajak[@["&amp;Table4[#Headers]&amp;"]]"),MATCH(Table4[[#This Row],[---]],INDIRECT($3:$3),0))</f>
        <v>0</v>
      </c>
      <c r="U52" s="300" t="e">
        <f ca="1">IF((INDEX(INDIRECT($3:$3),Table4[[#This Row],[No. Invoice :]]+$2:$2))=INDIRECT("pajak[@["&amp;Table4[#Headers]&amp;"]]"),1)</f>
        <v>#REF!</v>
      </c>
      <c r="V52" s="300" t="e">
        <f ca="1">IF((INDEX(INDIRECT($3:$3),Table4[[#This Row],[No. Invoice :]]+$2:$2))=INDIRECT("pajak[@["&amp;Table4[#Headers]&amp;"]]"),1)</f>
        <v>#REF!</v>
      </c>
      <c r="W52" s="300" t="e">
        <f ca="1">IF((INDEX(INDIRECT($3:$3),Table4[[#This Row],[No. Invoice :]]+$2:$2))=INDIRECT("pajak[@["&amp;Table4[#Headers]&amp;"]]"),1)</f>
        <v>#REF!</v>
      </c>
      <c r="X52" s="300" t="e">
        <f ca="1">IF((INDEX(INDIRECT($3:$3),Table4[[#This Row],[No. Invoice :]]+$2:$2))=INDIRECT("pajak[@["&amp;Table4[#Headers]&amp;"]]"),1)</f>
        <v>#REF!</v>
      </c>
    </row>
    <row r="53" spans="1:24" x14ac:dyDescent="0.25">
      <c r="A53"/>
      <c r="D53" s="291" t="str">
        <f t="shared" ca="1" si="2"/>
        <v/>
      </c>
      <c r="E53" s="291" t="str">
        <f ca="1">IF(pajak[[#This Row],[//]]="","",INDEX(Table1[No. Invoice :],pajak[//]-offset))</f>
        <v/>
      </c>
      <c r="F53" s="289" t="str">
        <f ca="1">IF(pajak[[#This Row],[//]]="","",INDEX(Table1[Tgl Invoice :],pajak[//]-offset))</f>
        <v/>
      </c>
      <c r="G53" s="291" t="str">
        <f ca="1">IF(pajak[[#This Row],[//]]="","",INDEX(Table1[Kode Sales :],pajak[//]-offset))</f>
        <v/>
      </c>
      <c r="H53" s="291" t="str">
        <f ca="1">IF(pajak[[#This Row],[//]]="","",INDEX(Table1[Toko],pajak[//]-offset))</f>
        <v/>
      </c>
      <c r="I53" s="290" t="str">
        <f ca="1">IF(pajak[[#This Row],[//]]="","",SUMIF(Table1[h_id],pajak[[#This Row],[//]],Table1[h_hargasebelumdiskon]))</f>
        <v/>
      </c>
      <c r="J53" s="290" t="str">
        <f ca="1">IF(pajak[[#This Row],[//]]="","",SUMIF(Table1[h_id],pajak[[#This Row],[//]],Table1[h_diskon]))</f>
        <v/>
      </c>
      <c r="K53" s="290" t="str">
        <f ca="1">IF(pajak[[#This Row],[//]]="","",SUMIF(Table1[h_id],pajak[[#This Row],[//]],Table1[h_hargasetelahdiskon]))</f>
        <v/>
      </c>
      <c r="L53" s="290" t="str">
        <f ca="1">IF(pajak[//]="","",pajak[[#This Row],[Sub Total]]/1.11*11%)</f>
        <v/>
      </c>
      <c r="M53" s="290" t="str">
        <f ca="1">pajak[[#This Row],[Sub Total]]</f>
        <v/>
      </c>
      <c r="N53" s="291" t="str">
        <f ca="1">IF(pajak[[#This Row],[//]]="","",INDEX(Table1[pembuat nota :],pajak[//]-offset))</f>
        <v/>
      </c>
      <c r="O53" s="291" t="str">
        <f ca="1">IF(pajak[[#This Row],[//]]="","",IF(INDEX(Table1[edited :],pajak[//]-offset)="","",INDEX(Table1[edited :],pajak[//]-offset)))</f>
        <v/>
      </c>
      <c r="P53" s="290"/>
      <c r="R53" s="291" t="str">
        <f>Table4[[#Headers],[AM]]</f>
        <v>AM</v>
      </c>
      <c r="S53" s="291">
        <f t="shared" si="3"/>
        <v>24020049</v>
      </c>
      <c r="T53" s="300" t="b">
        <f ca="1">IF(Table4[[#This Row],[AM]]&amp;" "&amp;Table4[[#This Row],[---]]=INDIRECT("pajak[@["&amp;Table4[#Headers]&amp;"]]"),MATCH(Table4[[#This Row],[---]],INDIRECT($3:$3),0))</f>
        <v>0</v>
      </c>
      <c r="U53" s="300" t="e">
        <f ca="1">IF((INDEX(INDIRECT($3:$3),Table4[[#This Row],[No. Invoice :]]+$2:$2))=INDIRECT("pajak[@["&amp;Table4[#Headers]&amp;"]]"),1)</f>
        <v>#REF!</v>
      </c>
      <c r="V53" s="300" t="e">
        <f ca="1">IF((INDEX(INDIRECT($3:$3),Table4[[#This Row],[No. Invoice :]]+$2:$2))=INDIRECT("pajak[@["&amp;Table4[#Headers]&amp;"]]"),1)</f>
        <v>#REF!</v>
      </c>
      <c r="W53" s="300" t="e">
        <f ca="1">IF((INDEX(INDIRECT($3:$3),Table4[[#This Row],[No. Invoice :]]+$2:$2))=INDIRECT("pajak[@["&amp;Table4[#Headers]&amp;"]]"),1)</f>
        <v>#REF!</v>
      </c>
      <c r="X53" s="300" t="e">
        <f ca="1">IF((INDEX(INDIRECT($3:$3),Table4[[#This Row],[No. Invoice :]]+$2:$2))=INDIRECT("pajak[@["&amp;Table4[#Headers]&amp;"]]"),1)</f>
        <v>#REF!</v>
      </c>
    </row>
    <row r="54" spans="1:24" x14ac:dyDescent="0.25">
      <c r="A54"/>
      <c r="D54" s="291" t="str">
        <f t="shared" ca="1" si="2"/>
        <v/>
      </c>
      <c r="E54" s="291" t="str">
        <f ca="1">IF(pajak[[#This Row],[//]]="","",INDEX(Table1[No. Invoice :],pajak[//]-offset))</f>
        <v/>
      </c>
      <c r="F54" s="289" t="str">
        <f ca="1">IF(pajak[[#This Row],[//]]="","",INDEX(Table1[Tgl Invoice :],pajak[//]-offset))</f>
        <v/>
      </c>
      <c r="G54" s="291" t="str">
        <f ca="1">IF(pajak[[#This Row],[//]]="","",INDEX(Table1[Kode Sales :],pajak[//]-offset))</f>
        <v/>
      </c>
      <c r="H54" s="291" t="str">
        <f ca="1">IF(pajak[[#This Row],[//]]="","",INDEX(Table1[Toko],pajak[//]-offset))</f>
        <v/>
      </c>
      <c r="I54" s="290" t="str">
        <f ca="1">IF(pajak[[#This Row],[//]]="","",SUMIF(Table1[h_id],pajak[[#This Row],[//]],Table1[h_hargasebelumdiskon]))</f>
        <v/>
      </c>
      <c r="J54" s="290" t="str">
        <f ca="1">IF(pajak[[#This Row],[//]]="","",SUMIF(Table1[h_id],pajak[[#This Row],[//]],Table1[h_diskon]))</f>
        <v/>
      </c>
      <c r="K54" s="290" t="str">
        <f ca="1">IF(pajak[[#This Row],[//]]="","",SUMIF(Table1[h_id],pajak[[#This Row],[//]],Table1[h_hargasetelahdiskon]))</f>
        <v/>
      </c>
      <c r="L54" s="290" t="str">
        <f ca="1">IF(pajak[//]="","",pajak[[#This Row],[Sub Total]]/1.11*11%)</f>
        <v/>
      </c>
      <c r="M54" s="290" t="str">
        <f ca="1">pajak[[#This Row],[Sub Total]]</f>
        <v/>
      </c>
      <c r="N54" s="291" t="str">
        <f ca="1">IF(pajak[[#This Row],[//]]="","",INDEX(Table1[pembuat nota :],pajak[//]-offset))</f>
        <v/>
      </c>
      <c r="O54" s="291" t="str">
        <f ca="1">IF(pajak[[#This Row],[//]]="","",IF(INDEX(Table1[edited :],pajak[//]-offset)="","",INDEX(Table1[edited :],pajak[//]-offset)))</f>
        <v/>
      </c>
      <c r="P54" s="290"/>
      <c r="R54" s="291" t="str">
        <f>Table4[[#Headers],[AM]]</f>
        <v>AM</v>
      </c>
      <c r="S54" s="291">
        <f t="shared" si="3"/>
        <v>24020050</v>
      </c>
      <c r="T54" s="300" t="b">
        <f ca="1">IF(Table4[[#This Row],[AM]]&amp;" "&amp;Table4[[#This Row],[---]]=INDIRECT("pajak[@["&amp;Table4[#Headers]&amp;"]]"),MATCH(Table4[[#This Row],[---]],INDIRECT($3:$3),0))</f>
        <v>0</v>
      </c>
      <c r="U54" s="300" t="e">
        <f ca="1">IF((INDEX(INDIRECT($3:$3),Table4[[#This Row],[No. Invoice :]]+$2:$2))=INDIRECT("pajak[@["&amp;Table4[#Headers]&amp;"]]"),1)</f>
        <v>#REF!</v>
      </c>
      <c r="V54" s="300" t="e">
        <f ca="1">IF((INDEX(INDIRECT($3:$3),Table4[[#This Row],[No. Invoice :]]+$2:$2))=INDIRECT("pajak[@["&amp;Table4[#Headers]&amp;"]]"),1)</f>
        <v>#REF!</v>
      </c>
      <c r="W54" s="300" t="e">
        <f ca="1">IF((INDEX(INDIRECT($3:$3),Table4[[#This Row],[No. Invoice :]]+$2:$2))=INDIRECT("pajak[@["&amp;Table4[#Headers]&amp;"]]"),1)</f>
        <v>#REF!</v>
      </c>
      <c r="X54" s="300" t="e">
        <f ca="1">IF((INDEX(INDIRECT($3:$3),Table4[[#This Row],[No. Invoice :]]+$2:$2))=INDIRECT("pajak[@["&amp;Table4[#Headers]&amp;"]]"),1)</f>
        <v>#REF!</v>
      </c>
    </row>
    <row r="55" spans="1:24" x14ac:dyDescent="0.25">
      <c r="A55"/>
      <c r="D55" s="291" t="str">
        <f t="shared" ca="1" si="2"/>
        <v/>
      </c>
      <c r="E55" s="291" t="str">
        <f ca="1">IF(pajak[[#This Row],[//]]="","",INDEX(Table1[No. Invoice :],pajak[//]-offset))</f>
        <v/>
      </c>
      <c r="F55" s="289" t="str">
        <f ca="1">IF(pajak[[#This Row],[//]]="","",INDEX(Table1[Tgl Invoice :],pajak[//]-offset))</f>
        <v/>
      </c>
      <c r="G55" s="291" t="str">
        <f ca="1">IF(pajak[[#This Row],[//]]="","",INDEX(Table1[Kode Sales :],pajak[//]-offset))</f>
        <v/>
      </c>
      <c r="H55" s="291" t="str">
        <f ca="1">IF(pajak[[#This Row],[//]]="","",INDEX(Table1[Toko],pajak[//]-offset))</f>
        <v/>
      </c>
      <c r="I55" s="290" t="str">
        <f ca="1">IF(pajak[[#This Row],[//]]="","",SUMIF(Table1[h_id],pajak[[#This Row],[//]],Table1[h_hargasebelumdiskon]))</f>
        <v/>
      </c>
      <c r="J55" s="290" t="str">
        <f ca="1">IF(pajak[[#This Row],[//]]="","",SUMIF(Table1[h_id],pajak[[#This Row],[//]],Table1[h_diskon]))</f>
        <v/>
      </c>
      <c r="K55" s="290" t="str">
        <f ca="1">IF(pajak[[#This Row],[//]]="","",SUMIF(Table1[h_id],pajak[[#This Row],[//]],Table1[h_hargasetelahdiskon]))</f>
        <v/>
      </c>
      <c r="L55" s="290" t="str">
        <f ca="1">IF(pajak[//]="","",pajak[[#This Row],[Sub Total]]/1.11*11%)</f>
        <v/>
      </c>
      <c r="M55" s="290" t="str">
        <f ca="1">pajak[[#This Row],[Sub Total]]</f>
        <v/>
      </c>
      <c r="N55" s="291" t="str">
        <f ca="1">IF(pajak[[#This Row],[//]]="","",INDEX(Table1[pembuat nota :],pajak[//]-offset))</f>
        <v/>
      </c>
      <c r="O55" s="291" t="str">
        <f ca="1">IF(pajak[[#This Row],[//]]="","",IF(INDEX(Table1[edited :],pajak[//]-offset)="","",INDEX(Table1[edited :],pajak[//]-offset)))</f>
        <v/>
      </c>
      <c r="P55" s="290"/>
      <c r="R55" s="291" t="str">
        <f>Table4[[#Headers],[AM]]</f>
        <v>AM</v>
      </c>
      <c r="S55" s="291">
        <f t="shared" si="3"/>
        <v>24020051</v>
      </c>
      <c r="T55" s="300" t="b">
        <f ca="1">IF(Table4[[#This Row],[AM]]&amp;" "&amp;Table4[[#This Row],[---]]=INDIRECT("pajak[@["&amp;Table4[#Headers]&amp;"]]"),MATCH(Table4[[#This Row],[---]],INDIRECT($3:$3),0))</f>
        <v>0</v>
      </c>
      <c r="U55" s="300" t="e">
        <f ca="1">IF((INDEX(INDIRECT($3:$3),Table4[[#This Row],[No. Invoice :]]+$2:$2))=INDIRECT("pajak[@["&amp;Table4[#Headers]&amp;"]]"),1)</f>
        <v>#REF!</v>
      </c>
      <c r="V55" s="300" t="e">
        <f ca="1">IF((INDEX(INDIRECT($3:$3),Table4[[#This Row],[No. Invoice :]]+$2:$2))=INDIRECT("pajak[@["&amp;Table4[#Headers]&amp;"]]"),1)</f>
        <v>#REF!</v>
      </c>
      <c r="W55" s="300" t="e">
        <f ca="1">IF((INDEX(INDIRECT($3:$3),Table4[[#This Row],[No. Invoice :]]+$2:$2))=INDIRECT("pajak[@["&amp;Table4[#Headers]&amp;"]]"),1)</f>
        <v>#REF!</v>
      </c>
      <c r="X55" s="300" t="e">
        <f ca="1">IF((INDEX(INDIRECT($3:$3),Table4[[#This Row],[No. Invoice :]]+$2:$2))=INDIRECT("pajak[@["&amp;Table4[#Headers]&amp;"]]"),1)</f>
        <v>#REF!</v>
      </c>
    </row>
    <row r="56" spans="1:24" x14ac:dyDescent="0.25">
      <c r="A56"/>
      <c r="D56" s="291" t="str">
        <f t="shared" ca="1" si="2"/>
        <v/>
      </c>
      <c r="E56" s="291" t="str">
        <f ca="1">IF(pajak[[#This Row],[//]]="","",INDEX(Table1[No. Invoice :],pajak[//]-offset))</f>
        <v/>
      </c>
      <c r="F56" s="289" t="str">
        <f ca="1">IF(pajak[[#This Row],[//]]="","",INDEX(Table1[Tgl Invoice :],pajak[//]-offset))</f>
        <v/>
      </c>
      <c r="G56" s="291" t="str">
        <f ca="1">IF(pajak[[#This Row],[//]]="","",INDEX(Table1[Kode Sales :],pajak[//]-offset))</f>
        <v/>
      </c>
      <c r="H56" s="291" t="str">
        <f ca="1">IF(pajak[[#This Row],[//]]="","",INDEX(Table1[Toko],pajak[//]-offset))</f>
        <v/>
      </c>
      <c r="I56" s="290" t="str">
        <f ca="1">IF(pajak[[#This Row],[//]]="","",SUMIF(Table1[h_id],pajak[[#This Row],[//]],Table1[h_hargasebelumdiskon]))</f>
        <v/>
      </c>
      <c r="J56" s="290" t="str">
        <f ca="1">IF(pajak[[#This Row],[//]]="","",SUMIF(Table1[h_id],pajak[[#This Row],[//]],Table1[h_diskon]))</f>
        <v/>
      </c>
      <c r="K56" s="290" t="str">
        <f ca="1">IF(pajak[[#This Row],[//]]="","",SUMIF(Table1[h_id],pajak[[#This Row],[//]],Table1[h_hargasetelahdiskon]))</f>
        <v/>
      </c>
      <c r="L56" s="290" t="str">
        <f ca="1">IF(pajak[//]="","",pajak[[#This Row],[Sub Total]]/1.11*11%)</f>
        <v/>
      </c>
      <c r="M56" s="290" t="str">
        <f ca="1">pajak[[#This Row],[Sub Total]]</f>
        <v/>
      </c>
      <c r="N56" s="291" t="str">
        <f ca="1">IF(pajak[[#This Row],[//]]="","",INDEX(Table1[pembuat nota :],pajak[//]-offset))</f>
        <v/>
      </c>
      <c r="O56" s="291" t="str">
        <f ca="1">IF(pajak[[#This Row],[//]]="","",IF(INDEX(Table1[edited :],pajak[//]-offset)="","",INDEX(Table1[edited :],pajak[//]-offset)))</f>
        <v/>
      </c>
      <c r="P56" s="290"/>
      <c r="R56" s="291" t="str">
        <f>Table4[[#Headers],[AM]]</f>
        <v>AM</v>
      </c>
      <c r="S56" s="291">
        <f t="shared" si="3"/>
        <v>24020052</v>
      </c>
      <c r="T56" s="300" t="b">
        <f ca="1">IF(Table4[[#This Row],[AM]]&amp;" "&amp;Table4[[#This Row],[---]]=INDIRECT("pajak[@["&amp;Table4[#Headers]&amp;"]]"),MATCH(Table4[[#This Row],[---]],INDIRECT($3:$3),0))</f>
        <v>0</v>
      </c>
      <c r="U56" s="300" t="e">
        <f ca="1">IF((INDEX(INDIRECT($3:$3),Table4[[#This Row],[No. Invoice :]]+$2:$2))=INDIRECT("pajak[@["&amp;Table4[#Headers]&amp;"]]"),1)</f>
        <v>#REF!</v>
      </c>
      <c r="V56" s="300" t="e">
        <f ca="1">IF((INDEX(INDIRECT($3:$3),Table4[[#This Row],[No. Invoice :]]+$2:$2))=INDIRECT("pajak[@["&amp;Table4[#Headers]&amp;"]]"),1)</f>
        <v>#REF!</v>
      </c>
      <c r="W56" s="300" t="e">
        <f ca="1">IF((INDEX(INDIRECT($3:$3),Table4[[#This Row],[No. Invoice :]]+$2:$2))=INDIRECT("pajak[@["&amp;Table4[#Headers]&amp;"]]"),1)</f>
        <v>#REF!</v>
      </c>
      <c r="X56" s="300" t="e">
        <f ca="1">IF((INDEX(INDIRECT($3:$3),Table4[[#This Row],[No. Invoice :]]+$2:$2))=INDIRECT("pajak[@["&amp;Table4[#Headers]&amp;"]]"),1)</f>
        <v>#REF!</v>
      </c>
    </row>
    <row r="57" spans="1:24" x14ac:dyDescent="0.25">
      <c r="A57"/>
      <c r="D57" s="291" t="str">
        <f t="shared" ca="1" si="2"/>
        <v/>
      </c>
      <c r="E57" s="291" t="str">
        <f ca="1">IF(pajak[[#This Row],[//]]="","",INDEX(Table1[No. Invoice :],pajak[//]-offset))</f>
        <v/>
      </c>
      <c r="F57" s="289" t="str">
        <f ca="1">IF(pajak[[#This Row],[//]]="","",INDEX(Table1[Tgl Invoice :],pajak[//]-offset))</f>
        <v/>
      </c>
      <c r="G57" s="291" t="str">
        <f ca="1">IF(pajak[[#This Row],[//]]="","",INDEX(Table1[Kode Sales :],pajak[//]-offset))</f>
        <v/>
      </c>
      <c r="H57" s="291" t="str">
        <f ca="1">IF(pajak[[#This Row],[//]]="","",INDEX(Table1[Toko],pajak[//]-offset))</f>
        <v/>
      </c>
      <c r="I57" s="290" t="str">
        <f ca="1">IF(pajak[[#This Row],[//]]="","",SUMIF(Table1[h_id],pajak[[#This Row],[//]],Table1[h_hargasebelumdiskon]))</f>
        <v/>
      </c>
      <c r="J57" s="290" t="str">
        <f ca="1">IF(pajak[[#This Row],[//]]="","",SUMIF(Table1[h_id],pajak[[#This Row],[//]],Table1[h_diskon]))</f>
        <v/>
      </c>
      <c r="K57" s="290" t="str">
        <f ca="1">IF(pajak[[#This Row],[//]]="","",SUMIF(Table1[h_id],pajak[[#This Row],[//]],Table1[h_hargasetelahdiskon]))</f>
        <v/>
      </c>
      <c r="L57" s="290" t="str">
        <f ca="1">IF(pajak[//]="","",pajak[[#This Row],[Sub Total]]/1.11*11%)</f>
        <v/>
      </c>
      <c r="M57" s="290" t="str">
        <f ca="1">pajak[[#This Row],[Sub Total]]</f>
        <v/>
      </c>
      <c r="N57" s="291" t="str">
        <f ca="1">IF(pajak[[#This Row],[//]]="","",INDEX(Table1[pembuat nota :],pajak[//]-offset))</f>
        <v/>
      </c>
      <c r="O57" s="291" t="str">
        <f ca="1">IF(pajak[[#This Row],[//]]="","",IF(INDEX(Table1[edited :],pajak[//]-offset)="","",INDEX(Table1[edited :],pajak[//]-offset)))</f>
        <v/>
      </c>
      <c r="P57" s="290"/>
      <c r="R57" s="291" t="str">
        <f>Table4[[#Headers],[AM]]</f>
        <v>AM</v>
      </c>
      <c r="S57" s="291">
        <f t="shared" si="3"/>
        <v>24020053</v>
      </c>
      <c r="T57" s="300" t="b">
        <f ca="1">IF(Table4[[#This Row],[AM]]&amp;" "&amp;Table4[[#This Row],[---]]=INDIRECT("pajak[@["&amp;Table4[#Headers]&amp;"]]"),MATCH(Table4[[#This Row],[---]],INDIRECT($3:$3),0))</f>
        <v>0</v>
      </c>
      <c r="U57" s="300" t="e">
        <f ca="1">IF((INDEX(INDIRECT($3:$3),Table4[[#This Row],[No. Invoice :]]+$2:$2))=INDIRECT("pajak[@["&amp;Table4[#Headers]&amp;"]]"),1)</f>
        <v>#REF!</v>
      </c>
      <c r="V57" s="300" t="e">
        <f ca="1">IF((INDEX(INDIRECT($3:$3),Table4[[#This Row],[No. Invoice :]]+$2:$2))=INDIRECT("pajak[@["&amp;Table4[#Headers]&amp;"]]"),1)</f>
        <v>#REF!</v>
      </c>
      <c r="W57" s="300" t="e">
        <f ca="1">IF((INDEX(INDIRECT($3:$3),Table4[[#This Row],[No. Invoice :]]+$2:$2))=INDIRECT("pajak[@["&amp;Table4[#Headers]&amp;"]]"),1)</f>
        <v>#REF!</v>
      </c>
      <c r="X57" s="300" t="e">
        <f ca="1">IF((INDEX(INDIRECT($3:$3),Table4[[#This Row],[No. Invoice :]]+$2:$2))=INDIRECT("pajak[@["&amp;Table4[#Headers]&amp;"]]"),1)</f>
        <v>#REF!</v>
      </c>
    </row>
    <row r="58" spans="1:24" x14ac:dyDescent="0.25">
      <c r="A58"/>
      <c r="D58" s="291" t="str">
        <f t="shared" ref="D58:D63" ca="1" si="4">IF(ROW()-(COUNTBLANK($D$1:$D$3)+1)&lt;=jNota,A58,"")</f>
        <v/>
      </c>
      <c r="E58" s="291" t="str">
        <f ca="1">IF(pajak[[#This Row],[//]]="","",INDEX(Table1[No. Invoice :],pajak[//]-offset))</f>
        <v/>
      </c>
      <c r="F58" s="289" t="str">
        <f ca="1">IF(pajak[[#This Row],[//]]="","",INDEX(Table1[Tgl Invoice :],pajak[//]-offset))</f>
        <v/>
      </c>
      <c r="G58" s="291" t="str">
        <f ca="1">IF(pajak[[#This Row],[//]]="","",INDEX(Table1[Kode Sales :],pajak[//]-offset))</f>
        <v/>
      </c>
      <c r="H58" s="291" t="str">
        <f ca="1">IF(pajak[[#This Row],[//]]="","",INDEX(Table1[Toko],pajak[//]-offset))</f>
        <v/>
      </c>
      <c r="I58" s="290" t="str">
        <f ca="1">IF(pajak[[#This Row],[//]]="","",SUMIF(Table1[h_id],pajak[[#This Row],[//]],Table1[h_hargasebelumdiskon]))</f>
        <v/>
      </c>
      <c r="J58" s="290" t="str">
        <f ca="1">IF(pajak[[#This Row],[//]]="","",SUMIF(Table1[h_id],pajak[[#This Row],[//]],Table1[h_diskon]))</f>
        <v/>
      </c>
      <c r="K58" s="290" t="str">
        <f ca="1">IF(pajak[[#This Row],[//]]="","",SUMIF(Table1[h_id],pajak[[#This Row],[//]],Table1[h_hargasetelahdiskon]))</f>
        <v/>
      </c>
      <c r="L58" s="290" t="str">
        <f ca="1">IF(pajak[//]="","",pajak[[#This Row],[Sub Total]]/1.11*11%)</f>
        <v/>
      </c>
      <c r="M58" s="290" t="str">
        <f ca="1">pajak[[#This Row],[Sub Total]]</f>
        <v/>
      </c>
      <c r="N58" s="291" t="str">
        <f ca="1">IF(pajak[[#This Row],[//]]="","",INDEX(Table1[pembuat nota :],pajak[//]-offset))</f>
        <v/>
      </c>
      <c r="O58" s="291" t="str">
        <f ca="1">IF(pajak[[#This Row],[//]]="","",IF(INDEX(Table1[edited :],pajak[//]-offset)="","",INDEX(Table1[edited :],pajak[//]-offset)))</f>
        <v/>
      </c>
      <c r="P58" s="290"/>
      <c r="R58" s="291" t="str">
        <f>Table4[[#Headers],[AM]]</f>
        <v>AM</v>
      </c>
      <c r="S58" s="291">
        <f t="shared" ref="S58:S63" si="5">S$3+ROW()-5</f>
        <v>24020054</v>
      </c>
      <c r="T58" s="300" t="b">
        <f ca="1">IF(Table4[[#This Row],[AM]]&amp;" "&amp;Table4[[#This Row],[---]]=INDIRECT("pajak[@["&amp;Table4[#Headers]&amp;"]]"),MATCH(Table4[[#This Row],[---]],INDIRECT($3:$3),0))</f>
        <v>0</v>
      </c>
      <c r="U58" s="300" t="e">
        <f ca="1">IF((INDEX(INDIRECT($3:$3),Table4[[#This Row],[No. Invoice :]]+$2:$2))=INDIRECT("pajak[@["&amp;Table4[#Headers]&amp;"]]"),1)</f>
        <v>#REF!</v>
      </c>
      <c r="V58" s="300" t="e">
        <f ca="1">IF((INDEX(INDIRECT($3:$3),Table4[[#This Row],[No. Invoice :]]+$2:$2))=INDIRECT("pajak[@["&amp;Table4[#Headers]&amp;"]]"),1)</f>
        <v>#REF!</v>
      </c>
      <c r="W58" s="300" t="e">
        <f ca="1">IF((INDEX(INDIRECT($3:$3),Table4[[#This Row],[No. Invoice :]]+$2:$2))=INDIRECT("pajak[@["&amp;Table4[#Headers]&amp;"]]"),1)</f>
        <v>#REF!</v>
      </c>
      <c r="X58" s="300" t="e">
        <f ca="1">IF((INDEX(INDIRECT($3:$3),Table4[[#This Row],[No. Invoice :]]+$2:$2))=INDIRECT("pajak[@["&amp;Table4[#Headers]&amp;"]]"),1)</f>
        <v>#REF!</v>
      </c>
    </row>
    <row r="59" spans="1:24" x14ac:dyDescent="0.25">
      <c r="A59"/>
      <c r="D59" s="291" t="str">
        <f t="shared" ca="1" si="4"/>
        <v/>
      </c>
      <c r="E59" s="291" t="str">
        <f ca="1">IF(pajak[[#This Row],[//]]="","",INDEX(Table1[No. Invoice :],pajak[//]-offset))</f>
        <v/>
      </c>
      <c r="F59" s="289" t="str">
        <f ca="1">IF(pajak[[#This Row],[//]]="","",INDEX(Table1[Tgl Invoice :],pajak[//]-offset))</f>
        <v/>
      </c>
      <c r="G59" s="291" t="str">
        <f ca="1">IF(pajak[[#This Row],[//]]="","",INDEX(Table1[Kode Sales :],pajak[//]-offset))</f>
        <v/>
      </c>
      <c r="H59" s="291" t="str">
        <f ca="1">IF(pajak[[#This Row],[//]]="","",INDEX(Table1[Toko],pajak[//]-offset))</f>
        <v/>
      </c>
      <c r="I59" s="290" t="str">
        <f ca="1">IF(pajak[[#This Row],[//]]="","",SUMIF(Table1[h_id],pajak[[#This Row],[//]],Table1[h_hargasebelumdiskon]))</f>
        <v/>
      </c>
      <c r="J59" s="290" t="str">
        <f ca="1">IF(pajak[[#This Row],[//]]="","",SUMIF(Table1[h_id],pajak[[#This Row],[//]],Table1[h_diskon]))</f>
        <v/>
      </c>
      <c r="K59" s="290" t="str">
        <f ca="1">IF(pajak[[#This Row],[//]]="","",SUMIF(Table1[h_id],pajak[[#This Row],[//]],Table1[h_hargasetelahdiskon]))</f>
        <v/>
      </c>
      <c r="L59" s="290" t="str">
        <f ca="1">IF(pajak[//]="","",pajak[[#This Row],[Sub Total]]/1.11*11%)</f>
        <v/>
      </c>
      <c r="M59" s="290" t="str">
        <f ca="1">pajak[[#This Row],[Sub Total]]</f>
        <v/>
      </c>
      <c r="N59" s="291" t="str">
        <f ca="1">IF(pajak[[#This Row],[//]]="","",INDEX(Table1[pembuat nota :],pajak[//]-offset))</f>
        <v/>
      </c>
      <c r="O59" s="291" t="str">
        <f ca="1">IF(pajak[[#This Row],[//]]="","",IF(INDEX(Table1[edited :],pajak[//]-offset)="","",INDEX(Table1[edited :],pajak[//]-offset)))</f>
        <v/>
      </c>
      <c r="P59" s="290"/>
      <c r="R59" s="291" t="str">
        <f>Table4[[#Headers],[AM]]</f>
        <v>AM</v>
      </c>
      <c r="S59" s="291">
        <f t="shared" si="5"/>
        <v>24020055</v>
      </c>
      <c r="T59" s="300" t="b">
        <f ca="1">IF(Table4[[#This Row],[AM]]&amp;" "&amp;Table4[[#This Row],[---]]=INDIRECT("pajak[@["&amp;Table4[#Headers]&amp;"]]"),MATCH(Table4[[#This Row],[---]],INDIRECT($3:$3),0))</f>
        <v>0</v>
      </c>
      <c r="U59" s="300" t="e">
        <f ca="1">IF((INDEX(INDIRECT($3:$3),Table4[[#This Row],[No. Invoice :]]+$2:$2))=INDIRECT("pajak[@["&amp;Table4[#Headers]&amp;"]]"),1)</f>
        <v>#REF!</v>
      </c>
      <c r="V59" s="300" t="e">
        <f ca="1">IF((INDEX(INDIRECT($3:$3),Table4[[#This Row],[No. Invoice :]]+$2:$2))=INDIRECT("pajak[@["&amp;Table4[#Headers]&amp;"]]"),1)</f>
        <v>#REF!</v>
      </c>
      <c r="W59" s="300" t="e">
        <f ca="1">IF((INDEX(INDIRECT($3:$3),Table4[[#This Row],[No. Invoice :]]+$2:$2))=INDIRECT("pajak[@["&amp;Table4[#Headers]&amp;"]]"),1)</f>
        <v>#REF!</v>
      </c>
      <c r="X59" s="300" t="e">
        <f ca="1">IF((INDEX(INDIRECT($3:$3),Table4[[#This Row],[No. Invoice :]]+$2:$2))=INDIRECT("pajak[@["&amp;Table4[#Headers]&amp;"]]"),1)</f>
        <v>#REF!</v>
      </c>
    </row>
    <row r="60" spans="1:24" x14ac:dyDescent="0.25">
      <c r="A60"/>
      <c r="D60" s="291" t="str">
        <f t="shared" ca="1" si="4"/>
        <v/>
      </c>
      <c r="E60" s="291" t="str">
        <f ca="1">IF(pajak[[#This Row],[//]]="","",INDEX(Table1[No. Invoice :],pajak[//]-offset))</f>
        <v/>
      </c>
      <c r="F60" s="289" t="str">
        <f ca="1">IF(pajak[[#This Row],[//]]="","",INDEX(Table1[Tgl Invoice :],pajak[//]-offset))</f>
        <v/>
      </c>
      <c r="G60" s="291" t="str">
        <f ca="1">IF(pajak[[#This Row],[//]]="","",INDEX(Table1[Kode Sales :],pajak[//]-offset))</f>
        <v/>
      </c>
      <c r="H60" s="291" t="str">
        <f ca="1">IF(pajak[[#This Row],[//]]="","",INDEX(Table1[Toko],pajak[//]-offset))</f>
        <v/>
      </c>
      <c r="I60" s="290" t="str">
        <f ca="1">IF(pajak[[#This Row],[//]]="","",SUMIF(Table1[h_id],pajak[[#This Row],[//]],Table1[h_hargasebelumdiskon]))</f>
        <v/>
      </c>
      <c r="J60" s="290" t="str">
        <f ca="1">IF(pajak[[#This Row],[//]]="","",SUMIF(Table1[h_id],pajak[[#This Row],[//]],Table1[h_diskon]))</f>
        <v/>
      </c>
      <c r="K60" s="290" t="str">
        <f ca="1">IF(pajak[[#This Row],[//]]="","",SUMIF(Table1[h_id],pajak[[#This Row],[//]],Table1[h_hargasetelahdiskon]))</f>
        <v/>
      </c>
      <c r="L60" s="290" t="str">
        <f ca="1">IF(pajak[//]="","",pajak[[#This Row],[Sub Total]]/1.11*11%)</f>
        <v/>
      </c>
      <c r="M60" s="290" t="str">
        <f ca="1">pajak[[#This Row],[Sub Total]]</f>
        <v/>
      </c>
      <c r="N60" s="291" t="str">
        <f ca="1">IF(pajak[[#This Row],[//]]="","",INDEX(Table1[pembuat nota :],pajak[//]-offset))</f>
        <v/>
      </c>
      <c r="O60" s="291" t="str">
        <f ca="1">IF(pajak[[#This Row],[//]]="","",IF(INDEX(Table1[edited :],pajak[//]-offset)="","",INDEX(Table1[edited :],pajak[//]-offset)))</f>
        <v/>
      </c>
      <c r="P60" s="290"/>
      <c r="R60" s="291" t="str">
        <f>Table4[[#Headers],[AM]]</f>
        <v>AM</v>
      </c>
      <c r="S60" s="291">
        <f t="shared" si="5"/>
        <v>24020056</v>
      </c>
      <c r="T60" s="300" t="b">
        <f ca="1">IF(Table4[[#This Row],[AM]]&amp;" "&amp;Table4[[#This Row],[---]]=INDIRECT("pajak[@["&amp;Table4[#Headers]&amp;"]]"),MATCH(Table4[[#This Row],[---]],INDIRECT($3:$3),0))</f>
        <v>0</v>
      </c>
      <c r="U60" s="300" t="e">
        <f ca="1">IF((INDEX(INDIRECT($3:$3),Table4[[#This Row],[No. Invoice :]]+$2:$2))=INDIRECT("pajak[@["&amp;Table4[#Headers]&amp;"]]"),1)</f>
        <v>#REF!</v>
      </c>
      <c r="V60" s="300" t="e">
        <f ca="1">IF((INDEX(INDIRECT($3:$3),Table4[[#This Row],[No. Invoice :]]+$2:$2))=INDIRECT("pajak[@["&amp;Table4[#Headers]&amp;"]]"),1)</f>
        <v>#REF!</v>
      </c>
      <c r="W60" s="300" t="e">
        <f ca="1">IF((INDEX(INDIRECT($3:$3),Table4[[#This Row],[No. Invoice :]]+$2:$2))=INDIRECT("pajak[@["&amp;Table4[#Headers]&amp;"]]"),1)</f>
        <v>#REF!</v>
      </c>
      <c r="X60" s="300" t="e">
        <f ca="1">IF((INDEX(INDIRECT($3:$3),Table4[[#This Row],[No. Invoice :]]+$2:$2))=INDIRECT("pajak[@["&amp;Table4[#Headers]&amp;"]]"),1)</f>
        <v>#REF!</v>
      </c>
    </row>
    <row r="61" spans="1:24" x14ac:dyDescent="0.25">
      <c r="A61"/>
      <c r="D61" s="291" t="str">
        <f t="shared" ca="1" si="4"/>
        <v/>
      </c>
      <c r="E61" s="291" t="str">
        <f ca="1">IF(pajak[[#This Row],[//]]="","",INDEX(Table1[No. Invoice :],pajak[//]-offset))</f>
        <v/>
      </c>
      <c r="F61" s="289" t="str">
        <f ca="1">IF(pajak[[#This Row],[//]]="","",INDEX(Table1[Tgl Invoice :],pajak[//]-offset))</f>
        <v/>
      </c>
      <c r="G61" s="291" t="str">
        <f ca="1">IF(pajak[[#This Row],[//]]="","",INDEX(Table1[Kode Sales :],pajak[//]-offset))</f>
        <v/>
      </c>
      <c r="H61" s="291" t="str">
        <f ca="1">IF(pajak[[#This Row],[//]]="","",INDEX(Table1[Toko],pajak[//]-offset))</f>
        <v/>
      </c>
      <c r="I61" s="290" t="str">
        <f ca="1">IF(pajak[[#This Row],[//]]="","",SUMIF(Table1[h_id],pajak[[#This Row],[//]],Table1[h_hargasebelumdiskon]))</f>
        <v/>
      </c>
      <c r="J61" s="290" t="str">
        <f ca="1">IF(pajak[[#This Row],[//]]="","",SUMIF(Table1[h_id],pajak[[#This Row],[//]],Table1[h_diskon]))</f>
        <v/>
      </c>
      <c r="K61" s="290" t="str">
        <f ca="1">IF(pajak[[#This Row],[//]]="","",SUMIF(Table1[h_id],pajak[[#This Row],[//]],Table1[h_hargasetelahdiskon]))</f>
        <v/>
      </c>
      <c r="L61" s="290" t="str">
        <f ca="1">IF(pajak[//]="","",pajak[[#This Row],[Sub Total]]/1.11*11%)</f>
        <v/>
      </c>
      <c r="M61" s="290" t="str">
        <f ca="1">pajak[[#This Row],[Sub Total]]</f>
        <v/>
      </c>
      <c r="N61" s="291" t="str">
        <f ca="1">IF(pajak[[#This Row],[//]]="","",INDEX(Table1[pembuat nota :],pajak[//]-offset))</f>
        <v/>
      </c>
      <c r="O61" s="291" t="str">
        <f ca="1">IF(pajak[[#This Row],[//]]="","",IF(INDEX(Table1[edited :],pajak[//]-offset)="","",INDEX(Table1[edited :],pajak[//]-offset)))</f>
        <v/>
      </c>
      <c r="P61" s="290"/>
      <c r="R61" s="291" t="str">
        <f>Table4[[#Headers],[AM]]</f>
        <v>AM</v>
      </c>
      <c r="S61" s="291">
        <f t="shared" si="5"/>
        <v>24020057</v>
      </c>
      <c r="T61" s="300" t="b">
        <f ca="1">IF(Table4[[#This Row],[AM]]&amp;" "&amp;Table4[[#This Row],[---]]=INDIRECT("pajak[@["&amp;Table4[#Headers]&amp;"]]"),MATCH(Table4[[#This Row],[---]],INDIRECT($3:$3),0))</f>
        <v>0</v>
      </c>
      <c r="U61" s="300" t="e">
        <f ca="1">IF((INDEX(INDIRECT($3:$3),Table4[[#This Row],[No. Invoice :]]+$2:$2))=INDIRECT("pajak[@["&amp;Table4[#Headers]&amp;"]]"),1)</f>
        <v>#REF!</v>
      </c>
      <c r="V61" s="300" t="e">
        <f ca="1">IF((INDEX(INDIRECT($3:$3),Table4[[#This Row],[No. Invoice :]]+$2:$2))=INDIRECT("pajak[@["&amp;Table4[#Headers]&amp;"]]"),1)</f>
        <v>#REF!</v>
      </c>
      <c r="W61" s="300" t="e">
        <f ca="1">IF((INDEX(INDIRECT($3:$3),Table4[[#This Row],[No. Invoice :]]+$2:$2))=INDIRECT("pajak[@["&amp;Table4[#Headers]&amp;"]]"),1)</f>
        <v>#REF!</v>
      </c>
      <c r="X61" s="300" t="e">
        <f ca="1">IF((INDEX(INDIRECT($3:$3),Table4[[#This Row],[No. Invoice :]]+$2:$2))=INDIRECT("pajak[@["&amp;Table4[#Headers]&amp;"]]"),1)</f>
        <v>#REF!</v>
      </c>
    </row>
    <row r="62" spans="1:24" x14ac:dyDescent="0.25">
      <c r="A62"/>
      <c r="D62" s="291" t="str">
        <f t="shared" ca="1" si="4"/>
        <v/>
      </c>
      <c r="E62" s="291" t="str">
        <f ca="1">IF(pajak[[#This Row],[//]]="","",INDEX(Table1[No. Invoice :],pajak[//]-offset))</f>
        <v/>
      </c>
      <c r="F62" s="289" t="str">
        <f ca="1">IF(pajak[[#This Row],[//]]="","",INDEX(Table1[Tgl Invoice :],pajak[//]-offset))</f>
        <v/>
      </c>
      <c r="G62" s="291" t="str">
        <f ca="1">IF(pajak[[#This Row],[//]]="","",INDEX(Table1[Kode Sales :],pajak[//]-offset))</f>
        <v/>
      </c>
      <c r="H62" s="291" t="str">
        <f ca="1">IF(pajak[[#This Row],[//]]="","",INDEX(Table1[Toko],pajak[//]-offset))</f>
        <v/>
      </c>
      <c r="I62" s="290" t="str">
        <f ca="1">IF(pajak[[#This Row],[//]]="","",SUMIF(Table1[h_id],pajak[[#This Row],[//]],Table1[h_hargasebelumdiskon]))</f>
        <v/>
      </c>
      <c r="J62" s="290" t="str">
        <f ca="1">IF(pajak[[#This Row],[//]]="","",SUMIF(Table1[h_id],pajak[[#This Row],[//]],Table1[h_diskon]))</f>
        <v/>
      </c>
      <c r="K62" s="290" t="str">
        <f ca="1">IF(pajak[[#This Row],[//]]="","",SUMIF(Table1[h_id],pajak[[#This Row],[//]],Table1[h_hargasetelahdiskon]))</f>
        <v/>
      </c>
      <c r="L62" s="290" t="str">
        <f ca="1">IF(pajak[//]="","",pajak[[#This Row],[Sub Total]]/1.11*11%)</f>
        <v/>
      </c>
      <c r="M62" s="290" t="str">
        <f ca="1">pajak[[#This Row],[Sub Total]]</f>
        <v/>
      </c>
      <c r="N62" s="291" t="str">
        <f ca="1">IF(pajak[[#This Row],[//]]="","",INDEX(Table1[pembuat nota :],pajak[//]-offset))</f>
        <v/>
      </c>
      <c r="O62" s="291" t="str">
        <f ca="1">IF(pajak[[#This Row],[//]]="","",IF(INDEX(Table1[edited :],pajak[//]-offset)="","",INDEX(Table1[edited :],pajak[//]-offset)))</f>
        <v/>
      </c>
      <c r="P62" s="290"/>
      <c r="R62" s="291" t="str">
        <f>Table4[[#Headers],[AM]]</f>
        <v>AM</v>
      </c>
      <c r="S62" s="291">
        <f t="shared" si="5"/>
        <v>24020058</v>
      </c>
      <c r="T62" s="300" t="b">
        <f ca="1">IF(Table4[[#This Row],[AM]]&amp;" "&amp;Table4[[#This Row],[---]]=INDIRECT("pajak[@["&amp;Table4[#Headers]&amp;"]]"),MATCH(Table4[[#This Row],[---]],INDIRECT($3:$3),0))</f>
        <v>0</v>
      </c>
      <c r="U62" s="300" t="e">
        <f ca="1">IF((INDEX(INDIRECT($3:$3),Table4[[#This Row],[No. Invoice :]]+$2:$2))=INDIRECT("pajak[@["&amp;Table4[#Headers]&amp;"]]"),1)</f>
        <v>#REF!</v>
      </c>
      <c r="V62" s="300" t="e">
        <f ca="1">IF((INDEX(INDIRECT($3:$3),Table4[[#This Row],[No. Invoice :]]+$2:$2))=INDIRECT("pajak[@["&amp;Table4[#Headers]&amp;"]]"),1)</f>
        <v>#REF!</v>
      </c>
      <c r="W62" s="300" t="e">
        <f ca="1">IF((INDEX(INDIRECT($3:$3),Table4[[#This Row],[No. Invoice :]]+$2:$2))=INDIRECT("pajak[@["&amp;Table4[#Headers]&amp;"]]"),1)</f>
        <v>#REF!</v>
      </c>
      <c r="X62" s="300" t="e">
        <f ca="1">IF((INDEX(INDIRECT($3:$3),Table4[[#This Row],[No. Invoice :]]+$2:$2))=INDIRECT("pajak[@["&amp;Table4[#Headers]&amp;"]]"),1)</f>
        <v>#REF!</v>
      </c>
    </row>
    <row r="63" spans="1:24" x14ac:dyDescent="0.25">
      <c r="D63" s="291" t="str">
        <f t="shared" ca="1" si="4"/>
        <v/>
      </c>
      <c r="E63" s="291" t="str">
        <f ca="1">IF(pajak[[#This Row],[//]]="","",INDEX(Table1[No. Invoice :],pajak[//]-offset))</f>
        <v/>
      </c>
      <c r="F63" s="289" t="str">
        <f ca="1">IF(pajak[[#This Row],[//]]="","",INDEX(Table1[Tgl Invoice :],pajak[//]-offset))</f>
        <v/>
      </c>
      <c r="G63" s="291" t="str">
        <f ca="1">IF(pajak[[#This Row],[//]]="","",INDEX(Table1[Kode Sales :],pajak[//]-offset))</f>
        <v/>
      </c>
      <c r="H63" s="291" t="str">
        <f ca="1">IF(pajak[[#This Row],[//]]="","",INDEX(Table1[Toko],pajak[//]-offset))</f>
        <v/>
      </c>
      <c r="I63" s="290" t="str">
        <f ca="1">IF(pajak[[#This Row],[//]]="","",SUMIF(Table1[h_id],pajak[[#This Row],[//]],Table1[h_hargasebelumdiskon]))</f>
        <v/>
      </c>
      <c r="J63" s="290" t="str">
        <f ca="1">IF(pajak[[#This Row],[//]]="","",SUMIF(Table1[h_id],pajak[[#This Row],[//]],Table1[h_diskon]))</f>
        <v/>
      </c>
      <c r="K63" s="290" t="str">
        <f ca="1">IF(pajak[[#This Row],[//]]="","",SUMIF(Table1[h_id],pajak[[#This Row],[//]],Table1[h_hargasetelahdiskon]))</f>
        <v/>
      </c>
      <c r="L63" s="290" t="str">
        <f ca="1">IF(pajak[//]="","",pajak[[#This Row],[Sub Total]]/1.11*11%)</f>
        <v/>
      </c>
      <c r="M63" s="290" t="str">
        <f ca="1">pajak[[#This Row],[Sub Total]]</f>
        <v/>
      </c>
      <c r="N63" s="291" t="str">
        <f ca="1">IF(pajak[[#This Row],[//]]="","",INDEX(Table1[pembuat nota :],pajak[//]-offset))</f>
        <v/>
      </c>
      <c r="O63" s="291" t="str">
        <f ca="1">IF(pajak[[#This Row],[//]]="","",IF(INDEX(Table1[edited :],pajak[//]-offset)="","",INDEX(Table1[edited :],pajak[//]-offset)))</f>
        <v/>
      </c>
      <c r="P63" s="290"/>
      <c r="R63" s="291" t="str">
        <f>Table4[[#Headers],[AM]]</f>
        <v>AM</v>
      </c>
      <c r="S63" s="291">
        <f t="shared" si="5"/>
        <v>24020059</v>
      </c>
      <c r="T63" s="300" t="b">
        <f ca="1">IF(Table4[[#This Row],[AM]]&amp;" "&amp;Table4[[#This Row],[---]]=INDIRECT("pajak[@["&amp;Table4[#Headers]&amp;"]]"),MATCH(Table4[[#This Row],[---]],INDIRECT($3:$3),0))</f>
        <v>0</v>
      </c>
      <c r="U63" s="300" t="e">
        <f ca="1">IF((INDEX(INDIRECT($3:$3),Table4[[#This Row],[No. Invoice :]]+$2:$2))=INDIRECT("pajak[@["&amp;Table4[#Headers]&amp;"]]"),1)</f>
        <v>#REF!</v>
      </c>
      <c r="V63" s="300" t="e">
        <f ca="1">IF((INDEX(INDIRECT($3:$3),Table4[[#This Row],[No. Invoice :]]+$2:$2))=INDIRECT("pajak[@["&amp;Table4[#Headers]&amp;"]]"),1)</f>
        <v>#REF!</v>
      </c>
      <c r="W63" s="300" t="e">
        <f ca="1">IF((INDEX(INDIRECT($3:$3),Table4[[#This Row],[No. Invoice :]]+$2:$2))=INDIRECT("pajak[@["&amp;Table4[#Headers]&amp;"]]"),1)</f>
        <v>#REF!</v>
      </c>
      <c r="X63" s="300" t="e">
        <f ca="1">IF((INDEX(INDIRECT($3:$3),Table4[[#This Row],[No. Invoice :]]+$2:$2))=INDIRECT("pajak[@["&amp;Table4[#Headers]&amp;"]]"),1)</f>
        <v>#REF!</v>
      </c>
    </row>
    <row r="64" spans="1:24" x14ac:dyDescent="0.25">
      <c r="D64" s="3" t="s">
        <v>48</v>
      </c>
      <c r="F64" s="3"/>
      <c r="I64" s="290">
        <f ca="1">SUBTOTAL(109,pajak[Total])</f>
        <v>315016540</v>
      </c>
      <c r="J64" s="290">
        <f ca="1">SUBTOTAL(109,pajak[Diskon])</f>
        <v>36290675</v>
      </c>
      <c r="K64" s="290">
        <f ca="1">SUBTOTAL(109,pajak[Sub Total])</f>
        <v>278725865</v>
      </c>
      <c r="L64" s="290">
        <f ca="1">SUBTOTAL(109,pajak[PPN 11%])</f>
        <v>27621482.117117114</v>
      </c>
      <c r="M64" s="290">
        <f ca="1">SUBTOTAL(109,pajak[Total Invoice])</f>
        <v>278725865</v>
      </c>
      <c r="N64" s="3"/>
      <c r="O64" s="3"/>
      <c r="P64" s="3"/>
    </row>
  </sheetData>
  <conditionalFormatting sqref="T1:X2 T4:X1048576">
    <cfRule type="containsText" dxfId="45" priority="1" operator="containsText" text="FALSE">
      <formula>NOT(ISERROR(SEARCH("FALSE",T1)))</formula>
    </cfRule>
  </conditionalFormatting>
  <conditionalFormatting sqref="G65:G1048576 G3:G63">
    <cfRule type="duplicateValues" dxfId="44" priority="17"/>
  </conditionalFormatting>
  <pageMargins left="0.7" right="0.7" top="0.75" bottom="0.75" header="0.3" footer="0.3"/>
  <pageSetup paperSize="14" orientation="portrait" horizontalDpi="4294967293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zoomScaleNormal="85" workbookViewId="0">
      <selection activeCell="H16" sqref="H16"/>
    </sheetView>
  </sheetViews>
  <sheetFormatPr defaultColWidth="9.140625" defaultRowHeight="15" outlineLevelRow="1" x14ac:dyDescent="0.25"/>
  <cols>
    <col min="1" max="1" width="2.42578125" customWidth="1"/>
    <col min="2" max="3" width="6.42578125" customWidth="1"/>
    <col min="4" max="4" width="3.7109375" customWidth="1"/>
    <col min="5" max="5" width="15.140625" customWidth="1"/>
    <col min="6" max="6" width="20.85546875" customWidth="1"/>
    <col min="7" max="7" width="13" customWidth="1"/>
    <col min="8" max="8" width="11.5703125" customWidth="1"/>
    <col min="9" max="9" width="6.42578125" customWidth="1"/>
    <col min="10" max="10" width="6.5703125" customWidth="1"/>
    <col min="11" max="11" width="14.85546875" customWidth="1"/>
    <col min="12" max="12" width="2.42578125" customWidth="1"/>
  </cols>
  <sheetData>
    <row r="1" spans="1:12" ht="15" customHeight="1" outlineLevel="1" x14ac:dyDescent="0.25">
      <c r="A1">
        <f ca="1">IF(K1="",MAX(Table1[//]),INDEX(Table1[//],MATCH(K1,Table1[//],0)))</f>
        <v>145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GANESHA</v>
      </c>
      <c r="F1" t="s">
        <v>43</v>
      </c>
      <c r="G1">
        <f ca="1">INDEX(Table1[h_jumlahbarang],newestIdRow-offset)</f>
        <v>1</v>
      </c>
      <c r="I1" s="493" t="s">
        <v>70</v>
      </c>
      <c r="J1" s="493"/>
    </row>
    <row r="2" spans="1:12" s="3" customFormat="1" ht="7.5" customHeight="1" x14ac:dyDescent="0.25">
      <c r="A2" s="2"/>
      <c r="D2" s="4"/>
      <c r="I2" s="5"/>
      <c r="J2" s="5" t="s">
        <v>96</v>
      </c>
      <c r="K2" t="s">
        <v>99</v>
      </c>
    </row>
    <row r="3" spans="1:12" s="9" customFormat="1" ht="16.5" customHeight="1" x14ac:dyDescent="0.3">
      <c r="A3" s="6"/>
      <c r="B3" s="1" t="s">
        <v>1</v>
      </c>
      <c r="C3" s="7"/>
      <c r="D3" s="86" t="s">
        <v>15</v>
      </c>
      <c r="E3" s="8">
        <f ca="1">INDEX(Table1[h_No. Invoice :],newestIdRow-offset)</f>
        <v>24020029</v>
      </c>
      <c r="G3" s="10" t="s">
        <v>16</v>
      </c>
      <c r="H3" s="500" t="str">
        <f ca="1">INDEX(Table2[b],MATCH(kToko,Table2[a],0))</f>
        <v>CV GANESHA</v>
      </c>
      <c r="I3" s="500"/>
      <c r="J3" s="500"/>
      <c r="K3" s="501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04" t="s">
        <v>18</v>
      </c>
      <c r="G4" s="16"/>
      <c r="H4" s="502"/>
      <c r="I4" s="502"/>
      <c r="J4" s="502"/>
      <c r="K4" s="503"/>
      <c r="L4" s="11"/>
    </row>
    <row r="5" spans="1:12" s="9" customFormat="1" ht="16.5" customHeight="1" x14ac:dyDescent="0.3">
      <c r="A5" s="6"/>
      <c r="B5" s="1" t="s">
        <v>2</v>
      </c>
      <c r="C5" s="7"/>
      <c r="D5" s="505">
        <f ca="1">INDEX(Table1[Tgl Invoice :],newestIdRow-offset)</f>
        <v>45346</v>
      </c>
      <c r="E5" s="506"/>
      <c r="F5" s="504"/>
      <c r="G5" s="17"/>
      <c r="H5" s="507" t="str">
        <f ca="1">IF(INDEX(Table2[c],MATCH(kToko,Table2[a],0))="","",INDEX(Table2[c],MATCH(kToko,Table2[a],0)))</f>
        <v/>
      </c>
      <c r="I5" s="507"/>
      <c r="J5" s="507"/>
      <c r="K5" s="508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04"/>
      <c r="G6" s="17"/>
      <c r="H6" s="509" t="str">
        <f ca="1">INDEX(Table2[d],MATCH(kToko,Table2[a],0))</f>
        <v>WONOSOBO</v>
      </c>
      <c r="I6" s="509"/>
      <c r="J6" s="509"/>
      <c r="K6" s="510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KO 2785</v>
      </c>
      <c r="E7" s="8"/>
      <c r="F7" s="20"/>
      <c r="G7" s="21"/>
      <c r="H7" s="511"/>
      <c r="I7" s="511"/>
      <c r="J7" s="511"/>
      <c r="K7" s="512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5</v>
      </c>
      <c r="C11" s="45" t="str">
        <f ca="1">IF(A11&gt;jumlahBarang,"",UPPER((INDEX(Table1[Unit],newestIdRow-offset+A11-1))))</f>
        <v>BOX</v>
      </c>
      <c r="D11" s="46" t="str">
        <f ca="1">IF(A11&gt;jumlahBarang,"",IF(INDEX(Table1[C],newestIdRow-offset+A11-1)="","",INDEX(Table1[C],newestIdRow-offset+A11-1)))</f>
        <v/>
      </c>
      <c r="E11" s="47" t="str">
        <f ca="1">IF(A11&gt;jumlahBarang,"",INDEX(Table1[Item Description],newestIdRow-offset+A11-1))</f>
        <v>PAPER JUMBO CLIP KENKO NO. 5</v>
      </c>
      <c r="F11" s="48"/>
      <c r="G11" s="49"/>
      <c r="H11" s="50">
        <f ca="1">IF(A11&gt;jumlahBarang,"",INDEX(Table1[Unit Price],newestIdRow-offset+A11-1))</f>
        <v>43000</v>
      </c>
      <c r="I11" s="51">
        <f ca="1">IF(A11&gt;jumlahBarang,"",IF(INDEX(Table1[Disc 1],newestIdRow-offset+A11-1)="","",INDEX(Table1[Disc 1],newestIdRow-offset+A11-1)))</f>
        <v>0.1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193500</v>
      </c>
      <c r="L11" s="35"/>
    </row>
    <row r="12" spans="1:12" s="9" customFormat="1" ht="14.1" customHeight="1" x14ac:dyDescent="0.25">
      <c r="A12" s="44">
        <v>2</v>
      </c>
      <c r="B12" s="45" t="str">
        <f ca="1">IF(A12&gt;jumlahBarang,"",INDEX(Table1[Qty],newestIdRow-offset+A12-1))</f>
        <v/>
      </c>
      <c r="C12" s="45" t="str">
        <f ca="1">IF(A12&gt;jumlahBarang,"",UPPER((INDEX(Table1[Unit],newestIdRow-offset+A12-1))))</f>
        <v/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IF(A12&gt;jumlahBarang,"",INDEX(Table1[Item Description],newestIdRow-offset+A12-1))</f>
        <v/>
      </c>
      <c r="F12" s="48"/>
      <c r="G12" s="49"/>
      <c r="H12" s="50" t="str">
        <f ca="1">IF(A12&gt;jumlahBarang,"",INDEX(Table1[Unit Price],newestIdRow-offset+A12-1))</f>
        <v/>
      </c>
      <c r="I12" s="51" t="str">
        <f ca="1">IF(A12&gt;jumlahBarang,"",IF(INDEX(Table1[Disc 1],newestIdRow-offset+A12-1)="","",INDEX(Table1[Disc 1],newestIdRow-offset+A12-1)))</f>
        <v/>
      </c>
      <c r="J12" s="51" t="str">
        <f ca="1">IF(A12&gt;jumlahBarang,"",IF(INDEX(Table1[Disc 2],newestIdRow-offset+A12-1)="","",INDEX(Table1[Disc 2],newestIdRow-offset+A12-1)))</f>
        <v/>
      </c>
      <c r="K12" s="52" t="str">
        <f ca="1">IF(A12&gt;jumlahBarang,"",INDEX(Table1[Amount],newestIdRow-offset+A12-1))</f>
        <v/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IF(A13&gt;jumlahBarang,"",UPPER((INDEX(Table1[Unit],newestIdRow-offset+A13-1))))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/>
      </c>
      <c r="F13" s="48"/>
      <c r="G13" s="49"/>
      <c r="H13" s="50" t="str">
        <f ca="1">IF(A13&gt;jumlahBarang,"",INDEX(Table1[Unit Price],newestIdRow-offset+A13-1))</f>
        <v/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499"/>
      <c r="K28" s="499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496">
        <f ca="1">INDEX(pajak[Sub Total],MATCH(newestIdRow,pajak[//],0))</f>
        <v>193500</v>
      </c>
      <c r="K29" s="497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498"/>
      <c r="K30" s="498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499"/>
      <c r="K32" s="499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496">
        <f ca="1">INDEX(pajak[PPN 11%],MATCH(newestIdRow,pajak[//],0))</f>
        <v>19175.675675675677</v>
      </c>
      <c r="K33" s="497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499"/>
      <c r="K34" s="499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193500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5"/>
      <c r="I37" s="176" t="s">
        <v>12</v>
      </c>
      <c r="J37" s="494" t="str">
        <f ca="1">INDEX(pajak[pembuat nota],MATCH(newestIdRow,pajak[//],0))</f>
        <v>NOVI / CONDRO</v>
      </c>
      <c r="K37" s="495"/>
    </row>
    <row r="38" spans="1:12" s="9" customFormat="1" ht="13.5" customHeight="1" x14ac:dyDescent="0.25">
      <c r="A38" s="77"/>
      <c r="B38" s="82"/>
      <c r="D38" s="48"/>
      <c r="H38" s="175"/>
      <c r="I38" s="177" t="s">
        <v>13</v>
      </c>
      <c r="J38" s="494" t="str">
        <f ca="1">INDEX(pajak[edited],MATCH(newestIdRow,pajak[//],0))</f>
        <v/>
      </c>
      <c r="K38" s="495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0"/>
      <c r="B40" s="181"/>
      <c r="C40" s="181"/>
      <c r="D40" s="182"/>
      <c r="E40" s="181"/>
      <c r="F40" s="181"/>
      <c r="G40" s="181"/>
      <c r="H40" s="181"/>
      <c r="I40" s="183"/>
      <c r="J40" s="183"/>
      <c r="K40" s="181"/>
      <c r="L40" s="184"/>
    </row>
    <row r="41" spans="1:12" s="9" customFormat="1" ht="16.5" customHeight="1" x14ac:dyDescent="0.3">
      <c r="A41" s="185"/>
      <c r="B41" s="186" t="s">
        <v>1</v>
      </c>
      <c r="C41" s="187"/>
      <c r="D41" s="188" t="str">
        <f>D3</f>
        <v>AM</v>
      </c>
      <c r="E41" s="189">
        <f ca="1">E3</f>
        <v>24020029</v>
      </c>
      <c r="F41" s="190"/>
      <c r="G41" s="191" t="s">
        <v>16</v>
      </c>
      <c r="H41" s="513" t="str">
        <f ca="1">H3</f>
        <v>CV GANESHA</v>
      </c>
      <c r="I41" s="513"/>
      <c r="J41" s="513"/>
      <c r="K41" s="514"/>
      <c r="L41" s="192"/>
    </row>
    <row r="42" spans="1:12" s="9" customFormat="1" ht="7.5" customHeight="1" x14ac:dyDescent="0.3">
      <c r="A42" s="185"/>
      <c r="B42" s="193"/>
      <c r="C42" s="194"/>
      <c r="D42" s="195"/>
      <c r="E42" s="196"/>
      <c r="F42" s="517" t="s">
        <v>18</v>
      </c>
      <c r="G42" s="197"/>
      <c r="H42" s="515"/>
      <c r="I42" s="515"/>
      <c r="J42" s="515"/>
      <c r="K42" s="516"/>
      <c r="L42" s="192"/>
    </row>
    <row r="43" spans="1:12" s="9" customFormat="1" ht="16.5" customHeight="1" x14ac:dyDescent="0.3">
      <c r="A43" s="185"/>
      <c r="B43" s="186" t="s">
        <v>2</v>
      </c>
      <c r="C43" s="187"/>
      <c r="D43" s="518">
        <f ca="1">D5</f>
        <v>45346</v>
      </c>
      <c r="E43" s="519"/>
      <c r="F43" s="517"/>
      <c r="G43" s="198"/>
      <c r="H43" s="520" t="str">
        <f ca="1">H5</f>
        <v/>
      </c>
      <c r="I43" s="520"/>
      <c r="J43" s="520"/>
      <c r="K43" s="521"/>
      <c r="L43" s="199"/>
    </row>
    <row r="44" spans="1:12" s="9" customFormat="1" ht="7.5" customHeight="1" x14ac:dyDescent="0.3">
      <c r="A44" s="185"/>
      <c r="B44" s="193"/>
      <c r="C44" s="194"/>
      <c r="D44" s="195"/>
      <c r="E44" s="196"/>
      <c r="F44" s="517"/>
      <c r="G44" s="198"/>
      <c r="H44" s="522" t="str">
        <f ca="1">H6</f>
        <v>WONOSOBO</v>
      </c>
      <c r="I44" s="522"/>
      <c r="J44" s="522"/>
      <c r="K44" s="523"/>
      <c r="L44" s="200"/>
    </row>
    <row r="45" spans="1:12" s="9" customFormat="1" ht="16.5" customHeight="1" x14ac:dyDescent="0.4">
      <c r="A45" s="185"/>
      <c r="B45" s="186" t="s">
        <v>3</v>
      </c>
      <c r="C45" s="187"/>
      <c r="D45" s="201" t="str">
        <f ca="1">D7</f>
        <v>KO 2785</v>
      </c>
      <c r="E45" s="189"/>
      <c r="F45" s="202"/>
      <c r="G45" s="203"/>
      <c r="H45" s="524"/>
      <c r="I45" s="524"/>
      <c r="J45" s="524"/>
      <c r="K45" s="525"/>
      <c r="L45" s="200"/>
    </row>
    <row r="46" spans="1:12" s="9" customFormat="1" ht="7.5" customHeight="1" x14ac:dyDescent="0.45">
      <c r="A46" s="185"/>
      <c r="B46" s="204"/>
      <c r="C46" s="205"/>
      <c r="D46" s="206"/>
      <c r="E46" s="207"/>
      <c r="F46" s="208"/>
      <c r="G46" s="207"/>
      <c r="H46" s="207"/>
      <c r="I46" s="209"/>
      <c r="J46" s="209"/>
      <c r="K46" s="207"/>
      <c r="L46" s="210"/>
    </row>
    <row r="47" spans="1:12" s="9" customFormat="1" ht="14.25" thickBot="1" x14ac:dyDescent="0.3">
      <c r="A47" s="185"/>
      <c r="B47" s="211" t="s">
        <v>5</v>
      </c>
      <c r="C47" s="211" t="s">
        <v>6</v>
      </c>
      <c r="D47" s="212" t="s">
        <v>7</v>
      </c>
      <c r="E47" s="213"/>
      <c r="F47" s="214" t="s">
        <v>8</v>
      </c>
      <c r="G47" s="215"/>
      <c r="H47" s="211" t="s">
        <v>9</v>
      </c>
      <c r="I47" s="216" t="s">
        <v>10</v>
      </c>
      <c r="J47" s="216" t="s">
        <v>11</v>
      </c>
      <c r="K47" s="217" t="s">
        <v>20</v>
      </c>
      <c r="L47" s="218"/>
    </row>
    <row r="48" spans="1:12" s="9" customFormat="1" ht="9.9499999999999993" customHeight="1" thickTop="1" x14ac:dyDescent="0.25">
      <c r="A48" s="185"/>
      <c r="B48" s="219"/>
      <c r="C48" s="220"/>
      <c r="D48" s="221"/>
      <c r="E48" s="222"/>
      <c r="F48" s="223"/>
      <c r="G48" s="224"/>
      <c r="H48" s="219"/>
      <c r="I48" s="225"/>
      <c r="J48" s="225"/>
      <c r="K48" s="226"/>
      <c r="L48" s="218"/>
    </row>
    <row r="49" spans="1:12" s="9" customFormat="1" ht="14.1" customHeight="1" x14ac:dyDescent="0.25">
      <c r="A49" s="227">
        <v>1</v>
      </c>
      <c r="B49" s="228">
        <f t="shared" ref="B49:E64" ca="1" si="0">B11</f>
        <v>5</v>
      </c>
      <c r="C49" s="229" t="str">
        <f t="shared" ca="1" si="0"/>
        <v>BOX</v>
      </c>
      <c r="D49" s="230" t="str">
        <f t="shared" ca="1" si="0"/>
        <v/>
      </c>
      <c r="E49" s="231" t="str">
        <f t="shared" ca="1" si="0"/>
        <v>PAPER JUMBO CLIP KENKO NO. 5</v>
      </c>
      <c r="F49" s="232"/>
      <c r="G49" s="233"/>
      <c r="H49" s="234">
        <f t="shared" ref="H49:K64" ca="1" si="1">H11</f>
        <v>43000</v>
      </c>
      <c r="I49" s="235">
        <f t="shared" ca="1" si="1"/>
        <v>0.1</v>
      </c>
      <c r="J49" s="235" t="str">
        <f t="shared" ca="1" si="1"/>
        <v/>
      </c>
      <c r="K49" s="236">
        <f t="shared" ca="1" si="1"/>
        <v>193500</v>
      </c>
      <c r="L49" s="218"/>
    </row>
    <row r="50" spans="1:12" s="9" customFormat="1" ht="14.1" customHeight="1" x14ac:dyDescent="0.25">
      <c r="A50" s="227">
        <v>2</v>
      </c>
      <c r="B50" s="228" t="str">
        <f t="shared" ca="1" si="0"/>
        <v/>
      </c>
      <c r="C50" s="229" t="str">
        <f t="shared" ca="1" si="0"/>
        <v/>
      </c>
      <c r="D50" s="230" t="str">
        <f t="shared" ca="1" si="0"/>
        <v/>
      </c>
      <c r="E50" s="231" t="str">
        <f t="shared" ca="1" si="0"/>
        <v/>
      </c>
      <c r="F50" s="232"/>
      <c r="G50" s="233"/>
      <c r="H50" s="234" t="str">
        <f t="shared" ca="1" si="1"/>
        <v/>
      </c>
      <c r="I50" s="235" t="str">
        <f t="shared" ca="1" si="1"/>
        <v/>
      </c>
      <c r="J50" s="235" t="str">
        <f t="shared" ca="1" si="1"/>
        <v/>
      </c>
      <c r="K50" s="236" t="str">
        <f t="shared" ca="1" si="1"/>
        <v/>
      </c>
      <c r="L50" s="218"/>
    </row>
    <row r="51" spans="1:12" s="9" customFormat="1" ht="14.1" customHeight="1" x14ac:dyDescent="0.25">
      <c r="A51" s="227">
        <v>3</v>
      </c>
      <c r="B51" s="228" t="str">
        <f t="shared" ca="1" si="0"/>
        <v/>
      </c>
      <c r="C51" s="229" t="str">
        <f t="shared" ca="1" si="0"/>
        <v/>
      </c>
      <c r="D51" s="230" t="str">
        <f t="shared" ca="1" si="0"/>
        <v/>
      </c>
      <c r="E51" s="231" t="str">
        <f t="shared" ca="1" si="0"/>
        <v/>
      </c>
      <c r="F51" s="232"/>
      <c r="G51" s="233"/>
      <c r="H51" s="234" t="str">
        <f t="shared" ca="1" si="1"/>
        <v/>
      </c>
      <c r="I51" s="235" t="str">
        <f t="shared" ca="1" si="1"/>
        <v/>
      </c>
      <c r="J51" s="235" t="str">
        <f t="shared" ca="1" si="1"/>
        <v/>
      </c>
      <c r="K51" s="236" t="str">
        <f t="shared" ca="1" si="1"/>
        <v/>
      </c>
      <c r="L51" s="218"/>
    </row>
    <row r="52" spans="1:12" s="9" customFormat="1" ht="14.1" customHeight="1" x14ac:dyDescent="0.25">
      <c r="A52" s="227">
        <v>4</v>
      </c>
      <c r="B52" s="228" t="str">
        <f t="shared" ca="1" si="0"/>
        <v/>
      </c>
      <c r="C52" s="229" t="str">
        <f t="shared" ca="1" si="0"/>
        <v/>
      </c>
      <c r="D52" s="230" t="str">
        <f t="shared" ca="1" si="0"/>
        <v/>
      </c>
      <c r="E52" s="231" t="str">
        <f t="shared" ca="1" si="0"/>
        <v/>
      </c>
      <c r="F52" s="232"/>
      <c r="G52" s="233"/>
      <c r="H52" s="234" t="str">
        <f t="shared" ca="1" si="1"/>
        <v/>
      </c>
      <c r="I52" s="235" t="str">
        <f t="shared" ca="1" si="1"/>
        <v/>
      </c>
      <c r="J52" s="235" t="str">
        <f t="shared" ca="1" si="1"/>
        <v/>
      </c>
      <c r="K52" s="236" t="str">
        <f t="shared" ca="1" si="1"/>
        <v/>
      </c>
      <c r="L52" s="218"/>
    </row>
    <row r="53" spans="1:12" s="9" customFormat="1" ht="14.1" customHeight="1" x14ac:dyDescent="0.25">
      <c r="A53" s="227">
        <v>5</v>
      </c>
      <c r="B53" s="228" t="str">
        <f t="shared" ca="1" si="0"/>
        <v/>
      </c>
      <c r="C53" s="229" t="str">
        <f t="shared" ca="1" si="0"/>
        <v/>
      </c>
      <c r="D53" s="230" t="str">
        <f t="shared" ca="1" si="0"/>
        <v/>
      </c>
      <c r="E53" s="231" t="str">
        <f t="shared" ca="1" si="0"/>
        <v/>
      </c>
      <c r="F53" s="232"/>
      <c r="G53" s="233"/>
      <c r="H53" s="234" t="str">
        <f t="shared" ca="1" si="1"/>
        <v/>
      </c>
      <c r="I53" s="235" t="str">
        <f t="shared" ca="1" si="1"/>
        <v/>
      </c>
      <c r="J53" s="235" t="str">
        <f t="shared" ca="1" si="1"/>
        <v/>
      </c>
      <c r="K53" s="236" t="str">
        <f t="shared" ca="1" si="1"/>
        <v/>
      </c>
      <c r="L53" s="218"/>
    </row>
    <row r="54" spans="1:12" s="9" customFormat="1" ht="14.1" customHeight="1" x14ac:dyDescent="0.25">
      <c r="A54" s="227">
        <v>6</v>
      </c>
      <c r="B54" s="228" t="str">
        <f t="shared" ca="1" si="0"/>
        <v/>
      </c>
      <c r="C54" s="229" t="str">
        <f t="shared" ca="1" si="0"/>
        <v/>
      </c>
      <c r="D54" s="230" t="str">
        <f t="shared" ca="1" si="0"/>
        <v/>
      </c>
      <c r="E54" s="231" t="str">
        <f t="shared" ca="1" si="0"/>
        <v/>
      </c>
      <c r="F54" s="232"/>
      <c r="G54" s="233"/>
      <c r="H54" s="234" t="str">
        <f t="shared" ca="1" si="1"/>
        <v/>
      </c>
      <c r="I54" s="235" t="str">
        <f t="shared" ca="1" si="1"/>
        <v/>
      </c>
      <c r="J54" s="235" t="str">
        <f t="shared" ca="1" si="1"/>
        <v/>
      </c>
      <c r="K54" s="236" t="str">
        <f t="shared" ca="1" si="1"/>
        <v/>
      </c>
      <c r="L54" s="218"/>
    </row>
    <row r="55" spans="1:12" s="9" customFormat="1" ht="14.1" customHeight="1" x14ac:dyDescent="0.25">
      <c r="A55" s="227">
        <v>7</v>
      </c>
      <c r="B55" s="228" t="str">
        <f t="shared" ca="1" si="0"/>
        <v/>
      </c>
      <c r="C55" s="229" t="str">
        <f t="shared" ca="1" si="0"/>
        <v/>
      </c>
      <c r="D55" s="230" t="str">
        <f t="shared" ca="1" si="0"/>
        <v/>
      </c>
      <c r="E55" s="231" t="str">
        <f t="shared" ca="1" si="0"/>
        <v/>
      </c>
      <c r="F55" s="232"/>
      <c r="G55" s="233"/>
      <c r="H55" s="234" t="str">
        <f t="shared" ca="1" si="1"/>
        <v/>
      </c>
      <c r="I55" s="235" t="str">
        <f t="shared" ca="1" si="1"/>
        <v/>
      </c>
      <c r="J55" s="235" t="str">
        <f t="shared" ca="1" si="1"/>
        <v/>
      </c>
      <c r="K55" s="236" t="str">
        <f t="shared" ca="1" si="1"/>
        <v/>
      </c>
      <c r="L55" s="218"/>
    </row>
    <row r="56" spans="1:12" s="9" customFormat="1" ht="14.1" customHeight="1" x14ac:dyDescent="0.25">
      <c r="A56" s="227">
        <v>8</v>
      </c>
      <c r="B56" s="228" t="str">
        <f t="shared" ca="1" si="0"/>
        <v/>
      </c>
      <c r="C56" s="229" t="str">
        <f t="shared" ca="1" si="0"/>
        <v/>
      </c>
      <c r="D56" s="230" t="str">
        <f t="shared" ca="1" si="0"/>
        <v/>
      </c>
      <c r="E56" s="231" t="str">
        <f t="shared" ca="1" si="0"/>
        <v/>
      </c>
      <c r="F56" s="232"/>
      <c r="G56" s="233"/>
      <c r="H56" s="234" t="str">
        <f t="shared" ca="1" si="1"/>
        <v/>
      </c>
      <c r="I56" s="235" t="str">
        <f t="shared" ca="1" si="1"/>
        <v/>
      </c>
      <c r="J56" s="235" t="str">
        <f t="shared" ca="1" si="1"/>
        <v/>
      </c>
      <c r="K56" s="236" t="str">
        <f t="shared" ca="1" si="1"/>
        <v/>
      </c>
      <c r="L56" s="218"/>
    </row>
    <row r="57" spans="1:12" s="9" customFormat="1" ht="14.1" customHeight="1" x14ac:dyDescent="0.25">
      <c r="A57" s="227">
        <v>9</v>
      </c>
      <c r="B57" s="228" t="str">
        <f t="shared" ca="1" si="0"/>
        <v/>
      </c>
      <c r="C57" s="229" t="str">
        <f t="shared" ca="1" si="0"/>
        <v/>
      </c>
      <c r="D57" s="230" t="str">
        <f t="shared" ca="1" si="0"/>
        <v/>
      </c>
      <c r="E57" s="231" t="str">
        <f t="shared" ca="1" si="0"/>
        <v/>
      </c>
      <c r="F57" s="232"/>
      <c r="G57" s="233"/>
      <c r="H57" s="234" t="str">
        <f t="shared" ca="1" si="1"/>
        <v/>
      </c>
      <c r="I57" s="235" t="str">
        <f t="shared" ca="1" si="1"/>
        <v/>
      </c>
      <c r="J57" s="235" t="str">
        <f t="shared" ca="1" si="1"/>
        <v/>
      </c>
      <c r="K57" s="236" t="str">
        <f t="shared" ca="1" si="1"/>
        <v/>
      </c>
      <c r="L57" s="218"/>
    </row>
    <row r="58" spans="1:12" s="9" customFormat="1" ht="14.1" customHeight="1" x14ac:dyDescent="0.25">
      <c r="A58" s="227">
        <v>10</v>
      </c>
      <c r="B58" s="228" t="str">
        <f t="shared" ca="1" si="0"/>
        <v/>
      </c>
      <c r="C58" s="229" t="str">
        <f t="shared" ca="1" si="0"/>
        <v/>
      </c>
      <c r="D58" s="230" t="str">
        <f t="shared" ca="1" si="0"/>
        <v/>
      </c>
      <c r="E58" s="231" t="str">
        <f t="shared" ca="1" si="0"/>
        <v/>
      </c>
      <c r="F58" s="232"/>
      <c r="G58" s="233"/>
      <c r="H58" s="234" t="str">
        <f t="shared" ca="1" si="1"/>
        <v/>
      </c>
      <c r="I58" s="235" t="str">
        <f t="shared" ca="1" si="1"/>
        <v/>
      </c>
      <c r="J58" s="235" t="str">
        <f t="shared" ca="1" si="1"/>
        <v/>
      </c>
      <c r="K58" s="236" t="str">
        <f t="shared" ca="1" si="1"/>
        <v/>
      </c>
      <c r="L58" s="218"/>
    </row>
    <row r="59" spans="1:12" s="9" customFormat="1" ht="14.1" customHeight="1" x14ac:dyDescent="0.25">
      <c r="A59" s="227">
        <v>11</v>
      </c>
      <c r="B59" s="228" t="str">
        <f t="shared" ca="1" si="0"/>
        <v/>
      </c>
      <c r="C59" s="229" t="str">
        <f t="shared" ca="1" si="0"/>
        <v/>
      </c>
      <c r="D59" s="230" t="str">
        <f t="shared" ca="1" si="0"/>
        <v/>
      </c>
      <c r="E59" s="231" t="str">
        <f t="shared" ca="1" si="0"/>
        <v/>
      </c>
      <c r="F59" s="232"/>
      <c r="G59" s="233"/>
      <c r="H59" s="234" t="str">
        <f t="shared" ca="1" si="1"/>
        <v/>
      </c>
      <c r="I59" s="235" t="str">
        <f t="shared" ca="1" si="1"/>
        <v/>
      </c>
      <c r="J59" s="235" t="str">
        <f t="shared" ca="1" si="1"/>
        <v/>
      </c>
      <c r="K59" s="236" t="str">
        <f t="shared" ca="1" si="1"/>
        <v/>
      </c>
      <c r="L59" s="218"/>
    </row>
    <row r="60" spans="1:12" s="9" customFormat="1" ht="14.1" customHeight="1" x14ac:dyDescent="0.25">
      <c r="A60" s="227">
        <v>12</v>
      </c>
      <c r="B60" s="228" t="str">
        <f t="shared" ca="1" si="0"/>
        <v/>
      </c>
      <c r="C60" s="229" t="str">
        <f t="shared" ca="1" si="0"/>
        <v/>
      </c>
      <c r="D60" s="230" t="str">
        <f t="shared" ca="1" si="0"/>
        <v/>
      </c>
      <c r="E60" s="231" t="str">
        <f t="shared" ca="1" si="0"/>
        <v/>
      </c>
      <c r="F60" s="232"/>
      <c r="G60" s="233"/>
      <c r="H60" s="234" t="str">
        <f t="shared" ca="1" si="1"/>
        <v/>
      </c>
      <c r="I60" s="235" t="str">
        <f t="shared" ca="1" si="1"/>
        <v/>
      </c>
      <c r="J60" s="235" t="str">
        <f t="shared" ca="1" si="1"/>
        <v/>
      </c>
      <c r="K60" s="236" t="str">
        <f t="shared" ca="1" si="1"/>
        <v/>
      </c>
      <c r="L60" s="218"/>
    </row>
    <row r="61" spans="1:12" s="9" customFormat="1" ht="14.1" customHeight="1" x14ac:dyDescent="0.25">
      <c r="A61" s="227">
        <v>13</v>
      </c>
      <c r="B61" s="228" t="str">
        <f t="shared" ca="1" si="0"/>
        <v/>
      </c>
      <c r="C61" s="229" t="str">
        <f t="shared" ca="1" si="0"/>
        <v/>
      </c>
      <c r="D61" s="230" t="str">
        <f t="shared" ca="1" si="0"/>
        <v/>
      </c>
      <c r="E61" s="231" t="str">
        <f t="shared" ca="1" si="0"/>
        <v/>
      </c>
      <c r="F61" s="232"/>
      <c r="G61" s="233"/>
      <c r="H61" s="234" t="str">
        <f t="shared" ca="1" si="1"/>
        <v/>
      </c>
      <c r="I61" s="235" t="str">
        <f t="shared" ca="1" si="1"/>
        <v/>
      </c>
      <c r="J61" s="235" t="str">
        <f t="shared" ca="1" si="1"/>
        <v/>
      </c>
      <c r="K61" s="236" t="str">
        <f t="shared" ca="1" si="1"/>
        <v/>
      </c>
      <c r="L61" s="218"/>
    </row>
    <row r="62" spans="1:12" s="9" customFormat="1" ht="14.1" customHeight="1" x14ac:dyDescent="0.25">
      <c r="A62" s="227">
        <v>14</v>
      </c>
      <c r="B62" s="228" t="str">
        <f t="shared" ca="1" si="0"/>
        <v/>
      </c>
      <c r="C62" s="229" t="str">
        <f t="shared" ca="1" si="0"/>
        <v/>
      </c>
      <c r="D62" s="230" t="str">
        <f t="shared" ca="1" si="0"/>
        <v/>
      </c>
      <c r="E62" s="231" t="str">
        <f t="shared" ca="1" si="0"/>
        <v/>
      </c>
      <c r="F62" s="232"/>
      <c r="G62" s="233"/>
      <c r="H62" s="234" t="str">
        <f t="shared" ca="1" si="1"/>
        <v/>
      </c>
      <c r="I62" s="235" t="str">
        <f t="shared" ca="1" si="1"/>
        <v/>
      </c>
      <c r="J62" s="235" t="str">
        <f t="shared" ca="1" si="1"/>
        <v/>
      </c>
      <c r="K62" s="236" t="str">
        <f t="shared" ca="1" si="1"/>
        <v/>
      </c>
      <c r="L62" s="218"/>
    </row>
    <row r="63" spans="1:12" s="9" customFormat="1" ht="14.1" customHeight="1" x14ac:dyDescent="0.25">
      <c r="A63" s="227">
        <v>15</v>
      </c>
      <c r="B63" s="228" t="str">
        <f t="shared" ca="1" si="0"/>
        <v/>
      </c>
      <c r="C63" s="229" t="str">
        <f t="shared" ca="1" si="0"/>
        <v/>
      </c>
      <c r="D63" s="230" t="str">
        <f t="shared" ca="1" si="0"/>
        <v/>
      </c>
      <c r="E63" s="231" t="str">
        <f t="shared" ca="1" si="0"/>
        <v/>
      </c>
      <c r="F63" s="232"/>
      <c r="G63" s="233"/>
      <c r="H63" s="234" t="str">
        <f t="shared" ca="1" si="1"/>
        <v/>
      </c>
      <c r="I63" s="235" t="str">
        <f t="shared" ca="1" si="1"/>
        <v/>
      </c>
      <c r="J63" s="235" t="str">
        <f t="shared" ca="1" si="1"/>
        <v/>
      </c>
      <c r="K63" s="236" t="str">
        <f t="shared" ca="1" si="1"/>
        <v/>
      </c>
      <c r="L63" s="218"/>
    </row>
    <row r="64" spans="1:12" s="9" customFormat="1" ht="14.1" customHeight="1" x14ac:dyDescent="0.25">
      <c r="A64" s="227">
        <v>16</v>
      </c>
      <c r="B64" s="228" t="str">
        <f t="shared" ca="1" si="0"/>
        <v/>
      </c>
      <c r="C64" s="229" t="str">
        <f t="shared" ca="1" si="0"/>
        <v/>
      </c>
      <c r="D64" s="230" t="str">
        <f t="shared" ca="1" si="0"/>
        <v/>
      </c>
      <c r="E64" s="231" t="str">
        <f t="shared" ca="1" si="0"/>
        <v/>
      </c>
      <c r="F64" s="232"/>
      <c r="G64" s="233"/>
      <c r="H64" s="234" t="str">
        <f t="shared" ca="1" si="1"/>
        <v/>
      </c>
      <c r="I64" s="235" t="str">
        <f t="shared" ca="1" si="1"/>
        <v/>
      </c>
      <c r="J64" s="235" t="str">
        <f t="shared" ca="1" si="1"/>
        <v/>
      </c>
      <c r="K64" s="236" t="str">
        <f t="shared" ca="1" si="1"/>
        <v/>
      </c>
      <c r="L64" s="218"/>
    </row>
    <row r="65" spans="1:12" s="9" customFormat="1" ht="9.9499999999999993" customHeight="1" x14ac:dyDescent="0.25">
      <c r="A65" s="185"/>
      <c r="B65" s="237"/>
      <c r="C65" s="237"/>
      <c r="D65" s="238"/>
      <c r="E65" s="239"/>
      <c r="F65" s="240"/>
      <c r="G65" s="241"/>
      <c r="H65" s="242"/>
      <c r="I65" s="243"/>
      <c r="J65" s="243"/>
      <c r="K65" s="244"/>
      <c r="L65" s="218"/>
    </row>
    <row r="66" spans="1:12" s="9" customFormat="1" ht="5.0999999999999996" customHeight="1" x14ac:dyDescent="0.25">
      <c r="A66" s="185"/>
      <c r="B66" s="245"/>
      <c r="C66" s="245"/>
      <c r="D66" s="246"/>
      <c r="E66" s="247"/>
      <c r="F66" s="247"/>
      <c r="G66" s="247"/>
      <c r="H66" s="247"/>
      <c r="I66" s="248"/>
      <c r="J66" s="526"/>
      <c r="K66" s="526"/>
      <c r="L66" s="210"/>
    </row>
    <row r="67" spans="1:12" s="9" customFormat="1" ht="16.5" customHeight="1" x14ac:dyDescent="0.3">
      <c r="A67" s="185"/>
      <c r="B67" s="249"/>
      <c r="C67" s="249"/>
      <c r="D67" s="206"/>
      <c r="E67" s="207"/>
      <c r="F67" s="207"/>
      <c r="G67" s="207"/>
      <c r="H67" s="207"/>
      <c r="I67" s="250" t="s">
        <v>21</v>
      </c>
      <c r="J67" s="527">
        <f ca="1">J29</f>
        <v>193500</v>
      </c>
      <c r="K67" s="528"/>
      <c r="L67" s="218"/>
    </row>
    <row r="68" spans="1:12" s="9" customFormat="1" ht="5.0999999999999996" customHeight="1" x14ac:dyDescent="0.3">
      <c r="A68" s="185"/>
      <c r="B68" s="249"/>
      <c r="C68" s="249"/>
      <c r="D68" s="206"/>
      <c r="E68" s="207"/>
      <c r="F68" s="207"/>
      <c r="G68" s="207"/>
      <c r="H68" s="207"/>
      <c r="I68" s="251"/>
      <c r="J68" s="529"/>
      <c r="K68" s="529"/>
      <c r="L68" s="210"/>
    </row>
    <row r="69" spans="1:12" s="9" customFormat="1" ht="16.5" customHeight="1" x14ac:dyDescent="0.3">
      <c r="A69" s="185"/>
      <c r="B69" s="249"/>
      <c r="C69" s="249"/>
      <c r="D69" s="206"/>
      <c r="E69" s="207"/>
      <c r="F69" s="207"/>
      <c r="G69" s="207"/>
      <c r="H69" s="207"/>
      <c r="I69" s="250" t="s">
        <v>22</v>
      </c>
      <c r="J69" s="252">
        <f>J31</f>
        <v>0</v>
      </c>
      <c r="K69" s="253">
        <f ca="1">K31</f>
        <v>0</v>
      </c>
      <c r="L69" s="254"/>
    </row>
    <row r="70" spans="1:12" s="9" customFormat="1" ht="5.0999999999999996" customHeight="1" x14ac:dyDescent="0.3">
      <c r="A70" s="185"/>
      <c r="B70" s="249"/>
      <c r="C70" s="249"/>
      <c r="D70" s="206"/>
      <c r="E70" s="207"/>
      <c r="F70" s="207"/>
      <c r="G70" s="207"/>
      <c r="H70" s="207"/>
      <c r="I70" s="251"/>
      <c r="J70" s="526"/>
      <c r="K70" s="526"/>
      <c r="L70" s="210"/>
    </row>
    <row r="71" spans="1:12" s="9" customFormat="1" ht="16.5" customHeight="1" x14ac:dyDescent="0.3">
      <c r="A71" s="185"/>
      <c r="B71" s="255" t="s">
        <v>23</v>
      </c>
      <c r="C71" s="255"/>
      <c r="D71" s="206"/>
      <c r="E71" s="206" t="s">
        <v>24</v>
      </c>
      <c r="F71" s="207"/>
      <c r="G71" s="207"/>
      <c r="H71" s="207"/>
      <c r="I71" s="250" t="s">
        <v>25</v>
      </c>
      <c r="J71" s="527">
        <f ca="1">J33</f>
        <v>19175.675675675677</v>
      </c>
      <c r="K71" s="528"/>
      <c r="L71" s="256"/>
    </row>
    <row r="72" spans="1:12" s="9" customFormat="1" ht="5.0999999999999996" customHeight="1" x14ac:dyDescent="0.3">
      <c r="A72" s="185"/>
      <c r="B72" s="249"/>
      <c r="C72" s="249"/>
      <c r="D72" s="206"/>
      <c r="E72" s="207"/>
      <c r="F72" s="207"/>
      <c r="G72" s="207"/>
      <c r="H72" s="207"/>
      <c r="I72" s="251"/>
      <c r="J72" s="526"/>
      <c r="K72" s="526"/>
      <c r="L72" s="210"/>
    </row>
    <row r="73" spans="1:12" s="9" customFormat="1" ht="16.5" customHeight="1" x14ac:dyDescent="0.3">
      <c r="A73" s="185"/>
      <c r="B73" s="257"/>
      <c r="C73" s="258"/>
      <c r="D73" s="206"/>
      <c r="E73" s="206"/>
      <c r="F73" s="207"/>
      <c r="G73" s="207"/>
      <c r="H73" s="207"/>
      <c r="I73" s="250" t="s">
        <v>26</v>
      </c>
      <c r="J73" s="259"/>
      <c r="K73" s="260">
        <f ca="1">K35</f>
        <v>193500</v>
      </c>
      <c r="L73" s="256"/>
    </row>
    <row r="74" spans="1:12" s="9" customFormat="1" ht="7.5" customHeight="1" x14ac:dyDescent="0.25">
      <c r="A74" s="261"/>
      <c r="B74" s="247"/>
      <c r="C74" s="247"/>
      <c r="D74" s="246"/>
      <c r="E74" s="262"/>
      <c r="F74" s="245"/>
      <c r="G74" s="207"/>
      <c r="H74" s="207"/>
      <c r="I74" s="263"/>
      <c r="J74" s="262"/>
      <c r="K74" s="245"/>
      <c r="L74" s="264"/>
    </row>
    <row r="75" spans="1:12" s="9" customFormat="1" ht="13.5" customHeight="1" x14ac:dyDescent="0.25">
      <c r="A75" s="185"/>
      <c r="B75" s="265" t="s">
        <v>27</v>
      </c>
      <c r="C75" s="247"/>
      <c r="D75" s="246"/>
      <c r="E75" s="207"/>
      <c r="F75" s="207"/>
      <c r="G75" s="207"/>
      <c r="H75" s="190"/>
      <c r="I75" s="266" t="s">
        <v>12</v>
      </c>
      <c r="J75" s="530" t="str">
        <f ca="1">J37</f>
        <v>NOVI / CONDRO</v>
      </c>
      <c r="K75" s="531"/>
      <c r="L75" s="210"/>
    </row>
    <row r="76" spans="1:12" s="9" customFormat="1" ht="13.5" customHeight="1" x14ac:dyDescent="0.25">
      <c r="A76" s="261"/>
      <c r="B76" s="267"/>
      <c r="C76" s="207"/>
      <c r="D76" s="232"/>
      <c r="E76" s="207"/>
      <c r="F76" s="207"/>
      <c r="G76" s="207"/>
      <c r="H76" s="190"/>
      <c r="I76" s="268" t="s">
        <v>13</v>
      </c>
      <c r="J76" s="530" t="str">
        <f ca="1">J38</f>
        <v/>
      </c>
      <c r="K76" s="531"/>
      <c r="L76" s="264"/>
    </row>
    <row r="77" spans="1:12" s="9" customFormat="1" ht="7.5" customHeight="1" x14ac:dyDescent="0.25">
      <c r="A77" s="261"/>
      <c r="B77" s="267"/>
      <c r="C77" s="207"/>
      <c r="D77" s="232"/>
      <c r="E77" s="207"/>
      <c r="F77" s="207"/>
      <c r="G77" s="207"/>
      <c r="H77" s="207"/>
      <c r="I77" s="263"/>
      <c r="J77" s="269"/>
      <c r="K77" s="269"/>
      <c r="L77" s="264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24020029</v>
      </c>
      <c r="F79" s="97"/>
      <c r="G79" s="98" t="s">
        <v>16</v>
      </c>
      <c r="H79" s="532" t="str">
        <f ca="1">H41</f>
        <v>CV GANESHA</v>
      </c>
      <c r="I79" s="532"/>
      <c r="J79" s="532"/>
      <c r="K79" s="533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36" t="s">
        <v>18</v>
      </c>
      <c r="G80" s="104"/>
      <c r="H80" s="534"/>
      <c r="I80" s="534"/>
      <c r="J80" s="534"/>
      <c r="K80" s="535"/>
      <c r="L80" s="99"/>
    </row>
    <row r="81" spans="1:12" s="9" customFormat="1" ht="16.5" customHeight="1" x14ac:dyDescent="0.3">
      <c r="A81" s="92"/>
      <c r="B81" s="93" t="s">
        <v>2</v>
      </c>
      <c r="C81" s="94"/>
      <c r="D81" s="537">
        <f ca="1">D43</f>
        <v>45346</v>
      </c>
      <c r="E81" s="538"/>
      <c r="F81" s="536"/>
      <c r="G81" s="105"/>
      <c r="H81" s="539" t="str">
        <f ca="1">H43</f>
        <v/>
      </c>
      <c r="I81" s="539"/>
      <c r="J81" s="539"/>
      <c r="K81" s="540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36"/>
      <c r="G82" s="105"/>
      <c r="H82" s="541" t="str">
        <f ca="1">H44</f>
        <v>WONOSOBO</v>
      </c>
      <c r="I82" s="541"/>
      <c r="J82" s="541"/>
      <c r="K82" s="542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KO 2785</v>
      </c>
      <c r="E83" s="96"/>
      <c r="F83" s="109"/>
      <c r="G83" s="110"/>
      <c r="H83" s="543"/>
      <c r="I83" s="543"/>
      <c r="J83" s="543"/>
      <c r="K83" s="544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135">
        <f t="shared" ref="B87:E102" ca="1" si="2">B49</f>
        <v>5</v>
      </c>
      <c r="C87" s="136" t="str">
        <f t="shared" ca="1" si="2"/>
        <v>BOX</v>
      </c>
      <c r="D87" s="137" t="str">
        <f t="shared" ca="1" si="2"/>
        <v/>
      </c>
      <c r="E87" s="138" t="str">
        <f t="shared" ca="1" si="2"/>
        <v>PAPER JUMBO CLIP KENKO NO. 5</v>
      </c>
      <c r="F87" s="139"/>
      <c r="G87" s="140"/>
      <c r="H87" s="141">
        <f t="shared" ref="H87:K102" ca="1" si="3">H49</f>
        <v>43000</v>
      </c>
      <c r="I87" s="142">
        <f t="shared" ca="1" si="3"/>
        <v>0.1</v>
      </c>
      <c r="J87" s="142" t="str">
        <f t="shared" ca="1" si="3"/>
        <v/>
      </c>
      <c r="K87" s="143">
        <f t="shared" ca="1" si="3"/>
        <v>193500</v>
      </c>
      <c r="L87" s="125"/>
    </row>
    <row r="88" spans="1:12" s="9" customFormat="1" ht="14.1" customHeight="1" x14ac:dyDescent="0.25">
      <c r="A88" s="134">
        <v>2</v>
      </c>
      <c r="B88" s="135" t="str">
        <f t="shared" ca="1" si="2"/>
        <v/>
      </c>
      <c r="C88" s="136" t="str">
        <f t="shared" ca="1" si="2"/>
        <v/>
      </c>
      <c r="D88" s="137" t="str">
        <f t="shared" ca="1" si="2"/>
        <v/>
      </c>
      <c r="E88" s="138" t="str">
        <f t="shared" ca="1" si="2"/>
        <v/>
      </c>
      <c r="F88" s="139"/>
      <c r="G88" s="140"/>
      <c r="H88" s="141" t="str">
        <f t="shared" ca="1" si="3"/>
        <v/>
      </c>
      <c r="I88" s="142" t="str">
        <f t="shared" ca="1" si="3"/>
        <v/>
      </c>
      <c r="J88" s="142" t="str">
        <f t="shared" ca="1" si="3"/>
        <v/>
      </c>
      <c r="K88" s="143" t="str">
        <f t="shared" ca="1" si="3"/>
        <v/>
      </c>
      <c r="L88" s="125"/>
    </row>
    <row r="89" spans="1:12" s="9" customFormat="1" ht="14.1" customHeight="1" x14ac:dyDescent="0.25">
      <c r="A89" s="134">
        <v>3</v>
      </c>
      <c r="B89" s="135" t="str">
        <f t="shared" ca="1" si="2"/>
        <v/>
      </c>
      <c r="C89" s="136" t="str">
        <f t="shared" ca="1" si="2"/>
        <v/>
      </c>
      <c r="D89" s="137" t="str">
        <f t="shared" ca="1" si="2"/>
        <v/>
      </c>
      <c r="E89" s="138" t="str">
        <f t="shared" ca="1" si="2"/>
        <v/>
      </c>
      <c r="F89" s="139"/>
      <c r="G89" s="140"/>
      <c r="H89" s="141" t="str">
        <f t="shared" ca="1" si="3"/>
        <v/>
      </c>
      <c r="I89" s="142" t="str">
        <f t="shared" ca="1" si="3"/>
        <v/>
      </c>
      <c r="J89" s="142" t="str">
        <f t="shared" ca="1" si="3"/>
        <v/>
      </c>
      <c r="K89" s="143" t="str">
        <f t="shared" ca="1" si="3"/>
        <v/>
      </c>
      <c r="L89" s="125"/>
    </row>
    <row r="90" spans="1:12" s="9" customFormat="1" ht="14.1" customHeight="1" x14ac:dyDescent="0.25">
      <c r="A90" s="134">
        <v>4</v>
      </c>
      <c r="B90" s="135" t="str">
        <f t="shared" ca="1" si="2"/>
        <v/>
      </c>
      <c r="C90" s="136" t="str">
        <f t="shared" ca="1" si="2"/>
        <v/>
      </c>
      <c r="D90" s="137" t="str">
        <f t="shared" ca="1" si="2"/>
        <v/>
      </c>
      <c r="E90" s="138" t="str">
        <f t="shared" ca="1" si="2"/>
        <v/>
      </c>
      <c r="F90" s="139"/>
      <c r="G90" s="140"/>
      <c r="H90" s="141" t="str">
        <f t="shared" ca="1" si="3"/>
        <v/>
      </c>
      <c r="I90" s="142" t="str">
        <f t="shared" ca="1" si="3"/>
        <v/>
      </c>
      <c r="J90" s="142" t="str">
        <f t="shared" ca="1" si="3"/>
        <v/>
      </c>
      <c r="K90" s="143" t="str">
        <f t="shared" ca="1" si="3"/>
        <v/>
      </c>
      <c r="L90" s="125"/>
    </row>
    <row r="91" spans="1:12" s="9" customFormat="1" ht="14.1" customHeight="1" x14ac:dyDescent="0.25">
      <c r="A91" s="134">
        <v>5</v>
      </c>
      <c r="B91" s="135" t="str">
        <f t="shared" ca="1" si="2"/>
        <v/>
      </c>
      <c r="C91" s="136" t="str">
        <f t="shared" ca="1" si="2"/>
        <v/>
      </c>
      <c r="D91" s="137" t="str">
        <f t="shared" ca="1" si="2"/>
        <v/>
      </c>
      <c r="E91" s="138" t="str">
        <f t="shared" ca="1" si="2"/>
        <v/>
      </c>
      <c r="F91" s="139"/>
      <c r="G91" s="140"/>
      <c r="H91" s="141" t="str">
        <f t="shared" ca="1" si="3"/>
        <v/>
      </c>
      <c r="I91" s="142" t="str">
        <f t="shared" ca="1" si="3"/>
        <v/>
      </c>
      <c r="J91" s="142" t="str">
        <f t="shared" ca="1" si="3"/>
        <v/>
      </c>
      <c r="K91" s="143" t="str">
        <f t="shared" ca="1" si="3"/>
        <v/>
      </c>
      <c r="L91" s="125"/>
    </row>
    <row r="92" spans="1:12" s="9" customFormat="1" ht="14.1" customHeight="1" x14ac:dyDescent="0.25">
      <c r="A92" s="134">
        <v>6</v>
      </c>
      <c r="B92" s="135" t="str">
        <f t="shared" ca="1" si="2"/>
        <v/>
      </c>
      <c r="C92" s="136" t="str">
        <f t="shared" ca="1" si="2"/>
        <v/>
      </c>
      <c r="D92" s="137" t="str">
        <f t="shared" ca="1" si="2"/>
        <v/>
      </c>
      <c r="E92" s="138" t="str">
        <f t="shared" ca="1" si="2"/>
        <v/>
      </c>
      <c r="F92" s="139"/>
      <c r="G92" s="140"/>
      <c r="H92" s="141" t="str">
        <f t="shared" ca="1" si="3"/>
        <v/>
      </c>
      <c r="I92" s="142" t="str">
        <f t="shared" ca="1" si="3"/>
        <v/>
      </c>
      <c r="J92" s="142" t="str">
        <f t="shared" ca="1" si="3"/>
        <v/>
      </c>
      <c r="K92" s="143" t="str">
        <f t="shared" ca="1" si="3"/>
        <v/>
      </c>
      <c r="L92" s="125"/>
    </row>
    <row r="93" spans="1:12" s="9" customFormat="1" ht="14.1" customHeight="1" x14ac:dyDescent="0.25">
      <c r="A93" s="134">
        <v>7</v>
      </c>
      <c r="B93" s="135" t="str">
        <f t="shared" ca="1" si="2"/>
        <v/>
      </c>
      <c r="C93" s="136" t="str">
        <f t="shared" ca="1" si="2"/>
        <v/>
      </c>
      <c r="D93" s="137" t="str">
        <f t="shared" ca="1" si="2"/>
        <v/>
      </c>
      <c r="E93" s="138" t="str">
        <f t="shared" ca="1" si="2"/>
        <v/>
      </c>
      <c r="F93" s="139"/>
      <c r="G93" s="140"/>
      <c r="H93" s="141" t="str">
        <f t="shared" ca="1" si="3"/>
        <v/>
      </c>
      <c r="I93" s="142" t="str">
        <f t="shared" ca="1" si="3"/>
        <v/>
      </c>
      <c r="J93" s="142" t="str">
        <f t="shared" ca="1" si="3"/>
        <v/>
      </c>
      <c r="K93" s="143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135" t="str">
        <f t="shared" ca="1" si="2"/>
        <v/>
      </c>
      <c r="C94" s="136" t="str">
        <f t="shared" ca="1" si="2"/>
        <v/>
      </c>
      <c r="D94" s="137" t="str">
        <f t="shared" ca="1" si="2"/>
        <v/>
      </c>
      <c r="E94" s="138" t="str">
        <f t="shared" ca="1" si="2"/>
        <v/>
      </c>
      <c r="F94" s="139"/>
      <c r="G94" s="140"/>
      <c r="H94" s="141" t="str">
        <f t="shared" ca="1" si="3"/>
        <v/>
      </c>
      <c r="I94" s="142" t="str">
        <f t="shared" ca="1" si="3"/>
        <v/>
      </c>
      <c r="J94" s="142" t="str">
        <f t="shared" ca="1" si="3"/>
        <v/>
      </c>
      <c r="K94" s="143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135" t="str">
        <f t="shared" ca="1" si="2"/>
        <v/>
      </c>
      <c r="C95" s="136" t="str">
        <f t="shared" ca="1" si="2"/>
        <v/>
      </c>
      <c r="D95" s="137" t="str">
        <f t="shared" ca="1" si="2"/>
        <v/>
      </c>
      <c r="E95" s="138" t="str">
        <f t="shared" ca="1" si="2"/>
        <v/>
      </c>
      <c r="F95" s="139"/>
      <c r="G95" s="140"/>
      <c r="H95" s="141" t="str">
        <f t="shared" ca="1" si="3"/>
        <v/>
      </c>
      <c r="I95" s="142" t="str">
        <f t="shared" ca="1" si="3"/>
        <v/>
      </c>
      <c r="J95" s="142" t="str">
        <f t="shared" ca="1" si="3"/>
        <v/>
      </c>
      <c r="K95" s="143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135" t="str">
        <f t="shared" ca="1" si="2"/>
        <v/>
      </c>
      <c r="C96" s="136" t="str">
        <f t="shared" ca="1" si="2"/>
        <v/>
      </c>
      <c r="D96" s="137" t="str">
        <f t="shared" ca="1" si="2"/>
        <v/>
      </c>
      <c r="E96" s="138" t="str">
        <f t="shared" ca="1" si="2"/>
        <v/>
      </c>
      <c r="F96" s="139"/>
      <c r="G96" s="140"/>
      <c r="H96" s="141" t="str">
        <f t="shared" ca="1" si="3"/>
        <v/>
      </c>
      <c r="I96" s="142" t="str">
        <f t="shared" ca="1" si="3"/>
        <v/>
      </c>
      <c r="J96" s="142" t="str">
        <f t="shared" ca="1" si="3"/>
        <v/>
      </c>
      <c r="K96" s="143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135" t="str">
        <f t="shared" ca="1" si="2"/>
        <v/>
      </c>
      <c r="C97" s="136" t="str">
        <f t="shared" ca="1" si="2"/>
        <v/>
      </c>
      <c r="D97" s="137" t="str">
        <f t="shared" ca="1" si="2"/>
        <v/>
      </c>
      <c r="E97" s="138" t="str">
        <f t="shared" ca="1" si="2"/>
        <v/>
      </c>
      <c r="F97" s="139"/>
      <c r="G97" s="140"/>
      <c r="H97" s="141" t="str">
        <f t="shared" ca="1" si="3"/>
        <v/>
      </c>
      <c r="I97" s="142" t="str">
        <f t="shared" ca="1" si="3"/>
        <v/>
      </c>
      <c r="J97" s="142" t="str">
        <f t="shared" ca="1" si="3"/>
        <v/>
      </c>
      <c r="K97" s="143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135" t="str">
        <f t="shared" ca="1" si="2"/>
        <v/>
      </c>
      <c r="C98" s="136" t="str">
        <f t="shared" ca="1" si="2"/>
        <v/>
      </c>
      <c r="D98" s="137" t="str">
        <f t="shared" ca="1" si="2"/>
        <v/>
      </c>
      <c r="E98" s="138" t="str">
        <f t="shared" ca="1" si="2"/>
        <v/>
      </c>
      <c r="F98" s="139"/>
      <c r="G98" s="140"/>
      <c r="H98" s="141" t="str">
        <f t="shared" ca="1" si="3"/>
        <v/>
      </c>
      <c r="I98" s="142" t="str">
        <f t="shared" ca="1" si="3"/>
        <v/>
      </c>
      <c r="J98" s="142" t="str">
        <f t="shared" ca="1" si="3"/>
        <v/>
      </c>
      <c r="K98" s="143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135" t="str">
        <f t="shared" ca="1" si="2"/>
        <v/>
      </c>
      <c r="C99" s="136" t="str">
        <f t="shared" ca="1" si="2"/>
        <v/>
      </c>
      <c r="D99" s="137" t="str">
        <f t="shared" ca="1" si="2"/>
        <v/>
      </c>
      <c r="E99" s="138" t="str">
        <f t="shared" ca="1" si="2"/>
        <v/>
      </c>
      <c r="F99" s="139"/>
      <c r="G99" s="140"/>
      <c r="H99" s="141" t="str">
        <f t="shared" ca="1" si="3"/>
        <v/>
      </c>
      <c r="I99" s="142" t="str">
        <f t="shared" ca="1" si="3"/>
        <v/>
      </c>
      <c r="J99" s="142" t="str">
        <f t="shared" ca="1" si="3"/>
        <v/>
      </c>
      <c r="K99" s="143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135" t="str">
        <f t="shared" ca="1" si="2"/>
        <v/>
      </c>
      <c r="C100" s="136" t="str">
        <f t="shared" ca="1" si="2"/>
        <v/>
      </c>
      <c r="D100" s="137" t="str">
        <f t="shared" ca="1" si="2"/>
        <v/>
      </c>
      <c r="E100" s="138" t="str">
        <f t="shared" ca="1" si="2"/>
        <v/>
      </c>
      <c r="F100" s="139"/>
      <c r="G100" s="140"/>
      <c r="H100" s="141" t="str">
        <f t="shared" ca="1" si="3"/>
        <v/>
      </c>
      <c r="I100" s="142" t="str">
        <f t="shared" ca="1" si="3"/>
        <v/>
      </c>
      <c r="J100" s="142" t="str">
        <f t="shared" ca="1" si="3"/>
        <v/>
      </c>
      <c r="K100" s="143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135" t="str">
        <f t="shared" ca="1" si="2"/>
        <v/>
      </c>
      <c r="C101" s="136" t="str">
        <f t="shared" ca="1" si="2"/>
        <v/>
      </c>
      <c r="D101" s="137" t="str">
        <f t="shared" ca="1" si="2"/>
        <v/>
      </c>
      <c r="E101" s="138" t="str">
        <f t="shared" ca="1" si="2"/>
        <v/>
      </c>
      <c r="F101" s="139"/>
      <c r="G101" s="140"/>
      <c r="H101" s="141" t="str">
        <f t="shared" ca="1" si="3"/>
        <v/>
      </c>
      <c r="I101" s="142" t="str">
        <f t="shared" ca="1" si="3"/>
        <v/>
      </c>
      <c r="J101" s="142" t="str">
        <f t="shared" ca="1" si="3"/>
        <v/>
      </c>
      <c r="K101" s="143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135" t="str">
        <f t="shared" ca="1" si="2"/>
        <v/>
      </c>
      <c r="C102" s="136" t="str">
        <f t="shared" ca="1" si="2"/>
        <v/>
      </c>
      <c r="D102" s="137" t="str">
        <f t="shared" ca="1" si="2"/>
        <v/>
      </c>
      <c r="E102" s="138" t="str">
        <f t="shared" ca="1" si="2"/>
        <v/>
      </c>
      <c r="F102" s="139"/>
      <c r="G102" s="140"/>
      <c r="H102" s="141" t="str">
        <f t="shared" ca="1" si="3"/>
        <v/>
      </c>
      <c r="I102" s="142" t="str">
        <f t="shared" ca="1" si="3"/>
        <v/>
      </c>
      <c r="J102" s="142" t="str">
        <f t="shared" ca="1" si="3"/>
        <v/>
      </c>
      <c r="K102" s="143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4"/>
      <c r="C103" s="144"/>
      <c r="D103" s="145"/>
      <c r="E103" s="146"/>
      <c r="F103" s="147"/>
      <c r="G103" s="148"/>
      <c r="H103" s="149"/>
      <c r="I103" s="150"/>
      <c r="J103" s="150"/>
      <c r="K103" s="151"/>
      <c r="L103" s="125"/>
    </row>
    <row r="104" spans="1:12" s="9" customFormat="1" ht="5.0999999999999996" customHeight="1" x14ac:dyDescent="0.25">
      <c r="A104" s="92"/>
      <c r="B104" s="152"/>
      <c r="C104" s="152"/>
      <c r="D104" s="153"/>
      <c r="E104" s="154"/>
      <c r="F104" s="154"/>
      <c r="G104" s="154"/>
      <c r="H104" s="154"/>
      <c r="I104" s="155"/>
      <c r="J104" s="545"/>
      <c r="K104" s="545"/>
      <c r="L104" s="117"/>
    </row>
    <row r="105" spans="1:12" s="9" customFormat="1" ht="16.5" customHeight="1" x14ac:dyDescent="0.3">
      <c r="A105" s="92"/>
      <c r="B105" s="156"/>
      <c r="C105" s="156"/>
      <c r="D105" s="113"/>
      <c r="E105" s="114"/>
      <c r="F105" s="114"/>
      <c r="G105" s="114"/>
      <c r="H105" s="114"/>
      <c r="I105" s="157" t="s">
        <v>21</v>
      </c>
      <c r="J105" s="546">
        <f ca="1">J67</f>
        <v>193500</v>
      </c>
      <c r="K105" s="547"/>
      <c r="L105" s="125"/>
    </row>
    <row r="106" spans="1:12" s="9" customFormat="1" ht="5.0999999999999996" customHeight="1" x14ac:dyDescent="0.3">
      <c r="A106" s="92"/>
      <c r="B106" s="156"/>
      <c r="C106" s="156"/>
      <c r="D106" s="113"/>
      <c r="E106" s="114"/>
      <c r="F106" s="114"/>
      <c r="G106" s="114"/>
      <c r="H106" s="114"/>
      <c r="I106" s="158"/>
      <c r="J106" s="550"/>
      <c r="K106" s="550"/>
      <c r="L106" s="117"/>
    </row>
    <row r="107" spans="1:12" s="9" customFormat="1" ht="16.5" customHeight="1" x14ac:dyDescent="0.3">
      <c r="A107" s="92"/>
      <c r="B107" s="156"/>
      <c r="C107" s="156"/>
      <c r="D107" s="113"/>
      <c r="E107" s="114"/>
      <c r="F107" s="114"/>
      <c r="G107" s="114"/>
      <c r="H107" s="114"/>
      <c r="I107" s="157" t="s">
        <v>22</v>
      </c>
      <c r="J107" s="159">
        <f>J69</f>
        <v>0</v>
      </c>
      <c r="K107" s="160">
        <f ca="1">K69</f>
        <v>0</v>
      </c>
      <c r="L107" s="161"/>
    </row>
    <row r="108" spans="1:12" s="9" customFormat="1" ht="5.0999999999999996" customHeight="1" x14ac:dyDescent="0.3">
      <c r="A108" s="92"/>
      <c r="B108" s="156"/>
      <c r="C108" s="156"/>
      <c r="D108" s="113"/>
      <c r="E108" s="114"/>
      <c r="F108" s="114"/>
      <c r="G108" s="114"/>
      <c r="H108" s="114"/>
      <c r="I108" s="158"/>
      <c r="J108" s="545"/>
      <c r="K108" s="545"/>
      <c r="L108" s="117"/>
    </row>
    <row r="109" spans="1:12" s="9" customFormat="1" ht="16.5" customHeight="1" x14ac:dyDescent="0.3">
      <c r="A109" s="92"/>
      <c r="B109" s="162" t="s">
        <v>23</v>
      </c>
      <c r="C109" s="162"/>
      <c r="D109" s="113"/>
      <c r="E109" s="113" t="s">
        <v>24</v>
      </c>
      <c r="F109" s="114"/>
      <c r="G109" s="114"/>
      <c r="H109" s="114"/>
      <c r="I109" s="157" t="s">
        <v>25</v>
      </c>
      <c r="J109" s="546">
        <f ca="1">J71</f>
        <v>19175.675675675677</v>
      </c>
      <c r="K109" s="547"/>
      <c r="L109" s="163"/>
    </row>
    <row r="110" spans="1:12" s="9" customFormat="1" ht="5.0999999999999996" customHeight="1" x14ac:dyDescent="0.3">
      <c r="A110" s="92"/>
      <c r="B110" s="156"/>
      <c r="C110" s="156"/>
      <c r="D110" s="113"/>
      <c r="E110" s="114"/>
      <c r="F110" s="114"/>
      <c r="G110" s="114"/>
      <c r="H110" s="114"/>
      <c r="I110" s="158"/>
      <c r="J110" s="545"/>
      <c r="K110" s="545"/>
      <c r="L110" s="117"/>
    </row>
    <row r="111" spans="1:12" s="9" customFormat="1" ht="16.5" customHeight="1" x14ac:dyDescent="0.3">
      <c r="A111" s="92"/>
      <c r="B111" s="164"/>
      <c r="C111" s="165"/>
      <c r="D111" s="113"/>
      <c r="E111" s="113"/>
      <c r="F111" s="114"/>
      <c r="G111" s="114"/>
      <c r="H111" s="114"/>
      <c r="I111" s="157" t="s">
        <v>26</v>
      </c>
      <c r="J111" s="166"/>
      <c r="K111" s="167">
        <f ca="1">K73</f>
        <v>193500</v>
      </c>
      <c r="L111" s="163"/>
    </row>
    <row r="112" spans="1:12" s="9" customFormat="1" ht="7.5" customHeight="1" x14ac:dyDescent="0.25">
      <c r="A112" s="168"/>
      <c r="B112" s="154"/>
      <c r="C112" s="154"/>
      <c r="D112" s="153"/>
      <c r="E112" s="169"/>
      <c r="F112" s="152"/>
      <c r="G112" s="114"/>
      <c r="H112" s="114"/>
      <c r="I112" s="170"/>
      <c r="J112" s="169"/>
      <c r="K112" s="152"/>
      <c r="L112" s="171"/>
    </row>
    <row r="113" spans="1:12" s="9" customFormat="1" ht="13.5" customHeight="1" x14ac:dyDescent="0.25">
      <c r="A113" s="92"/>
      <c r="B113" s="172" t="s">
        <v>27</v>
      </c>
      <c r="C113" s="154"/>
      <c r="D113" s="153"/>
      <c r="E113" s="114"/>
      <c r="F113" s="114"/>
      <c r="G113" s="114"/>
      <c r="H113" s="97"/>
      <c r="I113" s="178" t="s">
        <v>12</v>
      </c>
      <c r="J113" s="548" t="str">
        <f ca="1">J75</f>
        <v>NOVI / CONDRO</v>
      </c>
      <c r="K113" s="549"/>
      <c r="L113" s="117"/>
    </row>
    <row r="114" spans="1:12" s="9" customFormat="1" ht="13.5" customHeight="1" x14ac:dyDescent="0.25">
      <c r="A114" s="168"/>
      <c r="B114" s="173"/>
      <c r="C114" s="114"/>
      <c r="D114" s="139"/>
      <c r="E114" s="114"/>
      <c r="F114" s="114"/>
      <c r="G114" s="114"/>
      <c r="H114" s="97"/>
      <c r="I114" s="179" t="s">
        <v>13</v>
      </c>
      <c r="J114" s="548" t="str">
        <f ca="1">J76</f>
        <v/>
      </c>
      <c r="K114" s="549"/>
      <c r="L114" s="171"/>
    </row>
    <row r="115" spans="1:12" s="9" customFormat="1" ht="7.5" customHeight="1" x14ac:dyDescent="0.25">
      <c r="A115" s="168"/>
      <c r="B115" s="173"/>
      <c r="C115" s="114"/>
      <c r="D115" s="139"/>
      <c r="E115" s="114"/>
      <c r="F115" s="114"/>
      <c r="G115" s="114"/>
      <c r="H115" s="114"/>
      <c r="I115" s="170"/>
      <c r="J115" s="174"/>
      <c r="K115" s="174"/>
      <c r="L115" s="171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4.7083333333333304" header="0" footer="0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115"/>
  <sheetViews>
    <sheetView tabSelected="1" view="pageLayout" topLeftCell="A2" zoomScaleNormal="85" workbookViewId="0">
      <selection activeCell="J37" sqref="J37:K37"/>
    </sheetView>
  </sheetViews>
  <sheetFormatPr defaultColWidth="9.140625" defaultRowHeight="15" outlineLevelRow="1" x14ac:dyDescent="0.25"/>
  <cols>
    <col min="1" max="1" width="1.85546875" customWidth="1"/>
    <col min="2" max="2" width="6" customWidth="1"/>
    <col min="3" max="3" width="5" customWidth="1"/>
    <col min="4" max="4" width="3.7109375" customWidth="1"/>
    <col min="5" max="5" width="15.28515625" customWidth="1"/>
    <col min="6" max="6" width="20.28515625" customWidth="1"/>
    <col min="7" max="7" width="12.7109375" customWidth="1"/>
    <col min="8" max="8" width="11" customWidth="1"/>
    <col min="9" max="10" width="5.28515625" customWidth="1"/>
    <col min="11" max="11" width="14.42578125" customWidth="1"/>
    <col min="12" max="12" width="1.85546875" customWidth="1"/>
  </cols>
  <sheetData>
    <row r="1" spans="1:12" hidden="1" outlineLevel="1" x14ac:dyDescent="0.25">
      <c r="A1">
        <f ca="1">IF(K1="",MAX(Table1[//]),INDEX(Table1[//],MATCH(K1,Table1[//],0)))</f>
        <v>145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GANESHA</v>
      </c>
      <c r="F1" t="s">
        <v>43</v>
      </c>
      <c r="G1">
        <f ca="1">INDEX(Table1[h_jumlahbarang],newestIdRow-offset)</f>
        <v>1</v>
      </c>
      <c r="I1" s="493" t="s">
        <v>70</v>
      </c>
      <c r="J1" s="493"/>
    </row>
    <row r="2" spans="1:12" s="3" customFormat="1" ht="7.5" customHeight="1" collapsed="1" x14ac:dyDescent="0.25">
      <c r="A2" s="2"/>
      <c r="D2" s="4"/>
      <c r="I2" s="5"/>
      <c r="J2" s="5" t="s">
        <v>96</v>
      </c>
      <c r="K2" s="3" t="s">
        <v>355</v>
      </c>
    </row>
    <row r="3" spans="1:12" s="9" customFormat="1" ht="16.5" customHeight="1" x14ac:dyDescent="0.3">
      <c r="A3" s="6"/>
      <c r="B3" s="1" t="s">
        <v>1</v>
      </c>
      <c r="C3" s="7"/>
      <c r="D3" s="301" t="s">
        <v>15</v>
      </c>
      <c r="E3" s="8">
        <f ca="1">INDEX(Table1[h_No. Invoice :],newestIdRow-offset)</f>
        <v>24020029</v>
      </c>
      <c r="G3" s="10" t="s">
        <v>16</v>
      </c>
      <c r="H3" s="551" t="str">
        <f ca="1">INDEX(Table2[b],MATCH(kToko,Table2[a],0))</f>
        <v>CV GANESHA</v>
      </c>
      <c r="I3" s="551"/>
      <c r="J3" s="551"/>
      <c r="K3" s="552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04" t="s">
        <v>18</v>
      </c>
      <c r="G4" s="16"/>
      <c r="H4" s="553"/>
      <c r="I4" s="553"/>
      <c r="J4" s="553"/>
      <c r="K4" s="554"/>
      <c r="L4" s="11"/>
    </row>
    <row r="5" spans="1:12" s="9" customFormat="1" ht="16.5" customHeight="1" x14ac:dyDescent="0.3">
      <c r="A5" s="6"/>
      <c r="B5" s="1" t="s">
        <v>2</v>
      </c>
      <c r="C5" s="7"/>
      <c r="D5" s="505">
        <f ca="1">INDEX(Table1[Tgl Invoice :],newestIdRow-offset)</f>
        <v>45346</v>
      </c>
      <c r="E5" s="506"/>
      <c r="F5" s="504"/>
      <c r="G5" s="17"/>
      <c r="H5" s="507" t="str">
        <f ca="1">IF(INDEX(Table2[c],MATCH(kToko,Table2[a],0))="","",INDEX(Table2[c],MATCH(kToko,Table2[a],0)))</f>
        <v/>
      </c>
      <c r="I5" s="507"/>
      <c r="J5" s="507"/>
      <c r="K5" s="508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04"/>
      <c r="G6" s="17"/>
      <c r="H6" s="509" t="str">
        <f ca="1">INDEX(Table2[d],MATCH(kToko,Table2[a],0))</f>
        <v>WONOSOBO</v>
      </c>
      <c r="I6" s="509"/>
      <c r="J6" s="509"/>
      <c r="K6" s="510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KO 2785</v>
      </c>
      <c r="E7" s="8"/>
      <c r="F7" s="20"/>
      <c r="G7" s="21"/>
      <c r="H7" s="511"/>
      <c r="I7" s="511"/>
      <c r="J7" s="511"/>
      <c r="K7" s="512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6.5" customHeight="1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5</v>
      </c>
      <c r="C11" s="45" t="str">
        <f ca="1">IF(A11&gt;jumlahBarang,"",UPPER((INDEX(Table1[Unit],newestIdRow-offset+A11-1))))</f>
        <v>BOX</v>
      </c>
      <c r="D11" s="46" t="str">
        <f ca="1">IF(A11&gt;jumlahBarang,"",IF(INDEX(Table1[C],newestIdRow-offset+A11-1)="","",INDEX(Table1[C],newestIdRow-offset+A11-1)))</f>
        <v/>
      </c>
      <c r="E11" s="47" t="str">
        <f ca="1">IF(A11&gt;jumlahBarang,"",INDEX(Table1[Item Description],newestIdRow-offset+A11-1))</f>
        <v>PAPER JUMBO CLIP KENKO NO. 5</v>
      </c>
      <c r="F11" s="48"/>
      <c r="G11" s="49"/>
      <c r="H11" s="50">
        <f ca="1">IF(A11&gt;jumlahBarang,"",INDEX(Table1[Unit Price],newestIdRow-offset+A11-1))</f>
        <v>43000</v>
      </c>
      <c r="I11" s="51">
        <f ca="1">IF(A11&gt;jumlahBarang,"",IF(INDEX(Table1[Disc 1],newestIdRow-offset+A11-1)="","",INDEX(Table1[Disc 1],newestIdRow-offset+A11-1)))</f>
        <v>0.1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193500</v>
      </c>
      <c r="L11" s="35"/>
    </row>
    <row r="12" spans="1:12" s="9" customFormat="1" ht="14.1" customHeight="1" x14ac:dyDescent="0.25">
      <c r="A12" s="44">
        <v>2</v>
      </c>
      <c r="B12" s="45" t="str">
        <f ca="1">IF(A12&gt;jumlahBarang,"",INDEX(Table1[Qty],newestIdRow-offset+A12-1))</f>
        <v/>
      </c>
      <c r="C12" s="45" t="str">
        <f ca="1">IF(A12&gt;jumlahBarang,"",UPPER((INDEX(Table1[Unit],newestIdRow-offset+A12-1))))</f>
        <v/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IF(A12&gt;jumlahBarang,"",INDEX(Table1[Item Description],newestIdRow-offset+A12-1))</f>
        <v/>
      </c>
      <c r="F12" s="48"/>
      <c r="G12" s="49"/>
      <c r="H12" s="50" t="str">
        <f ca="1">IF(A12&gt;jumlahBarang,"",INDEX(Table1[Unit Price],newestIdRow-offset+A12-1))</f>
        <v/>
      </c>
      <c r="I12" s="51" t="str">
        <f ca="1">IF(A12&gt;jumlahBarang,"",IF(INDEX(Table1[Disc 1],newestIdRow-offset+A12-1)="","",INDEX(Table1[Disc 1],newestIdRow-offset+A12-1)))</f>
        <v/>
      </c>
      <c r="J12" s="51" t="str">
        <f ca="1">IF(A12&gt;jumlahBarang,"",IF(INDEX(Table1[Disc 2],newestIdRow-offset+A12-1)="","",INDEX(Table1[Disc 2],newestIdRow-offset+A12-1)))</f>
        <v/>
      </c>
      <c r="K12" s="52" t="str">
        <f ca="1">IF(A12&gt;jumlahBarang,"",INDEX(Table1[Amount],newestIdRow-offset+A12-1))</f>
        <v/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IF(A13&gt;jumlahBarang,"",UPPER((INDEX(Table1[Unit],newestIdRow-offset+A13-1))))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/>
      </c>
      <c r="F13" s="48"/>
      <c r="G13" s="49"/>
      <c r="H13" s="50" t="str">
        <f ca="1">IF(A13&gt;jumlahBarang,"",INDEX(Table1[Unit Price],newestIdRow-offset+A13-1))</f>
        <v/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302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302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55"/>
      <c r="K28" s="556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496">
        <f ca="1">INDEX(pajak[Sub Total],MATCH(newestIdRow,pajak[//],0))</f>
        <v>193500</v>
      </c>
      <c r="K29" s="557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58"/>
      <c r="K30" s="558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56"/>
      <c r="K32" s="556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59">
        <f ca="1">INDEX(pajak[PPN 11%],MATCH(newestIdRow,pajak[//],0))</f>
        <v>19175.675675675677</v>
      </c>
      <c r="K33" s="560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56"/>
      <c r="K34" s="556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193500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81"/>
      <c r="I37" s="303" t="s">
        <v>12</v>
      </c>
      <c r="J37" s="561" t="str">
        <f ca="1">INDEX(pajak[pembuat nota],MATCH(newestIdRow,pajak[//],0))</f>
        <v>NOVI / CONDRO</v>
      </c>
      <c r="K37" s="562"/>
    </row>
    <row r="38" spans="1:12" s="9" customFormat="1" ht="13.5" customHeight="1" x14ac:dyDescent="0.25">
      <c r="A38" s="77"/>
      <c r="B38" s="82"/>
      <c r="D38" s="48"/>
      <c r="H38" s="81"/>
      <c r="I38" s="83" t="s">
        <v>13</v>
      </c>
      <c r="J38" s="561" t="str">
        <f ca="1">INDEX(pajak[edited],MATCH(newestIdRow,pajak[//],0))</f>
        <v/>
      </c>
      <c r="K38" s="562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0"/>
      <c r="B40" s="181"/>
      <c r="C40" s="181"/>
      <c r="D40" s="182"/>
      <c r="E40" s="181"/>
      <c r="F40" s="181"/>
      <c r="G40" s="181"/>
      <c r="H40" s="181"/>
      <c r="I40" s="183"/>
      <c r="J40" s="183"/>
      <c r="K40" s="181"/>
      <c r="L40" s="184"/>
    </row>
    <row r="41" spans="1:12" s="9" customFormat="1" ht="16.5" customHeight="1" x14ac:dyDescent="0.3">
      <c r="A41" s="185"/>
      <c r="B41" s="186" t="s">
        <v>1</v>
      </c>
      <c r="C41" s="187"/>
      <c r="D41" s="188" t="str">
        <f>D3</f>
        <v>AM</v>
      </c>
      <c r="E41" s="189">
        <f ca="1">E3</f>
        <v>24020029</v>
      </c>
      <c r="F41" s="190"/>
      <c r="G41" s="191" t="s">
        <v>16</v>
      </c>
      <c r="H41" s="563" t="str">
        <f ca="1">H3</f>
        <v>CV GANESHA</v>
      </c>
      <c r="I41" s="563"/>
      <c r="J41" s="563"/>
      <c r="K41" s="564"/>
      <c r="L41" s="192"/>
    </row>
    <row r="42" spans="1:12" s="9" customFormat="1" ht="7.5" customHeight="1" x14ac:dyDescent="0.3">
      <c r="A42" s="185"/>
      <c r="B42" s="193"/>
      <c r="C42" s="194"/>
      <c r="D42" s="195"/>
      <c r="E42" s="196"/>
      <c r="F42" s="517" t="s">
        <v>18</v>
      </c>
      <c r="G42" s="197"/>
      <c r="H42" s="565"/>
      <c r="I42" s="565"/>
      <c r="J42" s="565"/>
      <c r="K42" s="566"/>
      <c r="L42" s="192"/>
    </row>
    <row r="43" spans="1:12" s="9" customFormat="1" ht="16.5" customHeight="1" x14ac:dyDescent="0.3">
      <c r="A43" s="185"/>
      <c r="B43" s="186" t="s">
        <v>2</v>
      </c>
      <c r="C43" s="187"/>
      <c r="D43" s="518">
        <f ca="1">D5</f>
        <v>45346</v>
      </c>
      <c r="E43" s="519"/>
      <c r="F43" s="517"/>
      <c r="G43" s="198"/>
      <c r="H43" s="520" t="str">
        <f ca="1">H5</f>
        <v/>
      </c>
      <c r="I43" s="520"/>
      <c r="J43" s="520"/>
      <c r="K43" s="521"/>
      <c r="L43" s="199"/>
    </row>
    <row r="44" spans="1:12" s="9" customFormat="1" ht="7.5" customHeight="1" x14ac:dyDescent="0.3">
      <c r="A44" s="185"/>
      <c r="B44" s="193"/>
      <c r="C44" s="194"/>
      <c r="D44" s="195"/>
      <c r="E44" s="196"/>
      <c r="F44" s="517"/>
      <c r="G44" s="198"/>
      <c r="H44" s="522" t="str">
        <f ca="1">H6</f>
        <v>WONOSOBO</v>
      </c>
      <c r="I44" s="522"/>
      <c r="J44" s="522"/>
      <c r="K44" s="523"/>
      <c r="L44" s="200"/>
    </row>
    <row r="45" spans="1:12" s="9" customFormat="1" ht="16.5" customHeight="1" x14ac:dyDescent="0.4">
      <c r="A45" s="185"/>
      <c r="B45" s="186" t="s">
        <v>3</v>
      </c>
      <c r="C45" s="187"/>
      <c r="D45" s="201" t="str">
        <f ca="1">D7</f>
        <v>KO 2785</v>
      </c>
      <c r="E45" s="189"/>
      <c r="F45" s="202"/>
      <c r="G45" s="203"/>
      <c r="H45" s="524"/>
      <c r="I45" s="524"/>
      <c r="J45" s="524"/>
      <c r="K45" s="525"/>
      <c r="L45" s="200"/>
    </row>
    <row r="46" spans="1:12" s="9" customFormat="1" ht="7.5" customHeight="1" x14ac:dyDescent="0.45">
      <c r="A46" s="185"/>
      <c r="B46" s="204"/>
      <c r="C46" s="205"/>
      <c r="D46" s="206"/>
      <c r="E46" s="207"/>
      <c r="F46" s="208"/>
      <c r="G46" s="207"/>
      <c r="H46" s="207"/>
      <c r="I46" s="209"/>
      <c r="J46" s="209"/>
      <c r="K46" s="207"/>
      <c r="L46" s="210"/>
    </row>
    <row r="47" spans="1:12" s="9" customFormat="1" ht="14.25" thickBot="1" x14ac:dyDescent="0.3">
      <c r="A47" s="185"/>
      <c r="B47" s="211" t="s">
        <v>5</v>
      </c>
      <c r="C47" s="211" t="s">
        <v>6</v>
      </c>
      <c r="D47" s="212" t="s">
        <v>7</v>
      </c>
      <c r="E47" s="213"/>
      <c r="F47" s="214" t="s">
        <v>8</v>
      </c>
      <c r="G47" s="215"/>
      <c r="H47" s="211" t="s">
        <v>9</v>
      </c>
      <c r="I47" s="216" t="s">
        <v>10</v>
      </c>
      <c r="J47" s="216" t="s">
        <v>11</v>
      </c>
      <c r="K47" s="217" t="s">
        <v>20</v>
      </c>
      <c r="L47" s="218"/>
    </row>
    <row r="48" spans="1:12" s="9" customFormat="1" ht="9.9499999999999993" customHeight="1" thickTop="1" x14ac:dyDescent="0.25">
      <c r="A48" s="185"/>
      <c r="B48" s="219"/>
      <c r="C48" s="220"/>
      <c r="D48" s="221"/>
      <c r="E48" s="222"/>
      <c r="F48" s="223"/>
      <c r="G48" s="224"/>
      <c r="H48" s="219"/>
      <c r="I48" s="225"/>
      <c r="J48" s="225"/>
      <c r="K48" s="226"/>
      <c r="L48" s="218"/>
    </row>
    <row r="49" spans="1:12" s="9" customFormat="1" ht="14.1" customHeight="1" x14ac:dyDescent="0.25">
      <c r="A49" s="227">
        <v>1</v>
      </c>
      <c r="B49" s="228">
        <f t="shared" ref="B49:E64" ca="1" si="0">B11</f>
        <v>5</v>
      </c>
      <c r="C49" s="229" t="str">
        <f t="shared" ca="1" si="0"/>
        <v>BOX</v>
      </c>
      <c r="D49" s="230" t="str">
        <f t="shared" ca="1" si="0"/>
        <v/>
      </c>
      <c r="E49" s="231" t="str">
        <f t="shared" ca="1" si="0"/>
        <v>PAPER JUMBO CLIP KENKO NO. 5</v>
      </c>
      <c r="F49" s="232"/>
      <c r="G49" s="233"/>
      <c r="H49" s="234">
        <f t="shared" ref="H49:K64" ca="1" si="1">H11</f>
        <v>43000</v>
      </c>
      <c r="I49" s="235">
        <f t="shared" ca="1" si="1"/>
        <v>0.1</v>
      </c>
      <c r="J49" s="235" t="str">
        <f t="shared" ca="1" si="1"/>
        <v/>
      </c>
      <c r="K49" s="236">
        <f t="shared" ca="1" si="1"/>
        <v>193500</v>
      </c>
      <c r="L49" s="218"/>
    </row>
    <row r="50" spans="1:12" s="9" customFormat="1" ht="14.1" customHeight="1" x14ac:dyDescent="0.25">
      <c r="A50" s="227">
        <v>2</v>
      </c>
      <c r="B50" s="228" t="str">
        <f t="shared" ca="1" si="0"/>
        <v/>
      </c>
      <c r="C50" s="229" t="str">
        <f t="shared" ca="1" si="0"/>
        <v/>
      </c>
      <c r="D50" s="230" t="str">
        <f t="shared" ca="1" si="0"/>
        <v/>
      </c>
      <c r="E50" s="231" t="str">
        <f t="shared" ca="1" si="0"/>
        <v/>
      </c>
      <c r="F50" s="232"/>
      <c r="G50" s="233"/>
      <c r="H50" s="234" t="str">
        <f t="shared" ca="1" si="1"/>
        <v/>
      </c>
      <c r="I50" s="235" t="str">
        <f t="shared" ca="1" si="1"/>
        <v/>
      </c>
      <c r="J50" s="235" t="str">
        <f t="shared" ca="1" si="1"/>
        <v/>
      </c>
      <c r="K50" s="236" t="str">
        <f t="shared" ca="1" si="1"/>
        <v/>
      </c>
      <c r="L50" s="218"/>
    </row>
    <row r="51" spans="1:12" s="9" customFormat="1" ht="14.1" customHeight="1" x14ac:dyDescent="0.25">
      <c r="A51" s="227">
        <v>3</v>
      </c>
      <c r="B51" s="228" t="str">
        <f t="shared" ca="1" si="0"/>
        <v/>
      </c>
      <c r="C51" s="229" t="str">
        <f t="shared" ca="1" si="0"/>
        <v/>
      </c>
      <c r="D51" s="230" t="str">
        <f t="shared" ca="1" si="0"/>
        <v/>
      </c>
      <c r="E51" s="231" t="str">
        <f t="shared" ca="1" si="0"/>
        <v/>
      </c>
      <c r="F51" s="232"/>
      <c r="G51" s="233"/>
      <c r="H51" s="234" t="str">
        <f t="shared" ca="1" si="1"/>
        <v/>
      </c>
      <c r="I51" s="235" t="str">
        <f t="shared" ca="1" si="1"/>
        <v/>
      </c>
      <c r="J51" s="235" t="str">
        <f t="shared" ca="1" si="1"/>
        <v/>
      </c>
      <c r="K51" s="236" t="str">
        <f t="shared" ca="1" si="1"/>
        <v/>
      </c>
      <c r="L51" s="218"/>
    </row>
    <row r="52" spans="1:12" s="9" customFormat="1" ht="14.1" customHeight="1" x14ac:dyDescent="0.25">
      <c r="A52" s="227">
        <v>4</v>
      </c>
      <c r="B52" s="228" t="str">
        <f t="shared" ca="1" si="0"/>
        <v/>
      </c>
      <c r="C52" s="229" t="str">
        <f t="shared" ca="1" si="0"/>
        <v/>
      </c>
      <c r="D52" s="230" t="str">
        <f t="shared" ca="1" si="0"/>
        <v/>
      </c>
      <c r="E52" s="231" t="str">
        <f t="shared" ca="1" si="0"/>
        <v/>
      </c>
      <c r="F52" s="232"/>
      <c r="G52" s="233"/>
      <c r="H52" s="234" t="str">
        <f t="shared" ca="1" si="1"/>
        <v/>
      </c>
      <c r="I52" s="235" t="str">
        <f t="shared" ca="1" si="1"/>
        <v/>
      </c>
      <c r="J52" s="235" t="str">
        <f t="shared" ca="1" si="1"/>
        <v/>
      </c>
      <c r="K52" s="236" t="str">
        <f t="shared" ca="1" si="1"/>
        <v/>
      </c>
      <c r="L52" s="218"/>
    </row>
    <row r="53" spans="1:12" s="9" customFormat="1" ht="14.1" customHeight="1" x14ac:dyDescent="0.25">
      <c r="A53" s="227">
        <v>5</v>
      </c>
      <c r="B53" s="228" t="str">
        <f t="shared" ca="1" si="0"/>
        <v/>
      </c>
      <c r="C53" s="229" t="str">
        <f t="shared" ca="1" si="0"/>
        <v/>
      </c>
      <c r="D53" s="230" t="str">
        <f t="shared" ca="1" si="0"/>
        <v/>
      </c>
      <c r="E53" s="231" t="str">
        <f t="shared" ca="1" si="0"/>
        <v/>
      </c>
      <c r="F53" s="232"/>
      <c r="G53" s="233"/>
      <c r="H53" s="234" t="str">
        <f t="shared" ca="1" si="1"/>
        <v/>
      </c>
      <c r="I53" s="235" t="str">
        <f t="shared" ca="1" si="1"/>
        <v/>
      </c>
      <c r="J53" s="235" t="str">
        <f t="shared" ca="1" si="1"/>
        <v/>
      </c>
      <c r="K53" s="236" t="str">
        <f t="shared" ca="1" si="1"/>
        <v/>
      </c>
      <c r="L53" s="218"/>
    </row>
    <row r="54" spans="1:12" s="9" customFormat="1" ht="14.1" customHeight="1" x14ac:dyDescent="0.25">
      <c r="A54" s="227">
        <v>6</v>
      </c>
      <c r="B54" s="228" t="str">
        <f t="shared" ca="1" si="0"/>
        <v/>
      </c>
      <c r="C54" s="229" t="str">
        <f t="shared" ca="1" si="0"/>
        <v/>
      </c>
      <c r="D54" s="230" t="str">
        <f t="shared" ca="1" si="0"/>
        <v/>
      </c>
      <c r="E54" s="231" t="str">
        <f t="shared" ca="1" si="0"/>
        <v/>
      </c>
      <c r="F54" s="232"/>
      <c r="G54" s="233"/>
      <c r="H54" s="234" t="str">
        <f t="shared" ca="1" si="1"/>
        <v/>
      </c>
      <c r="I54" s="235" t="str">
        <f t="shared" ca="1" si="1"/>
        <v/>
      </c>
      <c r="J54" s="235" t="str">
        <f t="shared" ca="1" si="1"/>
        <v/>
      </c>
      <c r="K54" s="236" t="str">
        <f t="shared" ca="1" si="1"/>
        <v/>
      </c>
      <c r="L54" s="218"/>
    </row>
    <row r="55" spans="1:12" s="9" customFormat="1" ht="14.1" customHeight="1" x14ac:dyDescent="0.25">
      <c r="A55" s="227">
        <v>7</v>
      </c>
      <c r="B55" s="228" t="str">
        <f t="shared" ca="1" si="0"/>
        <v/>
      </c>
      <c r="C55" s="229" t="str">
        <f t="shared" ca="1" si="0"/>
        <v/>
      </c>
      <c r="D55" s="230" t="str">
        <f t="shared" ca="1" si="0"/>
        <v/>
      </c>
      <c r="E55" s="231" t="str">
        <f t="shared" ca="1" si="0"/>
        <v/>
      </c>
      <c r="F55" s="232"/>
      <c r="G55" s="233"/>
      <c r="H55" s="234" t="str">
        <f t="shared" ca="1" si="1"/>
        <v/>
      </c>
      <c r="I55" s="235" t="str">
        <f t="shared" ca="1" si="1"/>
        <v/>
      </c>
      <c r="J55" s="235" t="str">
        <f t="shared" ca="1" si="1"/>
        <v/>
      </c>
      <c r="K55" s="236" t="str">
        <f t="shared" ca="1" si="1"/>
        <v/>
      </c>
      <c r="L55" s="218"/>
    </row>
    <row r="56" spans="1:12" s="9" customFormat="1" ht="14.1" customHeight="1" x14ac:dyDescent="0.25">
      <c r="A56" s="227">
        <v>8</v>
      </c>
      <c r="B56" s="228" t="str">
        <f t="shared" ca="1" si="0"/>
        <v/>
      </c>
      <c r="C56" s="229" t="str">
        <f t="shared" ca="1" si="0"/>
        <v/>
      </c>
      <c r="D56" s="230" t="str">
        <f t="shared" ca="1" si="0"/>
        <v/>
      </c>
      <c r="E56" s="231" t="str">
        <f t="shared" ca="1" si="0"/>
        <v/>
      </c>
      <c r="F56" s="232"/>
      <c r="G56" s="233"/>
      <c r="H56" s="234" t="str">
        <f t="shared" ca="1" si="1"/>
        <v/>
      </c>
      <c r="I56" s="235" t="str">
        <f t="shared" ca="1" si="1"/>
        <v/>
      </c>
      <c r="J56" s="235" t="str">
        <f t="shared" ca="1" si="1"/>
        <v/>
      </c>
      <c r="K56" s="236" t="str">
        <f t="shared" ca="1" si="1"/>
        <v/>
      </c>
      <c r="L56" s="218"/>
    </row>
    <row r="57" spans="1:12" s="9" customFormat="1" ht="14.1" customHeight="1" x14ac:dyDescent="0.25">
      <c r="A57" s="227">
        <v>9</v>
      </c>
      <c r="B57" s="228" t="str">
        <f t="shared" ca="1" si="0"/>
        <v/>
      </c>
      <c r="C57" s="229" t="str">
        <f t="shared" ca="1" si="0"/>
        <v/>
      </c>
      <c r="D57" s="230" t="str">
        <f t="shared" ca="1" si="0"/>
        <v/>
      </c>
      <c r="E57" s="231" t="str">
        <f t="shared" ca="1" si="0"/>
        <v/>
      </c>
      <c r="F57" s="232"/>
      <c r="G57" s="233"/>
      <c r="H57" s="234" t="str">
        <f t="shared" ca="1" si="1"/>
        <v/>
      </c>
      <c r="I57" s="235" t="str">
        <f t="shared" ca="1" si="1"/>
        <v/>
      </c>
      <c r="J57" s="235" t="str">
        <f t="shared" ca="1" si="1"/>
        <v/>
      </c>
      <c r="K57" s="236" t="str">
        <f t="shared" ca="1" si="1"/>
        <v/>
      </c>
      <c r="L57" s="218"/>
    </row>
    <row r="58" spans="1:12" s="9" customFormat="1" ht="14.1" customHeight="1" x14ac:dyDescent="0.25">
      <c r="A58" s="227">
        <v>10</v>
      </c>
      <c r="B58" s="228" t="str">
        <f t="shared" ca="1" si="0"/>
        <v/>
      </c>
      <c r="C58" s="229" t="str">
        <f t="shared" ca="1" si="0"/>
        <v/>
      </c>
      <c r="D58" s="230" t="str">
        <f t="shared" ca="1" si="0"/>
        <v/>
      </c>
      <c r="E58" s="231" t="str">
        <f t="shared" ca="1" si="0"/>
        <v/>
      </c>
      <c r="F58" s="232"/>
      <c r="G58" s="233"/>
      <c r="H58" s="234" t="str">
        <f t="shared" ca="1" si="1"/>
        <v/>
      </c>
      <c r="I58" s="235" t="str">
        <f t="shared" ca="1" si="1"/>
        <v/>
      </c>
      <c r="J58" s="235" t="str">
        <f t="shared" ca="1" si="1"/>
        <v/>
      </c>
      <c r="K58" s="236" t="str">
        <f t="shared" ca="1" si="1"/>
        <v/>
      </c>
      <c r="L58" s="218"/>
    </row>
    <row r="59" spans="1:12" s="9" customFormat="1" ht="14.1" customHeight="1" x14ac:dyDescent="0.25">
      <c r="A59" s="227">
        <v>11</v>
      </c>
      <c r="B59" s="228" t="str">
        <f t="shared" ca="1" si="0"/>
        <v/>
      </c>
      <c r="C59" s="229" t="str">
        <f t="shared" ca="1" si="0"/>
        <v/>
      </c>
      <c r="D59" s="230" t="str">
        <f t="shared" ca="1" si="0"/>
        <v/>
      </c>
      <c r="E59" s="231" t="str">
        <f t="shared" ca="1" si="0"/>
        <v/>
      </c>
      <c r="F59" s="232"/>
      <c r="G59" s="233"/>
      <c r="H59" s="234" t="str">
        <f t="shared" ca="1" si="1"/>
        <v/>
      </c>
      <c r="I59" s="235" t="str">
        <f t="shared" ca="1" si="1"/>
        <v/>
      </c>
      <c r="J59" s="235" t="str">
        <f t="shared" ca="1" si="1"/>
        <v/>
      </c>
      <c r="K59" s="236" t="str">
        <f t="shared" ca="1" si="1"/>
        <v/>
      </c>
      <c r="L59" s="218"/>
    </row>
    <row r="60" spans="1:12" s="9" customFormat="1" ht="14.1" customHeight="1" x14ac:dyDescent="0.25">
      <c r="A60" s="227">
        <v>12</v>
      </c>
      <c r="B60" s="228" t="str">
        <f t="shared" ca="1" si="0"/>
        <v/>
      </c>
      <c r="C60" s="229" t="str">
        <f t="shared" ca="1" si="0"/>
        <v/>
      </c>
      <c r="D60" s="230" t="str">
        <f t="shared" ca="1" si="0"/>
        <v/>
      </c>
      <c r="E60" s="231" t="str">
        <f t="shared" ca="1" si="0"/>
        <v/>
      </c>
      <c r="F60" s="232"/>
      <c r="G60" s="233"/>
      <c r="H60" s="234" t="str">
        <f t="shared" ca="1" si="1"/>
        <v/>
      </c>
      <c r="I60" s="235" t="str">
        <f t="shared" ca="1" si="1"/>
        <v/>
      </c>
      <c r="J60" s="235" t="str">
        <f t="shared" ca="1" si="1"/>
        <v/>
      </c>
      <c r="K60" s="236" t="str">
        <f t="shared" ca="1" si="1"/>
        <v/>
      </c>
      <c r="L60" s="218"/>
    </row>
    <row r="61" spans="1:12" s="9" customFormat="1" ht="14.1" customHeight="1" x14ac:dyDescent="0.25">
      <c r="A61" s="227">
        <v>13</v>
      </c>
      <c r="B61" s="228" t="str">
        <f t="shared" ca="1" si="0"/>
        <v/>
      </c>
      <c r="C61" s="229" t="str">
        <f t="shared" ca="1" si="0"/>
        <v/>
      </c>
      <c r="D61" s="230" t="str">
        <f t="shared" ca="1" si="0"/>
        <v/>
      </c>
      <c r="E61" s="231" t="str">
        <f t="shared" ca="1" si="0"/>
        <v/>
      </c>
      <c r="F61" s="232"/>
      <c r="G61" s="233"/>
      <c r="H61" s="234" t="str">
        <f t="shared" ca="1" si="1"/>
        <v/>
      </c>
      <c r="I61" s="235" t="str">
        <f t="shared" ca="1" si="1"/>
        <v/>
      </c>
      <c r="J61" s="235" t="str">
        <f t="shared" ca="1" si="1"/>
        <v/>
      </c>
      <c r="K61" s="236" t="str">
        <f t="shared" ca="1" si="1"/>
        <v/>
      </c>
      <c r="L61" s="218"/>
    </row>
    <row r="62" spans="1:12" s="9" customFormat="1" ht="14.1" customHeight="1" x14ac:dyDescent="0.25">
      <c r="A62" s="227">
        <v>14</v>
      </c>
      <c r="B62" s="228" t="str">
        <f t="shared" ca="1" si="0"/>
        <v/>
      </c>
      <c r="C62" s="229" t="str">
        <f t="shared" ca="1" si="0"/>
        <v/>
      </c>
      <c r="D62" s="230" t="str">
        <f t="shared" ca="1" si="0"/>
        <v/>
      </c>
      <c r="E62" s="231" t="str">
        <f t="shared" ca="1" si="0"/>
        <v/>
      </c>
      <c r="F62" s="232"/>
      <c r="G62" s="233"/>
      <c r="H62" s="234" t="str">
        <f t="shared" ca="1" si="1"/>
        <v/>
      </c>
      <c r="I62" s="235" t="str">
        <f t="shared" ca="1" si="1"/>
        <v/>
      </c>
      <c r="J62" s="235" t="str">
        <f t="shared" ca="1" si="1"/>
        <v/>
      </c>
      <c r="K62" s="236" t="str">
        <f t="shared" ca="1" si="1"/>
        <v/>
      </c>
      <c r="L62" s="218"/>
    </row>
    <row r="63" spans="1:12" s="9" customFormat="1" ht="14.1" customHeight="1" x14ac:dyDescent="0.25">
      <c r="A63" s="227">
        <v>15</v>
      </c>
      <c r="B63" s="228" t="str">
        <f t="shared" ca="1" si="0"/>
        <v/>
      </c>
      <c r="C63" s="229" t="str">
        <f t="shared" ca="1" si="0"/>
        <v/>
      </c>
      <c r="D63" s="230" t="str">
        <f t="shared" ca="1" si="0"/>
        <v/>
      </c>
      <c r="E63" s="231" t="str">
        <f t="shared" ca="1" si="0"/>
        <v/>
      </c>
      <c r="F63" s="232"/>
      <c r="G63" s="233"/>
      <c r="H63" s="234" t="str">
        <f t="shared" ca="1" si="1"/>
        <v/>
      </c>
      <c r="I63" s="235" t="str">
        <f t="shared" ca="1" si="1"/>
        <v/>
      </c>
      <c r="J63" s="235" t="str">
        <f t="shared" ca="1" si="1"/>
        <v/>
      </c>
      <c r="K63" s="236" t="str">
        <f t="shared" ca="1" si="1"/>
        <v/>
      </c>
      <c r="L63" s="218"/>
    </row>
    <row r="64" spans="1:12" s="9" customFormat="1" ht="14.1" customHeight="1" x14ac:dyDescent="0.25">
      <c r="A64" s="227">
        <v>16</v>
      </c>
      <c r="B64" s="228" t="str">
        <f t="shared" ca="1" si="0"/>
        <v/>
      </c>
      <c r="C64" s="229" t="str">
        <f t="shared" ca="1" si="0"/>
        <v/>
      </c>
      <c r="D64" s="230" t="str">
        <f t="shared" ca="1" si="0"/>
        <v/>
      </c>
      <c r="E64" s="231" t="str">
        <f t="shared" ca="1" si="0"/>
        <v/>
      </c>
      <c r="F64" s="232"/>
      <c r="G64" s="233"/>
      <c r="H64" s="234" t="str">
        <f t="shared" ca="1" si="1"/>
        <v/>
      </c>
      <c r="I64" s="235" t="str">
        <f t="shared" ca="1" si="1"/>
        <v/>
      </c>
      <c r="J64" s="235" t="str">
        <f t="shared" ca="1" si="1"/>
        <v/>
      </c>
      <c r="K64" s="236" t="str">
        <f t="shared" ca="1" si="1"/>
        <v/>
      </c>
      <c r="L64" s="218"/>
    </row>
    <row r="65" spans="1:12" s="9" customFormat="1" ht="9.9499999999999993" customHeight="1" x14ac:dyDescent="0.25">
      <c r="A65" s="185"/>
      <c r="B65" s="237"/>
      <c r="C65" s="237"/>
      <c r="D65" s="238"/>
      <c r="E65" s="239"/>
      <c r="F65" s="240"/>
      <c r="G65" s="241"/>
      <c r="H65" s="242"/>
      <c r="I65" s="243"/>
      <c r="J65" s="243"/>
      <c r="K65" s="244"/>
      <c r="L65" s="218"/>
    </row>
    <row r="66" spans="1:12" s="9" customFormat="1" ht="5.0999999999999996" customHeight="1" x14ac:dyDescent="0.25">
      <c r="A66" s="185"/>
      <c r="B66" s="245"/>
      <c r="C66" s="245"/>
      <c r="D66" s="246"/>
      <c r="E66" s="247"/>
      <c r="F66" s="247"/>
      <c r="G66" s="247"/>
      <c r="H66" s="247"/>
      <c r="I66" s="248"/>
      <c r="J66" s="526"/>
      <c r="K66" s="526"/>
      <c r="L66" s="210"/>
    </row>
    <row r="67" spans="1:12" s="9" customFormat="1" ht="16.5" customHeight="1" x14ac:dyDescent="0.3">
      <c r="A67" s="185"/>
      <c r="B67" s="249"/>
      <c r="C67" s="249"/>
      <c r="D67" s="206"/>
      <c r="E67" s="207"/>
      <c r="F67" s="207"/>
      <c r="G67" s="207"/>
      <c r="H67" s="207"/>
      <c r="I67" s="250" t="s">
        <v>21</v>
      </c>
      <c r="J67" s="527">
        <f ca="1">J29</f>
        <v>193500</v>
      </c>
      <c r="K67" s="528"/>
      <c r="L67" s="218"/>
    </row>
    <row r="68" spans="1:12" s="9" customFormat="1" ht="5.0999999999999996" customHeight="1" x14ac:dyDescent="0.3">
      <c r="A68" s="185"/>
      <c r="B68" s="249"/>
      <c r="C68" s="249"/>
      <c r="D68" s="206"/>
      <c r="E68" s="207"/>
      <c r="F68" s="207"/>
      <c r="G68" s="207"/>
      <c r="H68" s="207"/>
      <c r="I68" s="251"/>
      <c r="J68" s="529"/>
      <c r="K68" s="529"/>
      <c r="L68" s="210"/>
    </row>
    <row r="69" spans="1:12" s="9" customFormat="1" ht="16.5" customHeight="1" x14ac:dyDescent="0.3">
      <c r="A69" s="185"/>
      <c r="B69" s="249"/>
      <c r="C69" s="249"/>
      <c r="D69" s="206"/>
      <c r="E69" s="207"/>
      <c r="F69" s="207"/>
      <c r="G69" s="207"/>
      <c r="H69" s="207"/>
      <c r="I69" s="250" t="s">
        <v>22</v>
      </c>
      <c r="J69" s="252">
        <f>J31</f>
        <v>0</v>
      </c>
      <c r="K69" s="253">
        <f ca="1">K31</f>
        <v>0</v>
      </c>
      <c r="L69" s="254"/>
    </row>
    <row r="70" spans="1:12" s="9" customFormat="1" ht="5.0999999999999996" customHeight="1" x14ac:dyDescent="0.3">
      <c r="A70" s="185"/>
      <c r="B70" s="249"/>
      <c r="C70" s="249"/>
      <c r="D70" s="206"/>
      <c r="E70" s="207"/>
      <c r="F70" s="207"/>
      <c r="G70" s="207"/>
      <c r="H70" s="207"/>
      <c r="I70" s="251"/>
      <c r="J70" s="526"/>
      <c r="K70" s="526"/>
      <c r="L70" s="210"/>
    </row>
    <row r="71" spans="1:12" s="9" customFormat="1" ht="16.5" customHeight="1" x14ac:dyDescent="0.3">
      <c r="A71" s="185"/>
      <c r="B71" s="255" t="s">
        <v>23</v>
      </c>
      <c r="C71" s="255"/>
      <c r="D71" s="206"/>
      <c r="E71" s="206" t="s">
        <v>24</v>
      </c>
      <c r="F71" s="207"/>
      <c r="G71" s="207"/>
      <c r="H71" s="207"/>
      <c r="I71" s="250" t="s">
        <v>25</v>
      </c>
      <c r="J71" s="527">
        <f ca="1">J33</f>
        <v>19175.675675675677</v>
      </c>
      <c r="K71" s="528"/>
      <c r="L71" s="256"/>
    </row>
    <row r="72" spans="1:12" s="9" customFormat="1" ht="5.0999999999999996" customHeight="1" x14ac:dyDescent="0.3">
      <c r="A72" s="185"/>
      <c r="B72" s="249"/>
      <c r="C72" s="249"/>
      <c r="D72" s="206"/>
      <c r="E72" s="207"/>
      <c r="F72" s="207"/>
      <c r="G72" s="207"/>
      <c r="H72" s="207"/>
      <c r="I72" s="251"/>
      <c r="J72" s="526"/>
      <c r="K72" s="526"/>
      <c r="L72" s="210"/>
    </row>
    <row r="73" spans="1:12" s="9" customFormat="1" ht="16.5" customHeight="1" x14ac:dyDescent="0.3">
      <c r="A73" s="185"/>
      <c r="B73" s="257"/>
      <c r="C73" s="258"/>
      <c r="D73" s="206"/>
      <c r="E73" s="206"/>
      <c r="F73" s="207"/>
      <c r="G73" s="207"/>
      <c r="H73" s="207"/>
      <c r="I73" s="250" t="s">
        <v>26</v>
      </c>
      <c r="J73" s="259"/>
      <c r="K73" s="260">
        <f ca="1">K35</f>
        <v>193500</v>
      </c>
      <c r="L73" s="256"/>
    </row>
    <row r="74" spans="1:12" s="9" customFormat="1" ht="7.5" customHeight="1" x14ac:dyDescent="0.25">
      <c r="A74" s="261"/>
      <c r="B74" s="247"/>
      <c r="C74" s="247"/>
      <c r="D74" s="246"/>
      <c r="E74" s="262"/>
      <c r="F74" s="245"/>
      <c r="G74" s="207"/>
      <c r="H74" s="207"/>
      <c r="I74" s="263"/>
      <c r="J74" s="262"/>
      <c r="K74" s="245"/>
      <c r="L74" s="264"/>
    </row>
    <row r="75" spans="1:12" s="9" customFormat="1" ht="13.5" customHeight="1" x14ac:dyDescent="0.25">
      <c r="A75" s="185"/>
      <c r="B75" s="265" t="s">
        <v>27</v>
      </c>
      <c r="C75" s="247"/>
      <c r="D75" s="246"/>
      <c r="E75" s="207"/>
      <c r="F75" s="207"/>
      <c r="G75" s="207"/>
      <c r="H75" s="190"/>
      <c r="I75" s="266" t="s">
        <v>12</v>
      </c>
      <c r="J75" s="530" t="str">
        <f ca="1">J37</f>
        <v>NOVI / CONDRO</v>
      </c>
      <c r="K75" s="531"/>
      <c r="L75" s="210"/>
    </row>
    <row r="76" spans="1:12" s="9" customFormat="1" ht="13.5" customHeight="1" x14ac:dyDescent="0.25">
      <c r="A76" s="261"/>
      <c r="B76" s="267"/>
      <c r="C76" s="207"/>
      <c r="D76" s="232"/>
      <c r="E76" s="207"/>
      <c r="F76" s="207"/>
      <c r="G76" s="207"/>
      <c r="H76" s="190"/>
      <c r="I76" s="268" t="s">
        <v>13</v>
      </c>
      <c r="J76" s="530" t="str">
        <f ca="1">J38</f>
        <v/>
      </c>
      <c r="K76" s="531"/>
      <c r="L76" s="264"/>
    </row>
    <row r="77" spans="1:12" s="9" customFormat="1" ht="7.5" customHeight="1" x14ac:dyDescent="0.25">
      <c r="A77" s="261"/>
      <c r="B77" s="267"/>
      <c r="C77" s="207"/>
      <c r="D77" s="232"/>
      <c r="E77" s="207"/>
      <c r="F77" s="207"/>
      <c r="G77" s="207"/>
      <c r="H77" s="207"/>
      <c r="I77" s="263"/>
      <c r="J77" s="269"/>
      <c r="K77" s="269"/>
      <c r="L77" s="264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24020029</v>
      </c>
      <c r="F79" s="97"/>
      <c r="G79" s="98" t="s">
        <v>16</v>
      </c>
      <c r="H79" s="567" t="str">
        <f ca="1">H41</f>
        <v>CV GANESHA</v>
      </c>
      <c r="I79" s="567"/>
      <c r="J79" s="567"/>
      <c r="K79" s="568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36" t="s">
        <v>18</v>
      </c>
      <c r="G80" s="104"/>
      <c r="H80" s="569"/>
      <c r="I80" s="569"/>
      <c r="J80" s="569"/>
      <c r="K80" s="570"/>
      <c r="L80" s="99"/>
    </row>
    <row r="81" spans="1:12" s="9" customFormat="1" ht="16.5" customHeight="1" x14ac:dyDescent="0.3">
      <c r="A81" s="92"/>
      <c r="B81" s="93" t="s">
        <v>2</v>
      </c>
      <c r="C81" s="94"/>
      <c r="D81" s="537">
        <f ca="1">D43</f>
        <v>45346</v>
      </c>
      <c r="E81" s="538"/>
      <c r="F81" s="536"/>
      <c r="G81" s="105"/>
      <c r="H81" s="539" t="str">
        <f ca="1">H43</f>
        <v/>
      </c>
      <c r="I81" s="539"/>
      <c r="J81" s="539"/>
      <c r="K81" s="540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36"/>
      <c r="G82" s="105"/>
      <c r="H82" s="541" t="str">
        <f ca="1">H44</f>
        <v>WONOSOBO</v>
      </c>
      <c r="I82" s="541"/>
      <c r="J82" s="541"/>
      <c r="K82" s="542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KO 2785</v>
      </c>
      <c r="E83" s="96"/>
      <c r="F83" s="109"/>
      <c r="G83" s="110"/>
      <c r="H83" s="543"/>
      <c r="I83" s="543"/>
      <c r="J83" s="543"/>
      <c r="K83" s="544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135">
        <f t="shared" ref="B87:E102" ca="1" si="2">B49</f>
        <v>5</v>
      </c>
      <c r="C87" s="136" t="str">
        <f t="shared" ca="1" si="2"/>
        <v>BOX</v>
      </c>
      <c r="D87" s="137" t="str">
        <f t="shared" ca="1" si="2"/>
        <v/>
      </c>
      <c r="E87" s="138" t="str">
        <f t="shared" ca="1" si="2"/>
        <v>PAPER JUMBO CLIP KENKO NO. 5</v>
      </c>
      <c r="F87" s="139"/>
      <c r="G87" s="140"/>
      <c r="H87" s="141">
        <f t="shared" ref="H87:K102" ca="1" si="3">H49</f>
        <v>43000</v>
      </c>
      <c r="I87" s="142">
        <f t="shared" ca="1" si="3"/>
        <v>0.1</v>
      </c>
      <c r="J87" s="142" t="str">
        <f t="shared" ca="1" si="3"/>
        <v/>
      </c>
      <c r="K87" s="143">
        <f t="shared" ca="1" si="3"/>
        <v>193500</v>
      </c>
      <c r="L87" s="125"/>
    </row>
    <row r="88" spans="1:12" s="9" customFormat="1" ht="14.1" customHeight="1" x14ac:dyDescent="0.25">
      <c r="A88" s="134">
        <v>2</v>
      </c>
      <c r="B88" s="135" t="str">
        <f t="shared" ca="1" si="2"/>
        <v/>
      </c>
      <c r="C88" s="136" t="str">
        <f t="shared" ca="1" si="2"/>
        <v/>
      </c>
      <c r="D88" s="137" t="str">
        <f t="shared" ca="1" si="2"/>
        <v/>
      </c>
      <c r="E88" s="138" t="str">
        <f t="shared" ca="1" si="2"/>
        <v/>
      </c>
      <c r="F88" s="139"/>
      <c r="G88" s="140"/>
      <c r="H88" s="141" t="str">
        <f t="shared" ca="1" si="3"/>
        <v/>
      </c>
      <c r="I88" s="142" t="str">
        <f t="shared" ca="1" si="3"/>
        <v/>
      </c>
      <c r="J88" s="142" t="str">
        <f t="shared" ca="1" si="3"/>
        <v/>
      </c>
      <c r="K88" s="143" t="str">
        <f t="shared" ca="1" si="3"/>
        <v/>
      </c>
      <c r="L88" s="125"/>
    </row>
    <row r="89" spans="1:12" s="9" customFormat="1" ht="14.1" customHeight="1" x14ac:dyDescent="0.25">
      <c r="A89" s="134">
        <v>3</v>
      </c>
      <c r="B89" s="135" t="str">
        <f t="shared" ca="1" si="2"/>
        <v/>
      </c>
      <c r="C89" s="136" t="str">
        <f t="shared" ca="1" si="2"/>
        <v/>
      </c>
      <c r="D89" s="137" t="str">
        <f t="shared" ca="1" si="2"/>
        <v/>
      </c>
      <c r="E89" s="138" t="str">
        <f t="shared" ca="1" si="2"/>
        <v/>
      </c>
      <c r="F89" s="139"/>
      <c r="G89" s="140"/>
      <c r="H89" s="141" t="str">
        <f t="shared" ca="1" si="3"/>
        <v/>
      </c>
      <c r="I89" s="142" t="str">
        <f t="shared" ca="1" si="3"/>
        <v/>
      </c>
      <c r="J89" s="142" t="str">
        <f t="shared" ca="1" si="3"/>
        <v/>
      </c>
      <c r="K89" s="143" t="str">
        <f t="shared" ca="1" si="3"/>
        <v/>
      </c>
      <c r="L89" s="125"/>
    </row>
    <row r="90" spans="1:12" s="9" customFormat="1" ht="14.1" customHeight="1" x14ac:dyDescent="0.25">
      <c r="A90" s="134">
        <v>4</v>
      </c>
      <c r="B90" s="135" t="str">
        <f t="shared" ca="1" si="2"/>
        <v/>
      </c>
      <c r="C90" s="136" t="str">
        <f t="shared" ca="1" si="2"/>
        <v/>
      </c>
      <c r="D90" s="137" t="str">
        <f t="shared" ca="1" si="2"/>
        <v/>
      </c>
      <c r="E90" s="138" t="str">
        <f t="shared" ca="1" si="2"/>
        <v/>
      </c>
      <c r="F90" s="139"/>
      <c r="G90" s="140"/>
      <c r="H90" s="141" t="str">
        <f t="shared" ca="1" si="3"/>
        <v/>
      </c>
      <c r="I90" s="142" t="str">
        <f t="shared" ca="1" si="3"/>
        <v/>
      </c>
      <c r="J90" s="142" t="str">
        <f t="shared" ca="1" si="3"/>
        <v/>
      </c>
      <c r="K90" s="143" t="str">
        <f t="shared" ca="1" si="3"/>
        <v/>
      </c>
      <c r="L90" s="125"/>
    </row>
    <row r="91" spans="1:12" s="9" customFormat="1" ht="14.1" customHeight="1" x14ac:dyDescent="0.25">
      <c r="A91" s="134">
        <v>5</v>
      </c>
      <c r="B91" s="135" t="str">
        <f t="shared" ca="1" si="2"/>
        <v/>
      </c>
      <c r="C91" s="136" t="str">
        <f t="shared" ca="1" si="2"/>
        <v/>
      </c>
      <c r="D91" s="137" t="str">
        <f t="shared" ca="1" si="2"/>
        <v/>
      </c>
      <c r="E91" s="138" t="str">
        <f t="shared" ca="1" si="2"/>
        <v/>
      </c>
      <c r="F91" s="139"/>
      <c r="G91" s="140"/>
      <c r="H91" s="141" t="str">
        <f t="shared" ca="1" si="3"/>
        <v/>
      </c>
      <c r="I91" s="142" t="str">
        <f t="shared" ca="1" si="3"/>
        <v/>
      </c>
      <c r="J91" s="142" t="str">
        <f t="shared" ca="1" si="3"/>
        <v/>
      </c>
      <c r="K91" s="143" t="str">
        <f t="shared" ca="1" si="3"/>
        <v/>
      </c>
      <c r="L91" s="125"/>
    </row>
    <row r="92" spans="1:12" s="9" customFormat="1" ht="14.1" customHeight="1" x14ac:dyDescent="0.25">
      <c r="A92" s="134">
        <v>6</v>
      </c>
      <c r="B92" s="135" t="str">
        <f t="shared" ca="1" si="2"/>
        <v/>
      </c>
      <c r="C92" s="136" t="str">
        <f t="shared" ca="1" si="2"/>
        <v/>
      </c>
      <c r="D92" s="137" t="str">
        <f t="shared" ca="1" si="2"/>
        <v/>
      </c>
      <c r="E92" s="138" t="str">
        <f t="shared" ca="1" si="2"/>
        <v/>
      </c>
      <c r="F92" s="139"/>
      <c r="G92" s="140"/>
      <c r="H92" s="141" t="str">
        <f t="shared" ca="1" si="3"/>
        <v/>
      </c>
      <c r="I92" s="142" t="str">
        <f t="shared" ca="1" si="3"/>
        <v/>
      </c>
      <c r="J92" s="142" t="str">
        <f t="shared" ca="1" si="3"/>
        <v/>
      </c>
      <c r="K92" s="143" t="str">
        <f t="shared" ca="1" si="3"/>
        <v/>
      </c>
      <c r="L92" s="125"/>
    </row>
    <row r="93" spans="1:12" s="9" customFormat="1" ht="14.1" customHeight="1" x14ac:dyDescent="0.25">
      <c r="A93" s="134">
        <v>7</v>
      </c>
      <c r="B93" s="135" t="str">
        <f t="shared" ca="1" si="2"/>
        <v/>
      </c>
      <c r="C93" s="136" t="str">
        <f t="shared" ca="1" si="2"/>
        <v/>
      </c>
      <c r="D93" s="137" t="str">
        <f t="shared" ca="1" si="2"/>
        <v/>
      </c>
      <c r="E93" s="138" t="str">
        <f t="shared" ca="1" si="2"/>
        <v/>
      </c>
      <c r="F93" s="139"/>
      <c r="G93" s="140"/>
      <c r="H93" s="141" t="str">
        <f t="shared" ca="1" si="3"/>
        <v/>
      </c>
      <c r="I93" s="142" t="str">
        <f t="shared" ca="1" si="3"/>
        <v/>
      </c>
      <c r="J93" s="142" t="str">
        <f t="shared" ca="1" si="3"/>
        <v/>
      </c>
      <c r="K93" s="143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135" t="str">
        <f t="shared" ca="1" si="2"/>
        <v/>
      </c>
      <c r="C94" s="136" t="str">
        <f t="shared" ca="1" si="2"/>
        <v/>
      </c>
      <c r="D94" s="137" t="str">
        <f t="shared" ca="1" si="2"/>
        <v/>
      </c>
      <c r="E94" s="138" t="str">
        <f t="shared" ca="1" si="2"/>
        <v/>
      </c>
      <c r="F94" s="139"/>
      <c r="G94" s="140"/>
      <c r="H94" s="141" t="str">
        <f t="shared" ca="1" si="3"/>
        <v/>
      </c>
      <c r="I94" s="142" t="str">
        <f t="shared" ca="1" si="3"/>
        <v/>
      </c>
      <c r="J94" s="142" t="str">
        <f t="shared" ca="1" si="3"/>
        <v/>
      </c>
      <c r="K94" s="143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135" t="str">
        <f t="shared" ca="1" si="2"/>
        <v/>
      </c>
      <c r="C95" s="136" t="str">
        <f t="shared" ca="1" si="2"/>
        <v/>
      </c>
      <c r="D95" s="137" t="str">
        <f t="shared" ca="1" si="2"/>
        <v/>
      </c>
      <c r="E95" s="138" t="str">
        <f t="shared" ca="1" si="2"/>
        <v/>
      </c>
      <c r="F95" s="139"/>
      <c r="G95" s="140"/>
      <c r="H95" s="141" t="str">
        <f t="shared" ca="1" si="3"/>
        <v/>
      </c>
      <c r="I95" s="142" t="str">
        <f t="shared" ca="1" si="3"/>
        <v/>
      </c>
      <c r="J95" s="142" t="str">
        <f t="shared" ca="1" si="3"/>
        <v/>
      </c>
      <c r="K95" s="143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135" t="str">
        <f t="shared" ca="1" si="2"/>
        <v/>
      </c>
      <c r="C96" s="136" t="str">
        <f t="shared" ca="1" si="2"/>
        <v/>
      </c>
      <c r="D96" s="137" t="str">
        <f t="shared" ca="1" si="2"/>
        <v/>
      </c>
      <c r="E96" s="138" t="str">
        <f t="shared" ca="1" si="2"/>
        <v/>
      </c>
      <c r="F96" s="139"/>
      <c r="G96" s="140"/>
      <c r="H96" s="141" t="str">
        <f t="shared" ca="1" si="3"/>
        <v/>
      </c>
      <c r="I96" s="142" t="str">
        <f t="shared" ca="1" si="3"/>
        <v/>
      </c>
      <c r="J96" s="142" t="str">
        <f t="shared" ca="1" si="3"/>
        <v/>
      </c>
      <c r="K96" s="143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135" t="str">
        <f t="shared" ca="1" si="2"/>
        <v/>
      </c>
      <c r="C97" s="136" t="str">
        <f t="shared" ca="1" si="2"/>
        <v/>
      </c>
      <c r="D97" s="137" t="str">
        <f t="shared" ca="1" si="2"/>
        <v/>
      </c>
      <c r="E97" s="138" t="str">
        <f t="shared" ca="1" si="2"/>
        <v/>
      </c>
      <c r="F97" s="139"/>
      <c r="G97" s="140"/>
      <c r="H97" s="141" t="str">
        <f t="shared" ca="1" si="3"/>
        <v/>
      </c>
      <c r="I97" s="142" t="str">
        <f t="shared" ca="1" si="3"/>
        <v/>
      </c>
      <c r="J97" s="142" t="str">
        <f t="shared" ca="1" si="3"/>
        <v/>
      </c>
      <c r="K97" s="143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135" t="str">
        <f t="shared" ca="1" si="2"/>
        <v/>
      </c>
      <c r="C98" s="136" t="str">
        <f t="shared" ca="1" si="2"/>
        <v/>
      </c>
      <c r="D98" s="137" t="str">
        <f t="shared" ca="1" si="2"/>
        <v/>
      </c>
      <c r="E98" s="138" t="str">
        <f t="shared" ca="1" si="2"/>
        <v/>
      </c>
      <c r="F98" s="139"/>
      <c r="G98" s="140"/>
      <c r="H98" s="141" t="str">
        <f t="shared" ca="1" si="3"/>
        <v/>
      </c>
      <c r="I98" s="142" t="str">
        <f t="shared" ca="1" si="3"/>
        <v/>
      </c>
      <c r="J98" s="142" t="str">
        <f t="shared" ca="1" si="3"/>
        <v/>
      </c>
      <c r="K98" s="143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135" t="str">
        <f t="shared" ca="1" si="2"/>
        <v/>
      </c>
      <c r="C99" s="136" t="str">
        <f t="shared" ca="1" si="2"/>
        <v/>
      </c>
      <c r="D99" s="137" t="str">
        <f t="shared" ca="1" si="2"/>
        <v/>
      </c>
      <c r="E99" s="138" t="str">
        <f t="shared" ca="1" si="2"/>
        <v/>
      </c>
      <c r="F99" s="139"/>
      <c r="G99" s="140"/>
      <c r="H99" s="141" t="str">
        <f t="shared" ca="1" si="3"/>
        <v/>
      </c>
      <c r="I99" s="142" t="str">
        <f t="shared" ca="1" si="3"/>
        <v/>
      </c>
      <c r="J99" s="142" t="str">
        <f t="shared" ca="1" si="3"/>
        <v/>
      </c>
      <c r="K99" s="143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135" t="str">
        <f t="shared" ca="1" si="2"/>
        <v/>
      </c>
      <c r="C100" s="136" t="str">
        <f t="shared" ca="1" si="2"/>
        <v/>
      </c>
      <c r="D100" s="137" t="str">
        <f t="shared" ca="1" si="2"/>
        <v/>
      </c>
      <c r="E100" s="138" t="str">
        <f t="shared" ca="1" si="2"/>
        <v/>
      </c>
      <c r="F100" s="139"/>
      <c r="G100" s="140"/>
      <c r="H100" s="141" t="str">
        <f t="shared" ca="1" si="3"/>
        <v/>
      </c>
      <c r="I100" s="142" t="str">
        <f t="shared" ca="1" si="3"/>
        <v/>
      </c>
      <c r="J100" s="142" t="str">
        <f t="shared" ca="1" si="3"/>
        <v/>
      </c>
      <c r="K100" s="143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135" t="str">
        <f t="shared" ca="1" si="2"/>
        <v/>
      </c>
      <c r="C101" s="136" t="str">
        <f t="shared" ca="1" si="2"/>
        <v/>
      </c>
      <c r="D101" s="137" t="str">
        <f t="shared" ca="1" si="2"/>
        <v/>
      </c>
      <c r="E101" s="138" t="str">
        <f t="shared" ca="1" si="2"/>
        <v/>
      </c>
      <c r="F101" s="139"/>
      <c r="G101" s="140"/>
      <c r="H101" s="141" t="str">
        <f t="shared" ca="1" si="3"/>
        <v/>
      </c>
      <c r="I101" s="142" t="str">
        <f t="shared" ca="1" si="3"/>
        <v/>
      </c>
      <c r="J101" s="142" t="str">
        <f t="shared" ca="1" si="3"/>
        <v/>
      </c>
      <c r="K101" s="143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135" t="str">
        <f t="shared" ca="1" si="2"/>
        <v/>
      </c>
      <c r="C102" s="136" t="str">
        <f t="shared" ca="1" si="2"/>
        <v/>
      </c>
      <c r="D102" s="137" t="str">
        <f t="shared" ca="1" si="2"/>
        <v/>
      </c>
      <c r="E102" s="138" t="str">
        <f t="shared" ca="1" si="2"/>
        <v/>
      </c>
      <c r="F102" s="139"/>
      <c r="G102" s="140"/>
      <c r="H102" s="141" t="str">
        <f t="shared" ca="1" si="3"/>
        <v/>
      </c>
      <c r="I102" s="142" t="str">
        <f t="shared" ca="1" si="3"/>
        <v/>
      </c>
      <c r="J102" s="142" t="str">
        <f t="shared" ca="1" si="3"/>
        <v/>
      </c>
      <c r="K102" s="143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4"/>
      <c r="C103" s="144"/>
      <c r="D103" s="145"/>
      <c r="E103" s="146"/>
      <c r="F103" s="147"/>
      <c r="G103" s="148"/>
      <c r="H103" s="149"/>
      <c r="I103" s="150"/>
      <c r="J103" s="150"/>
      <c r="K103" s="151"/>
      <c r="L103" s="125"/>
    </row>
    <row r="104" spans="1:12" s="9" customFormat="1" ht="5.0999999999999996" customHeight="1" x14ac:dyDescent="0.25">
      <c r="A104" s="92"/>
      <c r="B104" s="152"/>
      <c r="C104" s="152"/>
      <c r="D104" s="153"/>
      <c r="E104" s="154"/>
      <c r="F104" s="154"/>
      <c r="G104" s="154"/>
      <c r="H104" s="154"/>
      <c r="I104" s="155"/>
      <c r="J104" s="545"/>
      <c r="K104" s="545"/>
      <c r="L104" s="117"/>
    </row>
    <row r="105" spans="1:12" s="9" customFormat="1" ht="16.5" customHeight="1" x14ac:dyDescent="0.3">
      <c r="A105" s="92"/>
      <c r="B105" s="156"/>
      <c r="C105" s="156"/>
      <c r="D105" s="113"/>
      <c r="E105" s="114"/>
      <c r="F105" s="114"/>
      <c r="G105" s="114"/>
      <c r="H105" s="114"/>
      <c r="I105" s="157" t="s">
        <v>21</v>
      </c>
      <c r="J105" s="546">
        <f ca="1">J67</f>
        <v>193500</v>
      </c>
      <c r="K105" s="547"/>
      <c r="L105" s="125"/>
    </row>
    <row r="106" spans="1:12" s="9" customFormat="1" ht="5.0999999999999996" customHeight="1" x14ac:dyDescent="0.3">
      <c r="A106" s="92"/>
      <c r="B106" s="156"/>
      <c r="C106" s="156"/>
      <c r="D106" s="113"/>
      <c r="E106" s="114"/>
      <c r="F106" s="114"/>
      <c r="G106" s="114"/>
      <c r="H106" s="114"/>
      <c r="I106" s="158"/>
      <c r="J106" s="550"/>
      <c r="K106" s="550"/>
      <c r="L106" s="117"/>
    </row>
    <row r="107" spans="1:12" s="9" customFormat="1" ht="16.5" customHeight="1" x14ac:dyDescent="0.3">
      <c r="A107" s="92"/>
      <c r="B107" s="156"/>
      <c r="C107" s="156"/>
      <c r="D107" s="113"/>
      <c r="E107" s="114"/>
      <c r="F107" s="114"/>
      <c r="G107" s="114"/>
      <c r="H107" s="114"/>
      <c r="I107" s="157" t="s">
        <v>22</v>
      </c>
      <c r="J107" s="159">
        <f>J69</f>
        <v>0</v>
      </c>
      <c r="K107" s="160">
        <f ca="1">K69</f>
        <v>0</v>
      </c>
      <c r="L107" s="161"/>
    </row>
    <row r="108" spans="1:12" s="9" customFormat="1" ht="5.0999999999999996" customHeight="1" x14ac:dyDescent="0.3">
      <c r="A108" s="92"/>
      <c r="B108" s="156"/>
      <c r="C108" s="156"/>
      <c r="D108" s="113"/>
      <c r="E108" s="114"/>
      <c r="F108" s="114"/>
      <c r="G108" s="114"/>
      <c r="H108" s="114"/>
      <c r="I108" s="158"/>
      <c r="J108" s="545"/>
      <c r="K108" s="545"/>
      <c r="L108" s="117"/>
    </row>
    <row r="109" spans="1:12" s="9" customFormat="1" ht="16.5" customHeight="1" x14ac:dyDescent="0.3">
      <c r="A109" s="92"/>
      <c r="B109" s="162" t="s">
        <v>23</v>
      </c>
      <c r="C109" s="162"/>
      <c r="D109" s="113"/>
      <c r="E109" s="113" t="s">
        <v>24</v>
      </c>
      <c r="F109" s="114"/>
      <c r="G109" s="114"/>
      <c r="H109" s="114"/>
      <c r="I109" s="157" t="s">
        <v>25</v>
      </c>
      <c r="J109" s="546">
        <f ca="1">J71</f>
        <v>19175.675675675677</v>
      </c>
      <c r="K109" s="547"/>
      <c r="L109" s="163"/>
    </row>
    <row r="110" spans="1:12" s="9" customFormat="1" ht="5.0999999999999996" customHeight="1" x14ac:dyDescent="0.3">
      <c r="A110" s="92"/>
      <c r="B110" s="156"/>
      <c r="C110" s="156"/>
      <c r="D110" s="113"/>
      <c r="E110" s="114"/>
      <c r="F110" s="114"/>
      <c r="G110" s="114"/>
      <c r="H110" s="114"/>
      <c r="I110" s="158"/>
      <c r="J110" s="545"/>
      <c r="K110" s="545"/>
      <c r="L110" s="117"/>
    </row>
    <row r="111" spans="1:12" s="9" customFormat="1" ht="16.5" customHeight="1" x14ac:dyDescent="0.3">
      <c r="A111" s="92"/>
      <c r="B111" s="164"/>
      <c r="C111" s="165"/>
      <c r="D111" s="113"/>
      <c r="E111" s="113"/>
      <c r="F111" s="114"/>
      <c r="G111" s="114"/>
      <c r="H111" s="114"/>
      <c r="I111" s="157" t="s">
        <v>26</v>
      </c>
      <c r="J111" s="166"/>
      <c r="K111" s="167">
        <f ca="1">K73</f>
        <v>193500</v>
      </c>
      <c r="L111" s="163"/>
    </row>
    <row r="112" spans="1:12" s="9" customFormat="1" ht="7.5" customHeight="1" x14ac:dyDescent="0.25">
      <c r="A112" s="168"/>
      <c r="B112" s="154"/>
      <c r="C112" s="154"/>
      <c r="D112" s="153"/>
      <c r="E112" s="169"/>
      <c r="F112" s="152"/>
      <c r="G112" s="114"/>
      <c r="H112" s="114"/>
      <c r="I112" s="170"/>
      <c r="J112" s="169"/>
      <c r="K112" s="152"/>
      <c r="L112" s="171"/>
    </row>
    <row r="113" spans="1:12" s="9" customFormat="1" ht="13.5" customHeight="1" x14ac:dyDescent="0.25">
      <c r="A113" s="92"/>
      <c r="B113" s="172" t="s">
        <v>27</v>
      </c>
      <c r="C113" s="154"/>
      <c r="D113" s="153"/>
      <c r="E113" s="114"/>
      <c r="F113" s="114"/>
      <c r="G113" s="114"/>
      <c r="H113" s="97"/>
      <c r="I113" s="178" t="s">
        <v>12</v>
      </c>
      <c r="J113" s="548" t="str">
        <f ca="1">J75</f>
        <v>NOVI / CONDRO</v>
      </c>
      <c r="K113" s="549"/>
      <c r="L113" s="117"/>
    </row>
    <row r="114" spans="1:12" s="9" customFormat="1" ht="13.5" customHeight="1" x14ac:dyDescent="0.25">
      <c r="A114" s="168"/>
      <c r="B114" s="173"/>
      <c r="C114" s="114"/>
      <c r="D114" s="139"/>
      <c r="E114" s="114"/>
      <c r="F114" s="114"/>
      <c r="G114" s="114"/>
      <c r="H114" s="97"/>
      <c r="I114" s="179" t="s">
        <v>13</v>
      </c>
      <c r="J114" s="548" t="str">
        <f ca="1">J76</f>
        <v/>
      </c>
      <c r="K114" s="549"/>
      <c r="L114" s="171"/>
    </row>
    <row r="115" spans="1:12" s="9" customFormat="1" ht="7.5" customHeight="1" x14ac:dyDescent="0.25">
      <c r="A115" s="168"/>
      <c r="B115" s="173"/>
      <c r="C115" s="114"/>
      <c r="D115" s="139"/>
      <c r="E115" s="114"/>
      <c r="F115" s="114"/>
      <c r="G115" s="114"/>
      <c r="H115" s="114"/>
      <c r="I115" s="170"/>
      <c r="J115" s="174"/>
      <c r="K115" s="174"/>
      <c r="L115" s="171"/>
    </row>
  </sheetData>
  <mergeCells count="40">
    <mergeCell ref="J113:K113"/>
    <mergeCell ref="J114:K114"/>
    <mergeCell ref="J104:K104"/>
    <mergeCell ref="J105:K105"/>
    <mergeCell ref="J106:K106"/>
    <mergeCell ref="J108:K108"/>
    <mergeCell ref="J109:K109"/>
    <mergeCell ref="J110:K110"/>
    <mergeCell ref="J75:K75"/>
    <mergeCell ref="J76:K76"/>
    <mergeCell ref="H79:K80"/>
    <mergeCell ref="F80:F82"/>
    <mergeCell ref="D81:E81"/>
    <mergeCell ref="H81:K81"/>
    <mergeCell ref="H82:K83"/>
    <mergeCell ref="J72:K72"/>
    <mergeCell ref="J37:K37"/>
    <mergeCell ref="J38:K38"/>
    <mergeCell ref="H41:K42"/>
    <mergeCell ref="F42:F44"/>
    <mergeCell ref="J66:K66"/>
    <mergeCell ref="J67:K67"/>
    <mergeCell ref="J68:K68"/>
    <mergeCell ref="J70:K70"/>
    <mergeCell ref="J71:K71"/>
    <mergeCell ref="D43:E43"/>
    <mergeCell ref="H43:K43"/>
    <mergeCell ref="H44:K45"/>
    <mergeCell ref="J28:K28"/>
    <mergeCell ref="J29:K29"/>
    <mergeCell ref="J30:K30"/>
    <mergeCell ref="J32:K32"/>
    <mergeCell ref="J33:K33"/>
    <mergeCell ref="J34:K34"/>
    <mergeCell ref="I1:J1"/>
    <mergeCell ref="H3:K4"/>
    <mergeCell ref="F4:F6"/>
    <mergeCell ref="D5:E5"/>
    <mergeCell ref="H5:K5"/>
    <mergeCell ref="H6:K7"/>
  </mergeCells>
  <printOptions horizontalCentered="1"/>
  <pageMargins left="0" right="0" top="0" bottom="0" header="0" footer="0"/>
  <pageSetup paperSize="5" orientation="portrait" horizontalDpi="4294967294" verticalDpi="0" r:id="rId1"/>
  <rowBreaks count="2" manualBreakCount="2">
    <brk id="39" max="16383" man="1"/>
    <brk id="77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41"/>
  <sheetViews>
    <sheetView topLeftCell="B1" workbookViewId="0">
      <selection activeCell="F17" sqref="F17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0" bestFit="1" customWidth="1"/>
  </cols>
  <sheetData>
    <row r="1" spans="1:6" x14ac:dyDescent="0.25">
      <c r="A1" t="s">
        <v>32</v>
      </c>
    </row>
    <row r="2" spans="1:6" x14ac:dyDescent="0.25">
      <c r="A2" t="s">
        <v>31</v>
      </c>
      <c r="B2" t="s">
        <v>33</v>
      </c>
      <c r="C2" t="s">
        <v>34</v>
      </c>
      <c r="D2" t="s">
        <v>35</v>
      </c>
      <c r="E2" t="s">
        <v>36</v>
      </c>
      <c r="F2" t="s">
        <v>0</v>
      </c>
    </row>
    <row r="3" spans="1:6" x14ac:dyDescent="0.25">
      <c r="A3" t="s">
        <v>80</v>
      </c>
      <c r="B3" t="s">
        <v>57</v>
      </c>
      <c r="C3" t="s">
        <v>56</v>
      </c>
      <c r="D3" t="s">
        <v>19</v>
      </c>
      <c r="E3" s="85" t="str">
        <f>CONCATENATE(Table2[[#This Row],[b]],IF(Table2[[#This Row],[c]]=""," ",CONCATENATE(" ",Table2[[#This Row],[c]]," ")),Table2[[#This Row],[d]])</f>
        <v>CV PELITA JAYA (ANUGERAH SEJAHTERA) PURWOKERTO</v>
      </c>
      <c r="F3" t="s">
        <v>130</v>
      </c>
    </row>
    <row r="4" spans="1:6" x14ac:dyDescent="0.25">
      <c r="A4" t="s">
        <v>83</v>
      </c>
      <c r="B4" t="s">
        <v>84</v>
      </c>
      <c r="C4" t="s">
        <v>85</v>
      </c>
      <c r="D4" t="s">
        <v>19</v>
      </c>
      <c r="E4" s="85" t="str">
        <f>CONCATENATE(Table2[[#This Row],[b]],IF(Table2[[#This Row],[c]]=""," ",CONCATENATE(" ",Table2[[#This Row],[c]]," ")),Table2[[#This Row],[d]])</f>
        <v>SANTOSO BUDIONO (  ARMADA  ) PURWOKERTO</v>
      </c>
      <c r="F4" t="s">
        <v>130</v>
      </c>
    </row>
    <row r="5" spans="1:6" x14ac:dyDescent="0.25">
      <c r="A5" t="s">
        <v>102</v>
      </c>
      <c r="B5" t="s">
        <v>103</v>
      </c>
      <c r="D5" t="s">
        <v>104</v>
      </c>
      <c r="E5" s="85" t="str">
        <f>CONCATENATE(Table2[[#This Row],[b]],IF(Table2[[#This Row],[c]]=""," ",CONCATENATE(" ",Table2[[#This Row],[c]]," ")),Table2[[#This Row],[d]])</f>
        <v>CV PULAU ATEKA NUSANTARA SURABAYA</v>
      </c>
    </row>
    <row r="6" spans="1:6" x14ac:dyDescent="0.25">
      <c r="A6" t="s">
        <v>66</v>
      </c>
      <c r="B6" t="s">
        <v>67</v>
      </c>
      <c r="C6" t="s">
        <v>68</v>
      </c>
      <c r="D6" t="s">
        <v>69</v>
      </c>
      <c r="E6" s="85" t="str">
        <f>CONCATENATE(Table2[[#This Row],[b]],IF(Table2[[#This Row],[c]]=""," ",CONCATENATE(" ",Table2[[#This Row],[c]]," ")),Table2[[#This Row],[d]])</f>
        <v>HARNOYO (BENDAN) PEKALONGAN</v>
      </c>
      <c r="F6" t="s">
        <v>130</v>
      </c>
    </row>
    <row r="7" spans="1:6" x14ac:dyDescent="0.25">
      <c r="A7" t="s">
        <v>39</v>
      </c>
      <c r="B7" t="s">
        <v>17</v>
      </c>
      <c r="D7" t="s">
        <v>19</v>
      </c>
      <c r="E7" t="str">
        <f>CONCATENATE(Table2[[#This Row],[b]],IF(Table2[[#This Row],[c]]=""," ",CONCATENATE(" ",Table2[[#This Row],[c]]," ")),Table2[[#This Row],[d]])</f>
        <v>CV TRINITY CENTRAAL PURWOKERTO</v>
      </c>
      <c r="F7" t="s">
        <v>130</v>
      </c>
    </row>
    <row r="8" spans="1:6" x14ac:dyDescent="0.25">
      <c r="A8" t="s">
        <v>38</v>
      </c>
      <c r="B8" t="s">
        <v>28</v>
      </c>
      <c r="D8" t="s">
        <v>29</v>
      </c>
      <c r="E8" t="str">
        <f>CONCATENATE(Table2[[#This Row],[b]],IF(Table2[[#This Row],[c]]=""," ",CONCATENATE(" ",Table2[[#This Row],[c]]," ")),Table2[[#This Row],[d]])</f>
        <v>CV DWI JAYA YOGYAKARTA</v>
      </c>
      <c r="F8" t="s">
        <v>130</v>
      </c>
    </row>
    <row r="9" spans="1:6" x14ac:dyDescent="0.25">
      <c r="A9" t="s">
        <v>82</v>
      </c>
      <c r="B9" t="s">
        <v>74</v>
      </c>
      <c r="D9" t="s">
        <v>75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6" x14ac:dyDescent="0.25">
      <c r="A10" t="s">
        <v>76</v>
      </c>
      <c r="B10" t="s">
        <v>77</v>
      </c>
      <c r="D10" t="s">
        <v>78</v>
      </c>
      <c r="E10" s="85" t="str">
        <f>CONCATENATE(Table2[[#This Row],[b]],IF(Table2[[#This Row],[c]]=""," ",CONCATENATE(" ",Table2[[#This Row],[c]]," ")),Table2[[#This Row],[d]])</f>
        <v>CV GANESHA WONOSOBO</v>
      </c>
      <c r="F10" t="s">
        <v>130</v>
      </c>
    </row>
    <row r="11" spans="1:6" x14ac:dyDescent="0.25">
      <c r="A11" t="s">
        <v>132</v>
      </c>
      <c r="B11" t="s">
        <v>133</v>
      </c>
      <c r="C11" t="s">
        <v>134</v>
      </c>
      <c r="D11" t="s">
        <v>60</v>
      </c>
      <c r="E11" s="85" t="str">
        <f>CONCATENATE(Table2[[#This Row],[b]],IF(Table2[[#This Row],[c]]=""," ",CONCATENATE(" ",Table2[[#This Row],[c]]," ")),Table2[[#This Row],[d]])</f>
        <v>ROBIN SUSANTO (HIDUP BARU) JOMBANG</v>
      </c>
      <c r="F11" t="s">
        <v>141</v>
      </c>
    </row>
    <row r="12" spans="1:6" x14ac:dyDescent="0.25">
      <c r="A12" t="s">
        <v>90</v>
      </c>
      <c r="B12" t="s">
        <v>108</v>
      </c>
      <c r="D12" t="s">
        <v>91</v>
      </c>
      <c r="E12" s="85" t="str">
        <f>CONCATENATE(Table2[[#This Row],[b]],IF(Table2[[#This Row],[c]]=""," ",CONCATENATE(" ",Table2[[#This Row],[c]]," ")),Table2[[#This Row],[d]])</f>
        <v>CV LANCAR JAYA SENTOSA MALANG</v>
      </c>
      <c r="F12" t="s">
        <v>130</v>
      </c>
    </row>
    <row r="13" spans="1:6" x14ac:dyDescent="0.25">
      <c r="A13" t="s">
        <v>109</v>
      </c>
      <c r="B13" t="s">
        <v>110</v>
      </c>
      <c r="C13" t="s">
        <v>111</v>
      </c>
      <c r="D13" t="s">
        <v>63</v>
      </c>
      <c r="E13" s="85" t="str">
        <f>CONCATENATE(Table2[[#This Row],[b]],IF(Table2[[#This Row],[c]]=""," ",CONCATENATE(" ",Table2[[#This Row],[c]]," ")),Table2[[#This Row],[d]])</f>
        <v>GUNAWAN HARTONO KUSUMA ( NIKI SAE ) TULUNG AGUNG</v>
      </c>
      <c r="F13" t="s">
        <v>141</v>
      </c>
    </row>
    <row r="14" spans="1:6" x14ac:dyDescent="0.25">
      <c r="A14" t="s">
        <v>71</v>
      </c>
      <c r="B14" t="s">
        <v>72</v>
      </c>
      <c r="D14" t="s">
        <v>73</v>
      </c>
      <c r="E14" s="85" t="str">
        <f>CONCATENATE(Table2[[#This Row],[b]],IF(Table2[[#This Row],[c]]=""," ",CONCATENATE(" ",Table2[[#This Row],[c]]," ")),Table2[[#This Row],[d]])</f>
        <v>CV SINAR CAHAYA NIRMALA BREBES</v>
      </c>
      <c r="F14" t="s">
        <v>130</v>
      </c>
    </row>
    <row r="15" spans="1:6" x14ac:dyDescent="0.25">
      <c r="A15" t="s">
        <v>107</v>
      </c>
      <c r="B15" t="s">
        <v>105</v>
      </c>
      <c r="C15" t="s">
        <v>106</v>
      </c>
      <c r="D15" t="s">
        <v>69</v>
      </c>
      <c r="E15" s="85" t="str">
        <f>CONCATENATE(Table2[[#This Row],[b]],IF(Table2[[#This Row],[c]]=""," ",CONCATENATE(" ",Table2[[#This Row],[c]]," ")),Table2[[#This Row],[d]])</f>
        <v>SETIAWAN BUDIONO ( PRIMA ) PEKALONGAN</v>
      </c>
      <c r="F15" t="s">
        <v>130</v>
      </c>
    </row>
    <row r="16" spans="1:6" x14ac:dyDescent="0.25">
      <c r="A16" t="s">
        <v>310</v>
      </c>
      <c r="B16" t="s">
        <v>64</v>
      </c>
      <c r="C16" t="s">
        <v>309</v>
      </c>
      <c r="D16" t="s">
        <v>65</v>
      </c>
      <c r="E16" s="85" t="str">
        <f>CONCATENATE(Table2[[#This Row],[b]],IF(Table2[[#This Row],[c]]=""," ",CONCATENATE(" ",Table2[[#This Row],[c]]," ")),Table2[[#This Row],[d]])</f>
        <v>CV RAINBOW NUSANTARA ( PELANGI ) SIDOARJO</v>
      </c>
      <c r="F16" t="s">
        <v>130</v>
      </c>
    </row>
    <row r="17" spans="1:6" x14ac:dyDescent="0.25">
      <c r="A17" t="s">
        <v>89</v>
      </c>
      <c r="B17" t="s">
        <v>61</v>
      </c>
      <c r="C17" t="s">
        <v>59</v>
      </c>
      <c r="D17" t="s">
        <v>60</v>
      </c>
      <c r="E17" s="85" t="str">
        <f>CONCATENATE(Table2[[#This Row],[b]],IF(Table2[[#This Row],[c]]=""," ",CONCATENATE(" ",Table2[[#This Row],[c]]," ")),Table2[[#This Row],[d]])</f>
        <v>LILY JULIAWATI (REJO AGUNG) JOMBANG</v>
      </c>
      <c r="F17" t="s">
        <v>141</v>
      </c>
    </row>
    <row r="18" spans="1:6" x14ac:dyDescent="0.25">
      <c r="A18" t="s">
        <v>97</v>
      </c>
      <c r="B18" t="s">
        <v>120</v>
      </c>
      <c r="D18" t="s">
        <v>98</v>
      </c>
      <c r="E18" s="85" t="str">
        <f>CONCATENATE(Table2[[#This Row],[b]],IF(Table2[[#This Row],[c]]=""," ",CONCATENATE(" ",Table2[[#This Row],[c]]," ")),Table2[[#This Row],[d]])</f>
        <v>CV FM 90 KEBUMEN</v>
      </c>
      <c r="F18" t="s">
        <v>142</v>
      </c>
    </row>
    <row r="19" spans="1:6" x14ac:dyDescent="0.25">
      <c r="A19" t="s">
        <v>121</v>
      </c>
      <c r="B19" t="s">
        <v>122</v>
      </c>
      <c r="C19" t="s">
        <v>124</v>
      </c>
      <c r="D19" t="s">
        <v>123</v>
      </c>
      <c r="E19" s="85" t="str">
        <f>CONCATENATE(Table2[[#This Row],[b]],IF(Table2[[#This Row],[c]]=""," ",CONCATENATE(" ",Table2[[#This Row],[c]]," ")),Table2[[#This Row],[d]])</f>
        <v>MONG SANTOSA ANDRESTA ( SIDU ) SALATIGA</v>
      </c>
    </row>
    <row r="20" spans="1:6" x14ac:dyDescent="0.25">
      <c r="A20" t="s">
        <v>58</v>
      </c>
      <c r="B20" t="s">
        <v>113</v>
      </c>
      <c r="C20" t="s">
        <v>112</v>
      </c>
      <c r="D20" t="s">
        <v>29</v>
      </c>
      <c r="E20" s="85" t="str">
        <f>CONCATENATE(Table2[[#This Row],[b]],IF(Table2[[#This Row],[c]]=""," ",CONCATENATE(" ",Table2[[#This Row],[c]]," ")),Table2[[#This Row],[d]])</f>
        <v>MUHAMMAD AGUS MUNADI ( SINAR BHAKTI ) YOGYAKARTA</v>
      </c>
      <c r="F20" t="s">
        <v>141</v>
      </c>
    </row>
    <row r="21" spans="1:6" x14ac:dyDescent="0.25">
      <c r="A21" t="s">
        <v>92</v>
      </c>
      <c r="B21" t="s">
        <v>94</v>
      </c>
      <c r="D21" t="s">
        <v>93</v>
      </c>
      <c r="E21" s="85" t="str">
        <f>CONCATENATE(Table2[[#This Row],[b]],IF(Table2[[#This Row],[c]]=""," ",CONCATENATE(" ",Table2[[#This Row],[c]]," ")),Table2[[#This Row],[d]])</f>
        <v>CV TIARA SOLO</v>
      </c>
      <c r="F21" t="s">
        <v>142</v>
      </c>
    </row>
    <row r="22" spans="1:6" x14ac:dyDescent="0.25">
      <c r="A22" t="s">
        <v>88</v>
      </c>
      <c r="B22" t="s">
        <v>62</v>
      </c>
      <c r="D22" t="s">
        <v>63</v>
      </c>
      <c r="E22" s="85" t="str">
        <f>CONCATENATE(Table2[[#This Row],[b]],IF(Table2[[#This Row],[c]]=""," ",CONCATENATE(" ",Table2[[#This Row],[c]]," ")),Table2[[#This Row],[d]])</f>
        <v>CV UTAMA PUTRA TULUNG AGUNG</v>
      </c>
      <c r="F22" t="s">
        <v>141</v>
      </c>
    </row>
    <row r="23" spans="1:6" x14ac:dyDescent="0.25">
      <c r="A23" t="s">
        <v>87</v>
      </c>
      <c r="B23" t="s">
        <v>86</v>
      </c>
      <c r="D23" t="s">
        <v>19</v>
      </c>
      <c r="E23" s="85" t="str">
        <f>CONCATENATE(Table2[[#This Row],[b]],IF(Table2[[#This Row],[c]]=""," ",CONCATENATE(" ",Table2[[#This Row],[c]]," ")),Table2[[#This Row],[d]])</f>
        <v>CV  WISUDA PURWOKERTO</v>
      </c>
      <c r="F23" t="s">
        <v>130</v>
      </c>
    </row>
    <row r="24" spans="1:6" x14ac:dyDescent="0.25">
      <c r="A24" t="s">
        <v>143</v>
      </c>
      <c r="B24" t="s">
        <v>144</v>
      </c>
      <c r="D24" t="s">
        <v>91</v>
      </c>
      <c r="E24" s="85" t="str">
        <f>CONCATENATE(Table2[[#This Row],[b]],IF(Table2[[#This Row],[c]]=""," ",CONCATENATE(" ",Table2[[#This Row],[c]]," ")),Table2[[#This Row],[d]])</f>
        <v>CV MORNING STAR NUSANTARA MALANG</v>
      </c>
      <c r="F24" t="s">
        <v>130</v>
      </c>
    </row>
    <row r="25" spans="1:6" x14ac:dyDescent="0.25">
      <c r="A25" t="s">
        <v>146</v>
      </c>
      <c r="B25" t="s">
        <v>147</v>
      </c>
      <c r="C25" t="s">
        <v>148</v>
      </c>
      <c r="D25" t="s">
        <v>155</v>
      </c>
      <c r="E25" s="85" t="str">
        <f>CONCATENATE(Table2[[#This Row],[b]],IF(Table2[[#This Row],[c]]=""," ",CONCATENATE(" ",Table2[[#This Row],[c]]," ")),Table2[[#This Row],[d]])</f>
        <v>CV MULIA JAYA ( RAHAYU ) MRANGGEN</v>
      </c>
      <c r="F25" t="s">
        <v>142</v>
      </c>
    </row>
    <row r="26" spans="1:6" x14ac:dyDescent="0.25">
      <c r="A26" t="s">
        <v>152</v>
      </c>
      <c r="B26" t="s">
        <v>153</v>
      </c>
      <c r="C26" t="s">
        <v>154</v>
      </c>
      <c r="D26" t="s">
        <v>156</v>
      </c>
      <c r="E26" s="85" t="str">
        <f>CONCATENATE(Table2[[#This Row],[b]],IF(Table2[[#This Row],[c]]=""," ",CONCATENATE(" ",Table2[[#This Row],[c]]," ")),Table2[[#This Row],[d]])</f>
        <v>PT.HASTA KENCANA SAKTI ( TRIO PLAZA ) MAGELANG</v>
      </c>
      <c r="F26" t="s">
        <v>141</v>
      </c>
    </row>
    <row r="27" spans="1:6" x14ac:dyDescent="0.25">
      <c r="A27" t="s">
        <v>185</v>
      </c>
      <c r="B27" t="s">
        <v>192</v>
      </c>
      <c r="C27" t="s">
        <v>186</v>
      </c>
      <c r="D27" t="s">
        <v>187</v>
      </c>
      <c r="E27" s="85" t="str">
        <f>CONCATENATE(Table2[[#This Row],[b]],IF(Table2[[#This Row],[c]]=""," ",CONCATENATE(" ",Table2[[#This Row],[c]]," ")),Table2[[#This Row],[d]])</f>
        <v>CV.BENGAWAN MULTI TRENDING (LUWES) PATI</v>
      </c>
      <c r="F27" t="s">
        <v>142</v>
      </c>
    </row>
    <row r="28" spans="1:6" x14ac:dyDescent="0.25">
      <c r="A28" t="s">
        <v>191</v>
      </c>
      <c r="B28" t="s">
        <v>188</v>
      </c>
      <c r="C28" t="s">
        <v>189</v>
      </c>
      <c r="D28" t="s">
        <v>190</v>
      </c>
      <c r="E28" s="85" t="str">
        <f>CONCATENATE(Table2[[#This Row],[b]],IF(Table2[[#This Row],[c]]=""," ",CONCATENATE(" ",Table2[[#This Row],[c]]," ")),Table2[[#This Row],[d]])</f>
        <v>PT RAMAI SANTOSO SEJAHTERA ( RAMAI SWALAYAN ) UNGARAN</v>
      </c>
      <c r="F28" t="s">
        <v>142</v>
      </c>
    </row>
    <row r="29" spans="1:6" x14ac:dyDescent="0.25">
      <c r="A29">
        <v>0</v>
      </c>
      <c r="B29">
        <v>0</v>
      </c>
      <c r="C29">
        <v>0</v>
      </c>
      <c r="D29">
        <v>0</v>
      </c>
      <c r="E29" s="85" t="str">
        <f>CONCATENATE(Table2[[#This Row],[b]],IF(Table2[[#This Row],[c]]=""," ",CONCATENATE(" ",Table2[[#This Row],[c]]," ")),Table2[[#This Row],[d]])</f>
        <v>0 0 0</v>
      </c>
      <c r="F29">
        <v>0</v>
      </c>
    </row>
    <row r="30" spans="1:6" x14ac:dyDescent="0.25">
      <c r="A30" t="s">
        <v>169</v>
      </c>
      <c r="B30">
        <v>1</v>
      </c>
      <c r="C30" t="s">
        <v>171</v>
      </c>
      <c r="E30" s="85" t="e">
        <f>CONCATENATE(Table2[[#This Row],[b]],IF(Table2[[#This Row],[c]]=""," ",CONCATENATE(" ",Table2[[#This Row],[c]]," ")),Table2[[#This Row],[d]])</f>
        <v>#VALUE!</v>
      </c>
    </row>
    <row r="31" spans="1:6" x14ac:dyDescent="0.25">
      <c r="A31" t="s">
        <v>169</v>
      </c>
      <c r="B31">
        <v>1</v>
      </c>
      <c r="C31" t="s">
        <v>177</v>
      </c>
      <c r="E31" s="85" t="e">
        <f>CONCATENATE(Table2[[#This Row],[b]],IF(Table2[[#This Row],[c]]=""," ",CONCATENATE(" ",Table2[[#This Row],[c]]," ")),Table2[[#This Row],[d]])</f>
        <v>#VALUE!</v>
      </c>
    </row>
    <row r="32" spans="1:6" x14ac:dyDescent="0.25">
      <c r="A32" t="s">
        <v>167</v>
      </c>
      <c r="B32">
        <v>2</v>
      </c>
      <c r="C32" t="s">
        <v>171</v>
      </c>
    </row>
    <row r="33" spans="1:3" x14ac:dyDescent="0.25">
      <c r="A33" t="s">
        <v>168</v>
      </c>
      <c r="B33">
        <v>2</v>
      </c>
      <c r="C33" t="s">
        <v>171</v>
      </c>
    </row>
    <row r="34" spans="1:3" x14ac:dyDescent="0.25">
      <c r="A34" t="s">
        <v>170</v>
      </c>
      <c r="B34">
        <v>1</v>
      </c>
      <c r="C34" t="s">
        <v>171</v>
      </c>
    </row>
    <row r="35" spans="1:3" x14ac:dyDescent="0.25">
      <c r="A35" t="s">
        <v>172</v>
      </c>
    </row>
    <row r="36" spans="1:3" x14ac:dyDescent="0.25">
      <c r="A36" t="s">
        <v>173</v>
      </c>
      <c r="B36" t="s">
        <v>174</v>
      </c>
      <c r="C36" t="s">
        <v>175</v>
      </c>
    </row>
    <row r="37" spans="1:3" x14ac:dyDescent="0.25">
      <c r="A37" t="s">
        <v>176</v>
      </c>
    </row>
    <row r="38" spans="1:3" x14ac:dyDescent="0.25">
      <c r="A38" t="s">
        <v>178</v>
      </c>
      <c r="B38">
        <v>1</v>
      </c>
      <c r="C38" t="s">
        <v>177</v>
      </c>
    </row>
    <row r="39" spans="1:3" x14ac:dyDescent="0.25">
      <c r="A39" t="s">
        <v>179</v>
      </c>
      <c r="B39">
        <v>1</v>
      </c>
    </row>
    <row r="40" spans="1:3" x14ac:dyDescent="0.25">
      <c r="A40" t="s">
        <v>180</v>
      </c>
      <c r="B40">
        <v>1</v>
      </c>
    </row>
    <row r="41" spans="1:3" x14ac:dyDescent="0.25">
      <c r="A41" t="s">
        <v>181</v>
      </c>
      <c r="B41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114"/>
  <sheetViews>
    <sheetView workbookViewId="0">
      <selection activeCell="F22" sqref="F22"/>
    </sheetView>
  </sheetViews>
  <sheetFormatPr defaultRowHeight="15" x14ac:dyDescent="0.25"/>
  <cols>
    <col min="1" max="1" width="2.140625" style="3" customWidth="1"/>
    <col min="2" max="3" width="5.7109375" style="3" customWidth="1"/>
    <col min="4" max="4" width="3.7109375" style="3" customWidth="1"/>
    <col min="5" max="5" width="15" style="3" customWidth="1"/>
    <col min="6" max="6" width="23.28515625" style="3" customWidth="1"/>
    <col min="7" max="7" width="11.7109375" style="3" customWidth="1"/>
    <col min="8" max="8" width="11.140625" style="3" bestFit="1" customWidth="1"/>
    <col min="9" max="10" width="5.7109375" style="3" customWidth="1"/>
    <col min="11" max="11" width="14.7109375" style="3" customWidth="1"/>
    <col min="12" max="12" width="1.28515625" style="3" customWidth="1"/>
    <col min="13" max="16384" width="9.140625" style="3"/>
  </cols>
  <sheetData>
    <row r="1" spans="1:12" ht="7.5" customHeight="1" x14ac:dyDescent="0.25">
      <c r="A1" s="2"/>
      <c r="D1" s="4"/>
      <c r="I1" s="5"/>
      <c r="J1" s="5"/>
    </row>
    <row r="2" spans="1:12" s="9" customFormat="1" ht="16.5" customHeight="1" x14ac:dyDescent="0.3">
      <c r="A2" s="6"/>
      <c r="B2" s="1" t="s">
        <v>1</v>
      </c>
      <c r="C2" s="7"/>
      <c r="D2" s="301" t="s">
        <v>15</v>
      </c>
      <c r="E2" s="8">
        <v>23110001</v>
      </c>
      <c r="G2" s="10" t="s">
        <v>16</v>
      </c>
      <c r="H2" s="500" t="s">
        <v>17</v>
      </c>
      <c r="I2" s="500"/>
      <c r="J2" s="500"/>
      <c r="K2" s="501"/>
      <c r="L2" s="11"/>
    </row>
    <row r="3" spans="1:12" s="9" customFormat="1" ht="7.5" customHeight="1" x14ac:dyDescent="0.3">
      <c r="A3" s="6"/>
      <c r="B3" s="12"/>
      <c r="C3" s="13"/>
      <c r="D3" s="14"/>
      <c r="E3" s="15"/>
      <c r="F3" s="571" t="s">
        <v>18</v>
      </c>
      <c r="G3" s="16"/>
      <c r="H3" s="502"/>
      <c r="I3" s="502"/>
      <c r="J3" s="502"/>
      <c r="K3" s="503"/>
      <c r="L3" s="11"/>
    </row>
    <row r="4" spans="1:12" s="9" customFormat="1" ht="16.5" customHeight="1" x14ac:dyDescent="0.3">
      <c r="A4" s="6"/>
      <c r="B4" s="1" t="s">
        <v>2</v>
      </c>
      <c r="C4" s="7"/>
      <c r="D4" s="505">
        <v>45232</v>
      </c>
      <c r="E4" s="506"/>
      <c r="F4" s="571"/>
      <c r="G4" s="17"/>
      <c r="H4" s="507" t="s">
        <v>137</v>
      </c>
      <c r="I4" s="507"/>
      <c r="J4" s="507"/>
      <c r="K4" s="508"/>
      <c r="L4" s="17"/>
    </row>
    <row r="5" spans="1:12" s="9" customFormat="1" ht="7.5" customHeight="1" x14ac:dyDescent="0.3">
      <c r="A5" s="6"/>
      <c r="B5" s="12"/>
      <c r="C5" s="13"/>
      <c r="D5" s="14"/>
      <c r="E5" s="15"/>
      <c r="F5" s="571"/>
      <c r="G5" s="17"/>
      <c r="H5" s="509" t="s">
        <v>19</v>
      </c>
      <c r="I5" s="509"/>
      <c r="J5" s="509"/>
      <c r="K5" s="510"/>
      <c r="L5" s="18"/>
    </row>
    <row r="6" spans="1:12" s="9" customFormat="1" ht="16.5" customHeight="1" x14ac:dyDescent="0.4">
      <c r="A6" s="6"/>
      <c r="B6" s="1" t="s">
        <v>3</v>
      </c>
      <c r="C6" s="7"/>
      <c r="D6" s="19" t="s">
        <v>138</v>
      </c>
      <c r="E6" s="8"/>
      <c r="F6" s="20"/>
      <c r="G6" s="21"/>
      <c r="H6" s="511"/>
      <c r="I6" s="511"/>
      <c r="J6" s="511"/>
      <c r="K6" s="512"/>
      <c r="L6" s="18"/>
    </row>
    <row r="7" spans="1:12" s="9" customFormat="1" ht="7.5" customHeight="1" x14ac:dyDescent="0.45">
      <c r="A7" s="6"/>
      <c r="B7" s="22"/>
      <c r="C7" s="23"/>
      <c r="D7" s="24"/>
      <c r="F7" s="25"/>
      <c r="I7" s="26"/>
      <c r="J7" s="26"/>
      <c r="K7" s="27"/>
    </row>
    <row r="8" spans="1:12" s="9" customFormat="1" ht="14.25" thickBot="1" x14ac:dyDescent="0.3">
      <c r="A8" s="6"/>
      <c r="B8" s="28" t="s">
        <v>5</v>
      </c>
      <c r="C8" s="28" t="s">
        <v>6</v>
      </c>
      <c r="D8" s="29" t="s">
        <v>7</v>
      </c>
      <c r="E8" s="30"/>
      <c r="F8" s="31" t="s">
        <v>8</v>
      </c>
      <c r="G8" s="32"/>
      <c r="H8" s="28" t="s">
        <v>9</v>
      </c>
      <c r="I8" s="33" t="s">
        <v>10</v>
      </c>
      <c r="J8" s="33" t="s">
        <v>11</v>
      </c>
      <c r="K8" s="34" t="s">
        <v>20</v>
      </c>
      <c r="L8" s="35"/>
    </row>
    <row r="9" spans="1:12" s="9" customFormat="1" ht="9.9499999999999993" customHeight="1" thickTop="1" x14ac:dyDescent="0.25">
      <c r="A9" s="6"/>
      <c r="B9" s="36"/>
      <c r="C9" s="37"/>
      <c r="D9" s="38"/>
      <c r="E9" s="39"/>
      <c r="F9" s="40"/>
      <c r="G9" s="41"/>
      <c r="H9" s="36"/>
      <c r="I9" s="42"/>
      <c r="J9" s="42"/>
      <c r="K9" s="43"/>
      <c r="L9" s="35"/>
    </row>
    <row r="10" spans="1:12" s="9" customFormat="1" ht="14.1" customHeight="1" x14ac:dyDescent="0.25">
      <c r="A10" s="44">
        <v>1</v>
      </c>
      <c r="B10" s="45">
        <v>20</v>
      </c>
      <c r="C10" s="45" t="s">
        <v>135</v>
      </c>
      <c r="D10" s="46" t="s">
        <v>137</v>
      </c>
      <c r="E10" s="47" t="s">
        <v>139</v>
      </c>
      <c r="F10" s="48"/>
      <c r="G10" s="49"/>
      <c r="H10" s="50">
        <v>37500</v>
      </c>
      <c r="I10" s="51"/>
      <c r="J10" s="51"/>
      <c r="K10" s="52">
        <f t="shared" ref="K10:K25" si="0">(B10*H10-((B10*H10)*I10))-((B10*H10-((B10*H10)*I10))*J10)</f>
        <v>750000</v>
      </c>
      <c r="L10" s="35"/>
    </row>
    <row r="11" spans="1:12" s="9" customFormat="1" ht="14.1" customHeight="1" x14ac:dyDescent="0.25">
      <c r="A11" s="44">
        <v>2</v>
      </c>
      <c r="B11" s="45"/>
      <c r="C11" s="45"/>
      <c r="D11" s="46"/>
      <c r="E11" s="47"/>
      <c r="F11" s="48"/>
      <c r="G11" s="49"/>
      <c r="H11" s="50"/>
      <c r="I11" s="51"/>
      <c r="J11" s="51"/>
      <c r="K11" s="52">
        <f t="shared" si="0"/>
        <v>0</v>
      </c>
      <c r="L11" s="35"/>
    </row>
    <row r="12" spans="1:12" s="9" customFormat="1" ht="14.1" customHeight="1" x14ac:dyDescent="0.25">
      <c r="A12" s="44">
        <v>3</v>
      </c>
      <c r="B12" s="45"/>
      <c r="C12" s="45"/>
      <c r="D12" s="46"/>
      <c r="E12" s="47"/>
      <c r="F12" s="48"/>
      <c r="G12" s="49"/>
      <c r="H12" s="50"/>
      <c r="I12" s="51"/>
      <c r="J12" s="51"/>
      <c r="K12" s="52">
        <f t="shared" si="0"/>
        <v>0</v>
      </c>
      <c r="L12" s="35"/>
    </row>
    <row r="13" spans="1:12" s="9" customFormat="1" ht="14.1" customHeight="1" x14ac:dyDescent="0.25">
      <c r="A13" s="44">
        <v>4</v>
      </c>
      <c r="B13" s="45"/>
      <c r="C13" s="45"/>
      <c r="D13" s="46"/>
      <c r="E13" s="47"/>
      <c r="F13" s="48"/>
      <c r="G13" s="49"/>
      <c r="H13" s="50"/>
      <c r="I13" s="51"/>
      <c r="J13" s="51"/>
      <c r="K13" s="52">
        <f t="shared" si="0"/>
        <v>0</v>
      </c>
      <c r="L13" s="35"/>
    </row>
    <row r="14" spans="1:12" s="9" customFormat="1" ht="14.1" customHeight="1" x14ac:dyDescent="0.25">
      <c r="A14" s="44">
        <v>5</v>
      </c>
      <c r="B14" s="45"/>
      <c r="C14" s="45"/>
      <c r="D14" s="46"/>
      <c r="E14" s="47"/>
      <c r="F14" s="48"/>
      <c r="G14" s="49"/>
      <c r="H14" s="50"/>
      <c r="I14" s="51"/>
      <c r="J14" s="51"/>
      <c r="K14" s="52">
        <f t="shared" si="0"/>
        <v>0</v>
      </c>
      <c r="L14" s="35"/>
    </row>
    <row r="15" spans="1:12" s="9" customFormat="1" ht="14.1" customHeight="1" x14ac:dyDescent="0.25">
      <c r="A15" s="44">
        <v>6</v>
      </c>
      <c r="B15" s="45"/>
      <c r="C15" s="45"/>
      <c r="D15" s="46"/>
      <c r="E15" s="47"/>
      <c r="F15" s="48"/>
      <c r="G15" s="49"/>
      <c r="H15" s="50"/>
      <c r="I15" s="51"/>
      <c r="J15" s="51"/>
      <c r="K15" s="52">
        <f t="shared" si="0"/>
        <v>0</v>
      </c>
      <c r="L15" s="35"/>
    </row>
    <row r="16" spans="1:12" s="9" customFormat="1" ht="14.1" customHeight="1" x14ac:dyDescent="0.25">
      <c r="A16" s="44">
        <v>7</v>
      </c>
      <c r="B16" s="45"/>
      <c r="C16" s="45"/>
      <c r="D16" s="46"/>
      <c r="E16" s="47"/>
      <c r="F16" s="48"/>
      <c r="G16" s="49"/>
      <c r="H16" s="50"/>
      <c r="I16" s="51"/>
      <c r="J16" s="51"/>
      <c r="K16" s="52">
        <f t="shared" si="0"/>
        <v>0</v>
      </c>
      <c r="L16" s="35"/>
    </row>
    <row r="17" spans="1:12" s="9" customFormat="1" ht="14.1" customHeight="1" x14ac:dyDescent="0.25">
      <c r="A17" s="44">
        <v>8</v>
      </c>
      <c r="B17" s="45"/>
      <c r="C17" s="45"/>
      <c r="D17" s="46"/>
      <c r="E17" s="302"/>
      <c r="F17" s="48"/>
      <c r="G17" s="49"/>
      <c r="H17" s="50"/>
      <c r="I17" s="51"/>
      <c r="J17" s="51"/>
      <c r="K17" s="52">
        <f t="shared" si="0"/>
        <v>0</v>
      </c>
      <c r="L17" s="35"/>
    </row>
    <row r="18" spans="1:12" s="9" customFormat="1" ht="14.1" customHeight="1" x14ac:dyDescent="0.25">
      <c r="A18" s="44">
        <v>9</v>
      </c>
      <c r="B18" s="45"/>
      <c r="C18" s="45"/>
      <c r="D18" s="46"/>
      <c r="E18" s="47"/>
      <c r="F18" s="48"/>
      <c r="G18" s="49"/>
      <c r="H18" s="50"/>
      <c r="I18" s="51"/>
      <c r="J18" s="51"/>
      <c r="K18" s="52">
        <f t="shared" si="0"/>
        <v>0</v>
      </c>
      <c r="L18" s="35"/>
    </row>
    <row r="19" spans="1:12" s="9" customFormat="1" ht="14.1" customHeight="1" x14ac:dyDescent="0.25">
      <c r="A19" s="44">
        <v>10</v>
      </c>
      <c r="B19" s="45"/>
      <c r="C19" s="45"/>
      <c r="D19" s="46"/>
      <c r="E19" s="47"/>
      <c r="F19" s="48"/>
      <c r="G19" s="49"/>
      <c r="H19" s="50"/>
      <c r="I19" s="51"/>
      <c r="J19" s="51"/>
      <c r="K19" s="52">
        <f t="shared" si="0"/>
        <v>0</v>
      </c>
      <c r="L19" s="35"/>
    </row>
    <row r="20" spans="1:12" s="9" customFormat="1" ht="14.1" customHeight="1" x14ac:dyDescent="0.25">
      <c r="A20" s="44">
        <v>11</v>
      </c>
      <c r="B20" s="45"/>
      <c r="C20" s="45"/>
      <c r="D20" s="46"/>
      <c r="E20" s="47"/>
      <c r="F20" s="48"/>
      <c r="G20" s="49"/>
      <c r="H20" s="50"/>
      <c r="I20" s="51"/>
      <c r="J20" s="51"/>
      <c r="K20" s="52">
        <f t="shared" si="0"/>
        <v>0</v>
      </c>
      <c r="L20" s="35"/>
    </row>
    <row r="21" spans="1:12" s="9" customFormat="1" ht="14.1" customHeight="1" x14ac:dyDescent="0.25">
      <c r="A21" s="44">
        <v>12</v>
      </c>
      <c r="B21" s="45"/>
      <c r="C21" s="45"/>
      <c r="D21" s="46"/>
      <c r="E21" s="47"/>
      <c r="F21" s="48"/>
      <c r="G21" s="49"/>
      <c r="H21" s="50"/>
      <c r="I21" s="51"/>
      <c r="J21" s="51"/>
      <c r="K21" s="52">
        <f t="shared" si="0"/>
        <v>0</v>
      </c>
      <c r="L21" s="35"/>
    </row>
    <row r="22" spans="1:12" s="9" customFormat="1" ht="14.1" customHeight="1" x14ac:dyDescent="0.25">
      <c r="A22" s="44">
        <v>13</v>
      </c>
      <c r="B22" s="45"/>
      <c r="C22" s="45"/>
      <c r="D22" s="46"/>
      <c r="E22" s="47"/>
      <c r="F22" s="48"/>
      <c r="G22" s="49"/>
      <c r="H22" s="50"/>
      <c r="I22" s="51"/>
      <c r="J22" s="51"/>
      <c r="K22" s="52">
        <f t="shared" si="0"/>
        <v>0</v>
      </c>
      <c r="L22" s="35"/>
    </row>
    <row r="23" spans="1:12" s="9" customFormat="1" ht="14.1" customHeight="1" x14ac:dyDescent="0.25">
      <c r="A23" s="44">
        <v>14</v>
      </c>
      <c r="B23" s="45"/>
      <c r="C23" s="45"/>
      <c r="D23" s="46"/>
      <c r="E23" s="47"/>
      <c r="F23" s="48"/>
      <c r="G23" s="49"/>
      <c r="H23" s="50"/>
      <c r="I23" s="51"/>
      <c r="J23" s="51"/>
      <c r="K23" s="52">
        <f t="shared" si="0"/>
        <v>0</v>
      </c>
      <c r="L23" s="35"/>
    </row>
    <row r="24" spans="1:12" s="9" customFormat="1" ht="14.1" customHeight="1" x14ac:dyDescent="0.25">
      <c r="A24" s="44">
        <v>15</v>
      </c>
      <c r="B24" s="45"/>
      <c r="C24" s="45"/>
      <c r="D24" s="46"/>
      <c r="E24" s="47"/>
      <c r="F24" s="48"/>
      <c r="G24" s="49"/>
      <c r="H24" s="50"/>
      <c r="I24" s="51"/>
      <c r="J24" s="51"/>
      <c r="K24" s="52">
        <f t="shared" si="0"/>
        <v>0</v>
      </c>
      <c r="L24" s="35"/>
    </row>
    <row r="25" spans="1:12" s="9" customFormat="1" ht="14.1" customHeight="1" x14ac:dyDescent="0.25">
      <c r="A25" s="44">
        <v>16</v>
      </c>
      <c r="B25" s="45"/>
      <c r="C25" s="45"/>
      <c r="D25" s="46"/>
      <c r="E25" s="302"/>
      <c r="F25" s="48"/>
      <c r="G25" s="49"/>
      <c r="H25" s="50"/>
      <c r="I25" s="51"/>
      <c r="J25" s="51"/>
      <c r="K25" s="52">
        <f t="shared" si="0"/>
        <v>0</v>
      </c>
      <c r="L25" s="35"/>
    </row>
    <row r="26" spans="1:12" s="9" customFormat="1" ht="9.9499999999999993" customHeight="1" x14ac:dyDescent="0.25">
      <c r="A26" s="6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5"/>
    </row>
    <row r="27" spans="1:12" s="9" customFormat="1" ht="5.0999999999999996" customHeight="1" x14ac:dyDescent="0.25">
      <c r="A27" s="6"/>
      <c r="B27" s="61"/>
      <c r="C27" s="61"/>
      <c r="D27" s="62"/>
      <c r="E27" s="63"/>
      <c r="F27" s="63"/>
      <c r="G27" s="63"/>
      <c r="H27" s="63"/>
      <c r="I27" s="64"/>
      <c r="J27" s="555"/>
      <c r="K27" s="556"/>
    </row>
    <row r="28" spans="1:12" s="9" customFormat="1" ht="16.5" customHeight="1" x14ac:dyDescent="0.3">
      <c r="A28" s="6"/>
      <c r="B28" s="65"/>
      <c r="C28" s="65"/>
      <c r="D28" s="24"/>
      <c r="I28" s="66" t="s">
        <v>21</v>
      </c>
      <c r="J28" s="496">
        <f>SUM(K10:K25)</f>
        <v>750000</v>
      </c>
      <c r="K28" s="557"/>
      <c r="L28" s="35"/>
    </row>
    <row r="29" spans="1:12" s="9" customFormat="1" ht="5.0999999999999996" customHeight="1" x14ac:dyDescent="0.3">
      <c r="A29" s="6"/>
      <c r="B29" s="65"/>
      <c r="C29" s="65"/>
      <c r="D29" s="24"/>
      <c r="I29" s="67"/>
      <c r="J29" s="558"/>
      <c r="K29" s="558"/>
    </row>
    <row r="30" spans="1:12" s="9" customFormat="1" ht="16.5" customHeight="1" x14ac:dyDescent="0.3">
      <c r="A30" s="6"/>
      <c r="B30" s="65"/>
      <c r="C30" s="65"/>
      <c r="D30" s="24"/>
      <c r="I30" s="66" t="s">
        <v>22</v>
      </c>
      <c r="J30" s="68"/>
      <c r="K30" s="69">
        <f>J28*J30</f>
        <v>0</v>
      </c>
      <c r="L30" s="70"/>
    </row>
    <row r="31" spans="1:12" s="9" customFormat="1" ht="5.0999999999999996" customHeight="1" x14ac:dyDescent="0.3">
      <c r="A31" s="6"/>
      <c r="B31" s="65"/>
      <c r="C31" s="65"/>
      <c r="D31" s="24"/>
      <c r="I31" s="67"/>
      <c r="J31" s="556"/>
      <c r="K31" s="556"/>
    </row>
    <row r="32" spans="1:12" s="9" customFormat="1" ht="16.5" customHeight="1" x14ac:dyDescent="0.3">
      <c r="A32" s="6"/>
      <c r="B32" s="71" t="s">
        <v>23</v>
      </c>
      <c r="C32" s="71"/>
      <c r="D32" s="24"/>
      <c r="E32" s="24" t="s">
        <v>24</v>
      </c>
      <c r="I32" s="66" t="s">
        <v>25</v>
      </c>
      <c r="J32" s="559">
        <f>((J28/1.11)+(K30/1.11))*11%</f>
        <v>74324.32432432432</v>
      </c>
      <c r="K32" s="560"/>
      <c r="L32" s="72"/>
    </row>
    <row r="33" spans="1:12" s="9" customFormat="1" ht="5.0999999999999996" customHeight="1" x14ac:dyDescent="0.3">
      <c r="A33" s="6"/>
      <c r="B33" s="65"/>
      <c r="C33" s="65"/>
      <c r="D33" s="24"/>
      <c r="I33" s="67"/>
      <c r="J33" s="556"/>
      <c r="K33" s="556"/>
    </row>
    <row r="34" spans="1:12" s="9" customFormat="1" ht="16.5" customHeight="1" x14ac:dyDescent="0.3">
      <c r="A34" s="6"/>
      <c r="B34" s="73"/>
      <c r="C34" s="74"/>
      <c r="D34" s="24"/>
      <c r="E34" s="24"/>
      <c r="I34" s="66" t="s">
        <v>26</v>
      </c>
      <c r="J34" s="75"/>
      <c r="K34" s="76">
        <f>J28-K30</f>
        <v>750000</v>
      </c>
      <c r="L34" s="72"/>
    </row>
    <row r="35" spans="1:12" s="9" customFormat="1" ht="7.5" customHeight="1" x14ac:dyDescent="0.25">
      <c r="A35" s="77"/>
      <c r="B35" s="63"/>
      <c r="C35" s="63"/>
      <c r="D35" s="62"/>
      <c r="E35" s="78"/>
      <c r="F35" s="61"/>
      <c r="I35" s="79"/>
      <c r="J35" s="78"/>
      <c r="K35" s="61"/>
      <c r="L35" s="63"/>
    </row>
    <row r="36" spans="1:12" s="9" customFormat="1" ht="13.5" customHeight="1" x14ac:dyDescent="0.25">
      <c r="A36" s="6"/>
      <c r="B36" s="80" t="s">
        <v>27</v>
      </c>
      <c r="C36" s="63"/>
      <c r="D36" s="62"/>
      <c r="H36" s="81"/>
      <c r="I36" s="303" t="s">
        <v>12</v>
      </c>
      <c r="J36" s="561" t="s">
        <v>129</v>
      </c>
      <c r="K36" s="562"/>
    </row>
    <row r="37" spans="1:12" s="9" customFormat="1" ht="13.5" customHeight="1" x14ac:dyDescent="0.25">
      <c r="A37" s="77"/>
      <c r="B37" s="82"/>
      <c r="D37" s="48"/>
      <c r="H37" s="81"/>
      <c r="I37" s="83" t="s">
        <v>140</v>
      </c>
      <c r="J37" s="561"/>
      <c r="K37" s="562"/>
      <c r="L37" s="63"/>
    </row>
    <row r="38" spans="1:12" s="9" customFormat="1" ht="7.5" customHeight="1" x14ac:dyDescent="0.25">
      <c r="A38" s="77"/>
      <c r="B38" s="82"/>
      <c r="D38" s="48"/>
      <c r="H38" s="81"/>
      <c r="I38" s="83"/>
      <c r="J38" s="84"/>
      <c r="K38" s="84"/>
      <c r="L38" s="63"/>
    </row>
    <row r="39" spans="1:12" ht="7.5" customHeight="1" x14ac:dyDescent="0.25">
      <c r="A39" s="304"/>
      <c r="B39" s="305"/>
      <c r="C39" s="305"/>
      <c r="D39" s="306"/>
      <c r="E39" s="305"/>
      <c r="F39" s="305"/>
      <c r="G39" s="305"/>
      <c r="H39" s="305"/>
      <c r="I39" s="307"/>
      <c r="J39" s="307"/>
      <c r="K39" s="305"/>
      <c r="L39" s="305"/>
    </row>
    <row r="40" spans="1:12" s="9" customFormat="1" ht="16.5" customHeight="1" x14ac:dyDescent="0.3">
      <c r="A40" s="308"/>
      <c r="B40" s="309" t="s">
        <v>1</v>
      </c>
      <c r="C40" s="310"/>
      <c r="D40" s="311" t="str">
        <f>D2</f>
        <v>AM</v>
      </c>
      <c r="E40" s="312">
        <f>E2</f>
        <v>23110001</v>
      </c>
      <c r="F40" s="313"/>
      <c r="G40" s="314" t="s">
        <v>16</v>
      </c>
      <c r="H40" s="573" t="str">
        <f>H2</f>
        <v>CV TRINITY CENTRAAL</v>
      </c>
      <c r="I40" s="573"/>
      <c r="J40" s="573"/>
      <c r="K40" s="574"/>
      <c r="L40" s="315"/>
    </row>
    <row r="41" spans="1:12" s="9" customFormat="1" ht="7.5" customHeight="1" x14ac:dyDescent="0.3">
      <c r="A41" s="308"/>
      <c r="B41" s="316"/>
      <c r="C41" s="317"/>
      <c r="D41" s="318"/>
      <c r="E41" s="319"/>
      <c r="F41" s="577" t="s">
        <v>18</v>
      </c>
      <c r="G41" s="320"/>
      <c r="H41" s="575"/>
      <c r="I41" s="575"/>
      <c r="J41" s="575"/>
      <c r="K41" s="576"/>
      <c r="L41" s="315"/>
    </row>
    <row r="42" spans="1:12" s="9" customFormat="1" ht="16.5" customHeight="1" x14ac:dyDescent="0.3">
      <c r="A42" s="308"/>
      <c r="B42" s="309" t="s">
        <v>2</v>
      </c>
      <c r="C42" s="310"/>
      <c r="D42" s="578">
        <f>D4</f>
        <v>45232</v>
      </c>
      <c r="E42" s="579"/>
      <c r="F42" s="577"/>
      <c r="G42" s="321"/>
      <c r="H42" s="580" t="str">
        <f>H4</f>
        <v/>
      </c>
      <c r="I42" s="580"/>
      <c r="J42" s="580"/>
      <c r="K42" s="581"/>
      <c r="L42" s="321"/>
    </row>
    <row r="43" spans="1:12" s="9" customFormat="1" ht="7.5" customHeight="1" x14ac:dyDescent="0.3">
      <c r="A43" s="308"/>
      <c r="B43" s="316"/>
      <c r="C43" s="317"/>
      <c r="D43" s="318"/>
      <c r="E43" s="319"/>
      <c r="F43" s="577"/>
      <c r="G43" s="321"/>
      <c r="H43" s="582" t="str">
        <f>H5</f>
        <v>PURWOKERTO</v>
      </c>
      <c r="I43" s="582"/>
      <c r="J43" s="582"/>
      <c r="K43" s="583"/>
      <c r="L43" s="322"/>
    </row>
    <row r="44" spans="1:12" s="9" customFormat="1" ht="16.5" customHeight="1" x14ac:dyDescent="0.4">
      <c r="A44" s="308"/>
      <c r="B44" s="309" t="s">
        <v>3</v>
      </c>
      <c r="C44" s="310"/>
      <c r="D44" s="323" t="str">
        <f>D6</f>
        <v>KO 4680</v>
      </c>
      <c r="E44" s="312"/>
      <c r="F44" s="324"/>
      <c r="G44" s="325"/>
      <c r="H44" s="584"/>
      <c r="I44" s="584"/>
      <c r="J44" s="584"/>
      <c r="K44" s="585"/>
      <c r="L44" s="322"/>
    </row>
    <row r="45" spans="1:12" s="9" customFormat="1" ht="7.5" customHeight="1" x14ac:dyDescent="0.45">
      <c r="A45" s="308"/>
      <c r="B45" s="326"/>
      <c r="C45" s="327"/>
      <c r="D45" s="328"/>
      <c r="E45" s="313"/>
      <c r="F45" s="329"/>
      <c r="G45" s="313"/>
      <c r="H45" s="313"/>
      <c r="I45" s="330"/>
      <c r="J45" s="330"/>
      <c r="K45" s="331"/>
      <c r="L45" s="313"/>
    </row>
    <row r="46" spans="1:12" s="9" customFormat="1" ht="14.25" thickBot="1" x14ac:dyDescent="0.3">
      <c r="A46" s="308"/>
      <c r="B46" s="332" t="s">
        <v>5</v>
      </c>
      <c r="C46" s="332" t="s">
        <v>6</v>
      </c>
      <c r="D46" s="333" t="s">
        <v>7</v>
      </c>
      <c r="E46" s="334"/>
      <c r="F46" s="335" t="s">
        <v>8</v>
      </c>
      <c r="G46" s="336"/>
      <c r="H46" s="332" t="s">
        <v>9</v>
      </c>
      <c r="I46" s="337" t="s">
        <v>10</v>
      </c>
      <c r="J46" s="337" t="s">
        <v>11</v>
      </c>
      <c r="K46" s="338" t="s">
        <v>20</v>
      </c>
      <c r="L46" s="339"/>
    </row>
    <row r="47" spans="1:12" s="9" customFormat="1" ht="9.9499999999999993" customHeight="1" thickTop="1" x14ac:dyDescent="0.25">
      <c r="A47" s="308"/>
      <c r="B47" s="340"/>
      <c r="C47" s="341"/>
      <c r="D47" s="342"/>
      <c r="E47" s="343"/>
      <c r="F47" s="344"/>
      <c r="G47" s="345"/>
      <c r="H47" s="340"/>
      <c r="I47" s="346"/>
      <c r="J47" s="346"/>
      <c r="K47" s="347"/>
      <c r="L47" s="339"/>
    </row>
    <row r="48" spans="1:12" s="9" customFormat="1" ht="14.1" customHeight="1" x14ac:dyDescent="0.25">
      <c r="A48" s="348">
        <v>1</v>
      </c>
      <c r="B48" s="349">
        <f t="shared" ref="B48:E63" si="1">B10</f>
        <v>20</v>
      </c>
      <c r="C48" s="350" t="str">
        <f t="shared" si="1"/>
        <v>PAK</v>
      </c>
      <c r="D48" s="351" t="str">
        <f t="shared" si="1"/>
        <v/>
      </c>
      <c r="E48" s="352" t="str">
        <f t="shared" si="1"/>
        <v>KARTU STOCK FOLIO (4 WARNA)</v>
      </c>
      <c r="F48" s="353"/>
      <c r="G48" s="354"/>
      <c r="H48" s="355">
        <f t="shared" ref="H48:J63" si="2">H10</f>
        <v>37500</v>
      </c>
      <c r="I48" s="356">
        <f t="shared" si="2"/>
        <v>0</v>
      </c>
      <c r="J48" s="356">
        <f t="shared" si="2"/>
        <v>0</v>
      </c>
      <c r="K48" s="357">
        <f t="shared" ref="K48:K63" si="3">(B48*H48-((B48*H48)*I48))-((B48*H48-((B48*H48)*I48))*J48)</f>
        <v>750000</v>
      </c>
      <c r="L48" s="339"/>
    </row>
    <row r="49" spans="1:12" s="9" customFormat="1" ht="14.1" customHeight="1" x14ac:dyDescent="0.25">
      <c r="A49" s="348">
        <v>2</v>
      </c>
      <c r="B49" s="349">
        <f t="shared" si="1"/>
        <v>0</v>
      </c>
      <c r="C49" s="350">
        <f t="shared" si="1"/>
        <v>0</v>
      </c>
      <c r="D49" s="351">
        <f t="shared" si="1"/>
        <v>0</v>
      </c>
      <c r="E49" s="352">
        <f t="shared" si="1"/>
        <v>0</v>
      </c>
      <c r="F49" s="353"/>
      <c r="G49" s="354"/>
      <c r="H49" s="355">
        <f t="shared" si="2"/>
        <v>0</v>
      </c>
      <c r="I49" s="356">
        <f t="shared" si="2"/>
        <v>0</v>
      </c>
      <c r="J49" s="356">
        <f t="shared" si="2"/>
        <v>0</v>
      </c>
      <c r="K49" s="357">
        <f t="shared" si="3"/>
        <v>0</v>
      </c>
      <c r="L49" s="339"/>
    </row>
    <row r="50" spans="1:12" s="9" customFormat="1" ht="14.1" customHeight="1" x14ac:dyDescent="0.25">
      <c r="A50" s="348">
        <v>3</v>
      </c>
      <c r="B50" s="349">
        <f t="shared" si="1"/>
        <v>0</v>
      </c>
      <c r="C50" s="350">
        <f t="shared" si="1"/>
        <v>0</v>
      </c>
      <c r="D50" s="351">
        <f t="shared" si="1"/>
        <v>0</v>
      </c>
      <c r="E50" s="352">
        <f t="shared" si="1"/>
        <v>0</v>
      </c>
      <c r="F50" s="353"/>
      <c r="G50" s="354"/>
      <c r="H50" s="355">
        <f t="shared" si="2"/>
        <v>0</v>
      </c>
      <c r="I50" s="356">
        <f t="shared" si="2"/>
        <v>0</v>
      </c>
      <c r="J50" s="356">
        <f t="shared" si="2"/>
        <v>0</v>
      </c>
      <c r="K50" s="357">
        <f t="shared" si="3"/>
        <v>0</v>
      </c>
      <c r="L50" s="339"/>
    </row>
    <row r="51" spans="1:12" s="9" customFormat="1" ht="14.1" customHeight="1" x14ac:dyDescent="0.25">
      <c r="A51" s="348">
        <v>4</v>
      </c>
      <c r="B51" s="349">
        <f t="shared" si="1"/>
        <v>0</v>
      </c>
      <c r="C51" s="350">
        <f t="shared" si="1"/>
        <v>0</v>
      </c>
      <c r="D51" s="351">
        <f t="shared" si="1"/>
        <v>0</v>
      </c>
      <c r="E51" s="352">
        <f t="shared" si="1"/>
        <v>0</v>
      </c>
      <c r="F51" s="353"/>
      <c r="G51" s="354"/>
      <c r="H51" s="355">
        <f t="shared" si="2"/>
        <v>0</v>
      </c>
      <c r="I51" s="356">
        <f t="shared" si="2"/>
        <v>0</v>
      </c>
      <c r="J51" s="356">
        <f t="shared" si="2"/>
        <v>0</v>
      </c>
      <c r="K51" s="357">
        <f t="shared" si="3"/>
        <v>0</v>
      </c>
      <c r="L51" s="339"/>
    </row>
    <row r="52" spans="1:12" s="9" customFormat="1" ht="14.1" customHeight="1" x14ac:dyDescent="0.25">
      <c r="A52" s="348">
        <v>5</v>
      </c>
      <c r="B52" s="349">
        <f t="shared" si="1"/>
        <v>0</v>
      </c>
      <c r="C52" s="350">
        <f t="shared" si="1"/>
        <v>0</v>
      </c>
      <c r="D52" s="351">
        <f t="shared" si="1"/>
        <v>0</v>
      </c>
      <c r="E52" s="352">
        <f t="shared" si="1"/>
        <v>0</v>
      </c>
      <c r="F52" s="353"/>
      <c r="G52" s="354"/>
      <c r="H52" s="355">
        <f t="shared" si="2"/>
        <v>0</v>
      </c>
      <c r="I52" s="356">
        <f t="shared" si="2"/>
        <v>0</v>
      </c>
      <c r="J52" s="356">
        <f t="shared" si="2"/>
        <v>0</v>
      </c>
      <c r="K52" s="357">
        <f t="shared" si="3"/>
        <v>0</v>
      </c>
      <c r="L52" s="339"/>
    </row>
    <row r="53" spans="1:12" s="9" customFormat="1" ht="14.1" customHeight="1" x14ac:dyDescent="0.25">
      <c r="A53" s="348">
        <v>6</v>
      </c>
      <c r="B53" s="349">
        <f t="shared" si="1"/>
        <v>0</v>
      </c>
      <c r="C53" s="350">
        <f t="shared" si="1"/>
        <v>0</v>
      </c>
      <c r="D53" s="351">
        <f t="shared" si="1"/>
        <v>0</v>
      </c>
      <c r="E53" s="352">
        <f t="shared" si="1"/>
        <v>0</v>
      </c>
      <c r="F53" s="353"/>
      <c r="G53" s="354"/>
      <c r="H53" s="355">
        <f t="shared" si="2"/>
        <v>0</v>
      </c>
      <c r="I53" s="356">
        <f t="shared" si="2"/>
        <v>0</v>
      </c>
      <c r="J53" s="356">
        <f t="shared" si="2"/>
        <v>0</v>
      </c>
      <c r="K53" s="357">
        <f t="shared" si="3"/>
        <v>0</v>
      </c>
      <c r="L53" s="339"/>
    </row>
    <row r="54" spans="1:12" s="9" customFormat="1" ht="14.1" customHeight="1" x14ac:dyDescent="0.25">
      <c r="A54" s="348">
        <v>7</v>
      </c>
      <c r="B54" s="349">
        <f t="shared" si="1"/>
        <v>0</v>
      </c>
      <c r="C54" s="350">
        <f t="shared" si="1"/>
        <v>0</v>
      </c>
      <c r="D54" s="351">
        <f t="shared" si="1"/>
        <v>0</v>
      </c>
      <c r="E54" s="352">
        <f t="shared" si="1"/>
        <v>0</v>
      </c>
      <c r="F54" s="353"/>
      <c r="G54" s="354"/>
      <c r="H54" s="355">
        <f t="shared" si="2"/>
        <v>0</v>
      </c>
      <c r="I54" s="356">
        <f t="shared" si="2"/>
        <v>0</v>
      </c>
      <c r="J54" s="356">
        <f t="shared" si="2"/>
        <v>0</v>
      </c>
      <c r="K54" s="357">
        <f t="shared" si="3"/>
        <v>0</v>
      </c>
      <c r="L54" s="339"/>
    </row>
    <row r="55" spans="1:12" s="9" customFormat="1" ht="14.1" customHeight="1" x14ac:dyDescent="0.25">
      <c r="A55" s="348">
        <v>8</v>
      </c>
      <c r="B55" s="349">
        <f t="shared" si="1"/>
        <v>0</v>
      </c>
      <c r="C55" s="350">
        <f t="shared" si="1"/>
        <v>0</v>
      </c>
      <c r="D55" s="351">
        <f t="shared" si="1"/>
        <v>0</v>
      </c>
      <c r="E55" s="358">
        <f t="shared" si="1"/>
        <v>0</v>
      </c>
      <c r="F55" s="353"/>
      <c r="G55" s="354"/>
      <c r="H55" s="355">
        <f t="shared" si="2"/>
        <v>0</v>
      </c>
      <c r="I55" s="356">
        <f t="shared" si="2"/>
        <v>0</v>
      </c>
      <c r="J55" s="356">
        <f t="shared" si="2"/>
        <v>0</v>
      </c>
      <c r="K55" s="357">
        <f t="shared" si="3"/>
        <v>0</v>
      </c>
      <c r="L55" s="339"/>
    </row>
    <row r="56" spans="1:12" s="9" customFormat="1" ht="14.1" customHeight="1" x14ac:dyDescent="0.25">
      <c r="A56" s="348">
        <v>9</v>
      </c>
      <c r="B56" s="349">
        <f t="shared" si="1"/>
        <v>0</v>
      </c>
      <c r="C56" s="350">
        <f t="shared" si="1"/>
        <v>0</v>
      </c>
      <c r="D56" s="351">
        <f t="shared" si="1"/>
        <v>0</v>
      </c>
      <c r="E56" s="352">
        <f t="shared" si="1"/>
        <v>0</v>
      </c>
      <c r="F56" s="353"/>
      <c r="G56" s="354"/>
      <c r="H56" s="355">
        <f t="shared" si="2"/>
        <v>0</v>
      </c>
      <c r="I56" s="356">
        <f t="shared" si="2"/>
        <v>0</v>
      </c>
      <c r="J56" s="356">
        <f t="shared" si="2"/>
        <v>0</v>
      </c>
      <c r="K56" s="357">
        <f t="shared" si="3"/>
        <v>0</v>
      </c>
      <c r="L56" s="339"/>
    </row>
    <row r="57" spans="1:12" s="9" customFormat="1" ht="14.1" customHeight="1" x14ac:dyDescent="0.25">
      <c r="A57" s="348">
        <v>10</v>
      </c>
      <c r="B57" s="349">
        <f t="shared" si="1"/>
        <v>0</v>
      </c>
      <c r="C57" s="350">
        <f t="shared" si="1"/>
        <v>0</v>
      </c>
      <c r="D57" s="351">
        <f t="shared" si="1"/>
        <v>0</v>
      </c>
      <c r="E57" s="352">
        <f t="shared" si="1"/>
        <v>0</v>
      </c>
      <c r="F57" s="353"/>
      <c r="G57" s="354"/>
      <c r="H57" s="355">
        <f t="shared" si="2"/>
        <v>0</v>
      </c>
      <c r="I57" s="356">
        <f t="shared" si="2"/>
        <v>0</v>
      </c>
      <c r="J57" s="356">
        <f t="shared" si="2"/>
        <v>0</v>
      </c>
      <c r="K57" s="357">
        <f t="shared" si="3"/>
        <v>0</v>
      </c>
      <c r="L57" s="339"/>
    </row>
    <row r="58" spans="1:12" s="9" customFormat="1" ht="14.1" customHeight="1" x14ac:dyDescent="0.25">
      <c r="A58" s="348">
        <v>11</v>
      </c>
      <c r="B58" s="349">
        <f t="shared" si="1"/>
        <v>0</v>
      </c>
      <c r="C58" s="350">
        <f t="shared" si="1"/>
        <v>0</v>
      </c>
      <c r="D58" s="351">
        <f t="shared" si="1"/>
        <v>0</v>
      </c>
      <c r="E58" s="352">
        <f t="shared" si="1"/>
        <v>0</v>
      </c>
      <c r="F58" s="353"/>
      <c r="G58" s="354"/>
      <c r="H58" s="355">
        <f t="shared" si="2"/>
        <v>0</v>
      </c>
      <c r="I58" s="356">
        <f t="shared" si="2"/>
        <v>0</v>
      </c>
      <c r="J58" s="356">
        <f t="shared" si="2"/>
        <v>0</v>
      </c>
      <c r="K58" s="357">
        <f t="shared" si="3"/>
        <v>0</v>
      </c>
      <c r="L58" s="339"/>
    </row>
    <row r="59" spans="1:12" s="9" customFormat="1" ht="14.1" customHeight="1" x14ac:dyDescent="0.25">
      <c r="A59" s="348">
        <v>12</v>
      </c>
      <c r="B59" s="349">
        <f t="shared" si="1"/>
        <v>0</v>
      </c>
      <c r="C59" s="350">
        <f t="shared" si="1"/>
        <v>0</v>
      </c>
      <c r="D59" s="351">
        <f t="shared" si="1"/>
        <v>0</v>
      </c>
      <c r="E59" s="352">
        <f t="shared" si="1"/>
        <v>0</v>
      </c>
      <c r="F59" s="353"/>
      <c r="G59" s="354"/>
      <c r="H59" s="355">
        <f t="shared" si="2"/>
        <v>0</v>
      </c>
      <c r="I59" s="356">
        <f t="shared" si="2"/>
        <v>0</v>
      </c>
      <c r="J59" s="356">
        <f t="shared" si="2"/>
        <v>0</v>
      </c>
      <c r="K59" s="357">
        <f t="shared" si="3"/>
        <v>0</v>
      </c>
      <c r="L59" s="339"/>
    </row>
    <row r="60" spans="1:12" s="9" customFormat="1" ht="14.1" customHeight="1" x14ac:dyDescent="0.25">
      <c r="A60" s="348">
        <v>13</v>
      </c>
      <c r="B60" s="349">
        <f t="shared" si="1"/>
        <v>0</v>
      </c>
      <c r="C60" s="350">
        <f t="shared" si="1"/>
        <v>0</v>
      </c>
      <c r="D60" s="351">
        <f t="shared" si="1"/>
        <v>0</v>
      </c>
      <c r="E60" s="352">
        <f t="shared" si="1"/>
        <v>0</v>
      </c>
      <c r="F60" s="353"/>
      <c r="G60" s="354"/>
      <c r="H60" s="355">
        <f t="shared" si="2"/>
        <v>0</v>
      </c>
      <c r="I60" s="356">
        <f t="shared" si="2"/>
        <v>0</v>
      </c>
      <c r="J60" s="356">
        <f t="shared" si="2"/>
        <v>0</v>
      </c>
      <c r="K60" s="357">
        <f t="shared" si="3"/>
        <v>0</v>
      </c>
      <c r="L60" s="339"/>
    </row>
    <row r="61" spans="1:12" s="9" customFormat="1" ht="14.1" customHeight="1" x14ac:dyDescent="0.25">
      <c r="A61" s="348">
        <v>14</v>
      </c>
      <c r="B61" s="349">
        <f t="shared" si="1"/>
        <v>0</v>
      </c>
      <c r="C61" s="350">
        <f t="shared" si="1"/>
        <v>0</v>
      </c>
      <c r="D61" s="351">
        <f t="shared" si="1"/>
        <v>0</v>
      </c>
      <c r="E61" s="352">
        <f t="shared" si="1"/>
        <v>0</v>
      </c>
      <c r="F61" s="353"/>
      <c r="G61" s="354"/>
      <c r="H61" s="355">
        <f t="shared" si="2"/>
        <v>0</v>
      </c>
      <c r="I61" s="356">
        <f t="shared" si="2"/>
        <v>0</v>
      </c>
      <c r="J61" s="356">
        <f t="shared" si="2"/>
        <v>0</v>
      </c>
      <c r="K61" s="357">
        <f t="shared" si="3"/>
        <v>0</v>
      </c>
      <c r="L61" s="339"/>
    </row>
    <row r="62" spans="1:12" s="9" customFormat="1" ht="14.1" customHeight="1" x14ac:dyDescent="0.25">
      <c r="A62" s="348">
        <v>15</v>
      </c>
      <c r="B62" s="349">
        <f t="shared" si="1"/>
        <v>0</v>
      </c>
      <c r="C62" s="350">
        <f t="shared" si="1"/>
        <v>0</v>
      </c>
      <c r="D62" s="351">
        <f t="shared" si="1"/>
        <v>0</v>
      </c>
      <c r="E62" s="352">
        <f t="shared" si="1"/>
        <v>0</v>
      </c>
      <c r="F62" s="353"/>
      <c r="G62" s="354"/>
      <c r="H62" s="355">
        <f t="shared" si="2"/>
        <v>0</v>
      </c>
      <c r="I62" s="356">
        <f t="shared" si="2"/>
        <v>0</v>
      </c>
      <c r="J62" s="356">
        <f t="shared" si="2"/>
        <v>0</v>
      </c>
      <c r="K62" s="357">
        <f t="shared" si="3"/>
        <v>0</v>
      </c>
      <c r="L62" s="339"/>
    </row>
    <row r="63" spans="1:12" s="9" customFormat="1" ht="14.1" customHeight="1" x14ac:dyDescent="0.25">
      <c r="A63" s="348">
        <v>16</v>
      </c>
      <c r="B63" s="349">
        <f t="shared" si="1"/>
        <v>0</v>
      </c>
      <c r="C63" s="350">
        <f t="shared" si="1"/>
        <v>0</v>
      </c>
      <c r="D63" s="351">
        <f t="shared" si="1"/>
        <v>0</v>
      </c>
      <c r="E63" s="358">
        <f t="shared" si="1"/>
        <v>0</v>
      </c>
      <c r="F63" s="353"/>
      <c r="G63" s="354"/>
      <c r="H63" s="355">
        <f t="shared" si="2"/>
        <v>0</v>
      </c>
      <c r="I63" s="356">
        <f t="shared" si="2"/>
        <v>0</v>
      </c>
      <c r="J63" s="356">
        <f t="shared" si="2"/>
        <v>0</v>
      </c>
      <c r="K63" s="357">
        <f t="shared" si="3"/>
        <v>0</v>
      </c>
      <c r="L63" s="339"/>
    </row>
    <row r="64" spans="1:12" s="9" customFormat="1" ht="9.9499999999999993" customHeight="1" x14ac:dyDescent="0.25">
      <c r="A64" s="308"/>
      <c r="B64" s="359"/>
      <c r="C64" s="359"/>
      <c r="D64" s="360"/>
      <c r="E64" s="361"/>
      <c r="F64" s="362"/>
      <c r="G64" s="363"/>
      <c r="H64" s="364"/>
      <c r="I64" s="365"/>
      <c r="J64" s="365"/>
      <c r="K64" s="366"/>
      <c r="L64" s="339"/>
    </row>
    <row r="65" spans="1:12" s="9" customFormat="1" ht="5.0999999999999996" customHeight="1" x14ac:dyDescent="0.25">
      <c r="A65" s="308"/>
      <c r="B65" s="367"/>
      <c r="C65" s="367"/>
      <c r="D65" s="368"/>
      <c r="E65" s="369"/>
      <c r="F65" s="369"/>
      <c r="G65" s="369"/>
      <c r="H65" s="369"/>
      <c r="I65" s="370"/>
      <c r="J65" s="586"/>
      <c r="K65" s="572"/>
      <c r="L65" s="313"/>
    </row>
    <row r="66" spans="1:12" s="9" customFormat="1" ht="16.5" customHeight="1" x14ac:dyDescent="0.3">
      <c r="A66" s="308"/>
      <c r="B66" s="371"/>
      <c r="C66" s="371"/>
      <c r="D66" s="328"/>
      <c r="E66" s="313"/>
      <c r="F66" s="313"/>
      <c r="G66" s="313"/>
      <c r="H66" s="313"/>
      <c r="I66" s="372" t="s">
        <v>21</v>
      </c>
      <c r="J66" s="587">
        <f>SUM(K48:K63)</f>
        <v>750000</v>
      </c>
      <c r="K66" s="588"/>
      <c r="L66" s="339"/>
    </row>
    <row r="67" spans="1:12" s="9" customFormat="1" ht="5.0999999999999996" customHeight="1" x14ac:dyDescent="0.3">
      <c r="A67" s="308"/>
      <c r="B67" s="371"/>
      <c r="C67" s="371"/>
      <c r="D67" s="328"/>
      <c r="E67" s="313"/>
      <c r="F67" s="313"/>
      <c r="G67" s="313"/>
      <c r="H67" s="313"/>
      <c r="I67" s="373"/>
      <c r="J67" s="589"/>
      <c r="K67" s="589"/>
      <c r="L67" s="313"/>
    </row>
    <row r="68" spans="1:12" s="9" customFormat="1" ht="16.5" customHeight="1" x14ac:dyDescent="0.3">
      <c r="A68" s="308"/>
      <c r="B68" s="371"/>
      <c r="C68" s="371"/>
      <c r="D68" s="328"/>
      <c r="E68" s="313"/>
      <c r="F68" s="313"/>
      <c r="G68" s="313"/>
      <c r="H68" s="313"/>
      <c r="I68" s="372" t="s">
        <v>22</v>
      </c>
      <c r="J68" s="374">
        <f>J30</f>
        <v>0</v>
      </c>
      <c r="K68" s="375">
        <f>J66*J68</f>
        <v>0</v>
      </c>
      <c r="L68" s="376"/>
    </row>
    <row r="69" spans="1:12" s="9" customFormat="1" ht="5.0999999999999996" customHeight="1" x14ac:dyDescent="0.3">
      <c r="A69" s="308"/>
      <c r="B69" s="371"/>
      <c r="C69" s="371"/>
      <c r="D69" s="328"/>
      <c r="E69" s="313"/>
      <c r="F69" s="313"/>
      <c r="G69" s="313"/>
      <c r="H69" s="313"/>
      <c r="I69" s="373"/>
      <c r="J69" s="572"/>
      <c r="K69" s="572"/>
      <c r="L69" s="313"/>
    </row>
    <row r="70" spans="1:12" s="9" customFormat="1" ht="16.5" customHeight="1" x14ac:dyDescent="0.3">
      <c r="A70" s="308"/>
      <c r="B70" s="377" t="s">
        <v>23</v>
      </c>
      <c r="C70" s="377"/>
      <c r="D70" s="328"/>
      <c r="E70" s="328" t="s">
        <v>24</v>
      </c>
      <c r="F70" s="313"/>
      <c r="G70" s="313"/>
      <c r="H70" s="313"/>
      <c r="I70" s="372" t="s">
        <v>25</v>
      </c>
      <c r="J70" s="590">
        <f>((J66/1.11)+(K68/1.11))*11%</f>
        <v>74324.32432432432</v>
      </c>
      <c r="K70" s="591"/>
      <c r="L70" s="378"/>
    </row>
    <row r="71" spans="1:12" s="9" customFormat="1" ht="5.0999999999999996" customHeight="1" x14ac:dyDescent="0.3">
      <c r="A71" s="308"/>
      <c r="B71" s="371"/>
      <c r="C71" s="371"/>
      <c r="D71" s="328"/>
      <c r="E71" s="313"/>
      <c r="F71" s="313"/>
      <c r="G71" s="313"/>
      <c r="H71" s="313"/>
      <c r="I71" s="373"/>
      <c r="J71" s="572"/>
      <c r="K71" s="572"/>
      <c r="L71" s="313"/>
    </row>
    <row r="72" spans="1:12" s="9" customFormat="1" ht="16.5" customHeight="1" x14ac:dyDescent="0.3">
      <c r="A72" s="308"/>
      <c r="B72" s="379"/>
      <c r="C72" s="380"/>
      <c r="D72" s="328"/>
      <c r="E72" s="328"/>
      <c r="F72" s="313"/>
      <c r="G72" s="313"/>
      <c r="H72" s="313"/>
      <c r="I72" s="372" t="s">
        <v>26</v>
      </c>
      <c r="J72" s="381"/>
      <c r="K72" s="382">
        <f>J66-K68</f>
        <v>750000</v>
      </c>
      <c r="L72" s="378"/>
    </row>
    <row r="73" spans="1:12" s="9" customFormat="1" ht="7.5" customHeight="1" x14ac:dyDescent="0.25">
      <c r="A73" s="383"/>
      <c r="B73" s="369"/>
      <c r="C73" s="369"/>
      <c r="D73" s="368"/>
      <c r="E73" s="384"/>
      <c r="F73" s="367"/>
      <c r="G73" s="313"/>
      <c r="H73" s="313"/>
      <c r="I73" s="385"/>
      <c r="J73" s="384"/>
      <c r="K73" s="367"/>
      <c r="L73" s="369"/>
    </row>
    <row r="74" spans="1:12" s="9" customFormat="1" ht="13.5" customHeight="1" x14ac:dyDescent="0.25">
      <c r="A74" s="308"/>
      <c r="B74" s="386" t="s">
        <v>27</v>
      </c>
      <c r="C74" s="369"/>
      <c r="D74" s="368"/>
      <c r="E74" s="313"/>
      <c r="F74" s="313"/>
      <c r="G74" s="313"/>
      <c r="H74" s="387"/>
      <c r="I74" s="388" t="s">
        <v>12</v>
      </c>
      <c r="J74" s="592" t="str">
        <f>J36</f>
        <v>NOVI / CONDRO</v>
      </c>
      <c r="K74" s="593"/>
      <c r="L74" s="313"/>
    </row>
    <row r="75" spans="1:12" s="9" customFormat="1" ht="13.5" customHeight="1" x14ac:dyDescent="0.25">
      <c r="A75" s="383"/>
      <c r="B75" s="389"/>
      <c r="C75" s="313"/>
      <c r="D75" s="353"/>
      <c r="E75" s="313"/>
      <c r="F75" s="313"/>
      <c r="G75" s="313"/>
      <c r="H75" s="387"/>
      <c r="I75" s="390" t="s">
        <v>140</v>
      </c>
      <c r="J75" s="592">
        <f>J37</f>
        <v>0</v>
      </c>
      <c r="K75" s="593"/>
      <c r="L75" s="369"/>
    </row>
    <row r="76" spans="1:12" s="9" customFormat="1" ht="7.5" customHeight="1" x14ac:dyDescent="0.25">
      <c r="A76" s="383"/>
      <c r="B76" s="389"/>
      <c r="C76" s="313"/>
      <c r="D76" s="353"/>
      <c r="E76" s="313"/>
      <c r="F76" s="313"/>
      <c r="G76" s="313"/>
      <c r="H76" s="387"/>
      <c r="I76" s="390"/>
      <c r="J76" s="391"/>
      <c r="K76" s="391"/>
      <c r="L76" s="369"/>
    </row>
    <row r="77" spans="1:12" ht="7.5" customHeight="1" x14ac:dyDescent="0.25">
      <c r="A77" s="392"/>
      <c r="B77" s="393"/>
      <c r="C77" s="393"/>
      <c r="D77" s="394"/>
      <c r="E77" s="393"/>
      <c r="F77" s="393"/>
      <c r="G77" s="393"/>
      <c r="H77" s="393"/>
      <c r="I77" s="395"/>
      <c r="J77" s="395"/>
      <c r="K77" s="393"/>
      <c r="L77" s="393"/>
    </row>
    <row r="78" spans="1:12" s="9" customFormat="1" ht="16.5" customHeight="1" x14ac:dyDescent="0.3">
      <c r="A78" s="396"/>
      <c r="B78" s="397" t="s">
        <v>1</v>
      </c>
      <c r="C78" s="398"/>
      <c r="D78" s="399" t="str">
        <f>D40</f>
        <v>AM</v>
      </c>
      <c r="E78" s="400">
        <f>E40</f>
        <v>23110001</v>
      </c>
      <c r="F78" s="401"/>
      <c r="G78" s="402" t="s">
        <v>16</v>
      </c>
      <c r="H78" s="594" t="str">
        <f>H40</f>
        <v>CV TRINITY CENTRAAL</v>
      </c>
      <c r="I78" s="594"/>
      <c r="J78" s="594"/>
      <c r="K78" s="595"/>
      <c r="L78" s="403"/>
    </row>
    <row r="79" spans="1:12" s="9" customFormat="1" ht="7.5" customHeight="1" x14ac:dyDescent="0.3">
      <c r="A79" s="396"/>
      <c r="B79" s="404"/>
      <c r="C79" s="405"/>
      <c r="D79" s="406"/>
      <c r="E79" s="407"/>
      <c r="F79" s="598" t="s">
        <v>18</v>
      </c>
      <c r="G79" s="408"/>
      <c r="H79" s="596"/>
      <c r="I79" s="596"/>
      <c r="J79" s="596"/>
      <c r="K79" s="597"/>
      <c r="L79" s="403"/>
    </row>
    <row r="80" spans="1:12" s="9" customFormat="1" ht="16.5" customHeight="1" x14ac:dyDescent="0.3">
      <c r="A80" s="396"/>
      <c r="B80" s="397" t="s">
        <v>2</v>
      </c>
      <c r="C80" s="398"/>
      <c r="D80" s="599">
        <f>D42</f>
        <v>45232</v>
      </c>
      <c r="E80" s="600"/>
      <c r="F80" s="598"/>
      <c r="G80" s="409"/>
      <c r="H80" s="601" t="str">
        <f>H42</f>
        <v/>
      </c>
      <c r="I80" s="601"/>
      <c r="J80" s="601"/>
      <c r="K80" s="602"/>
      <c r="L80" s="409"/>
    </row>
    <row r="81" spans="1:12" s="9" customFormat="1" ht="7.5" customHeight="1" x14ac:dyDescent="0.3">
      <c r="A81" s="396"/>
      <c r="B81" s="404"/>
      <c r="C81" s="405"/>
      <c r="D81" s="406"/>
      <c r="E81" s="407"/>
      <c r="F81" s="598"/>
      <c r="G81" s="409"/>
      <c r="H81" s="603" t="str">
        <f>H43</f>
        <v>PURWOKERTO</v>
      </c>
      <c r="I81" s="603"/>
      <c r="J81" s="603"/>
      <c r="K81" s="604"/>
      <c r="L81" s="410"/>
    </row>
    <row r="82" spans="1:12" s="9" customFormat="1" ht="16.5" customHeight="1" x14ac:dyDescent="0.4">
      <c r="A82" s="396"/>
      <c r="B82" s="397" t="s">
        <v>3</v>
      </c>
      <c r="C82" s="398"/>
      <c r="D82" s="411" t="str">
        <f>D44</f>
        <v>KO 4680</v>
      </c>
      <c r="E82" s="400"/>
      <c r="F82" s="412"/>
      <c r="G82" s="413"/>
      <c r="H82" s="605"/>
      <c r="I82" s="605"/>
      <c r="J82" s="605"/>
      <c r="K82" s="606"/>
      <c r="L82" s="410"/>
    </row>
    <row r="83" spans="1:12" s="9" customFormat="1" ht="7.5" customHeight="1" x14ac:dyDescent="0.45">
      <c r="A83" s="396"/>
      <c r="B83" s="414"/>
      <c r="C83" s="415"/>
      <c r="D83" s="416"/>
      <c r="E83" s="401"/>
      <c r="F83" s="417"/>
      <c r="G83" s="401"/>
      <c r="H83" s="401"/>
      <c r="I83" s="418"/>
      <c r="J83" s="418"/>
      <c r="K83" s="419"/>
      <c r="L83" s="401"/>
    </row>
    <row r="84" spans="1:12" s="9" customFormat="1" ht="14.25" thickBot="1" x14ac:dyDescent="0.3">
      <c r="A84" s="396"/>
      <c r="B84" s="420" t="s">
        <v>5</v>
      </c>
      <c r="C84" s="420" t="s">
        <v>6</v>
      </c>
      <c r="D84" s="421" t="s">
        <v>7</v>
      </c>
      <c r="E84" s="422"/>
      <c r="F84" s="423" t="s">
        <v>8</v>
      </c>
      <c r="G84" s="424"/>
      <c r="H84" s="420" t="s">
        <v>9</v>
      </c>
      <c r="I84" s="425" t="s">
        <v>10</v>
      </c>
      <c r="J84" s="425" t="s">
        <v>11</v>
      </c>
      <c r="K84" s="426" t="s">
        <v>20</v>
      </c>
      <c r="L84" s="427"/>
    </row>
    <row r="85" spans="1:12" s="9" customFormat="1" ht="9.9499999999999993" customHeight="1" thickTop="1" x14ac:dyDescent="0.25">
      <c r="A85" s="396"/>
      <c r="B85" s="428"/>
      <c r="C85" s="429"/>
      <c r="D85" s="430"/>
      <c r="E85" s="431"/>
      <c r="F85" s="432"/>
      <c r="G85" s="433"/>
      <c r="H85" s="428"/>
      <c r="I85" s="434"/>
      <c r="J85" s="434"/>
      <c r="K85" s="435"/>
      <c r="L85" s="427"/>
    </row>
    <row r="86" spans="1:12" s="9" customFormat="1" ht="14.1" customHeight="1" x14ac:dyDescent="0.25">
      <c r="A86" s="436">
        <v>1</v>
      </c>
      <c r="B86" s="437">
        <f t="shared" ref="B86:E101" si="4">B48</f>
        <v>20</v>
      </c>
      <c r="C86" s="438" t="str">
        <f t="shared" si="4"/>
        <v>PAK</v>
      </c>
      <c r="D86" s="439" t="str">
        <f t="shared" si="4"/>
        <v/>
      </c>
      <c r="E86" s="440" t="str">
        <f t="shared" si="4"/>
        <v>KARTU STOCK FOLIO (4 WARNA)</v>
      </c>
      <c r="F86" s="441"/>
      <c r="G86" s="442"/>
      <c r="H86" s="443">
        <f t="shared" ref="H86:J101" si="5">H48</f>
        <v>37500</v>
      </c>
      <c r="I86" s="444">
        <f t="shared" si="5"/>
        <v>0</v>
      </c>
      <c r="J86" s="444">
        <f t="shared" si="5"/>
        <v>0</v>
      </c>
      <c r="K86" s="445">
        <f t="shared" ref="K86:K101" si="6">(B86*H86-((B86*H86)*I86))-((B86*H86-((B86*H86)*I86))*J86)</f>
        <v>750000</v>
      </c>
      <c r="L86" s="427"/>
    </row>
    <row r="87" spans="1:12" s="9" customFormat="1" ht="14.1" customHeight="1" x14ac:dyDescent="0.25">
      <c r="A87" s="436">
        <v>2</v>
      </c>
      <c r="B87" s="437">
        <f t="shared" si="4"/>
        <v>0</v>
      </c>
      <c r="C87" s="438">
        <f t="shared" si="4"/>
        <v>0</v>
      </c>
      <c r="D87" s="439">
        <f t="shared" si="4"/>
        <v>0</v>
      </c>
      <c r="E87" s="440">
        <f t="shared" si="4"/>
        <v>0</v>
      </c>
      <c r="F87" s="441"/>
      <c r="G87" s="442"/>
      <c r="H87" s="443">
        <f t="shared" si="5"/>
        <v>0</v>
      </c>
      <c r="I87" s="444">
        <f t="shared" si="5"/>
        <v>0</v>
      </c>
      <c r="J87" s="444">
        <f t="shared" si="5"/>
        <v>0</v>
      </c>
      <c r="K87" s="445">
        <f t="shared" si="6"/>
        <v>0</v>
      </c>
      <c r="L87" s="427"/>
    </row>
    <row r="88" spans="1:12" s="9" customFormat="1" ht="14.1" customHeight="1" x14ac:dyDescent="0.25">
      <c r="A88" s="436">
        <v>3</v>
      </c>
      <c r="B88" s="437">
        <f t="shared" si="4"/>
        <v>0</v>
      </c>
      <c r="C88" s="438">
        <f t="shared" si="4"/>
        <v>0</v>
      </c>
      <c r="D88" s="439">
        <f t="shared" si="4"/>
        <v>0</v>
      </c>
      <c r="E88" s="440">
        <f t="shared" si="4"/>
        <v>0</v>
      </c>
      <c r="F88" s="441"/>
      <c r="G88" s="442"/>
      <c r="H88" s="443">
        <f t="shared" si="5"/>
        <v>0</v>
      </c>
      <c r="I88" s="444">
        <f t="shared" si="5"/>
        <v>0</v>
      </c>
      <c r="J88" s="444">
        <f t="shared" si="5"/>
        <v>0</v>
      </c>
      <c r="K88" s="445">
        <f t="shared" si="6"/>
        <v>0</v>
      </c>
      <c r="L88" s="427"/>
    </row>
    <row r="89" spans="1:12" s="9" customFormat="1" ht="14.1" customHeight="1" x14ac:dyDescent="0.25">
      <c r="A89" s="436">
        <v>4</v>
      </c>
      <c r="B89" s="437">
        <f t="shared" si="4"/>
        <v>0</v>
      </c>
      <c r="C89" s="438">
        <f t="shared" si="4"/>
        <v>0</v>
      </c>
      <c r="D89" s="439">
        <f t="shared" si="4"/>
        <v>0</v>
      </c>
      <c r="E89" s="440">
        <f t="shared" si="4"/>
        <v>0</v>
      </c>
      <c r="F89" s="441"/>
      <c r="G89" s="442"/>
      <c r="H89" s="443">
        <f t="shared" si="5"/>
        <v>0</v>
      </c>
      <c r="I89" s="444">
        <f t="shared" si="5"/>
        <v>0</v>
      </c>
      <c r="J89" s="444">
        <f t="shared" si="5"/>
        <v>0</v>
      </c>
      <c r="K89" s="445">
        <f t="shared" si="6"/>
        <v>0</v>
      </c>
      <c r="L89" s="427"/>
    </row>
    <row r="90" spans="1:12" s="9" customFormat="1" ht="14.1" customHeight="1" x14ac:dyDescent="0.25">
      <c r="A90" s="436">
        <v>5</v>
      </c>
      <c r="B90" s="437">
        <f t="shared" si="4"/>
        <v>0</v>
      </c>
      <c r="C90" s="438">
        <f t="shared" si="4"/>
        <v>0</v>
      </c>
      <c r="D90" s="439">
        <f t="shared" si="4"/>
        <v>0</v>
      </c>
      <c r="E90" s="440">
        <f t="shared" si="4"/>
        <v>0</v>
      </c>
      <c r="F90" s="441"/>
      <c r="G90" s="442"/>
      <c r="H90" s="443">
        <f t="shared" si="5"/>
        <v>0</v>
      </c>
      <c r="I90" s="444">
        <f t="shared" si="5"/>
        <v>0</v>
      </c>
      <c r="J90" s="444">
        <f t="shared" si="5"/>
        <v>0</v>
      </c>
      <c r="K90" s="445">
        <f t="shared" si="6"/>
        <v>0</v>
      </c>
      <c r="L90" s="427"/>
    </row>
    <row r="91" spans="1:12" s="9" customFormat="1" ht="14.1" customHeight="1" x14ac:dyDescent="0.25">
      <c r="A91" s="436">
        <v>6</v>
      </c>
      <c r="B91" s="437">
        <f t="shared" si="4"/>
        <v>0</v>
      </c>
      <c r="C91" s="438">
        <f t="shared" si="4"/>
        <v>0</v>
      </c>
      <c r="D91" s="439">
        <f t="shared" si="4"/>
        <v>0</v>
      </c>
      <c r="E91" s="440">
        <f t="shared" si="4"/>
        <v>0</v>
      </c>
      <c r="F91" s="441"/>
      <c r="G91" s="442"/>
      <c r="H91" s="443">
        <f t="shared" si="5"/>
        <v>0</v>
      </c>
      <c r="I91" s="444">
        <f t="shared" si="5"/>
        <v>0</v>
      </c>
      <c r="J91" s="444">
        <f t="shared" si="5"/>
        <v>0</v>
      </c>
      <c r="K91" s="445">
        <f t="shared" si="6"/>
        <v>0</v>
      </c>
      <c r="L91" s="427"/>
    </row>
    <row r="92" spans="1:12" s="9" customFormat="1" ht="14.1" customHeight="1" x14ac:dyDescent="0.25">
      <c r="A92" s="436">
        <v>7</v>
      </c>
      <c r="B92" s="437">
        <f t="shared" si="4"/>
        <v>0</v>
      </c>
      <c r="C92" s="438">
        <f t="shared" si="4"/>
        <v>0</v>
      </c>
      <c r="D92" s="439">
        <f t="shared" si="4"/>
        <v>0</v>
      </c>
      <c r="E92" s="440">
        <f t="shared" si="4"/>
        <v>0</v>
      </c>
      <c r="F92" s="441"/>
      <c r="G92" s="442"/>
      <c r="H92" s="443">
        <f t="shared" si="5"/>
        <v>0</v>
      </c>
      <c r="I92" s="444">
        <f t="shared" si="5"/>
        <v>0</v>
      </c>
      <c r="J92" s="444">
        <f t="shared" si="5"/>
        <v>0</v>
      </c>
      <c r="K92" s="445">
        <f t="shared" si="6"/>
        <v>0</v>
      </c>
      <c r="L92" s="427"/>
    </row>
    <row r="93" spans="1:12" s="9" customFormat="1" ht="14.1" customHeight="1" x14ac:dyDescent="0.25">
      <c r="A93" s="436">
        <v>8</v>
      </c>
      <c r="B93" s="437">
        <f t="shared" si="4"/>
        <v>0</v>
      </c>
      <c r="C93" s="438">
        <f t="shared" si="4"/>
        <v>0</v>
      </c>
      <c r="D93" s="439">
        <f t="shared" si="4"/>
        <v>0</v>
      </c>
      <c r="E93" s="446">
        <f t="shared" si="4"/>
        <v>0</v>
      </c>
      <c r="F93" s="441"/>
      <c r="G93" s="442"/>
      <c r="H93" s="443">
        <f t="shared" si="5"/>
        <v>0</v>
      </c>
      <c r="I93" s="444">
        <f t="shared" si="5"/>
        <v>0</v>
      </c>
      <c r="J93" s="444">
        <f t="shared" si="5"/>
        <v>0</v>
      </c>
      <c r="K93" s="445">
        <f t="shared" si="6"/>
        <v>0</v>
      </c>
      <c r="L93" s="427"/>
    </row>
    <row r="94" spans="1:12" s="9" customFormat="1" ht="14.1" customHeight="1" x14ac:dyDescent="0.25">
      <c r="A94" s="436">
        <v>9</v>
      </c>
      <c r="B94" s="437">
        <f t="shared" si="4"/>
        <v>0</v>
      </c>
      <c r="C94" s="438">
        <f t="shared" si="4"/>
        <v>0</v>
      </c>
      <c r="D94" s="439">
        <f t="shared" si="4"/>
        <v>0</v>
      </c>
      <c r="E94" s="440">
        <f t="shared" si="4"/>
        <v>0</v>
      </c>
      <c r="F94" s="441"/>
      <c r="G94" s="442"/>
      <c r="H94" s="443">
        <f t="shared" si="5"/>
        <v>0</v>
      </c>
      <c r="I94" s="444">
        <f t="shared" si="5"/>
        <v>0</v>
      </c>
      <c r="J94" s="444">
        <f t="shared" si="5"/>
        <v>0</v>
      </c>
      <c r="K94" s="445">
        <f t="shared" si="6"/>
        <v>0</v>
      </c>
      <c r="L94" s="427"/>
    </row>
    <row r="95" spans="1:12" s="9" customFormat="1" ht="14.1" customHeight="1" x14ac:dyDescent="0.25">
      <c r="A95" s="436">
        <v>10</v>
      </c>
      <c r="B95" s="437">
        <f t="shared" si="4"/>
        <v>0</v>
      </c>
      <c r="C95" s="438">
        <f t="shared" si="4"/>
        <v>0</v>
      </c>
      <c r="D95" s="439">
        <f t="shared" si="4"/>
        <v>0</v>
      </c>
      <c r="E95" s="440">
        <f t="shared" si="4"/>
        <v>0</v>
      </c>
      <c r="F95" s="441"/>
      <c r="G95" s="442"/>
      <c r="H95" s="443">
        <f t="shared" si="5"/>
        <v>0</v>
      </c>
      <c r="I95" s="444">
        <f t="shared" si="5"/>
        <v>0</v>
      </c>
      <c r="J95" s="444">
        <f t="shared" si="5"/>
        <v>0</v>
      </c>
      <c r="K95" s="445">
        <f t="shared" si="6"/>
        <v>0</v>
      </c>
      <c r="L95" s="427"/>
    </row>
    <row r="96" spans="1:12" s="9" customFormat="1" ht="14.1" customHeight="1" x14ac:dyDescent="0.25">
      <c r="A96" s="436">
        <v>11</v>
      </c>
      <c r="B96" s="437">
        <f t="shared" si="4"/>
        <v>0</v>
      </c>
      <c r="C96" s="438">
        <f t="shared" si="4"/>
        <v>0</v>
      </c>
      <c r="D96" s="439">
        <f t="shared" si="4"/>
        <v>0</v>
      </c>
      <c r="E96" s="440">
        <f t="shared" si="4"/>
        <v>0</v>
      </c>
      <c r="F96" s="441"/>
      <c r="G96" s="442"/>
      <c r="H96" s="443">
        <f t="shared" si="5"/>
        <v>0</v>
      </c>
      <c r="I96" s="444">
        <f t="shared" si="5"/>
        <v>0</v>
      </c>
      <c r="J96" s="444">
        <f t="shared" si="5"/>
        <v>0</v>
      </c>
      <c r="K96" s="445">
        <f t="shared" si="6"/>
        <v>0</v>
      </c>
      <c r="L96" s="427"/>
    </row>
    <row r="97" spans="1:12" s="9" customFormat="1" ht="14.1" customHeight="1" x14ac:dyDescent="0.25">
      <c r="A97" s="436">
        <v>12</v>
      </c>
      <c r="B97" s="437">
        <f t="shared" si="4"/>
        <v>0</v>
      </c>
      <c r="C97" s="438">
        <f t="shared" si="4"/>
        <v>0</v>
      </c>
      <c r="D97" s="439">
        <f t="shared" si="4"/>
        <v>0</v>
      </c>
      <c r="E97" s="440">
        <f t="shared" si="4"/>
        <v>0</v>
      </c>
      <c r="F97" s="441"/>
      <c r="G97" s="442"/>
      <c r="H97" s="443">
        <f t="shared" si="5"/>
        <v>0</v>
      </c>
      <c r="I97" s="444">
        <f t="shared" si="5"/>
        <v>0</v>
      </c>
      <c r="J97" s="444">
        <f t="shared" si="5"/>
        <v>0</v>
      </c>
      <c r="K97" s="445">
        <f t="shared" si="6"/>
        <v>0</v>
      </c>
      <c r="L97" s="427"/>
    </row>
    <row r="98" spans="1:12" s="9" customFormat="1" ht="14.1" customHeight="1" x14ac:dyDescent="0.25">
      <c r="A98" s="436">
        <v>13</v>
      </c>
      <c r="B98" s="437">
        <f t="shared" si="4"/>
        <v>0</v>
      </c>
      <c r="C98" s="438">
        <f t="shared" si="4"/>
        <v>0</v>
      </c>
      <c r="D98" s="439">
        <f t="shared" si="4"/>
        <v>0</v>
      </c>
      <c r="E98" s="440">
        <f t="shared" si="4"/>
        <v>0</v>
      </c>
      <c r="F98" s="441"/>
      <c r="G98" s="442"/>
      <c r="H98" s="443">
        <f t="shared" si="5"/>
        <v>0</v>
      </c>
      <c r="I98" s="444">
        <f t="shared" si="5"/>
        <v>0</v>
      </c>
      <c r="J98" s="444">
        <f t="shared" si="5"/>
        <v>0</v>
      </c>
      <c r="K98" s="445">
        <f t="shared" si="6"/>
        <v>0</v>
      </c>
      <c r="L98" s="427"/>
    </row>
    <row r="99" spans="1:12" s="9" customFormat="1" ht="14.1" customHeight="1" x14ac:dyDescent="0.25">
      <c r="A99" s="436">
        <v>14</v>
      </c>
      <c r="B99" s="437">
        <f t="shared" si="4"/>
        <v>0</v>
      </c>
      <c r="C99" s="438">
        <f t="shared" si="4"/>
        <v>0</v>
      </c>
      <c r="D99" s="439">
        <f t="shared" si="4"/>
        <v>0</v>
      </c>
      <c r="E99" s="440">
        <f t="shared" si="4"/>
        <v>0</v>
      </c>
      <c r="F99" s="441"/>
      <c r="G99" s="442"/>
      <c r="H99" s="443">
        <f t="shared" si="5"/>
        <v>0</v>
      </c>
      <c r="I99" s="444">
        <f t="shared" si="5"/>
        <v>0</v>
      </c>
      <c r="J99" s="444">
        <f t="shared" si="5"/>
        <v>0</v>
      </c>
      <c r="K99" s="445">
        <f t="shared" si="6"/>
        <v>0</v>
      </c>
      <c r="L99" s="427"/>
    </row>
    <row r="100" spans="1:12" s="9" customFormat="1" ht="14.1" customHeight="1" x14ac:dyDescent="0.25">
      <c r="A100" s="436">
        <v>15</v>
      </c>
      <c r="B100" s="437">
        <f t="shared" si="4"/>
        <v>0</v>
      </c>
      <c r="C100" s="438">
        <f t="shared" si="4"/>
        <v>0</v>
      </c>
      <c r="D100" s="439">
        <f t="shared" si="4"/>
        <v>0</v>
      </c>
      <c r="E100" s="440">
        <f t="shared" si="4"/>
        <v>0</v>
      </c>
      <c r="F100" s="441"/>
      <c r="G100" s="442"/>
      <c r="H100" s="443">
        <f t="shared" si="5"/>
        <v>0</v>
      </c>
      <c r="I100" s="444">
        <f t="shared" si="5"/>
        <v>0</v>
      </c>
      <c r="J100" s="444">
        <f t="shared" si="5"/>
        <v>0</v>
      </c>
      <c r="K100" s="445">
        <f t="shared" si="6"/>
        <v>0</v>
      </c>
      <c r="L100" s="427"/>
    </row>
    <row r="101" spans="1:12" s="9" customFormat="1" ht="14.1" customHeight="1" x14ac:dyDescent="0.25">
      <c r="A101" s="436">
        <v>16</v>
      </c>
      <c r="B101" s="437">
        <f t="shared" si="4"/>
        <v>0</v>
      </c>
      <c r="C101" s="438">
        <f t="shared" si="4"/>
        <v>0</v>
      </c>
      <c r="D101" s="439">
        <f t="shared" si="4"/>
        <v>0</v>
      </c>
      <c r="E101" s="446">
        <f t="shared" si="4"/>
        <v>0</v>
      </c>
      <c r="F101" s="441"/>
      <c r="G101" s="442"/>
      <c r="H101" s="443">
        <f t="shared" si="5"/>
        <v>0</v>
      </c>
      <c r="I101" s="444">
        <f t="shared" si="5"/>
        <v>0</v>
      </c>
      <c r="J101" s="444">
        <f t="shared" si="5"/>
        <v>0</v>
      </c>
      <c r="K101" s="445">
        <f t="shared" si="6"/>
        <v>0</v>
      </c>
      <c r="L101" s="427"/>
    </row>
    <row r="102" spans="1:12" s="9" customFormat="1" ht="9.9499999999999993" customHeight="1" x14ac:dyDescent="0.25">
      <c r="A102" s="396"/>
      <c r="B102" s="447"/>
      <c r="C102" s="447"/>
      <c r="D102" s="448"/>
      <c r="E102" s="449"/>
      <c r="F102" s="450"/>
      <c r="G102" s="451"/>
      <c r="H102" s="452"/>
      <c r="I102" s="453"/>
      <c r="J102" s="453"/>
      <c r="K102" s="454"/>
      <c r="L102" s="427"/>
    </row>
    <row r="103" spans="1:12" s="9" customFormat="1" ht="5.0999999999999996" customHeight="1" x14ac:dyDescent="0.25">
      <c r="A103" s="396"/>
      <c r="B103" s="455"/>
      <c r="C103" s="455"/>
      <c r="D103" s="456"/>
      <c r="E103" s="457"/>
      <c r="F103" s="457"/>
      <c r="G103" s="457"/>
      <c r="H103" s="457"/>
      <c r="I103" s="458"/>
      <c r="J103" s="609"/>
      <c r="K103" s="610"/>
      <c r="L103" s="401"/>
    </row>
    <row r="104" spans="1:12" s="9" customFormat="1" ht="16.5" customHeight="1" x14ac:dyDescent="0.3">
      <c r="A104" s="396"/>
      <c r="B104" s="459"/>
      <c r="C104" s="459"/>
      <c r="D104" s="416"/>
      <c r="E104" s="401"/>
      <c r="F104" s="401"/>
      <c r="G104" s="401"/>
      <c r="H104" s="401"/>
      <c r="I104" s="460" t="s">
        <v>21</v>
      </c>
      <c r="J104" s="611">
        <f>SUM(K86:K101)</f>
        <v>750000</v>
      </c>
      <c r="K104" s="612"/>
      <c r="L104" s="427"/>
    </row>
    <row r="105" spans="1:12" s="9" customFormat="1" ht="5.0999999999999996" customHeight="1" x14ac:dyDescent="0.3">
      <c r="A105" s="396"/>
      <c r="B105" s="459"/>
      <c r="C105" s="459"/>
      <c r="D105" s="416"/>
      <c r="E105" s="401"/>
      <c r="F105" s="401"/>
      <c r="G105" s="401"/>
      <c r="H105" s="401"/>
      <c r="I105" s="461"/>
      <c r="J105" s="613"/>
      <c r="K105" s="613"/>
      <c r="L105" s="401"/>
    </row>
    <row r="106" spans="1:12" s="9" customFormat="1" ht="16.5" customHeight="1" x14ac:dyDescent="0.3">
      <c r="A106" s="396"/>
      <c r="B106" s="459"/>
      <c r="C106" s="459"/>
      <c r="D106" s="416"/>
      <c r="E106" s="401"/>
      <c r="F106" s="401"/>
      <c r="G106" s="401"/>
      <c r="H106" s="401"/>
      <c r="I106" s="460" t="s">
        <v>22</v>
      </c>
      <c r="J106" s="462">
        <f>J68</f>
        <v>0</v>
      </c>
      <c r="K106" s="463">
        <f>J104*J106</f>
        <v>0</v>
      </c>
      <c r="L106" s="464"/>
    </row>
    <row r="107" spans="1:12" s="9" customFormat="1" ht="5.0999999999999996" customHeight="1" x14ac:dyDescent="0.3">
      <c r="A107" s="396"/>
      <c r="B107" s="459"/>
      <c r="C107" s="459"/>
      <c r="D107" s="416"/>
      <c r="E107" s="401"/>
      <c r="F107" s="401"/>
      <c r="G107" s="401"/>
      <c r="H107" s="401"/>
      <c r="I107" s="461"/>
      <c r="J107" s="610"/>
      <c r="K107" s="610"/>
      <c r="L107" s="401"/>
    </row>
    <row r="108" spans="1:12" s="9" customFormat="1" ht="16.5" customHeight="1" x14ac:dyDescent="0.3">
      <c r="A108" s="396"/>
      <c r="B108" s="465" t="s">
        <v>23</v>
      </c>
      <c r="C108" s="465"/>
      <c r="D108" s="416"/>
      <c r="E108" s="416" t="s">
        <v>24</v>
      </c>
      <c r="F108" s="401"/>
      <c r="G108" s="401"/>
      <c r="H108" s="401"/>
      <c r="I108" s="460" t="s">
        <v>25</v>
      </c>
      <c r="J108" s="614">
        <f>((J104/1.11)+(K106/1.11))*11%</f>
        <v>74324.32432432432</v>
      </c>
      <c r="K108" s="615"/>
      <c r="L108" s="466"/>
    </row>
    <row r="109" spans="1:12" s="9" customFormat="1" ht="5.0999999999999996" customHeight="1" x14ac:dyDescent="0.3">
      <c r="A109" s="396"/>
      <c r="B109" s="459"/>
      <c r="C109" s="459"/>
      <c r="D109" s="416"/>
      <c r="E109" s="401"/>
      <c r="F109" s="401"/>
      <c r="G109" s="401"/>
      <c r="H109" s="401"/>
      <c r="I109" s="461"/>
      <c r="J109" s="610"/>
      <c r="K109" s="610"/>
      <c r="L109" s="401"/>
    </row>
    <row r="110" spans="1:12" s="9" customFormat="1" ht="16.5" customHeight="1" x14ac:dyDescent="0.3">
      <c r="A110" s="396"/>
      <c r="B110" s="467"/>
      <c r="C110" s="468"/>
      <c r="D110" s="416"/>
      <c r="E110" s="416"/>
      <c r="F110" s="401"/>
      <c r="G110" s="401"/>
      <c r="H110" s="401"/>
      <c r="I110" s="460" t="s">
        <v>26</v>
      </c>
      <c r="J110" s="469"/>
      <c r="K110" s="470">
        <f>J104-K106</f>
        <v>750000</v>
      </c>
      <c r="L110" s="466"/>
    </row>
    <row r="111" spans="1:12" s="9" customFormat="1" ht="7.5" customHeight="1" x14ac:dyDescent="0.25">
      <c r="A111" s="471"/>
      <c r="B111" s="457"/>
      <c r="C111" s="457"/>
      <c r="D111" s="456"/>
      <c r="E111" s="472"/>
      <c r="F111" s="455"/>
      <c r="G111" s="401"/>
      <c r="H111" s="401"/>
      <c r="I111" s="473"/>
      <c r="J111" s="472"/>
      <c r="K111" s="455"/>
      <c r="L111" s="457"/>
    </row>
    <row r="112" spans="1:12" s="9" customFormat="1" ht="13.5" customHeight="1" x14ac:dyDescent="0.25">
      <c r="A112" s="396"/>
      <c r="B112" s="474" t="s">
        <v>27</v>
      </c>
      <c r="C112" s="457"/>
      <c r="D112" s="456"/>
      <c r="E112" s="401"/>
      <c r="F112" s="401"/>
      <c r="G112" s="401"/>
      <c r="H112" s="475"/>
      <c r="I112" s="476" t="s">
        <v>12</v>
      </c>
      <c r="J112" s="607" t="str">
        <f>J74</f>
        <v>NOVI / CONDRO</v>
      </c>
      <c r="K112" s="608"/>
      <c r="L112" s="401"/>
    </row>
    <row r="113" spans="1:12" s="9" customFormat="1" ht="13.5" customHeight="1" x14ac:dyDescent="0.25">
      <c r="A113" s="471"/>
      <c r="B113" s="477"/>
      <c r="C113" s="401"/>
      <c r="D113" s="441"/>
      <c r="E113" s="401"/>
      <c r="F113" s="401"/>
      <c r="G113" s="401"/>
      <c r="H113" s="475"/>
      <c r="I113" s="478" t="s">
        <v>140</v>
      </c>
      <c r="J113" s="607">
        <f>J75</f>
        <v>0</v>
      </c>
      <c r="K113" s="608"/>
      <c r="L113" s="457"/>
    </row>
    <row r="114" spans="1:12" s="9" customFormat="1" ht="7.5" customHeight="1" x14ac:dyDescent="0.25">
      <c r="A114" s="471"/>
      <c r="B114" s="477"/>
      <c r="C114" s="401"/>
      <c r="D114" s="441"/>
      <c r="E114" s="401"/>
      <c r="F114" s="401"/>
      <c r="G114" s="401"/>
      <c r="H114" s="475"/>
      <c r="I114" s="478"/>
      <c r="J114" s="479"/>
      <c r="K114" s="479"/>
      <c r="L114" s="457"/>
    </row>
  </sheetData>
  <mergeCells count="39">
    <mergeCell ref="J112:K112"/>
    <mergeCell ref="J113:K113"/>
    <mergeCell ref="J103:K103"/>
    <mergeCell ref="J104:K104"/>
    <mergeCell ref="J105:K105"/>
    <mergeCell ref="J107:K107"/>
    <mergeCell ref="J108:K108"/>
    <mergeCell ref="J109:K109"/>
    <mergeCell ref="J74:K74"/>
    <mergeCell ref="J75:K75"/>
    <mergeCell ref="H78:K79"/>
    <mergeCell ref="F79:F81"/>
    <mergeCell ref="D80:E80"/>
    <mergeCell ref="H80:K80"/>
    <mergeCell ref="H81:K82"/>
    <mergeCell ref="J71:K71"/>
    <mergeCell ref="J37:K37"/>
    <mergeCell ref="H40:K41"/>
    <mergeCell ref="F41:F43"/>
    <mergeCell ref="D42:E42"/>
    <mergeCell ref="H42:K42"/>
    <mergeCell ref="H43:K44"/>
    <mergeCell ref="J65:K65"/>
    <mergeCell ref="J66:K66"/>
    <mergeCell ref="J67:K67"/>
    <mergeCell ref="J69:K69"/>
    <mergeCell ref="J70:K70"/>
    <mergeCell ref="J36:K36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topLeftCell="A3" workbookViewId="0">
      <selection activeCell="I40" sqref="I4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NOTA</vt:lpstr>
      <vt:lpstr>PAJAK</vt:lpstr>
      <vt:lpstr>PREVIEW BORDERLESS</vt:lpstr>
      <vt:lpstr>PREVIEW</vt:lpstr>
      <vt:lpstr>_var</vt:lpstr>
      <vt:lpstr>Sheet1</vt:lpstr>
      <vt:lpstr>Sheet2</vt:lpstr>
      <vt:lpstr>jNota</vt:lpstr>
      <vt:lpstr>PREVIEW!jumlahBarang</vt:lpstr>
      <vt:lpstr>jumlahBarang</vt:lpstr>
      <vt:lpstr>PREVIEW!kToko</vt:lpstr>
      <vt:lpstr>kToko</vt:lpstr>
      <vt:lpstr>PREVIEW!newestIdRow</vt:lpstr>
      <vt:lpstr>newestIdRow</vt:lpstr>
      <vt:lpstr>PREVIEW!offset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2024-02-27T09:40:51Z</dcterms:modified>
</cp:coreProperties>
</file>