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5" r:id="rId19"/>
  </pivotCaches>
</workbook>
</file>

<file path=xl/calcChain.xml><?xml version="1.0" encoding="utf-8"?>
<calcChain xmlns="http://schemas.openxmlformats.org/spreadsheetml/2006/main">
  <c r="N928" i="1" l="1"/>
  <c r="N922" i="1" l="1"/>
  <c r="M917" i="1"/>
  <c r="B919" i="1"/>
  <c r="B920" i="1"/>
  <c r="B921" i="1"/>
  <c r="B923" i="1"/>
  <c r="B924" i="1"/>
  <c r="B925" i="1"/>
  <c r="B926" i="1"/>
  <c r="B927" i="1"/>
  <c r="B928" i="1"/>
  <c r="B929" i="1"/>
  <c r="B930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C919" i="1"/>
  <c r="C920" i="1"/>
  <c r="C921" i="1"/>
  <c r="C923" i="1"/>
  <c r="C924" i="1"/>
  <c r="C925" i="1"/>
  <c r="C926" i="1"/>
  <c r="C927" i="1"/>
  <c r="C928" i="1"/>
  <c r="C929" i="1"/>
  <c r="C930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D921" i="1"/>
  <c r="AI921" i="1" s="1"/>
  <c r="D930" i="1"/>
  <c r="AU930" i="1" s="1"/>
  <c r="D933" i="1"/>
  <c r="AG933" i="1" s="1"/>
  <c r="D934" i="1"/>
  <c r="D935" i="1"/>
  <c r="AS935" i="1" s="1"/>
  <c r="D936" i="1"/>
  <c r="AI936" i="1" s="1"/>
  <c r="D937" i="1"/>
  <c r="D938" i="1"/>
  <c r="AU938" i="1" s="1"/>
  <c r="D939" i="1"/>
  <c r="AS939" i="1" s="1"/>
  <c r="D940" i="1"/>
  <c r="AI940" i="1" s="1"/>
  <c r="D941" i="1"/>
  <c r="D942" i="1"/>
  <c r="D943" i="1"/>
  <c r="AS943" i="1" s="1"/>
  <c r="D944" i="1"/>
  <c r="AI944" i="1" s="1"/>
  <c r="D945" i="1"/>
  <c r="D946" i="1"/>
  <c r="AU946" i="1" s="1"/>
  <c r="D947" i="1"/>
  <c r="AD947" i="1" s="1"/>
  <c r="D948" i="1"/>
  <c r="AI948" i="1" s="1"/>
  <c r="D949" i="1"/>
  <c r="AG949" i="1" s="1"/>
  <c r="D950" i="1"/>
  <c r="D951" i="1"/>
  <c r="AS951" i="1" s="1"/>
  <c r="D952" i="1"/>
  <c r="AI952" i="1" s="1"/>
  <c r="D953" i="1"/>
  <c r="D954" i="1"/>
  <c r="AU954" i="1" s="1"/>
  <c r="D955" i="1"/>
  <c r="AC955" i="1" s="1"/>
  <c r="D956" i="1"/>
  <c r="AI956" i="1" s="1"/>
  <c r="D957" i="1"/>
  <c r="D958" i="1"/>
  <c r="D959" i="1"/>
  <c r="AS959" i="1" s="1"/>
  <c r="D960" i="1"/>
  <c r="AI960" i="1" s="1"/>
  <c r="D961" i="1"/>
  <c r="D962" i="1"/>
  <c r="AU962" i="1" s="1"/>
  <c r="D963" i="1"/>
  <c r="AS963" i="1" s="1"/>
  <c r="D964" i="1"/>
  <c r="AI964" i="1" s="1"/>
  <c r="D965" i="1"/>
  <c r="AG965" i="1" s="1"/>
  <c r="D966" i="1"/>
  <c r="D967" i="1"/>
  <c r="AS967" i="1" s="1"/>
  <c r="D968" i="1"/>
  <c r="AI968" i="1" s="1"/>
  <c r="D969" i="1"/>
  <c r="D970" i="1"/>
  <c r="AU970" i="1" s="1"/>
  <c r="D971" i="1"/>
  <c r="AS971" i="1" s="1"/>
  <c r="D972" i="1"/>
  <c r="AI972" i="1" s="1"/>
  <c r="D973" i="1"/>
  <c r="D974" i="1"/>
  <c r="D975" i="1"/>
  <c r="AS975" i="1" s="1"/>
  <c r="D976" i="1"/>
  <c r="AI976" i="1" s="1"/>
  <c r="D977" i="1"/>
  <c r="D978" i="1"/>
  <c r="AU978" i="1" s="1"/>
  <c r="D979" i="1"/>
  <c r="AD979" i="1" s="1"/>
  <c r="D980" i="1"/>
  <c r="AI980" i="1" s="1"/>
  <c r="D981" i="1"/>
  <c r="AG981" i="1" s="1"/>
  <c r="D982" i="1"/>
  <c r="D983" i="1"/>
  <c r="AS983" i="1" s="1"/>
  <c r="D984" i="1"/>
  <c r="AI984" i="1" s="1"/>
  <c r="D985" i="1"/>
  <c r="D986" i="1"/>
  <c r="AU986" i="1" s="1"/>
  <c r="D987" i="1"/>
  <c r="AC987" i="1" s="1"/>
  <c r="D988" i="1"/>
  <c r="AI988" i="1" s="1"/>
  <c r="D989" i="1"/>
  <c r="D990" i="1"/>
  <c r="D991" i="1"/>
  <c r="AS991" i="1" s="1"/>
  <c r="D992" i="1"/>
  <c r="AI992" i="1" s="1"/>
  <c r="D993" i="1"/>
  <c r="D994" i="1"/>
  <c r="AU994" i="1" s="1"/>
  <c r="D995" i="1"/>
  <c r="AS995" i="1" s="1"/>
  <c r="D996" i="1"/>
  <c r="AI996" i="1" s="1"/>
  <c r="D997" i="1"/>
  <c r="AG997" i="1" s="1"/>
  <c r="D998" i="1"/>
  <c r="D999" i="1"/>
  <c r="AS999" i="1" s="1"/>
  <c r="D1000" i="1"/>
  <c r="AI1000" i="1" s="1"/>
  <c r="D1001" i="1"/>
  <c r="D1002" i="1"/>
  <c r="AU1002" i="1" s="1"/>
  <c r="D1003" i="1"/>
  <c r="AS1003" i="1" s="1"/>
  <c r="D1004" i="1"/>
  <c r="AI1004" i="1" s="1"/>
  <c r="D1005" i="1"/>
  <c r="D1006" i="1"/>
  <c r="D1007" i="1"/>
  <c r="AS1007" i="1" s="1"/>
  <c r="D1008" i="1"/>
  <c r="AI1008" i="1" s="1"/>
  <c r="D1009" i="1"/>
  <c r="D1010" i="1"/>
  <c r="AU1010" i="1" s="1"/>
  <c r="D1011" i="1"/>
  <c r="AS1011" i="1" s="1"/>
  <c r="D1012" i="1"/>
  <c r="AI1012" i="1" s="1"/>
  <c r="D1013" i="1"/>
  <c r="AG1013" i="1" s="1"/>
  <c r="D1014" i="1"/>
  <c r="D1015" i="1"/>
  <c r="AS1015" i="1" s="1"/>
  <c r="D1016" i="1"/>
  <c r="AI1016" i="1" s="1"/>
  <c r="D1017" i="1"/>
  <c r="D1018" i="1"/>
  <c r="AU1018" i="1" s="1"/>
  <c r="D1019" i="1"/>
  <c r="AC1019" i="1" s="1"/>
  <c r="D1020" i="1"/>
  <c r="AI1020" i="1" s="1"/>
  <c r="D1021" i="1"/>
  <c r="D1022" i="1"/>
  <c r="D1023" i="1"/>
  <c r="AS1023" i="1" s="1"/>
  <c r="D1024" i="1"/>
  <c r="AI1024" i="1" s="1"/>
  <c r="D1025" i="1"/>
  <c r="D1026" i="1"/>
  <c r="AU1026" i="1" s="1"/>
  <c r="D1027" i="1"/>
  <c r="AS1027" i="1" s="1"/>
  <c r="D1028" i="1"/>
  <c r="AI1028" i="1" s="1"/>
  <c r="D1029" i="1"/>
  <c r="AG1029" i="1" s="1"/>
  <c r="D1030" i="1"/>
  <c r="D1031" i="1"/>
  <c r="AS1031" i="1" s="1"/>
  <c r="D1032" i="1"/>
  <c r="AI1032" i="1" s="1"/>
  <c r="D1033" i="1"/>
  <c r="D1034" i="1"/>
  <c r="AU1034" i="1" s="1"/>
  <c r="D1035" i="1"/>
  <c r="AS1035" i="1" s="1"/>
  <c r="D1036" i="1"/>
  <c r="AI1036" i="1" s="1"/>
  <c r="D1037" i="1"/>
  <c r="D1038" i="1"/>
  <c r="D1039" i="1"/>
  <c r="AS1039" i="1" s="1"/>
  <c r="D1040" i="1"/>
  <c r="AI1040" i="1" s="1"/>
  <c r="D1041" i="1"/>
  <c r="D1042" i="1"/>
  <c r="AU1042" i="1" s="1"/>
  <c r="D1043" i="1"/>
  <c r="AD1043" i="1" s="1"/>
  <c r="D1044" i="1"/>
  <c r="AI1044" i="1" s="1"/>
  <c r="D1045" i="1"/>
  <c r="AG1045" i="1" s="1"/>
  <c r="D1046" i="1"/>
  <c r="D1047" i="1"/>
  <c r="AS1047" i="1" s="1"/>
  <c r="D1048" i="1"/>
  <c r="AI1048" i="1" s="1"/>
  <c r="D1049" i="1"/>
  <c r="D1050" i="1"/>
  <c r="AU1050" i="1" s="1"/>
  <c r="D1051" i="1"/>
  <c r="AS1051" i="1" s="1"/>
  <c r="D1052" i="1"/>
  <c r="AI1052" i="1" s="1"/>
  <c r="D1053" i="1"/>
  <c r="D1054" i="1"/>
  <c r="D1055" i="1"/>
  <c r="AS1055" i="1" s="1"/>
  <c r="D1056" i="1"/>
  <c r="AI1056" i="1" s="1"/>
  <c r="D1057" i="1"/>
  <c r="D1058" i="1"/>
  <c r="AU1058" i="1" s="1"/>
  <c r="D1059" i="1"/>
  <c r="AS1059" i="1" s="1"/>
  <c r="D1060" i="1"/>
  <c r="AI1060" i="1" s="1"/>
  <c r="D1061" i="1"/>
  <c r="AG1061" i="1" s="1"/>
  <c r="D1062" i="1"/>
  <c r="D1063" i="1"/>
  <c r="AS1063" i="1" s="1"/>
  <c r="D1064" i="1"/>
  <c r="AI1064" i="1" s="1"/>
  <c r="D1065" i="1"/>
  <c r="D1066" i="1"/>
  <c r="AU1066" i="1" s="1"/>
  <c r="D1067" i="1"/>
  <c r="AS1067" i="1" s="1"/>
  <c r="D1068" i="1"/>
  <c r="AI1068" i="1" s="1"/>
  <c r="D1069" i="1"/>
  <c r="D1070" i="1"/>
  <c r="D1071" i="1"/>
  <c r="AS1071" i="1" s="1"/>
  <c r="D1072" i="1"/>
  <c r="AI1072" i="1" s="1"/>
  <c r="D1073" i="1"/>
  <c r="D1074" i="1"/>
  <c r="AU1074" i="1" s="1"/>
  <c r="D1075" i="1"/>
  <c r="AD1075" i="1" s="1"/>
  <c r="D1076" i="1"/>
  <c r="AI1076" i="1" s="1"/>
  <c r="D1077" i="1"/>
  <c r="AG1077" i="1" s="1"/>
  <c r="D1078" i="1"/>
  <c r="D1079" i="1"/>
  <c r="AS1079" i="1" s="1"/>
  <c r="D1080" i="1"/>
  <c r="AI1080" i="1" s="1"/>
  <c r="D1081" i="1"/>
  <c r="D1082" i="1"/>
  <c r="AU1082" i="1" s="1"/>
  <c r="D1083" i="1"/>
  <c r="AC1083" i="1" s="1"/>
  <c r="D1084" i="1"/>
  <c r="AI1084" i="1" s="1"/>
  <c r="D1085" i="1"/>
  <c r="D1086" i="1"/>
  <c r="AI1086" i="1" s="1"/>
  <c r="D1087" i="1"/>
  <c r="AS1087" i="1" s="1"/>
  <c r="D1088" i="1"/>
  <c r="AI1088" i="1" s="1"/>
  <c r="D1089" i="1"/>
  <c r="D1090" i="1"/>
  <c r="AU1090" i="1" s="1"/>
  <c r="D1091" i="1"/>
  <c r="AS1091" i="1" s="1"/>
  <c r="D1092" i="1"/>
  <c r="AU1092" i="1" s="1"/>
  <c r="D1093" i="1"/>
  <c r="AG1093" i="1" s="1"/>
  <c r="D1094" i="1"/>
  <c r="AU1094" i="1" s="1"/>
  <c r="D1095" i="1"/>
  <c r="AS1095" i="1" s="1"/>
  <c r="D1096" i="1"/>
  <c r="AU1096" i="1" s="1"/>
  <c r="D1097" i="1"/>
  <c r="D1098" i="1"/>
  <c r="AC1098" i="1" s="1"/>
  <c r="D1099" i="1"/>
  <c r="AS1099" i="1" s="1"/>
  <c r="D1100" i="1"/>
  <c r="AU1100" i="1" s="1"/>
  <c r="D1101" i="1"/>
  <c r="AD1101" i="1" s="1"/>
  <c r="D1102" i="1"/>
  <c r="AU1102" i="1" s="1"/>
  <c r="D1103" i="1"/>
  <c r="AS1103" i="1" s="1"/>
  <c r="D1104" i="1"/>
  <c r="D1105" i="1"/>
  <c r="D1106" i="1"/>
  <c r="AI1106" i="1" s="1"/>
  <c r="D1107" i="1"/>
  <c r="AS1107" i="1" s="1"/>
  <c r="D1108" i="1"/>
  <c r="AU1108" i="1" s="1"/>
  <c r="D1109" i="1"/>
  <c r="AG1109" i="1" s="1"/>
  <c r="D1110" i="1"/>
  <c r="AU1110" i="1" s="1"/>
  <c r="D1111" i="1"/>
  <c r="AS1111" i="1" s="1"/>
  <c r="D1112" i="1"/>
  <c r="AC1112" i="1" s="1"/>
  <c r="D1113" i="1"/>
  <c r="D1114" i="1"/>
  <c r="AU1114" i="1" s="1"/>
  <c r="D1115" i="1"/>
  <c r="AS1115" i="1" s="1"/>
  <c r="D1116" i="1"/>
  <c r="AU1116" i="1" s="1"/>
  <c r="D1117" i="1"/>
  <c r="AD1117" i="1" s="1"/>
  <c r="D1118" i="1"/>
  <c r="AU1118" i="1" s="1"/>
  <c r="D1119" i="1"/>
  <c r="AS1119" i="1" s="1"/>
  <c r="D1120" i="1"/>
  <c r="D1121" i="1"/>
  <c r="D1122" i="1"/>
  <c r="AI1122" i="1" s="1"/>
  <c r="D1123" i="1"/>
  <c r="AS1123" i="1" s="1"/>
  <c r="D1124" i="1"/>
  <c r="AU1124" i="1" s="1"/>
  <c r="D1125" i="1"/>
  <c r="AG1125" i="1" s="1"/>
  <c r="D1126" i="1"/>
  <c r="AU1126" i="1" s="1"/>
  <c r="D1127" i="1"/>
  <c r="AS1127" i="1" s="1"/>
  <c r="D1128" i="1"/>
  <c r="AC1128" i="1" s="1"/>
  <c r="D1129" i="1"/>
  <c r="D1130" i="1"/>
  <c r="AU1130" i="1" s="1"/>
  <c r="D1131" i="1"/>
  <c r="AS1131" i="1" s="1"/>
  <c r="D1132" i="1"/>
  <c r="AU1132" i="1" s="1"/>
  <c r="D1133" i="1"/>
  <c r="AD1133" i="1" s="1"/>
  <c r="D1134" i="1"/>
  <c r="AU1134" i="1" s="1"/>
  <c r="D1135" i="1"/>
  <c r="AS1135" i="1" s="1"/>
  <c r="D1136" i="1"/>
  <c r="D1137" i="1"/>
  <c r="D1138" i="1"/>
  <c r="AI1138" i="1" s="1"/>
  <c r="D1139" i="1"/>
  <c r="AS1139" i="1" s="1"/>
  <c r="D1140" i="1"/>
  <c r="AU1140" i="1" s="1"/>
  <c r="D1141" i="1"/>
  <c r="AG1141" i="1" s="1"/>
  <c r="D1142" i="1"/>
  <c r="AI1142" i="1" s="1"/>
  <c r="D1143" i="1"/>
  <c r="AS1143" i="1" s="1"/>
  <c r="D1144" i="1"/>
  <c r="AC1144" i="1" s="1"/>
  <c r="D1145" i="1"/>
  <c r="D1146" i="1"/>
  <c r="AU1146" i="1" s="1"/>
  <c r="D1147" i="1"/>
  <c r="AS1147" i="1" s="1"/>
  <c r="D1148" i="1"/>
  <c r="AU1148" i="1" s="1"/>
  <c r="D1149" i="1"/>
  <c r="AD1149" i="1" s="1"/>
  <c r="D1150" i="1"/>
  <c r="AI1150" i="1" s="1"/>
  <c r="D1151" i="1"/>
  <c r="AS1151" i="1" s="1"/>
  <c r="D1152" i="1"/>
  <c r="D1153" i="1"/>
  <c r="D1154" i="1"/>
  <c r="AU1154" i="1" s="1"/>
  <c r="D1155" i="1"/>
  <c r="AS1155" i="1" s="1"/>
  <c r="D1156" i="1"/>
  <c r="AU1156" i="1" s="1"/>
  <c r="D1157" i="1"/>
  <c r="AG1157" i="1" s="1"/>
  <c r="D1158" i="1"/>
  <c r="AI1158" i="1" s="1"/>
  <c r="D1159" i="1"/>
  <c r="AS1159" i="1" s="1"/>
  <c r="D1160" i="1"/>
  <c r="AC1160" i="1" s="1"/>
  <c r="D1161" i="1"/>
  <c r="D1162" i="1"/>
  <c r="AU1162" i="1" s="1"/>
  <c r="D1163" i="1"/>
  <c r="AS1163" i="1" s="1"/>
  <c r="D1164" i="1"/>
  <c r="AU1164" i="1" s="1"/>
  <c r="D1165" i="1"/>
  <c r="AD1165" i="1" s="1"/>
  <c r="D1166" i="1"/>
  <c r="AI1166" i="1" s="1"/>
  <c r="D1167" i="1"/>
  <c r="AS1167" i="1" s="1"/>
  <c r="D1168" i="1"/>
  <c r="D1169" i="1"/>
  <c r="D1170" i="1"/>
  <c r="AI1170" i="1" s="1"/>
  <c r="D1171" i="1"/>
  <c r="AS1171" i="1" s="1"/>
  <c r="D1172" i="1"/>
  <c r="AU1172" i="1" s="1"/>
  <c r="D1173" i="1"/>
  <c r="AG1173" i="1" s="1"/>
  <c r="D1174" i="1"/>
  <c r="AI1174" i="1" s="1"/>
  <c r="D1175" i="1"/>
  <c r="AS1175" i="1" s="1"/>
  <c r="D1176" i="1"/>
  <c r="AC1176" i="1" s="1"/>
  <c r="D1177" i="1"/>
  <c r="D1178" i="1"/>
  <c r="AU1178" i="1" s="1"/>
  <c r="D1179" i="1"/>
  <c r="AS1179" i="1" s="1"/>
  <c r="D1180" i="1"/>
  <c r="AU1180" i="1" s="1"/>
  <c r="D1181" i="1"/>
  <c r="AD1181" i="1" s="1"/>
  <c r="D1182" i="1"/>
  <c r="AI1182" i="1" s="1"/>
  <c r="D1183" i="1"/>
  <c r="AS1183" i="1" s="1"/>
  <c r="D1184" i="1"/>
  <c r="D1185" i="1"/>
  <c r="D1186" i="1"/>
  <c r="AU1186" i="1" s="1"/>
  <c r="D1187" i="1"/>
  <c r="AS1187" i="1" s="1"/>
  <c r="D1188" i="1"/>
  <c r="AU1188" i="1" s="1"/>
  <c r="D1189" i="1"/>
  <c r="AG1189" i="1" s="1"/>
  <c r="D1190" i="1"/>
  <c r="AI1190" i="1" s="1"/>
  <c r="D1191" i="1"/>
  <c r="AS1191" i="1" s="1"/>
  <c r="D1192" i="1"/>
  <c r="AC1192" i="1" s="1"/>
  <c r="D1193" i="1"/>
  <c r="D1194" i="1"/>
  <c r="AU1194" i="1" s="1"/>
  <c r="D1195" i="1"/>
  <c r="AS1195" i="1" s="1"/>
  <c r="D1196" i="1"/>
  <c r="AC1196" i="1" s="1"/>
  <c r="D1197" i="1"/>
  <c r="AD1197" i="1" s="1"/>
  <c r="D1198" i="1"/>
  <c r="AI1198" i="1" s="1"/>
  <c r="D1199" i="1"/>
  <c r="AS1199" i="1" s="1"/>
  <c r="D1200" i="1"/>
  <c r="AC1200" i="1" s="1"/>
  <c r="D1201" i="1"/>
  <c r="D1202" i="1"/>
  <c r="AI1202" i="1" s="1"/>
  <c r="D1203" i="1"/>
  <c r="AS1203" i="1" s="1"/>
  <c r="D1204" i="1"/>
  <c r="AU1204" i="1" s="1"/>
  <c r="D1205" i="1"/>
  <c r="AG1205" i="1" s="1"/>
  <c r="D1206" i="1"/>
  <c r="AI1206" i="1" s="1"/>
  <c r="D1207" i="1"/>
  <c r="AS1207" i="1" s="1"/>
  <c r="D1208" i="1"/>
  <c r="AC1208" i="1" s="1"/>
  <c r="D1209" i="1"/>
  <c r="D1210" i="1"/>
  <c r="AU1210" i="1" s="1"/>
  <c r="D1211" i="1"/>
  <c r="AS1211" i="1" s="1"/>
  <c r="D1212" i="1"/>
  <c r="D1213" i="1"/>
  <c r="AD1213" i="1" s="1"/>
  <c r="D1214" i="1"/>
  <c r="AI1214" i="1" s="1"/>
  <c r="D1215" i="1"/>
  <c r="AS1215" i="1" s="1"/>
  <c r="D1216" i="1"/>
  <c r="AC1216" i="1" s="1"/>
  <c r="D1217" i="1"/>
  <c r="D1218" i="1"/>
  <c r="AU1218" i="1" s="1"/>
  <c r="D1219" i="1"/>
  <c r="AS1219" i="1" s="1"/>
  <c r="D1220" i="1"/>
  <c r="AU1220" i="1" s="1"/>
  <c r="D1221" i="1"/>
  <c r="AG1221" i="1" s="1"/>
  <c r="D1222" i="1"/>
  <c r="AI1222" i="1" s="1"/>
  <c r="D1223" i="1"/>
  <c r="AS1223" i="1" s="1"/>
  <c r="D1224" i="1"/>
  <c r="AC1224" i="1" s="1"/>
  <c r="D1225" i="1"/>
  <c r="D1226" i="1"/>
  <c r="AU1226" i="1" s="1"/>
  <c r="D1227" i="1"/>
  <c r="AS1227" i="1" s="1"/>
  <c r="D1228" i="1"/>
  <c r="AC1228" i="1" s="1"/>
  <c r="D1229" i="1"/>
  <c r="AD1229" i="1" s="1"/>
  <c r="D1230" i="1"/>
  <c r="AI1230" i="1" s="1"/>
  <c r="D1231" i="1"/>
  <c r="AS1231" i="1" s="1"/>
  <c r="D1232" i="1"/>
  <c r="AC1232" i="1" s="1"/>
  <c r="D1233" i="1"/>
  <c r="D1234" i="1"/>
  <c r="AI1234" i="1" s="1"/>
  <c r="D1235" i="1"/>
  <c r="AS1235" i="1" s="1"/>
  <c r="D1236" i="1"/>
  <c r="AU1236" i="1" s="1"/>
  <c r="D1237" i="1"/>
  <c r="AG1237" i="1" s="1"/>
  <c r="D1238" i="1"/>
  <c r="AS1238" i="1" s="1"/>
  <c r="D1239" i="1"/>
  <c r="AI1239" i="1" s="1"/>
  <c r="D1240" i="1"/>
  <c r="AS1240" i="1" s="1"/>
  <c r="D1241" i="1"/>
  <c r="AI1241" i="1" s="1"/>
  <c r="D1242" i="1"/>
  <c r="AU1242" i="1" s="1"/>
  <c r="D1243" i="1"/>
  <c r="AI1243" i="1" s="1"/>
  <c r="D1244" i="1"/>
  <c r="AI1244" i="1" s="1"/>
  <c r="D1245" i="1"/>
  <c r="AC1245" i="1" s="1"/>
  <c r="D1246" i="1"/>
  <c r="AS1246" i="1" s="1"/>
  <c r="D1247" i="1"/>
  <c r="AI1247" i="1" s="1"/>
  <c r="D1248" i="1"/>
  <c r="AS1248" i="1" s="1"/>
  <c r="D1249" i="1"/>
  <c r="AI1249" i="1" s="1"/>
  <c r="D1250" i="1"/>
  <c r="AU1250" i="1" s="1"/>
  <c r="D1251" i="1"/>
  <c r="AI1251" i="1" s="1"/>
  <c r="D1252" i="1"/>
  <c r="AI1252" i="1" s="1"/>
  <c r="D1253" i="1"/>
  <c r="D1254" i="1"/>
  <c r="AS1254" i="1" s="1"/>
  <c r="D1255" i="1"/>
  <c r="AI1255" i="1" s="1"/>
  <c r="D1256" i="1"/>
  <c r="AS1256" i="1" s="1"/>
  <c r="D1257" i="1"/>
  <c r="AI1257" i="1" s="1"/>
  <c r="D1258" i="1"/>
  <c r="AI1258" i="1" s="1"/>
  <c r="D1259" i="1"/>
  <c r="AI1259" i="1" s="1"/>
  <c r="D1260" i="1"/>
  <c r="AS1260" i="1" s="1"/>
  <c r="D1261" i="1"/>
  <c r="AG1261" i="1" s="1"/>
  <c r="D1262" i="1"/>
  <c r="AS1262" i="1" s="1"/>
  <c r="D1263" i="1"/>
  <c r="AI1263" i="1" s="1"/>
  <c r="D1264" i="1"/>
  <c r="AS1264" i="1" s="1"/>
  <c r="D1265" i="1"/>
  <c r="AI1265" i="1" s="1"/>
  <c r="D1266" i="1"/>
  <c r="AU1266" i="1" s="1"/>
  <c r="D1267" i="1"/>
  <c r="AI1267" i="1" s="1"/>
  <c r="D1268" i="1"/>
  <c r="AS1268" i="1" s="1"/>
  <c r="D1269" i="1"/>
  <c r="D1270" i="1"/>
  <c r="AU1270" i="1" s="1"/>
  <c r="D1271" i="1"/>
  <c r="AI1271" i="1" s="1"/>
  <c r="D1272" i="1"/>
  <c r="AS1272" i="1" s="1"/>
  <c r="D1273" i="1"/>
  <c r="AI1273" i="1" s="1"/>
  <c r="D1274" i="1"/>
  <c r="AS1274" i="1" s="1"/>
  <c r="AE921" i="1"/>
  <c r="AE930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F919" i="1"/>
  <c r="W919" i="1" s="1"/>
  <c r="AF920" i="1"/>
  <c r="W920" i="1" s="1"/>
  <c r="AF921" i="1"/>
  <c r="W921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W927" i="1" s="1"/>
  <c r="AF928" i="1"/>
  <c r="W928" i="1" s="1"/>
  <c r="AF929" i="1"/>
  <c r="W929" i="1" s="1"/>
  <c r="AF930" i="1"/>
  <c r="W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W948" i="1" s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W955" i="1" s="1"/>
  <c r="AF956" i="1"/>
  <c r="W956" i="1" s="1"/>
  <c r="AF957" i="1"/>
  <c r="W957" i="1" s="1"/>
  <c r="AF958" i="1"/>
  <c r="W958" i="1" s="1"/>
  <c r="AF959" i="1"/>
  <c r="W959" i="1" s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W965" i="1" s="1"/>
  <c r="AF966" i="1"/>
  <c r="W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W977" i="1" s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W995" i="1" s="1"/>
  <c r="AF996" i="1"/>
  <c r="W996" i="1" s="1"/>
  <c r="AF997" i="1"/>
  <c r="W997" i="1" s="1"/>
  <c r="AF998" i="1"/>
  <c r="W998" i="1" s="1"/>
  <c r="AF999" i="1"/>
  <c r="W999" i="1" s="1"/>
  <c r="AF1000" i="1"/>
  <c r="W1000" i="1" s="1"/>
  <c r="AF1001" i="1"/>
  <c r="W1001" i="1" s="1"/>
  <c r="AF1002" i="1"/>
  <c r="W1002" i="1" s="1"/>
  <c r="AF1003" i="1"/>
  <c r="W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W1050" i="1" s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W1096" i="1" s="1"/>
  <c r="AF1097" i="1"/>
  <c r="W1097" i="1" s="1"/>
  <c r="AF1098" i="1"/>
  <c r="W1098" i="1" s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W1118" i="1" s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7" i="1"/>
  <c r="W1167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5" i="1"/>
  <c r="W1175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F1192" i="1"/>
  <c r="W1192" i="1" s="1"/>
  <c r="AF1193" i="1"/>
  <c r="W1193" i="1" s="1"/>
  <c r="AF1194" i="1"/>
  <c r="W1194" i="1" s="1"/>
  <c r="AF1195" i="1"/>
  <c r="W1195" i="1" s="1"/>
  <c r="AF1196" i="1"/>
  <c r="W1196" i="1" s="1"/>
  <c r="AF1197" i="1"/>
  <c r="W1197" i="1" s="1"/>
  <c r="AF1198" i="1"/>
  <c r="W1198" i="1" s="1"/>
  <c r="AF1199" i="1"/>
  <c r="W1199" i="1" s="1"/>
  <c r="AF1200" i="1"/>
  <c r="W1200" i="1" s="1"/>
  <c r="AF1201" i="1"/>
  <c r="W1201" i="1" s="1"/>
  <c r="AF1202" i="1"/>
  <c r="W1202" i="1" s="1"/>
  <c r="AF1203" i="1"/>
  <c r="W1203" i="1" s="1"/>
  <c r="AF1204" i="1"/>
  <c r="W1204" i="1" s="1"/>
  <c r="AF1205" i="1"/>
  <c r="W1205" i="1" s="1"/>
  <c r="AF1206" i="1"/>
  <c r="W1206" i="1" s="1"/>
  <c r="AF1207" i="1"/>
  <c r="W1207" i="1" s="1"/>
  <c r="AF1208" i="1"/>
  <c r="W1208" i="1" s="1"/>
  <c r="AF1209" i="1"/>
  <c r="W1209" i="1" s="1"/>
  <c r="AF1210" i="1"/>
  <c r="W1210" i="1" s="1"/>
  <c r="AF1211" i="1"/>
  <c r="W1211" i="1" s="1"/>
  <c r="AF1212" i="1"/>
  <c r="W1212" i="1" s="1"/>
  <c r="AF1213" i="1"/>
  <c r="W1213" i="1" s="1"/>
  <c r="AF1214" i="1"/>
  <c r="W1214" i="1" s="1"/>
  <c r="AF1215" i="1"/>
  <c r="W1215" i="1" s="1"/>
  <c r="AF1216" i="1"/>
  <c r="W1216" i="1" s="1"/>
  <c r="AF1217" i="1"/>
  <c r="W1217" i="1" s="1"/>
  <c r="AF1218" i="1"/>
  <c r="W1218" i="1" s="1"/>
  <c r="AF1219" i="1"/>
  <c r="W1219" i="1" s="1"/>
  <c r="AF1220" i="1"/>
  <c r="W1220" i="1" s="1"/>
  <c r="AF1221" i="1"/>
  <c r="W1221" i="1" s="1"/>
  <c r="AF1222" i="1"/>
  <c r="W1222" i="1" s="1"/>
  <c r="AF1223" i="1"/>
  <c r="W1223" i="1" s="1"/>
  <c r="AF1224" i="1"/>
  <c r="W1224" i="1" s="1"/>
  <c r="AF1225" i="1"/>
  <c r="W1225" i="1" s="1"/>
  <c r="AF1226" i="1"/>
  <c r="W1226" i="1" s="1"/>
  <c r="AF1227" i="1"/>
  <c r="W1227" i="1" s="1"/>
  <c r="AF1228" i="1"/>
  <c r="W1228" i="1" s="1"/>
  <c r="AF1229" i="1"/>
  <c r="W1229" i="1" s="1"/>
  <c r="AF1230" i="1"/>
  <c r="W1230" i="1" s="1"/>
  <c r="AF1231" i="1"/>
  <c r="W1231" i="1" s="1"/>
  <c r="AF1232" i="1"/>
  <c r="W1232" i="1" s="1"/>
  <c r="AF1233" i="1"/>
  <c r="W1233" i="1" s="1"/>
  <c r="AF1234" i="1"/>
  <c r="W1234" i="1" s="1"/>
  <c r="AF1235" i="1"/>
  <c r="W1235" i="1" s="1"/>
  <c r="AF1236" i="1"/>
  <c r="W1236" i="1" s="1"/>
  <c r="AF1237" i="1"/>
  <c r="W1237" i="1" s="1"/>
  <c r="AF1238" i="1"/>
  <c r="W1238" i="1" s="1"/>
  <c r="AF1239" i="1"/>
  <c r="W1239" i="1" s="1"/>
  <c r="AF1240" i="1"/>
  <c r="W1240" i="1" s="1"/>
  <c r="AF1241" i="1"/>
  <c r="W1241" i="1" s="1"/>
  <c r="AF1242" i="1"/>
  <c r="W1242" i="1" s="1"/>
  <c r="AF1243" i="1"/>
  <c r="W1243" i="1" s="1"/>
  <c r="AF1244" i="1"/>
  <c r="W1244" i="1" s="1"/>
  <c r="AF1245" i="1"/>
  <c r="W1245" i="1" s="1"/>
  <c r="AF1246" i="1"/>
  <c r="W1246" i="1" s="1"/>
  <c r="AF1247" i="1"/>
  <c r="W1247" i="1" s="1"/>
  <c r="AF1248" i="1"/>
  <c r="W1248" i="1" s="1"/>
  <c r="AF1249" i="1"/>
  <c r="W1249" i="1" s="1"/>
  <c r="AF1250" i="1"/>
  <c r="W1250" i="1" s="1"/>
  <c r="AF1251" i="1"/>
  <c r="W1251" i="1" s="1"/>
  <c r="AF1252" i="1"/>
  <c r="W1252" i="1" s="1"/>
  <c r="AF1253" i="1"/>
  <c r="W1253" i="1" s="1"/>
  <c r="AF1254" i="1"/>
  <c r="W1254" i="1" s="1"/>
  <c r="AF1255" i="1"/>
  <c r="W1255" i="1" s="1"/>
  <c r="AF1256" i="1"/>
  <c r="W1256" i="1" s="1"/>
  <c r="AF1257" i="1"/>
  <c r="W1257" i="1" s="1"/>
  <c r="AF1258" i="1"/>
  <c r="W1258" i="1" s="1"/>
  <c r="AF1259" i="1"/>
  <c r="W1259" i="1" s="1"/>
  <c r="AF1260" i="1"/>
  <c r="W1260" i="1" s="1"/>
  <c r="AF1261" i="1"/>
  <c r="W1261" i="1" s="1"/>
  <c r="AF1262" i="1"/>
  <c r="W1262" i="1" s="1"/>
  <c r="AF1263" i="1"/>
  <c r="W1263" i="1" s="1"/>
  <c r="AF1264" i="1"/>
  <c r="W1264" i="1" s="1"/>
  <c r="AF1265" i="1"/>
  <c r="W1265" i="1" s="1"/>
  <c r="AF1266" i="1"/>
  <c r="W1266" i="1" s="1"/>
  <c r="AF1267" i="1"/>
  <c r="W1267" i="1" s="1"/>
  <c r="AF1268" i="1"/>
  <c r="W1268" i="1" s="1"/>
  <c r="AF1269" i="1"/>
  <c r="W1269" i="1" s="1"/>
  <c r="AF1270" i="1"/>
  <c r="W1270" i="1" s="1"/>
  <c r="AF1271" i="1"/>
  <c r="W1271" i="1" s="1"/>
  <c r="AF1272" i="1"/>
  <c r="W1272" i="1" s="1"/>
  <c r="AF1273" i="1"/>
  <c r="W1273" i="1" s="1"/>
  <c r="AF1274" i="1"/>
  <c r="W1274" i="1" s="1"/>
  <c r="AH921" i="1"/>
  <c r="AK921" i="1" s="1"/>
  <c r="AH930" i="1"/>
  <c r="AK930" i="1" s="1"/>
  <c r="AH933" i="1"/>
  <c r="AK933" i="1" s="1"/>
  <c r="AH934" i="1"/>
  <c r="AK934" i="1" s="1"/>
  <c r="AH935" i="1"/>
  <c r="AK935" i="1" s="1"/>
  <c r="AH936" i="1"/>
  <c r="AK936" i="1" s="1"/>
  <c r="AH937" i="1"/>
  <c r="AK937" i="1" s="1"/>
  <c r="AH938" i="1"/>
  <c r="AK938" i="1" s="1"/>
  <c r="AH939" i="1"/>
  <c r="AK939" i="1" s="1"/>
  <c r="AH940" i="1"/>
  <c r="AK940" i="1" s="1"/>
  <c r="AH941" i="1"/>
  <c r="AK941" i="1" s="1"/>
  <c r="AH942" i="1"/>
  <c r="AK942" i="1" s="1"/>
  <c r="AH943" i="1"/>
  <c r="AK943" i="1" s="1"/>
  <c r="AH944" i="1"/>
  <c r="AK944" i="1" s="1"/>
  <c r="AH945" i="1"/>
  <c r="AK945" i="1" s="1"/>
  <c r="AH946" i="1"/>
  <c r="AK946" i="1" s="1"/>
  <c r="AH947" i="1"/>
  <c r="AK947" i="1" s="1"/>
  <c r="AH948" i="1"/>
  <c r="AK948" i="1" s="1"/>
  <c r="AH949" i="1"/>
  <c r="AK949" i="1" s="1"/>
  <c r="AH950" i="1"/>
  <c r="AK950" i="1" s="1"/>
  <c r="AH951" i="1"/>
  <c r="AK951" i="1" s="1"/>
  <c r="AH952" i="1"/>
  <c r="AK952" i="1" s="1"/>
  <c r="AH953" i="1"/>
  <c r="AK953" i="1" s="1"/>
  <c r="AH954" i="1"/>
  <c r="AK954" i="1" s="1"/>
  <c r="AH955" i="1"/>
  <c r="AK955" i="1" s="1"/>
  <c r="AH956" i="1"/>
  <c r="AK956" i="1" s="1"/>
  <c r="AH957" i="1"/>
  <c r="AK957" i="1" s="1"/>
  <c r="AH958" i="1"/>
  <c r="AK958" i="1" s="1"/>
  <c r="AH959" i="1"/>
  <c r="AK959" i="1" s="1"/>
  <c r="AH960" i="1"/>
  <c r="AK960" i="1" s="1"/>
  <c r="AH961" i="1"/>
  <c r="AK961" i="1" s="1"/>
  <c r="AH962" i="1"/>
  <c r="AK962" i="1" s="1"/>
  <c r="AH963" i="1"/>
  <c r="AK963" i="1" s="1"/>
  <c r="AH964" i="1"/>
  <c r="AK964" i="1" s="1"/>
  <c r="AH965" i="1"/>
  <c r="AK965" i="1" s="1"/>
  <c r="AH966" i="1"/>
  <c r="AK966" i="1" s="1"/>
  <c r="AH967" i="1"/>
  <c r="AK967" i="1" s="1"/>
  <c r="AH968" i="1"/>
  <c r="AK968" i="1" s="1"/>
  <c r="AH969" i="1"/>
  <c r="AK969" i="1" s="1"/>
  <c r="AH970" i="1"/>
  <c r="AK970" i="1" s="1"/>
  <c r="AH971" i="1"/>
  <c r="AK971" i="1" s="1"/>
  <c r="AH972" i="1"/>
  <c r="AK972" i="1" s="1"/>
  <c r="AH973" i="1"/>
  <c r="AK973" i="1" s="1"/>
  <c r="AH974" i="1"/>
  <c r="AK974" i="1" s="1"/>
  <c r="AH975" i="1"/>
  <c r="AK975" i="1" s="1"/>
  <c r="AH976" i="1"/>
  <c r="AK976" i="1" s="1"/>
  <c r="AH977" i="1"/>
  <c r="AK977" i="1" s="1"/>
  <c r="AH978" i="1"/>
  <c r="AK978" i="1" s="1"/>
  <c r="AH979" i="1"/>
  <c r="AK979" i="1" s="1"/>
  <c r="AH980" i="1"/>
  <c r="AK980" i="1" s="1"/>
  <c r="AH981" i="1"/>
  <c r="AK981" i="1" s="1"/>
  <c r="AH982" i="1"/>
  <c r="AK982" i="1" s="1"/>
  <c r="AH983" i="1"/>
  <c r="AK983" i="1" s="1"/>
  <c r="AH984" i="1"/>
  <c r="AK984" i="1" s="1"/>
  <c r="AH985" i="1"/>
  <c r="AK985" i="1" s="1"/>
  <c r="AH986" i="1"/>
  <c r="AK986" i="1" s="1"/>
  <c r="AH987" i="1"/>
  <c r="AK987" i="1" s="1"/>
  <c r="AH988" i="1"/>
  <c r="AK988" i="1" s="1"/>
  <c r="AH989" i="1"/>
  <c r="AK989" i="1" s="1"/>
  <c r="AH990" i="1"/>
  <c r="AK990" i="1" s="1"/>
  <c r="AH991" i="1"/>
  <c r="AK991" i="1" s="1"/>
  <c r="AH992" i="1"/>
  <c r="AK992" i="1" s="1"/>
  <c r="AH993" i="1"/>
  <c r="AK993" i="1" s="1"/>
  <c r="AH994" i="1"/>
  <c r="AK994" i="1" s="1"/>
  <c r="AH995" i="1"/>
  <c r="AK995" i="1" s="1"/>
  <c r="AH996" i="1"/>
  <c r="AK996" i="1" s="1"/>
  <c r="AH997" i="1"/>
  <c r="AK997" i="1" s="1"/>
  <c r="AH998" i="1"/>
  <c r="AK998" i="1" s="1"/>
  <c r="AH999" i="1"/>
  <c r="AK999" i="1" s="1"/>
  <c r="AH1000" i="1"/>
  <c r="AK1000" i="1" s="1"/>
  <c r="AH1001" i="1"/>
  <c r="AK1001" i="1" s="1"/>
  <c r="AH1002" i="1"/>
  <c r="AK1002" i="1" s="1"/>
  <c r="AH1003" i="1"/>
  <c r="AK1003" i="1" s="1"/>
  <c r="AH1004" i="1"/>
  <c r="AK1004" i="1" s="1"/>
  <c r="AH1005" i="1"/>
  <c r="AK1005" i="1" s="1"/>
  <c r="AH1006" i="1"/>
  <c r="AK1006" i="1" s="1"/>
  <c r="AH1007" i="1"/>
  <c r="AK1007" i="1" s="1"/>
  <c r="AH1008" i="1"/>
  <c r="AK1008" i="1" s="1"/>
  <c r="AH1009" i="1"/>
  <c r="AK1009" i="1" s="1"/>
  <c r="AH1010" i="1"/>
  <c r="AK1010" i="1" s="1"/>
  <c r="AH1011" i="1"/>
  <c r="AK1011" i="1" s="1"/>
  <c r="AH1012" i="1"/>
  <c r="AK1012" i="1" s="1"/>
  <c r="AH1013" i="1"/>
  <c r="AK1013" i="1" s="1"/>
  <c r="AH1014" i="1"/>
  <c r="AK1014" i="1" s="1"/>
  <c r="AH1015" i="1"/>
  <c r="AK1015" i="1" s="1"/>
  <c r="AH1016" i="1"/>
  <c r="AK1016" i="1" s="1"/>
  <c r="AH1017" i="1"/>
  <c r="AK1017" i="1" s="1"/>
  <c r="AH1018" i="1"/>
  <c r="AK1018" i="1" s="1"/>
  <c r="AH1019" i="1"/>
  <c r="AK1019" i="1" s="1"/>
  <c r="AH1020" i="1"/>
  <c r="AK1020" i="1" s="1"/>
  <c r="AH1021" i="1"/>
  <c r="AK1021" i="1" s="1"/>
  <c r="AH1022" i="1"/>
  <c r="AK1022" i="1" s="1"/>
  <c r="AH1023" i="1"/>
  <c r="AK1023" i="1" s="1"/>
  <c r="AH1024" i="1"/>
  <c r="AK1024" i="1" s="1"/>
  <c r="AH1025" i="1"/>
  <c r="AK1025" i="1" s="1"/>
  <c r="AH1026" i="1"/>
  <c r="AK1026" i="1" s="1"/>
  <c r="AH1027" i="1"/>
  <c r="AK1027" i="1" s="1"/>
  <c r="AH1028" i="1"/>
  <c r="AK1028" i="1" s="1"/>
  <c r="AH1029" i="1"/>
  <c r="AK1029" i="1" s="1"/>
  <c r="AH1030" i="1"/>
  <c r="AK1030" i="1" s="1"/>
  <c r="AH1031" i="1"/>
  <c r="AK1031" i="1" s="1"/>
  <c r="AH1032" i="1"/>
  <c r="AK1032" i="1" s="1"/>
  <c r="AH1033" i="1"/>
  <c r="AK1033" i="1" s="1"/>
  <c r="AH1034" i="1"/>
  <c r="AK1034" i="1" s="1"/>
  <c r="AH1035" i="1"/>
  <c r="AK1035" i="1" s="1"/>
  <c r="AH1036" i="1"/>
  <c r="AK1036" i="1" s="1"/>
  <c r="AH1037" i="1"/>
  <c r="AK1037" i="1" s="1"/>
  <c r="AH1038" i="1"/>
  <c r="AK1038" i="1" s="1"/>
  <c r="AH1039" i="1"/>
  <c r="AK1039" i="1" s="1"/>
  <c r="AH1040" i="1"/>
  <c r="AK1040" i="1" s="1"/>
  <c r="AH1041" i="1"/>
  <c r="AK1041" i="1" s="1"/>
  <c r="AH1042" i="1"/>
  <c r="AK1042" i="1" s="1"/>
  <c r="AH1043" i="1"/>
  <c r="AK1043" i="1" s="1"/>
  <c r="AH1044" i="1"/>
  <c r="AK1044" i="1" s="1"/>
  <c r="AH1045" i="1"/>
  <c r="AK1045" i="1" s="1"/>
  <c r="AH1046" i="1"/>
  <c r="AK1046" i="1" s="1"/>
  <c r="AH1047" i="1"/>
  <c r="AK1047" i="1" s="1"/>
  <c r="AH1048" i="1"/>
  <c r="AK1048" i="1" s="1"/>
  <c r="AH1049" i="1"/>
  <c r="AK1049" i="1" s="1"/>
  <c r="AH1050" i="1"/>
  <c r="AK1050" i="1" s="1"/>
  <c r="AH1051" i="1"/>
  <c r="AK1051" i="1" s="1"/>
  <c r="AH1052" i="1"/>
  <c r="AK1052" i="1" s="1"/>
  <c r="AH1053" i="1"/>
  <c r="AK1053" i="1" s="1"/>
  <c r="AH1054" i="1"/>
  <c r="AK1054" i="1" s="1"/>
  <c r="AH1055" i="1"/>
  <c r="AK1055" i="1" s="1"/>
  <c r="AH1056" i="1"/>
  <c r="AK1056" i="1" s="1"/>
  <c r="AH1057" i="1"/>
  <c r="AK1057" i="1" s="1"/>
  <c r="AH1058" i="1"/>
  <c r="AK1058" i="1" s="1"/>
  <c r="AH1059" i="1"/>
  <c r="AK1059" i="1" s="1"/>
  <c r="AH1060" i="1"/>
  <c r="AK1060" i="1" s="1"/>
  <c r="AH1061" i="1"/>
  <c r="AK1061" i="1" s="1"/>
  <c r="AH1062" i="1"/>
  <c r="AK1062" i="1" s="1"/>
  <c r="AH1063" i="1"/>
  <c r="AK1063" i="1" s="1"/>
  <c r="AH1064" i="1"/>
  <c r="AK1064" i="1" s="1"/>
  <c r="AH1065" i="1"/>
  <c r="AK1065" i="1" s="1"/>
  <c r="AH1066" i="1"/>
  <c r="AK1066" i="1" s="1"/>
  <c r="AH1067" i="1"/>
  <c r="AK1067" i="1" s="1"/>
  <c r="AH1068" i="1"/>
  <c r="AK1068" i="1" s="1"/>
  <c r="AH1069" i="1"/>
  <c r="AK1069" i="1" s="1"/>
  <c r="AH1070" i="1"/>
  <c r="AK1070" i="1" s="1"/>
  <c r="AH1071" i="1"/>
  <c r="AK1071" i="1" s="1"/>
  <c r="AH1072" i="1"/>
  <c r="AK1072" i="1" s="1"/>
  <c r="AH1073" i="1"/>
  <c r="AK1073" i="1" s="1"/>
  <c r="AH1074" i="1"/>
  <c r="AK1074" i="1" s="1"/>
  <c r="AH1075" i="1"/>
  <c r="AK1075" i="1" s="1"/>
  <c r="AH1076" i="1"/>
  <c r="AK1076" i="1" s="1"/>
  <c r="AH1077" i="1"/>
  <c r="AK1077" i="1" s="1"/>
  <c r="AH1078" i="1"/>
  <c r="AK1078" i="1" s="1"/>
  <c r="AH1079" i="1"/>
  <c r="AK1079" i="1" s="1"/>
  <c r="AH1080" i="1"/>
  <c r="AK1080" i="1" s="1"/>
  <c r="AH1081" i="1"/>
  <c r="AK1081" i="1" s="1"/>
  <c r="AH1082" i="1"/>
  <c r="AK1082" i="1" s="1"/>
  <c r="AH1083" i="1"/>
  <c r="AK1083" i="1" s="1"/>
  <c r="AH1084" i="1"/>
  <c r="AK1084" i="1" s="1"/>
  <c r="AH1085" i="1"/>
  <c r="AK1085" i="1" s="1"/>
  <c r="AH1086" i="1"/>
  <c r="AK1086" i="1" s="1"/>
  <c r="AH1087" i="1"/>
  <c r="AK1087" i="1" s="1"/>
  <c r="AH1088" i="1"/>
  <c r="AK1088" i="1" s="1"/>
  <c r="AH1089" i="1"/>
  <c r="AK1089" i="1" s="1"/>
  <c r="AH1090" i="1"/>
  <c r="AK1090" i="1" s="1"/>
  <c r="AH1091" i="1"/>
  <c r="AK1091" i="1" s="1"/>
  <c r="AH1092" i="1"/>
  <c r="AK1092" i="1" s="1"/>
  <c r="AH1093" i="1"/>
  <c r="AK1093" i="1" s="1"/>
  <c r="AH1094" i="1"/>
  <c r="AK1094" i="1" s="1"/>
  <c r="AH1095" i="1"/>
  <c r="AK1095" i="1" s="1"/>
  <c r="AH1096" i="1"/>
  <c r="AK1096" i="1" s="1"/>
  <c r="AH1097" i="1"/>
  <c r="AK1097" i="1" s="1"/>
  <c r="AH1098" i="1"/>
  <c r="AK1098" i="1" s="1"/>
  <c r="AH1099" i="1"/>
  <c r="AK1099" i="1" s="1"/>
  <c r="AH1100" i="1"/>
  <c r="AK1100" i="1" s="1"/>
  <c r="AH1101" i="1"/>
  <c r="AK1101" i="1" s="1"/>
  <c r="AH1102" i="1"/>
  <c r="AK1102" i="1" s="1"/>
  <c r="AH1103" i="1"/>
  <c r="AK1103" i="1" s="1"/>
  <c r="AH1104" i="1"/>
  <c r="AK1104" i="1" s="1"/>
  <c r="AH1105" i="1"/>
  <c r="AK1105" i="1" s="1"/>
  <c r="AH1106" i="1"/>
  <c r="AK1106" i="1" s="1"/>
  <c r="AH1107" i="1"/>
  <c r="AK1107" i="1" s="1"/>
  <c r="AH1108" i="1"/>
  <c r="AK1108" i="1" s="1"/>
  <c r="AH1109" i="1"/>
  <c r="AK1109" i="1" s="1"/>
  <c r="AH1110" i="1"/>
  <c r="AK1110" i="1" s="1"/>
  <c r="AH1111" i="1"/>
  <c r="AK1111" i="1" s="1"/>
  <c r="AH1112" i="1"/>
  <c r="AK1112" i="1" s="1"/>
  <c r="AH1113" i="1"/>
  <c r="AK1113" i="1" s="1"/>
  <c r="AH1114" i="1"/>
  <c r="AK1114" i="1" s="1"/>
  <c r="AH1115" i="1"/>
  <c r="AK1115" i="1" s="1"/>
  <c r="AH1116" i="1"/>
  <c r="AK1116" i="1" s="1"/>
  <c r="AH1117" i="1"/>
  <c r="AK1117" i="1" s="1"/>
  <c r="AH1118" i="1"/>
  <c r="AK1118" i="1" s="1"/>
  <c r="AH1119" i="1"/>
  <c r="AK1119" i="1" s="1"/>
  <c r="AH1120" i="1"/>
  <c r="AK1120" i="1" s="1"/>
  <c r="AH1121" i="1"/>
  <c r="AK1121" i="1" s="1"/>
  <c r="AH1122" i="1"/>
  <c r="AK1122" i="1" s="1"/>
  <c r="AH1123" i="1"/>
  <c r="AK1123" i="1" s="1"/>
  <c r="AH1124" i="1"/>
  <c r="AK1124" i="1" s="1"/>
  <c r="AH1125" i="1"/>
  <c r="AK1125" i="1" s="1"/>
  <c r="AH1126" i="1"/>
  <c r="AK1126" i="1" s="1"/>
  <c r="AH1127" i="1"/>
  <c r="AK1127" i="1" s="1"/>
  <c r="AH1128" i="1"/>
  <c r="AK1128" i="1" s="1"/>
  <c r="AH1129" i="1"/>
  <c r="AK1129" i="1" s="1"/>
  <c r="AH1130" i="1"/>
  <c r="AK1130" i="1" s="1"/>
  <c r="AH1131" i="1"/>
  <c r="AK1131" i="1" s="1"/>
  <c r="AH1132" i="1"/>
  <c r="AK1132" i="1" s="1"/>
  <c r="AH1133" i="1"/>
  <c r="AK1133" i="1" s="1"/>
  <c r="AH1134" i="1"/>
  <c r="AK1134" i="1" s="1"/>
  <c r="AH1135" i="1"/>
  <c r="AK1135" i="1" s="1"/>
  <c r="AH1136" i="1"/>
  <c r="AK1136" i="1" s="1"/>
  <c r="AH1137" i="1"/>
  <c r="AK1137" i="1" s="1"/>
  <c r="AH1138" i="1"/>
  <c r="AK1138" i="1" s="1"/>
  <c r="AH1139" i="1"/>
  <c r="AK1139" i="1" s="1"/>
  <c r="AH1140" i="1"/>
  <c r="AK1140" i="1" s="1"/>
  <c r="AH1141" i="1"/>
  <c r="AK1141" i="1" s="1"/>
  <c r="AH1142" i="1"/>
  <c r="AK1142" i="1" s="1"/>
  <c r="AH1143" i="1"/>
  <c r="AK1143" i="1" s="1"/>
  <c r="AH1144" i="1"/>
  <c r="AK1144" i="1" s="1"/>
  <c r="AH1145" i="1"/>
  <c r="AK1145" i="1" s="1"/>
  <c r="AH1146" i="1"/>
  <c r="AK1146" i="1" s="1"/>
  <c r="AH1147" i="1"/>
  <c r="AK1147" i="1" s="1"/>
  <c r="AH1148" i="1"/>
  <c r="AK1148" i="1" s="1"/>
  <c r="AH1149" i="1"/>
  <c r="AK1149" i="1" s="1"/>
  <c r="AH1150" i="1"/>
  <c r="AK1150" i="1" s="1"/>
  <c r="AH1151" i="1"/>
  <c r="AK1151" i="1" s="1"/>
  <c r="AH1152" i="1"/>
  <c r="AK1152" i="1" s="1"/>
  <c r="AH1153" i="1"/>
  <c r="AK1153" i="1" s="1"/>
  <c r="AH1154" i="1"/>
  <c r="AK1154" i="1" s="1"/>
  <c r="AH1155" i="1"/>
  <c r="AK1155" i="1" s="1"/>
  <c r="AH1156" i="1"/>
  <c r="AK1156" i="1" s="1"/>
  <c r="AH1157" i="1"/>
  <c r="AK1157" i="1" s="1"/>
  <c r="AH1158" i="1"/>
  <c r="AK1158" i="1" s="1"/>
  <c r="AH1159" i="1"/>
  <c r="AK1159" i="1" s="1"/>
  <c r="AH1160" i="1"/>
  <c r="AK1160" i="1" s="1"/>
  <c r="AH1161" i="1"/>
  <c r="AK1161" i="1" s="1"/>
  <c r="AH1162" i="1"/>
  <c r="AK1162" i="1" s="1"/>
  <c r="AH1163" i="1"/>
  <c r="AK1163" i="1" s="1"/>
  <c r="AH1164" i="1"/>
  <c r="AK1164" i="1" s="1"/>
  <c r="AH1165" i="1"/>
  <c r="AK1165" i="1" s="1"/>
  <c r="AH1166" i="1"/>
  <c r="AK1166" i="1" s="1"/>
  <c r="AH1167" i="1"/>
  <c r="AK1167" i="1" s="1"/>
  <c r="AH1168" i="1"/>
  <c r="AK1168" i="1" s="1"/>
  <c r="AH1169" i="1"/>
  <c r="AK1169" i="1" s="1"/>
  <c r="AH1170" i="1"/>
  <c r="AK1170" i="1" s="1"/>
  <c r="AH1171" i="1"/>
  <c r="AK1171" i="1" s="1"/>
  <c r="AH1172" i="1"/>
  <c r="AK1172" i="1" s="1"/>
  <c r="AH1173" i="1"/>
  <c r="AK1173" i="1" s="1"/>
  <c r="AH1174" i="1"/>
  <c r="AK1174" i="1" s="1"/>
  <c r="AH1175" i="1"/>
  <c r="AK1175" i="1" s="1"/>
  <c r="AH1176" i="1"/>
  <c r="AK1176" i="1" s="1"/>
  <c r="AH1177" i="1"/>
  <c r="AK1177" i="1" s="1"/>
  <c r="AH1178" i="1"/>
  <c r="AK1178" i="1" s="1"/>
  <c r="AH1179" i="1"/>
  <c r="AK1179" i="1" s="1"/>
  <c r="AH1180" i="1"/>
  <c r="AK1180" i="1" s="1"/>
  <c r="AH1181" i="1"/>
  <c r="AK1181" i="1" s="1"/>
  <c r="AH1182" i="1"/>
  <c r="AK1182" i="1" s="1"/>
  <c r="AH1183" i="1"/>
  <c r="AK1183" i="1" s="1"/>
  <c r="AH1184" i="1"/>
  <c r="AK1184" i="1" s="1"/>
  <c r="AH1185" i="1"/>
  <c r="AK1185" i="1" s="1"/>
  <c r="AH1186" i="1"/>
  <c r="AK1186" i="1" s="1"/>
  <c r="AH1187" i="1"/>
  <c r="AK1187" i="1" s="1"/>
  <c r="AH1188" i="1"/>
  <c r="AK1188" i="1" s="1"/>
  <c r="AH1189" i="1"/>
  <c r="AK1189" i="1" s="1"/>
  <c r="AH1190" i="1"/>
  <c r="AK1190" i="1" s="1"/>
  <c r="AH1191" i="1"/>
  <c r="AK1191" i="1" s="1"/>
  <c r="AH1192" i="1"/>
  <c r="AK1192" i="1" s="1"/>
  <c r="AH1193" i="1"/>
  <c r="AK1193" i="1" s="1"/>
  <c r="AH1194" i="1"/>
  <c r="AK1194" i="1" s="1"/>
  <c r="AH1195" i="1"/>
  <c r="AK1195" i="1" s="1"/>
  <c r="AH1196" i="1"/>
  <c r="AK1196" i="1" s="1"/>
  <c r="AH1197" i="1"/>
  <c r="AK1197" i="1" s="1"/>
  <c r="AH1198" i="1"/>
  <c r="AK1198" i="1" s="1"/>
  <c r="AH1199" i="1"/>
  <c r="AK1199" i="1" s="1"/>
  <c r="AH1200" i="1"/>
  <c r="AK1200" i="1" s="1"/>
  <c r="AH1201" i="1"/>
  <c r="AK1201" i="1" s="1"/>
  <c r="AH1202" i="1"/>
  <c r="AK1202" i="1" s="1"/>
  <c r="AH1203" i="1"/>
  <c r="AK1203" i="1" s="1"/>
  <c r="AH1204" i="1"/>
  <c r="AK1204" i="1" s="1"/>
  <c r="AH1205" i="1"/>
  <c r="AK1205" i="1" s="1"/>
  <c r="AH1206" i="1"/>
  <c r="AK1206" i="1" s="1"/>
  <c r="AH1207" i="1"/>
  <c r="AK1207" i="1" s="1"/>
  <c r="AH1208" i="1"/>
  <c r="AK1208" i="1" s="1"/>
  <c r="AH1209" i="1"/>
  <c r="AK1209" i="1" s="1"/>
  <c r="AH1210" i="1"/>
  <c r="AK1210" i="1" s="1"/>
  <c r="AH1211" i="1"/>
  <c r="AK1211" i="1" s="1"/>
  <c r="AH1212" i="1"/>
  <c r="AK1212" i="1" s="1"/>
  <c r="AH1213" i="1"/>
  <c r="AK1213" i="1" s="1"/>
  <c r="AH1214" i="1"/>
  <c r="AK1214" i="1" s="1"/>
  <c r="AH1215" i="1"/>
  <c r="AK1215" i="1" s="1"/>
  <c r="AH1216" i="1"/>
  <c r="AK1216" i="1" s="1"/>
  <c r="AH1217" i="1"/>
  <c r="AK1217" i="1" s="1"/>
  <c r="AH1218" i="1"/>
  <c r="AK1218" i="1" s="1"/>
  <c r="AH1219" i="1"/>
  <c r="AK1219" i="1" s="1"/>
  <c r="AH1220" i="1"/>
  <c r="AK1220" i="1" s="1"/>
  <c r="AH1221" i="1"/>
  <c r="AK1221" i="1" s="1"/>
  <c r="AH1222" i="1"/>
  <c r="AK1222" i="1" s="1"/>
  <c r="AH1223" i="1"/>
  <c r="AK1223" i="1" s="1"/>
  <c r="AH1224" i="1"/>
  <c r="AK1224" i="1" s="1"/>
  <c r="AH1225" i="1"/>
  <c r="AK1225" i="1" s="1"/>
  <c r="AH1226" i="1"/>
  <c r="AK1226" i="1" s="1"/>
  <c r="AH1227" i="1"/>
  <c r="AK1227" i="1" s="1"/>
  <c r="AH1228" i="1"/>
  <c r="AK1228" i="1" s="1"/>
  <c r="AH1229" i="1"/>
  <c r="AK1229" i="1" s="1"/>
  <c r="AH1230" i="1"/>
  <c r="AK1230" i="1" s="1"/>
  <c r="AH1231" i="1"/>
  <c r="AK1231" i="1" s="1"/>
  <c r="AH1232" i="1"/>
  <c r="AK1232" i="1" s="1"/>
  <c r="AH1233" i="1"/>
  <c r="AK1233" i="1" s="1"/>
  <c r="AH1234" i="1"/>
  <c r="AK1234" i="1" s="1"/>
  <c r="AH1235" i="1"/>
  <c r="AK1235" i="1" s="1"/>
  <c r="AH1236" i="1"/>
  <c r="AK1236" i="1" s="1"/>
  <c r="AH1237" i="1"/>
  <c r="AK1237" i="1" s="1"/>
  <c r="AH1238" i="1"/>
  <c r="AK1238" i="1" s="1"/>
  <c r="AH1239" i="1"/>
  <c r="AK1239" i="1" s="1"/>
  <c r="AH1240" i="1"/>
  <c r="AK1240" i="1" s="1"/>
  <c r="AH1241" i="1"/>
  <c r="AK1241" i="1" s="1"/>
  <c r="AH1242" i="1"/>
  <c r="AK1242" i="1" s="1"/>
  <c r="AH1243" i="1"/>
  <c r="AK1243" i="1" s="1"/>
  <c r="AH1244" i="1"/>
  <c r="AK1244" i="1" s="1"/>
  <c r="AH1245" i="1"/>
  <c r="AK1245" i="1" s="1"/>
  <c r="AH1246" i="1"/>
  <c r="AK1246" i="1" s="1"/>
  <c r="AH1247" i="1"/>
  <c r="AK1247" i="1" s="1"/>
  <c r="AH1248" i="1"/>
  <c r="AK1248" i="1" s="1"/>
  <c r="AH1249" i="1"/>
  <c r="AK1249" i="1" s="1"/>
  <c r="AH1250" i="1"/>
  <c r="AK1250" i="1" s="1"/>
  <c r="AH1251" i="1"/>
  <c r="AK1251" i="1" s="1"/>
  <c r="AH1252" i="1"/>
  <c r="AK1252" i="1" s="1"/>
  <c r="AH1253" i="1"/>
  <c r="AK1253" i="1" s="1"/>
  <c r="AH1254" i="1"/>
  <c r="AK1254" i="1" s="1"/>
  <c r="AH1255" i="1"/>
  <c r="AK1255" i="1" s="1"/>
  <c r="AH1256" i="1"/>
  <c r="AK1256" i="1" s="1"/>
  <c r="AH1257" i="1"/>
  <c r="AK1257" i="1" s="1"/>
  <c r="AH1258" i="1"/>
  <c r="AK1258" i="1" s="1"/>
  <c r="AH1259" i="1"/>
  <c r="AK1259" i="1" s="1"/>
  <c r="AH1260" i="1"/>
  <c r="AK1260" i="1" s="1"/>
  <c r="AH1261" i="1"/>
  <c r="AK1261" i="1" s="1"/>
  <c r="AH1262" i="1"/>
  <c r="AK1262" i="1" s="1"/>
  <c r="AH1263" i="1"/>
  <c r="AK1263" i="1" s="1"/>
  <c r="AH1264" i="1"/>
  <c r="AK1264" i="1" s="1"/>
  <c r="AH1265" i="1"/>
  <c r="AK1265" i="1" s="1"/>
  <c r="AH1266" i="1"/>
  <c r="AK1266" i="1" s="1"/>
  <c r="AH1267" i="1"/>
  <c r="AK1267" i="1" s="1"/>
  <c r="AH1268" i="1"/>
  <c r="AK1268" i="1" s="1"/>
  <c r="AH1269" i="1"/>
  <c r="AK1269" i="1" s="1"/>
  <c r="AH1270" i="1"/>
  <c r="AK1270" i="1" s="1"/>
  <c r="AH1271" i="1"/>
  <c r="AK1271" i="1" s="1"/>
  <c r="AH1272" i="1"/>
  <c r="AK1272" i="1" s="1"/>
  <c r="AH1273" i="1"/>
  <c r="AK1273" i="1" s="1"/>
  <c r="AH1274" i="1"/>
  <c r="AK1274" i="1" s="1"/>
  <c r="AK922" i="1"/>
  <c r="AL919" i="1"/>
  <c r="AL920" i="1"/>
  <c r="AL921" i="1"/>
  <c r="AN921" i="1" s="1"/>
  <c r="AL922" i="1"/>
  <c r="AL923" i="1"/>
  <c r="AL924" i="1"/>
  <c r="AL925" i="1"/>
  <c r="AL926" i="1"/>
  <c r="AL927" i="1"/>
  <c r="AL928" i="1"/>
  <c r="AL929" i="1"/>
  <c r="AL930" i="1"/>
  <c r="AN930" i="1" s="1"/>
  <c r="AL931" i="1"/>
  <c r="AL932" i="1"/>
  <c r="AL933" i="1"/>
  <c r="AQ933" i="1" s="1"/>
  <c r="AL934" i="1"/>
  <c r="AL935" i="1"/>
  <c r="AL936" i="1"/>
  <c r="AL937" i="1"/>
  <c r="AL938" i="1"/>
  <c r="AL939" i="1"/>
  <c r="AL940" i="1"/>
  <c r="AL941" i="1"/>
  <c r="AQ941" i="1" s="1"/>
  <c r="AL942" i="1"/>
  <c r="AL943" i="1"/>
  <c r="AL944" i="1"/>
  <c r="AL945" i="1"/>
  <c r="AL946" i="1"/>
  <c r="AL947" i="1"/>
  <c r="AL948" i="1"/>
  <c r="AL949" i="1"/>
  <c r="AQ949" i="1" s="1"/>
  <c r="AL950" i="1"/>
  <c r="AL951" i="1"/>
  <c r="AL952" i="1"/>
  <c r="AL953" i="1"/>
  <c r="AL954" i="1"/>
  <c r="AL955" i="1"/>
  <c r="AL956" i="1"/>
  <c r="AL957" i="1"/>
  <c r="AQ957" i="1" s="1"/>
  <c r="AL958" i="1"/>
  <c r="AL959" i="1"/>
  <c r="AL960" i="1"/>
  <c r="AL961" i="1"/>
  <c r="AL962" i="1"/>
  <c r="AL963" i="1"/>
  <c r="AL964" i="1"/>
  <c r="AL965" i="1"/>
  <c r="AQ965" i="1" s="1"/>
  <c r="AL966" i="1"/>
  <c r="AL967" i="1"/>
  <c r="AL968" i="1"/>
  <c r="AL969" i="1"/>
  <c r="AL970" i="1"/>
  <c r="AL971" i="1"/>
  <c r="AL972" i="1"/>
  <c r="AL973" i="1"/>
  <c r="AQ973" i="1" s="1"/>
  <c r="AL974" i="1"/>
  <c r="AL975" i="1"/>
  <c r="AL976" i="1"/>
  <c r="AL977" i="1"/>
  <c r="AL978" i="1"/>
  <c r="AL979" i="1"/>
  <c r="AL980" i="1"/>
  <c r="AL981" i="1"/>
  <c r="AQ981" i="1" s="1"/>
  <c r="AL982" i="1"/>
  <c r="AL983" i="1"/>
  <c r="AL984" i="1"/>
  <c r="AL985" i="1"/>
  <c r="AL986" i="1"/>
  <c r="AL987" i="1"/>
  <c r="AL988" i="1"/>
  <c r="AL989" i="1"/>
  <c r="AQ989" i="1" s="1"/>
  <c r="AL990" i="1"/>
  <c r="AL991" i="1"/>
  <c r="AL992" i="1"/>
  <c r="AL993" i="1"/>
  <c r="AL994" i="1"/>
  <c r="AL995" i="1"/>
  <c r="AL996" i="1"/>
  <c r="AL997" i="1"/>
  <c r="AQ997" i="1" s="1"/>
  <c r="AL998" i="1"/>
  <c r="AL999" i="1"/>
  <c r="AL1000" i="1"/>
  <c r="AL1001" i="1"/>
  <c r="AL1002" i="1"/>
  <c r="AL1003" i="1"/>
  <c r="AL1004" i="1"/>
  <c r="AL1005" i="1"/>
  <c r="AQ1005" i="1" s="1"/>
  <c r="AL1006" i="1"/>
  <c r="AL1007" i="1"/>
  <c r="AL1008" i="1"/>
  <c r="AL1009" i="1"/>
  <c r="AL1010" i="1"/>
  <c r="AL1011" i="1"/>
  <c r="AL1012" i="1"/>
  <c r="AL1013" i="1"/>
  <c r="AQ1013" i="1" s="1"/>
  <c r="AL1014" i="1"/>
  <c r="AL1015" i="1"/>
  <c r="AL1016" i="1"/>
  <c r="AL1017" i="1"/>
  <c r="AL1018" i="1"/>
  <c r="AL1019" i="1"/>
  <c r="AL1020" i="1"/>
  <c r="AL1021" i="1"/>
  <c r="AQ1021" i="1" s="1"/>
  <c r="AL1022" i="1"/>
  <c r="AL1023" i="1"/>
  <c r="AL1024" i="1"/>
  <c r="AL1025" i="1"/>
  <c r="AL1026" i="1"/>
  <c r="AL1027" i="1"/>
  <c r="AL1028" i="1"/>
  <c r="AL1029" i="1"/>
  <c r="AQ1029" i="1" s="1"/>
  <c r="AL1030" i="1"/>
  <c r="AL1031" i="1"/>
  <c r="AL1032" i="1"/>
  <c r="AL1033" i="1"/>
  <c r="AL1034" i="1"/>
  <c r="AL1035" i="1"/>
  <c r="AL1036" i="1"/>
  <c r="AL1037" i="1"/>
  <c r="AQ1037" i="1" s="1"/>
  <c r="AL1038" i="1"/>
  <c r="AL1039" i="1"/>
  <c r="AL1040" i="1"/>
  <c r="AL1041" i="1"/>
  <c r="AL1042" i="1"/>
  <c r="AL1043" i="1"/>
  <c r="AL1044" i="1"/>
  <c r="AL1045" i="1"/>
  <c r="AQ1045" i="1" s="1"/>
  <c r="AL1046" i="1"/>
  <c r="AL1047" i="1"/>
  <c r="AL1048" i="1"/>
  <c r="AL1049" i="1"/>
  <c r="AL1050" i="1"/>
  <c r="AL1051" i="1"/>
  <c r="AL1052" i="1"/>
  <c r="AL1053" i="1"/>
  <c r="AQ1053" i="1" s="1"/>
  <c r="AL1054" i="1"/>
  <c r="AL1055" i="1"/>
  <c r="AL1056" i="1"/>
  <c r="AL1057" i="1"/>
  <c r="AL1058" i="1"/>
  <c r="AL1059" i="1"/>
  <c r="AL1060" i="1"/>
  <c r="AL1061" i="1"/>
  <c r="AQ1061" i="1" s="1"/>
  <c r="AL1062" i="1"/>
  <c r="AL1063" i="1"/>
  <c r="AL1064" i="1"/>
  <c r="AL1065" i="1"/>
  <c r="AL1066" i="1"/>
  <c r="AL1067" i="1"/>
  <c r="AL1068" i="1"/>
  <c r="AL1069" i="1"/>
  <c r="AQ1069" i="1" s="1"/>
  <c r="AL1070" i="1"/>
  <c r="AL1071" i="1"/>
  <c r="AL1072" i="1"/>
  <c r="AL1073" i="1"/>
  <c r="AL1074" i="1"/>
  <c r="AL1075" i="1"/>
  <c r="AL1076" i="1"/>
  <c r="AL1077" i="1"/>
  <c r="AQ1077" i="1" s="1"/>
  <c r="AL1078" i="1"/>
  <c r="AL1079" i="1"/>
  <c r="AL1080" i="1"/>
  <c r="AL1081" i="1"/>
  <c r="AL1082" i="1"/>
  <c r="AL1083" i="1"/>
  <c r="AL1084" i="1"/>
  <c r="AL1085" i="1"/>
  <c r="AQ1085" i="1" s="1"/>
  <c r="AL1086" i="1"/>
  <c r="AL1087" i="1"/>
  <c r="AL1088" i="1"/>
  <c r="AL1089" i="1"/>
  <c r="AL1090" i="1"/>
  <c r="AL1091" i="1"/>
  <c r="AL1092" i="1"/>
  <c r="AL1093" i="1"/>
  <c r="AQ1093" i="1" s="1"/>
  <c r="AL1094" i="1"/>
  <c r="AL1095" i="1"/>
  <c r="AL1096" i="1"/>
  <c r="AL1097" i="1"/>
  <c r="AL1098" i="1"/>
  <c r="AL1099" i="1"/>
  <c r="AL1100" i="1"/>
  <c r="AL1101" i="1"/>
  <c r="AQ1101" i="1" s="1"/>
  <c r="AL1102" i="1"/>
  <c r="AN1102" i="1" s="1"/>
  <c r="AL1103" i="1"/>
  <c r="AN1103" i="1" s="1"/>
  <c r="AL1104" i="1"/>
  <c r="AL1105" i="1"/>
  <c r="AN1105" i="1" s="1"/>
  <c r="AL1106" i="1"/>
  <c r="AN1106" i="1" s="1"/>
  <c r="AL1107" i="1"/>
  <c r="AM1107" i="1" s="1"/>
  <c r="AL1108" i="1"/>
  <c r="AL1109" i="1"/>
  <c r="AN1109" i="1" s="1"/>
  <c r="AL1110" i="1"/>
  <c r="AN1110" i="1" s="1"/>
  <c r="AL1111" i="1"/>
  <c r="AM1111" i="1" s="1"/>
  <c r="AL1112" i="1"/>
  <c r="AL1113" i="1"/>
  <c r="AN1113" i="1" s="1"/>
  <c r="AL1114" i="1"/>
  <c r="AN1114" i="1" s="1"/>
  <c r="AL1115" i="1"/>
  <c r="AM1115" i="1" s="1"/>
  <c r="AL1116" i="1"/>
  <c r="AL1117" i="1"/>
  <c r="AN1117" i="1" s="1"/>
  <c r="AL1118" i="1"/>
  <c r="AN1118" i="1" s="1"/>
  <c r="AL1119" i="1"/>
  <c r="AM1119" i="1" s="1"/>
  <c r="AL1120" i="1"/>
  <c r="AL1121" i="1"/>
  <c r="AN1121" i="1" s="1"/>
  <c r="AL1122" i="1"/>
  <c r="AN1122" i="1" s="1"/>
  <c r="AL1123" i="1"/>
  <c r="AM1123" i="1" s="1"/>
  <c r="AL1124" i="1"/>
  <c r="AL1125" i="1"/>
  <c r="AN1125" i="1" s="1"/>
  <c r="AL1126" i="1"/>
  <c r="AN1126" i="1" s="1"/>
  <c r="AL1127" i="1"/>
  <c r="AM1127" i="1" s="1"/>
  <c r="AL1128" i="1"/>
  <c r="AL1129" i="1"/>
  <c r="AN1129" i="1" s="1"/>
  <c r="AL1130" i="1"/>
  <c r="AN1130" i="1" s="1"/>
  <c r="AL1131" i="1"/>
  <c r="AM1131" i="1" s="1"/>
  <c r="AL1132" i="1"/>
  <c r="AL1133" i="1"/>
  <c r="AN1133" i="1" s="1"/>
  <c r="AL1134" i="1"/>
  <c r="AN1134" i="1" s="1"/>
  <c r="AL1135" i="1"/>
  <c r="AM1135" i="1" s="1"/>
  <c r="AL1136" i="1"/>
  <c r="AL1137" i="1"/>
  <c r="AN1137" i="1" s="1"/>
  <c r="AL1138" i="1"/>
  <c r="AN1138" i="1" s="1"/>
  <c r="AL1139" i="1"/>
  <c r="AM1139" i="1" s="1"/>
  <c r="AL1140" i="1"/>
  <c r="AL1141" i="1"/>
  <c r="AN1141" i="1" s="1"/>
  <c r="AL1142" i="1"/>
  <c r="AN1142" i="1" s="1"/>
  <c r="AL1143" i="1"/>
  <c r="AM1143" i="1" s="1"/>
  <c r="AL1144" i="1"/>
  <c r="AL1145" i="1"/>
  <c r="AN1145" i="1" s="1"/>
  <c r="AL1146" i="1"/>
  <c r="AN1146" i="1" s="1"/>
  <c r="AL1147" i="1"/>
  <c r="AM1147" i="1" s="1"/>
  <c r="AL1148" i="1"/>
  <c r="AL1149" i="1"/>
  <c r="AN1149" i="1" s="1"/>
  <c r="AL1150" i="1"/>
  <c r="AN1150" i="1" s="1"/>
  <c r="AL1151" i="1"/>
  <c r="AM1151" i="1" s="1"/>
  <c r="AL1152" i="1"/>
  <c r="AL1153" i="1"/>
  <c r="AN1153" i="1" s="1"/>
  <c r="AL1154" i="1"/>
  <c r="AN1154" i="1" s="1"/>
  <c r="AL1155" i="1"/>
  <c r="AM1155" i="1" s="1"/>
  <c r="AL1156" i="1"/>
  <c r="AL1157" i="1"/>
  <c r="AN1157" i="1" s="1"/>
  <c r="AL1158" i="1"/>
  <c r="AN1158" i="1" s="1"/>
  <c r="AL1159" i="1"/>
  <c r="AM1159" i="1" s="1"/>
  <c r="AL1160" i="1"/>
  <c r="AL1161" i="1"/>
  <c r="AN1161" i="1" s="1"/>
  <c r="AL1162" i="1"/>
  <c r="AN1162" i="1" s="1"/>
  <c r="AL1163" i="1"/>
  <c r="AM1163" i="1" s="1"/>
  <c r="AL1164" i="1"/>
  <c r="AL1165" i="1"/>
  <c r="AN1165" i="1" s="1"/>
  <c r="AL1166" i="1"/>
  <c r="AN1166" i="1" s="1"/>
  <c r="AL1167" i="1"/>
  <c r="AM1167" i="1" s="1"/>
  <c r="AL1168" i="1"/>
  <c r="AL1169" i="1"/>
  <c r="AN1169" i="1" s="1"/>
  <c r="AL1170" i="1"/>
  <c r="AN1170" i="1" s="1"/>
  <c r="AL1171" i="1"/>
  <c r="AM1171" i="1" s="1"/>
  <c r="AL1172" i="1"/>
  <c r="AL1173" i="1"/>
  <c r="AN1173" i="1" s="1"/>
  <c r="AL1174" i="1"/>
  <c r="AN1174" i="1" s="1"/>
  <c r="AL1175" i="1"/>
  <c r="AM1175" i="1" s="1"/>
  <c r="AL1176" i="1"/>
  <c r="AL1177" i="1"/>
  <c r="AN1177" i="1" s="1"/>
  <c r="AL1178" i="1"/>
  <c r="AN1178" i="1" s="1"/>
  <c r="AL1179" i="1"/>
  <c r="AM1179" i="1" s="1"/>
  <c r="AL1180" i="1"/>
  <c r="AL1181" i="1"/>
  <c r="AN1181" i="1" s="1"/>
  <c r="AL1182" i="1"/>
  <c r="AN1182" i="1" s="1"/>
  <c r="AL1183" i="1"/>
  <c r="AM1183" i="1" s="1"/>
  <c r="AL1184" i="1"/>
  <c r="AL1185" i="1"/>
  <c r="AN1185" i="1" s="1"/>
  <c r="AL1186" i="1"/>
  <c r="AN1186" i="1" s="1"/>
  <c r="AL1187" i="1"/>
  <c r="AM1187" i="1" s="1"/>
  <c r="AL1188" i="1"/>
  <c r="AL1189" i="1"/>
  <c r="AN1189" i="1" s="1"/>
  <c r="AL1190" i="1"/>
  <c r="AN1190" i="1" s="1"/>
  <c r="AL1191" i="1"/>
  <c r="AM1191" i="1" s="1"/>
  <c r="AL1192" i="1"/>
  <c r="AL1193" i="1"/>
  <c r="AN1193" i="1" s="1"/>
  <c r="AL1194" i="1"/>
  <c r="AN1194" i="1" s="1"/>
  <c r="AL1195" i="1"/>
  <c r="AM1195" i="1" s="1"/>
  <c r="AL1196" i="1"/>
  <c r="AL1197" i="1"/>
  <c r="AN1197" i="1" s="1"/>
  <c r="AL1198" i="1"/>
  <c r="AN1198" i="1" s="1"/>
  <c r="AL1199" i="1"/>
  <c r="AM1199" i="1" s="1"/>
  <c r="AL1200" i="1"/>
  <c r="AL1201" i="1"/>
  <c r="AN1201" i="1" s="1"/>
  <c r="AL1202" i="1"/>
  <c r="AN1202" i="1" s="1"/>
  <c r="AL1203" i="1"/>
  <c r="AM1203" i="1" s="1"/>
  <c r="AL1204" i="1"/>
  <c r="AL1205" i="1"/>
  <c r="AN1205" i="1" s="1"/>
  <c r="AL1206" i="1"/>
  <c r="AN1206" i="1" s="1"/>
  <c r="AL1207" i="1"/>
  <c r="AM1207" i="1" s="1"/>
  <c r="AL1208" i="1"/>
  <c r="AL1209" i="1"/>
  <c r="AN1209" i="1" s="1"/>
  <c r="AL1210" i="1"/>
  <c r="AN1210" i="1" s="1"/>
  <c r="AL1211" i="1"/>
  <c r="AM1211" i="1" s="1"/>
  <c r="AL1212" i="1"/>
  <c r="AL1213" i="1"/>
  <c r="AN1213" i="1" s="1"/>
  <c r="AL1214" i="1"/>
  <c r="AN1214" i="1" s="1"/>
  <c r="AL1215" i="1"/>
  <c r="AM1215" i="1" s="1"/>
  <c r="AL1216" i="1"/>
  <c r="AL1217" i="1"/>
  <c r="AN1217" i="1" s="1"/>
  <c r="AL1218" i="1"/>
  <c r="AN1218" i="1" s="1"/>
  <c r="AL1219" i="1"/>
  <c r="AM1219" i="1" s="1"/>
  <c r="AL1220" i="1"/>
  <c r="AL1221" i="1"/>
  <c r="AN1221" i="1" s="1"/>
  <c r="AL1222" i="1"/>
  <c r="AN1222" i="1" s="1"/>
  <c r="AL1223" i="1"/>
  <c r="AM1223" i="1" s="1"/>
  <c r="AL1224" i="1"/>
  <c r="AL1225" i="1"/>
  <c r="AN1225" i="1" s="1"/>
  <c r="AL1226" i="1"/>
  <c r="AN1226" i="1" s="1"/>
  <c r="AL1227" i="1"/>
  <c r="AM1227" i="1" s="1"/>
  <c r="AL1228" i="1"/>
  <c r="AL1229" i="1"/>
  <c r="AN1229" i="1" s="1"/>
  <c r="AL1230" i="1"/>
  <c r="AN1230" i="1" s="1"/>
  <c r="AL1231" i="1"/>
  <c r="AM1231" i="1" s="1"/>
  <c r="AL1232" i="1"/>
  <c r="AL1233" i="1"/>
  <c r="AN1233" i="1" s="1"/>
  <c r="AL1234" i="1"/>
  <c r="AN1234" i="1" s="1"/>
  <c r="AL1235" i="1"/>
  <c r="AM1235" i="1" s="1"/>
  <c r="AL1236" i="1"/>
  <c r="AL1237" i="1"/>
  <c r="AN1237" i="1" s="1"/>
  <c r="AL1238" i="1"/>
  <c r="AN1238" i="1" s="1"/>
  <c r="AL1239" i="1"/>
  <c r="AM1239" i="1" s="1"/>
  <c r="AL1240" i="1"/>
  <c r="AL1241" i="1"/>
  <c r="AN1241" i="1" s="1"/>
  <c r="AL1242" i="1"/>
  <c r="AN1242" i="1" s="1"/>
  <c r="AL1243" i="1"/>
  <c r="AM1243" i="1" s="1"/>
  <c r="AL1244" i="1"/>
  <c r="AL1245" i="1"/>
  <c r="AN1245" i="1" s="1"/>
  <c r="AL1246" i="1"/>
  <c r="AN1246" i="1" s="1"/>
  <c r="AL1247" i="1"/>
  <c r="AM1247" i="1" s="1"/>
  <c r="AL1248" i="1"/>
  <c r="AQ1248" i="1" s="1"/>
  <c r="AL1249" i="1"/>
  <c r="AN1249" i="1" s="1"/>
  <c r="AL1250" i="1"/>
  <c r="AN1250" i="1" s="1"/>
  <c r="AL1251" i="1"/>
  <c r="AM1251" i="1" s="1"/>
  <c r="AL1252" i="1"/>
  <c r="AL1253" i="1"/>
  <c r="AN1253" i="1" s="1"/>
  <c r="AL1254" i="1"/>
  <c r="AN1254" i="1" s="1"/>
  <c r="AL1255" i="1"/>
  <c r="AM1255" i="1" s="1"/>
  <c r="AL1256" i="1"/>
  <c r="AQ1256" i="1" s="1"/>
  <c r="AL1257" i="1"/>
  <c r="AN1257" i="1" s="1"/>
  <c r="AL1258" i="1"/>
  <c r="AN1258" i="1" s="1"/>
  <c r="AL1259" i="1"/>
  <c r="AM1259" i="1" s="1"/>
  <c r="AL1260" i="1"/>
  <c r="AL1261" i="1"/>
  <c r="AN1261" i="1" s="1"/>
  <c r="AL1262" i="1"/>
  <c r="AN1262" i="1" s="1"/>
  <c r="AL1263" i="1"/>
  <c r="AM1263" i="1" s="1"/>
  <c r="AL1264" i="1"/>
  <c r="AQ1264" i="1" s="1"/>
  <c r="AL1265" i="1"/>
  <c r="AN1265" i="1" s="1"/>
  <c r="AL1266" i="1"/>
  <c r="AN1266" i="1" s="1"/>
  <c r="AL1267" i="1"/>
  <c r="AM1267" i="1" s="1"/>
  <c r="AL1268" i="1"/>
  <c r="AL1269" i="1"/>
  <c r="AN1269" i="1" s="1"/>
  <c r="AL1270" i="1"/>
  <c r="AN1270" i="1" s="1"/>
  <c r="AL1271" i="1"/>
  <c r="AM1271" i="1" s="1"/>
  <c r="AL1272" i="1"/>
  <c r="AQ1272" i="1" s="1"/>
  <c r="AL1273" i="1"/>
  <c r="AN1273" i="1" s="1"/>
  <c r="AL1274" i="1"/>
  <c r="AN1274" i="1" s="1"/>
  <c r="AM921" i="1"/>
  <c r="AM930" i="1"/>
  <c r="AM933" i="1"/>
  <c r="AM949" i="1"/>
  <c r="AM965" i="1"/>
  <c r="AM981" i="1"/>
  <c r="AM997" i="1"/>
  <c r="AM1013" i="1"/>
  <c r="AM1029" i="1"/>
  <c r="AM1045" i="1"/>
  <c r="AM1061" i="1"/>
  <c r="AM1077" i="1"/>
  <c r="AM1093" i="1"/>
  <c r="AM1102" i="1"/>
  <c r="AM1110" i="1"/>
  <c r="AM1118" i="1"/>
  <c r="AM1126" i="1"/>
  <c r="AM1134" i="1"/>
  <c r="AM1142" i="1"/>
  <c r="AM1150" i="1"/>
  <c r="AM1158" i="1"/>
  <c r="AM1166" i="1"/>
  <c r="AM1174" i="1"/>
  <c r="AM1182" i="1"/>
  <c r="AM1190" i="1"/>
  <c r="AM1198" i="1"/>
  <c r="AM1206" i="1"/>
  <c r="AM1214" i="1"/>
  <c r="AM1222" i="1"/>
  <c r="AM1230" i="1"/>
  <c r="AM1238" i="1"/>
  <c r="AM1246" i="1"/>
  <c r="AM1262" i="1"/>
  <c r="AN941" i="1"/>
  <c r="AN957" i="1"/>
  <c r="AN973" i="1"/>
  <c r="AN989" i="1"/>
  <c r="AN1005" i="1"/>
  <c r="AN1021" i="1"/>
  <c r="AN1037" i="1"/>
  <c r="AN1053" i="1"/>
  <c r="AN1069" i="1"/>
  <c r="AN1085" i="1"/>
  <c r="AN1101" i="1"/>
  <c r="AN1111" i="1"/>
  <c r="AN1119" i="1"/>
  <c r="AN1127" i="1"/>
  <c r="AN1135" i="1"/>
  <c r="AN1143" i="1"/>
  <c r="AN1151" i="1"/>
  <c r="AN1159" i="1"/>
  <c r="AN1167" i="1"/>
  <c r="AN1175" i="1"/>
  <c r="AN1183" i="1"/>
  <c r="AN1191" i="1"/>
  <c r="AN1207" i="1"/>
  <c r="AN1223" i="1"/>
  <c r="AO919" i="1"/>
  <c r="AP919" i="1" s="1"/>
  <c r="AO920" i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5" i="1"/>
  <c r="AP945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O954" i="1"/>
  <c r="AP954" i="1" s="1"/>
  <c r="AO955" i="1"/>
  <c r="AP955" i="1" s="1"/>
  <c r="AO956" i="1"/>
  <c r="AP956" i="1" s="1"/>
  <c r="AO957" i="1"/>
  <c r="AP957" i="1" s="1"/>
  <c r="AO958" i="1"/>
  <c r="AP958" i="1" s="1"/>
  <c r="AO959" i="1"/>
  <c r="AP959" i="1" s="1"/>
  <c r="AO960" i="1"/>
  <c r="AP960" i="1" s="1"/>
  <c r="AO961" i="1"/>
  <c r="AP961" i="1" s="1"/>
  <c r="AO962" i="1"/>
  <c r="AP962" i="1" s="1"/>
  <c r="AO963" i="1"/>
  <c r="AP963" i="1" s="1"/>
  <c r="AO964" i="1"/>
  <c r="AP964" i="1" s="1"/>
  <c r="AO965" i="1"/>
  <c r="AP965" i="1" s="1"/>
  <c r="AO966" i="1"/>
  <c r="AP966" i="1" s="1"/>
  <c r="AO967" i="1"/>
  <c r="AP967" i="1" s="1"/>
  <c r="AO968" i="1"/>
  <c r="AP968" i="1" s="1"/>
  <c r="AO969" i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7" i="1"/>
  <c r="AP977" i="1" s="1"/>
  <c r="AO978" i="1"/>
  <c r="AP978" i="1" s="1"/>
  <c r="AO979" i="1"/>
  <c r="AP979" i="1" s="1"/>
  <c r="AO980" i="1"/>
  <c r="AP980" i="1" s="1"/>
  <c r="AO981" i="1"/>
  <c r="AP981" i="1" s="1"/>
  <c r="AO982" i="1"/>
  <c r="AP982" i="1" s="1"/>
  <c r="AO983" i="1"/>
  <c r="AP983" i="1" s="1"/>
  <c r="AO984" i="1"/>
  <c r="AP984" i="1" s="1"/>
  <c r="AO985" i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2" i="1"/>
  <c r="AP992" i="1" s="1"/>
  <c r="AO993" i="1"/>
  <c r="AP993" i="1" s="1"/>
  <c r="AO994" i="1"/>
  <c r="AP994" i="1" s="1"/>
  <c r="AO995" i="1"/>
  <c r="AP995" i="1" s="1"/>
  <c r="AO996" i="1"/>
  <c r="AP996" i="1" s="1"/>
  <c r="AO997" i="1"/>
  <c r="AP997" i="1" s="1"/>
  <c r="AO998" i="1"/>
  <c r="AP998" i="1" s="1"/>
  <c r="AO999" i="1"/>
  <c r="AP999" i="1" s="1"/>
  <c r="AO1000" i="1"/>
  <c r="AP1000" i="1" s="1"/>
  <c r="AO1001" i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0" i="1"/>
  <c r="AP1010" i="1" s="1"/>
  <c r="AO1011" i="1"/>
  <c r="AP1011" i="1" s="1"/>
  <c r="AO1012" i="1"/>
  <c r="AP1012" i="1" s="1"/>
  <c r="AO1013" i="1"/>
  <c r="AP1013" i="1" s="1"/>
  <c r="AO1014" i="1"/>
  <c r="AP1014" i="1" s="1"/>
  <c r="AO1015" i="1"/>
  <c r="AP1015" i="1" s="1"/>
  <c r="AO1016" i="1"/>
  <c r="AP1016" i="1" s="1"/>
  <c r="AO1017" i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3" i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6" i="1"/>
  <c r="AP1046" i="1" s="1"/>
  <c r="AO1047" i="1"/>
  <c r="AP1047" i="1" s="1"/>
  <c r="AO1048" i="1"/>
  <c r="AP1048" i="1" s="1"/>
  <c r="AO1049" i="1"/>
  <c r="AO1050" i="1"/>
  <c r="AP1050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1" i="1"/>
  <c r="AP1061" i="1" s="1"/>
  <c r="AO1062" i="1"/>
  <c r="AP1062" i="1" s="1"/>
  <c r="AO1063" i="1"/>
  <c r="AP1063" i="1" s="1"/>
  <c r="AO1064" i="1"/>
  <c r="AP1064" i="1" s="1"/>
  <c r="AO1065" i="1"/>
  <c r="AO1066" i="1"/>
  <c r="AP1066" i="1" s="1"/>
  <c r="AO1067" i="1"/>
  <c r="AP1067" i="1" s="1"/>
  <c r="AO1068" i="1"/>
  <c r="AP1068" i="1" s="1"/>
  <c r="AO1069" i="1"/>
  <c r="AP1069" i="1" s="1"/>
  <c r="AO1070" i="1"/>
  <c r="AP1070" i="1" s="1"/>
  <c r="AO1071" i="1"/>
  <c r="AP1071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0" i="1"/>
  <c r="AP1080" i="1" s="1"/>
  <c r="AO1081" i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89" i="1"/>
  <c r="AP1089" i="1" s="1"/>
  <c r="AO1090" i="1"/>
  <c r="AP1090" i="1" s="1"/>
  <c r="AO1091" i="1"/>
  <c r="AO1092" i="1"/>
  <c r="AP1092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099" i="1"/>
  <c r="AO1100" i="1"/>
  <c r="AP1100" i="1" s="1"/>
  <c r="AO1101" i="1"/>
  <c r="AP1101" i="1" s="1"/>
  <c r="AO1102" i="1"/>
  <c r="AP1102" i="1" s="1"/>
  <c r="AO1103" i="1"/>
  <c r="AP1103" i="1" s="1"/>
  <c r="AO1104" i="1"/>
  <c r="AP1104" i="1" s="1"/>
  <c r="AO1105" i="1"/>
  <c r="AP1105" i="1" s="1"/>
  <c r="AO1106" i="1"/>
  <c r="AP1106" i="1" s="1"/>
  <c r="AO1107" i="1"/>
  <c r="AO1108" i="1"/>
  <c r="AP1108" i="1" s="1"/>
  <c r="AO1109" i="1"/>
  <c r="AP1109" i="1" s="1"/>
  <c r="AO1110" i="1"/>
  <c r="AP1110" i="1" s="1"/>
  <c r="AO1111" i="1"/>
  <c r="AP1111" i="1" s="1"/>
  <c r="AO1112" i="1"/>
  <c r="AP1112" i="1" s="1"/>
  <c r="AO1113" i="1"/>
  <c r="AP1113" i="1" s="1"/>
  <c r="AO1114" i="1"/>
  <c r="AP1114" i="1" s="1"/>
  <c r="AO1115" i="1"/>
  <c r="AO1116" i="1"/>
  <c r="AP1116" i="1" s="1"/>
  <c r="AO1117" i="1"/>
  <c r="AP1117" i="1" s="1"/>
  <c r="AO1118" i="1"/>
  <c r="AP1118" i="1" s="1"/>
  <c r="AO1119" i="1"/>
  <c r="AP1119" i="1" s="1"/>
  <c r="AO1120" i="1"/>
  <c r="AP1120" i="1" s="1"/>
  <c r="AO1121" i="1"/>
  <c r="AP1121" i="1" s="1"/>
  <c r="AO1122" i="1"/>
  <c r="AP1122" i="1" s="1"/>
  <c r="AO1123" i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7" i="1"/>
  <c r="AP1137" i="1" s="1"/>
  <c r="AO1138" i="1"/>
  <c r="AP1138" i="1" s="1"/>
  <c r="AO1139" i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6" i="1"/>
  <c r="AP1146" i="1" s="1"/>
  <c r="AO1147" i="1"/>
  <c r="AO1148" i="1"/>
  <c r="AP1148" i="1" s="1"/>
  <c r="AO1149" i="1"/>
  <c r="AP1149" i="1" s="1"/>
  <c r="AO1150" i="1"/>
  <c r="AP1150" i="1" s="1"/>
  <c r="AO1151" i="1"/>
  <c r="AP1151" i="1" s="1"/>
  <c r="AO1152" i="1"/>
  <c r="AP1152" i="1" s="1"/>
  <c r="AO1153" i="1"/>
  <c r="AP1153" i="1" s="1"/>
  <c r="AO1154" i="1"/>
  <c r="AP1154" i="1" s="1"/>
  <c r="AO1155" i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69" i="1"/>
  <c r="AP1169" i="1" s="1"/>
  <c r="AO1170" i="1"/>
  <c r="AP1170" i="1" s="1"/>
  <c r="AO1171" i="1"/>
  <c r="AO1172" i="1"/>
  <c r="AP1172" i="1" s="1"/>
  <c r="AO1173" i="1"/>
  <c r="AP1173" i="1" s="1"/>
  <c r="AO1174" i="1"/>
  <c r="AP1174" i="1" s="1"/>
  <c r="AO1175" i="1"/>
  <c r="AP1175" i="1" s="1"/>
  <c r="AO1176" i="1"/>
  <c r="AP1176" i="1" s="1"/>
  <c r="AO1177" i="1"/>
  <c r="AP1177" i="1" s="1"/>
  <c r="AO1178" i="1"/>
  <c r="AP1178" i="1" s="1"/>
  <c r="AO1179" i="1"/>
  <c r="AO1180" i="1"/>
  <c r="AP1180" i="1" s="1"/>
  <c r="AO1181" i="1"/>
  <c r="AP1181" i="1" s="1"/>
  <c r="AO1182" i="1"/>
  <c r="AP1182" i="1" s="1"/>
  <c r="AO1183" i="1"/>
  <c r="AP1183" i="1" s="1"/>
  <c r="AO1184" i="1"/>
  <c r="AP1184" i="1" s="1"/>
  <c r="AO1185" i="1"/>
  <c r="AP1185" i="1" s="1"/>
  <c r="AO1186" i="1"/>
  <c r="AP1186" i="1" s="1"/>
  <c r="AO1187" i="1"/>
  <c r="AO1188" i="1"/>
  <c r="AP1188" i="1" s="1"/>
  <c r="AO1189" i="1"/>
  <c r="AP1189" i="1" s="1"/>
  <c r="AO1190" i="1"/>
  <c r="AP1190" i="1" s="1"/>
  <c r="AO1191" i="1"/>
  <c r="AP1191" i="1" s="1"/>
  <c r="AO1192" i="1"/>
  <c r="AP1192" i="1" s="1"/>
  <c r="AO1193" i="1"/>
  <c r="AP1193" i="1" s="1"/>
  <c r="AO1194" i="1"/>
  <c r="AP1194" i="1" s="1"/>
  <c r="AO1195" i="1"/>
  <c r="AO1196" i="1"/>
  <c r="AP1196" i="1" s="1"/>
  <c r="AO1197" i="1"/>
  <c r="AP1197" i="1" s="1"/>
  <c r="AO1198" i="1"/>
  <c r="AP1198" i="1" s="1"/>
  <c r="AO1199" i="1"/>
  <c r="AP1199" i="1" s="1"/>
  <c r="AO1200" i="1"/>
  <c r="AP1200" i="1" s="1"/>
  <c r="AO1201" i="1"/>
  <c r="AP1201" i="1" s="1"/>
  <c r="AO1202" i="1"/>
  <c r="AP1202" i="1" s="1"/>
  <c r="AO1203" i="1"/>
  <c r="AO1204" i="1"/>
  <c r="AP1204" i="1" s="1"/>
  <c r="AO1205" i="1"/>
  <c r="AP1205" i="1" s="1"/>
  <c r="AO1206" i="1"/>
  <c r="AP1206" i="1" s="1"/>
  <c r="AO1207" i="1"/>
  <c r="AP1207" i="1" s="1"/>
  <c r="AO1208" i="1"/>
  <c r="AP1208" i="1" s="1"/>
  <c r="AO1209" i="1"/>
  <c r="AP1209" i="1" s="1"/>
  <c r="AO1210" i="1"/>
  <c r="AP1210" i="1" s="1"/>
  <c r="AO1211" i="1"/>
  <c r="AO1212" i="1"/>
  <c r="AP1212" i="1" s="1"/>
  <c r="AO1213" i="1"/>
  <c r="AP1213" i="1" s="1"/>
  <c r="AO1214" i="1"/>
  <c r="AP1214" i="1" s="1"/>
  <c r="AO1215" i="1"/>
  <c r="AP1215" i="1" s="1"/>
  <c r="AO1216" i="1"/>
  <c r="AP1216" i="1" s="1"/>
  <c r="AO1217" i="1"/>
  <c r="AP1217" i="1" s="1"/>
  <c r="AO1218" i="1"/>
  <c r="AP1218" i="1" s="1"/>
  <c r="AO1219" i="1"/>
  <c r="AO1220" i="1"/>
  <c r="AP1220" i="1" s="1"/>
  <c r="AO1221" i="1"/>
  <c r="AP1221" i="1" s="1"/>
  <c r="AO1222" i="1"/>
  <c r="AP1222" i="1" s="1"/>
  <c r="AO1223" i="1"/>
  <c r="AP1223" i="1" s="1"/>
  <c r="AO1224" i="1"/>
  <c r="AP1224" i="1" s="1"/>
  <c r="AO1225" i="1"/>
  <c r="AP1225" i="1" s="1"/>
  <c r="AO1226" i="1"/>
  <c r="AP1226" i="1" s="1"/>
  <c r="AO1227" i="1"/>
  <c r="AO1228" i="1"/>
  <c r="AP1228" i="1" s="1"/>
  <c r="AO1229" i="1"/>
  <c r="AP1229" i="1" s="1"/>
  <c r="AO1230" i="1"/>
  <c r="AP1230" i="1" s="1"/>
  <c r="AO1231" i="1"/>
  <c r="AP1231" i="1" s="1"/>
  <c r="AO1232" i="1"/>
  <c r="AP1232" i="1" s="1"/>
  <c r="AO1233" i="1"/>
  <c r="AP1233" i="1" s="1"/>
  <c r="AO1234" i="1"/>
  <c r="AP1234" i="1" s="1"/>
  <c r="AO1235" i="1"/>
  <c r="AP1235" i="1" s="1"/>
  <c r="AO1236" i="1"/>
  <c r="AP1236" i="1" s="1"/>
  <c r="AO1237" i="1"/>
  <c r="AP1237" i="1" s="1"/>
  <c r="AO1238" i="1"/>
  <c r="AP1238" i="1" s="1"/>
  <c r="AO1239" i="1"/>
  <c r="AP1239" i="1" s="1"/>
  <c r="AO1240" i="1"/>
  <c r="AP1240" i="1" s="1"/>
  <c r="AO1241" i="1"/>
  <c r="AO1242" i="1"/>
  <c r="AP1242" i="1" s="1"/>
  <c r="AO1243" i="1"/>
  <c r="AP1243" i="1" s="1"/>
  <c r="AO1244" i="1"/>
  <c r="AP1244" i="1" s="1"/>
  <c r="AO1245" i="1"/>
  <c r="AP1245" i="1" s="1"/>
  <c r="AO1246" i="1"/>
  <c r="AP1246" i="1" s="1"/>
  <c r="AO1247" i="1"/>
  <c r="AP1247" i="1" s="1"/>
  <c r="AO1248" i="1"/>
  <c r="AP1248" i="1" s="1"/>
  <c r="AO1249" i="1"/>
  <c r="AP1249" i="1" s="1"/>
  <c r="AO1250" i="1"/>
  <c r="AP1250" i="1" s="1"/>
  <c r="AO1251" i="1"/>
  <c r="AP1251" i="1" s="1"/>
  <c r="AO1252" i="1"/>
  <c r="AP1252" i="1" s="1"/>
  <c r="AO1253" i="1"/>
  <c r="AP1253" i="1" s="1"/>
  <c r="AO1254" i="1"/>
  <c r="AP1254" i="1" s="1"/>
  <c r="AO1255" i="1"/>
  <c r="AP1255" i="1" s="1"/>
  <c r="AO1256" i="1"/>
  <c r="AP1256" i="1" s="1"/>
  <c r="AO1257" i="1"/>
  <c r="AO1258" i="1"/>
  <c r="AP1258" i="1" s="1"/>
  <c r="AO1259" i="1"/>
  <c r="AP1259" i="1" s="1"/>
  <c r="AO1260" i="1"/>
  <c r="AP1260" i="1" s="1"/>
  <c r="AO1261" i="1"/>
  <c r="AP1261" i="1" s="1"/>
  <c r="AO1262" i="1"/>
  <c r="AP1262" i="1" s="1"/>
  <c r="AO1263" i="1"/>
  <c r="AP1263" i="1" s="1"/>
  <c r="AO1264" i="1"/>
  <c r="AP1264" i="1" s="1"/>
  <c r="AO1265" i="1"/>
  <c r="AP1265" i="1" s="1"/>
  <c r="AO1266" i="1"/>
  <c r="AP1266" i="1" s="1"/>
  <c r="AO1267" i="1"/>
  <c r="AP1267" i="1" s="1"/>
  <c r="AO1268" i="1"/>
  <c r="AP1268" i="1" s="1"/>
  <c r="AO1269" i="1"/>
  <c r="AP1269" i="1" s="1"/>
  <c r="AO1270" i="1"/>
  <c r="AP1270" i="1" s="1"/>
  <c r="AO1271" i="1"/>
  <c r="AP1271" i="1" s="1"/>
  <c r="AO1272" i="1"/>
  <c r="AP1272" i="1" s="1"/>
  <c r="AO1273" i="1"/>
  <c r="AO1274" i="1"/>
  <c r="AP1274" i="1" s="1"/>
  <c r="AP920" i="1"/>
  <c r="AP937" i="1"/>
  <c r="AP953" i="1"/>
  <c r="AP969" i="1"/>
  <c r="AP985" i="1"/>
  <c r="AP1001" i="1"/>
  <c r="AP1017" i="1"/>
  <c r="AP1033" i="1"/>
  <c r="AP1049" i="1"/>
  <c r="AP1065" i="1"/>
  <c r="AP1081" i="1"/>
  <c r="AP1091" i="1"/>
  <c r="AP1099" i="1"/>
  <c r="AP1107" i="1"/>
  <c r="AP1115" i="1"/>
  <c r="AP1123" i="1"/>
  <c r="AP1131" i="1"/>
  <c r="AP1139" i="1"/>
  <c r="AP1147" i="1"/>
  <c r="AP1155" i="1"/>
  <c r="AP1163" i="1"/>
  <c r="AP1171" i="1"/>
  <c r="AP1179" i="1"/>
  <c r="AP1187" i="1"/>
  <c r="AP1195" i="1"/>
  <c r="AP1203" i="1"/>
  <c r="AP1211" i="1"/>
  <c r="AP1219" i="1"/>
  <c r="AP1227" i="1"/>
  <c r="AP1241" i="1"/>
  <c r="AP1257" i="1"/>
  <c r="AP1273" i="1"/>
  <c r="AQ930" i="1"/>
  <c r="AQ932" i="1"/>
  <c r="AQ934" i="1"/>
  <c r="AQ936" i="1"/>
  <c r="AQ938" i="1"/>
  <c r="AQ940" i="1"/>
  <c r="AQ942" i="1"/>
  <c r="AQ944" i="1"/>
  <c r="AQ946" i="1"/>
  <c r="AQ948" i="1"/>
  <c r="AQ950" i="1"/>
  <c r="AQ952" i="1"/>
  <c r="AQ954" i="1"/>
  <c r="AQ956" i="1"/>
  <c r="AQ958" i="1"/>
  <c r="AQ960" i="1"/>
  <c r="AQ962" i="1"/>
  <c r="AQ964" i="1"/>
  <c r="AQ966" i="1"/>
  <c r="AQ968" i="1"/>
  <c r="AQ970" i="1"/>
  <c r="AQ972" i="1"/>
  <c r="AQ974" i="1"/>
  <c r="AQ976" i="1"/>
  <c r="AQ978" i="1"/>
  <c r="AQ980" i="1"/>
  <c r="AQ982" i="1"/>
  <c r="AQ984" i="1"/>
  <c r="AQ986" i="1"/>
  <c r="AQ988" i="1"/>
  <c r="AQ990" i="1"/>
  <c r="AQ992" i="1"/>
  <c r="AQ994" i="1"/>
  <c r="AQ996" i="1"/>
  <c r="AQ998" i="1"/>
  <c r="AQ1000" i="1"/>
  <c r="AQ1002" i="1"/>
  <c r="AQ1004" i="1"/>
  <c r="AQ1006" i="1"/>
  <c r="AQ1008" i="1"/>
  <c r="AQ1010" i="1"/>
  <c r="AQ1012" i="1"/>
  <c r="AQ1014" i="1"/>
  <c r="AQ1016" i="1"/>
  <c r="AQ1018" i="1"/>
  <c r="AQ1020" i="1"/>
  <c r="AQ1022" i="1"/>
  <c r="AQ1024" i="1"/>
  <c r="AQ1026" i="1"/>
  <c r="AQ1028" i="1"/>
  <c r="AQ1030" i="1"/>
  <c r="AQ1032" i="1"/>
  <c r="AQ1034" i="1"/>
  <c r="AQ1036" i="1"/>
  <c r="AQ1038" i="1"/>
  <c r="AQ1040" i="1"/>
  <c r="AQ1042" i="1"/>
  <c r="AQ1044" i="1"/>
  <c r="AQ1046" i="1"/>
  <c r="AQ1048" i="1"/>
  <c r="AQ1050" i="1"/>
  <c r="AQ1052" i="1"/>
  <c r="AQ1054" i="1"/>
  <c r="AQ1056" i="1"/>
  <c r="AQ1058" i="1"/>
  <c r="AQ1060" i="1"/>
  <c r="AQ1062" i="1"/>
  <c r="AQ1064" i="1"/>
  <c r="AQ1066" i="1"/>
  <c r="AQ1068" i="1"/>
  <c r="AQ1070" i="1"/>
  <c r="AQ1072" i="1"/>
  <c r="AQ1074" i="1"/>
  <c r="AQ1076" i="1"/>
  <c r="AQ1078" i="1"/>
  <c r="AQ1080" i="1"/>
  <c r="AQ1082" i="1"/>
  <c r="AQ1084" i="1"/>
  <c r="AQ1086" i="1"/>
  <c r="AQ1088" i="1"/>
  <c r="AQ1090" i="1"/>
  <c r="AQ1092" i="1"/>
  <c r="AQ1094" i="1"/>
  <c r="AQ1096" i="1"/>
  <c r="AQ1098" i="1"/>
  <c r="AQ1100" i="1"/>
  <c r="AQ1102" i="1"/>
  <c r="AQ1104" i="1"/>
  <c r="AQ1106" i="1"/>
  <c r="AQ1108" i="1"/>
  <c r="AQ1110" i="1"/>
  <c r="AQ1112" i="1"/>
  <c r="AQ1114" i="1"/>
  <c r="AQ1116" i="1"/>
  <c r="AQ1118" i="1"/>
  <c r="AQ1120" i="1"/>
  <c r="AQ1122" i="1"/>
  <c r="AQ1124" i="1"/>
  <c r="AQ1126" i="1"/>
  <c r="AQ1128" i="1"/>
  <c r="AQ1130" i="1"/>
  <c r="AQ1132" i="1"/>
  <c r="AQ1134" i="1"/>
  <c r="AQ1136" i="1"/>
  <c r="AQ1138" i="1"/>
  <c r="AQ1140" i="1"/>
  <c r="AQ1144" i="1"/>
  <c r="AQ1148" i="1"/>
  <c r="AQ1152" i="1"/>
  <c r="AQ1156" i="1"/>
  <c r="AQ1160" i="1"/>
  <c r="AQ1164" i="1"/>
  <c r="AQ1168" i="1"/>
  <c r="AQ1172" i="1"/>
  <c r="AQ1176" i="1"/>
  <c r="AQ1180" i="1"/>
  <c r="AQ1184" i="1"/>
  <c r="AQ1188" i="1"/>
  <c r="AQ1192" i="1"/>
  <c r="AQ1196" i="1"/>
  <c r="AQ1200" i="1"/>
  <c r="AQ1204" i="1"/>
  <c r="AQ1208" i="1"/>
  <c r="AQ1212" i="1"/>
  <c r="AQ1216" i="1"/>
  <c r="AQ1220" i="1"/>
  <c r="AQ1224" i="1"/>
  <c r="AQ1228" i="1"/>
  <c r="AQ1232" i="1"/>
  <c r="AQ1236" i="1"/>
  <c r="AQ1240" i="1"/>
  <c r="AQ1244" i="1"/>
  <c r="AQ1252" i="1"/>
  <c r="AQ1260" i="1"/>
  <c r="AQ126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N896" i="1"/>
  <c r="P894" i="1"/>
  <c r="N894" i="1"/>
  <c r="P893" i="1"/>
  <c r="N893" i="1"/>
  <c r="AN1255" i="1" l="1"/>
  <c r="AM1270" i="1"/>
  <c r="AM1254" i="1"/>
  <c r="AN1271" i="1"/>
  <c r="AN1239" i="1"/>
  <c r="AN1268" i="1"/>
  <c r="AM1268" i="1"/>
  <c r="AN1260" i="1"/>
  <c r="AM1260" i="1"/>
  <c r="AN1256" i="1"/>
  <c r="AM1256" i="1"/>
  <c r="AN1240" i="1"/>
  <c r="AM1240" i="1"/>
  <c r="AN1236" i="1"/>
  <c r="AM1236" i="1"/>
  <c r="AN1232" i="1"/>
  <c r="AM1232" i="1"/>
  <c r="AN1224" i="1"/>
  <c r="AM1224" i="1"/>
  <c r="AN1220" i="1"/>
  <c r="AM1220" i="1"/>
  <c r="AN1216" i="1"/>
  <c r="AM1216" i="1"/>
  <c r="AN1212" i="1"/>
  <c r="AM1212" i="1"/>
  <c r="AN1208" i="1"/>
  <c r="AM1208" i="1"/>
  <c r="AN1204" i="1"/>
  <c r="AM1204" i="1"/>
  <c r="AN1200" i="1"/>
  <c r="AM1200" i="1"/>
  <c r="AN1196" i="1"/>
  <c r="AM1196" i="1"/>
  <c r="AN1192" i="1"/>
  <c r="AM1192" i="1"/>
  <c r="AN1188" i="1"/>
  <c r="AM1188" i="1"/>
  <c r="AN1184" i="1"/>
  <c r="AM1184" i="1"/>
  <c r="AN1180" i="1"/>
  <c r="AM1180" i="1"/>
  <c r="AN1176" i="1"/>
  <c r="AM1176" i="1"/>
  <c r="AN1172" i="1"/>
  <c r="AM1172" i="1"/>
  <c r="AN1168" i="1"/>
  <c r="AM1168" i="1"/>
  <c r="AN1164" i="1"/>
  <c r="AM1164" i="1"/>
  <c r="AN1160" i="1"/>
  <c r="AM1160" i="1"/>
  <c r="AN1156" i="1"/>
  <c r="AM1156" i="1"/>
  <c r="AN1152" i="1"/>
  <c r="AM1152" i="1"/>
  <c r="AN1148" i="1"/>
  <c r="AM1148" i="1"/>
  <c r="AN1144" i="1"/>
  <c r="AM1144" i="1"/>
  <c r="AN1140" i="1"/>
  <c r="AM1140" i="1"/>
  <c r="AN1136" i="1"/>
  <c r="AM1136" i="1"/>
  <c r="AN1132" i="1"/>
  <c r="AM1132" i="1"/>
  <c r="AN1128" i="1"/>
  <c r="AM1128" i="1"/>
  <c r="AN1124" i="1"/>
  <c r="AM1124" i="1"/>
  <c r="AN1120" i="1"/>
  <c r="AM1120" i="1"/>
  <c r="AN1116" i="1"/>
  <c r="AM1116" i="1"/>
  <c r="AN1112" i="1"/>
  <c r="AM1112" i="1"/>
  <c r="AN1108" i="1"/>
  <c r="AM1108" i="1"/>
  <c r="AN1104" i="1"/>
  <c r="AM1104" i="1"/>
  <c r="AN1272" i="1"/>
  <c r="AM1272" i="1"/>
  <c r="AN1264" i="1"/>
  <c r="AM1264" i="1"/>
  <c r="AN1252" i="1"/>
  <c r="AM1252" i="1"/>
  <c r="AN1248" i="1"/>
  <c r="AM1248" i="1"/>
  <c r="AN1244" i="1"/>
  <c r="AM1244" i="1"/>
  <c r="AN1228" i="1"/>
  <c r="AM1228" i="1"/>
  <c r="AQ1274" i="1"/>
  <c r="AQ1270" i="1"/>
  <c r="AQ1266" i="1"/>
  <c r="AQ1262" i="1"/>
  <c r="AQ1258" i="1"/>
  <c r="AQ1254" i="1"/>
  <c r="AQ1250" i="1"/>
  <c r="AQ1246" i="1"/>
  <c r="AQ1242" i="1"/>
  <c r="AQ1238" i="1"/>
  <c r="AQ1234" i="1"/>
  <c r="AQ1230" i="1"/>
  <c r="AQ1226" i="1"/>
  <c r="AQ1222" i="1"/>
  <c r="AQ1218" i="1"/>
  <c r="AQ1214" i="1"/>
  <c r="AQ1210" i="1"/>
  <c r="AQ1206" i="1"/>
  <c r="AQ1202" i="1"/>
  <c r="AQ1198" i="1"/>
  <c r="AQ1194" i="1"/>
  <c r="AQ1190" i="1"/>
  <c r="AQ1186" i="1"/>
  <c r="AQ1182" i="1"/>
  <c r="AQ1178" i="1"/>
  <c r="AQ1174" i="1"/>
  <c r="AQ1170" i="1"/>
  <c r="AQ1166" i="1"/>
  <c r="AQ1162" i="1"/>
  <c r="AQ1158" i="1"/>
  <c r="AQ1154" i="1"/>
  <c r="AQ1150" i="1"/>
  <c r="AQ1146" i="1"/>
  <c r="AQ1142" i="1"/>
  <c r="AM1274" i="1"/>
  <c r="AM1266" i="1"/>
  <c r="AM1258" i="1"/>
  <c r="AM1250" i="1"/>
  <c r="AM1242" i="1"/>
  <c r="AM1234" i="1"/>
  <c r="AM1226" i="1"/>
  <c r="AM1218" i="1"/>
  <c r="AM1210" i="1"/>
  <c r="AM1202" i="1"/>
  <c r="AM1194" i="1"/>
  <c r="AM1186" i="1"/>
  <c r="AM1178" i="1"/>
  <c r="AM1170" i="1"/>
  <c r="AM1162" i="1"/>
  <c r="AM1154" i="1"/>
  <c r="AM1146" i="1"/>
  <c r="AM1138" i="1"/>
  <c r="AM1130" i="1"/>
  <c r="AM1122" i="1"/>
  <c r="AM1114" i="1"/>
  <c r="AM1106" i="1"/>
  <c r="AU921" i="1"/>
  <c r="AN1263" i="1"/>
  <c r="AN1247" i="1"/>
  <c r="AN1231" i="1"/>
  <c r="AN1215" i="1"/>
  <c r="AN1199" i="1"/>
  <c r="AM1097" i="1"/>
  <c r="AN1097" i="1"/>
  <c r="AQ1097" i="1"/>
  <c r="AM1089" i="1"/>
  <c r="AN1089" i="1"/>
  <c r="AQ1089" i="1"/>
  <c r="AM1087" i="1"/>
  <c r="AN1087" i="1"/>
  <c r="AQ1087" i="1"/>
  <c r="AM1083" i="1"/>
  <c r="AN1083" i="1"/>
  <c r="AQ1083" i="1"/>
  <c r="AM1073" i="1"/>
  <c r="AN1073" i="1"/>
  <c r="AQ1073" i="1"/>
  <c r="AM1071" i="1"/>
  <c r="AN1071" i="1"/>
  <c r="AQ1071" i="1"/>
  <c r="AM1067" i="1"/>
  <c r="AN1067" i="1"/>
  <c r="AQ1067" i="1"/>
  <c r="AM1057" i="1"/>
  <c r="AN1057" i="1"/>
  <c r="AQ1057" i="1"/>
  <c r="AM1055" i="1"/>
  <c r="AN1055" i="1"/>
  <c r="AQ1055" i="1"/>
  <c r="AM1051" i="1"/>
  <c r="AN1051" i="1"/>
  <c r="AQ1051" i="1"/>
  <c r="AM1047" i="1"/>
  <c r="AN1047" i="1"/>
  <c r="AQ1047" i="1"/>
  <c r="AM1043" i="1"/>
  <c r="AN1043" i="1"/>
  <c r="AQ1043" i="1"/>
  <c r="AM1041" i="1"/>
  <c r="AN1041" i="1"/>
  <c r="AQ1041" i="1"/>
  <c r="AM1039" i="1"/>
  <c r="AN1039" i="1"/>
  <c r="AQ1039" i="1"/>
  <c r="AM1035" i="1"/>
  <c r="AN1035" i="1"/>
  <c r="AQ1035" i="1"/>
  <c r="AM1031" i="1"/>
  <c r="AN1031" i="1"/>
  <c r="AQ1031" i="1"/>
  <c r="AM1027" i="1"/>
  <c r="AN1027" i="1"/>
  <c r="AQ1027" i="1"/>
  <c r="AM1017" i="1"/>
  <c r="AN1017" i="1"/>
  <c r="AQ1017" i="1"/>
  <c r="AM1015" i="1"/>
  <c r="AN1015" i="1"/>
  <c r="AQ1015" i="1"/>
  <c r="AM1011" i="1"/>
  <c r="AN1011" i="1"/>
  <c r="AQ1011" i="1"/>
  <c r="AM1001" i="1"/>
  <c r="AN1001" i="1"/>
  <c r="AQ1001" i="1"/>
  <c r="AM999" i="1"/>
  <c r="AN999" i="1"/>
  <c r="AQ999" i="1"/>
  <c r="AM995" i="1"/>
  <c r="AN995" i="1"/>
  <c r="AQ995" i="1"/>
  <c r="AM985" i="1"/>
  <c r="AN985" i="1"/>
  <c r="AQ985" i="1"/>
  <c r="AM977" i="1"/>
  <c r="AN977" i="1"/>
  <c r="AQ977" i="1"/>
  <c r="AM975" i="1"/>
  <c r="AN975" i="1"/>
  <c r="AQ975" i="1"/>
  <c r="AM971" i="1"/>
  <c r="AN971" i="1"/>
  <c r="AQ971" i="1"/>
  <c r="AM963" i="1"/>
  <c r="AN963" i="1"/>
  <c r="AQ963" i="1"/>
  <c r="AM959" i="1"/>
  <c r="AN959" i="1"/>
  <c r="AQ959" i="1"/>
  <c r="AM955" i="1"/>
  <c r="AN955" i="1"/>
  <c r="AQ955" i="1"/>
  <c r="AM945" i="1"/>
  <c r="AN945" i="1"/>
  <c r="AQ945" i="1"/>
  <c r="AM937" i="1"/>
  <c r="AN937" i="1"/>
  <c r="AQ937" i="1"/>
  <c r="AM1099" i="1"/>
  <c r="AN1099" i="1"/>
  <c r="AQ1099" i="1"/>
  <c r="AM1095" i="1"/>
  <c r="AN1095" i="1"/>
  <c r="AQ1095" i="1"/>
  <c r="AM1091" i="1"/>
  <c r="AN1091" i="1"/>
  <c r="AQ1091" i="1"/>
  <c r="AM1081" i="1"/>
  <c r="AN1081" i="1"/>
  <c r="AQ1081" i="1"/>
  <c r="AM1079" i="1"/>
  <c r="AN1079" i="1"/>
  <c r="AQ1079" i="1"/>
  <c r="AM1075" i="1"/>
  <c r="AN1075" i="1"/>
  <c r="AQ1075" i="1"/>
  <c r="AM1065" i="1"/>
  <c r="AN1065" i="1"/>
  <c r="AQ1065" i="1"/>
  <c r="AM1063" i="1"/>
  <c r="AN1063" i="1"/>
  <c r="AQ1063" i="1"/>
  <c r="AM1059" i="1"/>
  <c r="AN1059" i="1"/>
  <c r="AQ1059" i="1"/>
  <c r="AM1049" i="1"/>
  <c r="AN1049" i="1"/>
  <c r="AQ1049" i="1"/>
  <c r="AM1033" i="1"/>
  <c r="AN1033" i="1"/>
  <c r="AQ1033" i="1"/>
  <c r="AM1025" i="1"/>
  <c r="AN1025" i="1"/>
  <c r="AQ1025" i="1"/>
  <c r="AM1023" i="1"/>
  <c r="AN1023" i="1"/>
  <c r="AQ1023" i="1"/>
  <c r="AM1019" i="1"/>
  <c r="AN1019" i="1"/>
  <c r="AQ1019" i="1"/>
  <c r="AM1009" i="1"/>
  <c r="AN1009" i="1"/>
  <c r="AQ1009" i="1"/>
  <c r="AM1007" i="1"/>
  <c r="AN1007" i="1"/>
  <c r="AQ1007" i="1"/>
  <c r="AM1003" i="1"/>
  <c r="AN1003" i="1"/>
  <c r="AQ1003" i="1"/>
  <c r="AM993" i="1"/>
  <c r="AN993" i="1"/>
  <c r="AQ993" i="1"/>
  <c r="AM991" i="1"/>
  <c r="AN991" i="1"/>
  <c r="AQ991" i="1"/>
  <c r="AM987" i="1"/>
  <c r="AN987" i="1"/>
  <c r="AQ987" i="1"/>
  <c r="AM983" i="1"/>
  <c r="AN983" i="1"/>
  <c r="AQ983" i="1"/>
  <c r="AM979" i="1"/>
  <c r="AN979" i="1"/>
  <c r="AQ979" i="1"/>
  <c r="AM969" i="1"/>
  <c r="AN969" i="1"/>
  <c r="AQ969" i="1"/>
  <c r="AM967" i="1"/>
  <c r="AN967" i="1"/>
  <c r="AQ967" i="1"/>
  <c r="AM961" i="1"/>
  <c r="AN961" i="1"/>
  <c r="AQ961" i="1"/>
  <c r="AM953" i="1"/>
  <c r="AN953" i="1"/>
  <c r="AQ953" i="1"/>
  <c r="AM951" i="1"/>
  <c r="AN951" i="1"/>
  <c r="AQ951" i="1"/>
  <c r="AM947" i="1"/>
  <c r="AN947" i="1"/>
  <c r="AQ947" i="1"/>
  <c r="AM943" i="1"/>
  <c r="AN943" i="1"/>
  <c r="AQ943" i="1"/>
  <c r="AM939" i="1"/>
  <c r="AN939" i="1"/>
  <c r="AQ939" i="1"/>
  <c r="AM935" i="1"/>
  <c r="AN935" i="1"/>
  <c r="AQ935" i="1"/>
  <c r="AQ1273" i="1"/>
  <c r="AQ1271" i="1"/>
  <c r="AQ1269" i="1"/>
  <c r="AQ1267" i="1"/>
  <c r="AQ1265" i="1"/>
  <c r="AQ1263" i="1"/>
  <c r="AQ1261" i="1"/>
  <c r="AQ1259" i="1"/>
  <c r="AQ1257" i="1"/>
  <c r="AQ1255" i="1"/>
  <c r="AQ1253" i="1"/>
  <c r="AQ1251" i="1"/>
  <c r="AQ1249" i="1"/>
  <c r="AQ1247" i="1"/>
  <c r="AQ1245" i="1"/>
  <c r="AQ1243" i="1"/>
  <c r="AQ1241" i="1"/>
  <c r="AQ1239" i="1"/>
  <c r="AQ1237" i="1"/>
  <c r="AQ1235" i="1"/>
  <c r="AQ1233" i="1"/>
  <c r="AQ1231" i="1"/>
  <c r="AQ1229" i="1"/>
  <c r="AQ1227" i="1"/>
  <c r="AQ1225" i="1"/>
  <c r="AQ1223" i="1"/>
  <c r="AQ1221" i="1"/>
  <c r="AQ1219" i="1"/>
  <c r="AQ1217" i="1"/>
  <c r="AQ1215" i="1"/>
  <c r="AQ1213" i="1"/>
  <c r="AQ1211" i="1"/>
  <c r="AQ1209" i="1"/>
  <c r="AQ1207" i="1"/>
  <c r="AQ1205" i="1"/>
  <c r="AQ1203" i="1"/>
  <c r="AQ1201" i="1"/>
  <c r="AQ1199" i="1"/>
  <c r="AQ1197" i="1"/>
  <c r="AQ1195" i="1"/>
  <c r="AQ1193" i="1"/>
  <c r="AQ1191" i="1"/>
  <c r="AQ1189" i="1"/>
  <c r="AQ1187" i="1"/>
  <c r="AQ1185" i="1"/>
  <c r="AQ1183" i="1"/>
  <c r="AQ1181" i="1"/>
  <c r="AQ1179" i="1"/>
  <c r="AQ1177" i="1"/>
  <c r="AQ1175" i="1"/>
  <c r="AQ1173" i="1"/>
  <c r="AQ1171" i="1"/>
  <c r="AQ1169" i="1"/>
  <c r="AQ1167" i="1"/>
  <c r="AQ1165" i="1"/>
  <c r="AQ1163" i="1"/>
  <c r="AQ1161" i="1"/>
  <c r="AQ1159" i="1"/>
  <c r="AQ1157" i="1"/>
  <c r="AQ1155" i="1"/>
  <c r="AQ1153" i="1"/>
  <c r="AQ1151" i="1"/>
  <c r="AQ1149" i="1"/>
  <c r="AQ1147" i="1"/>
  <c r="AQ1145" i="1"/>
  <c r="AQ1143" i="1"/>
  <c r="AQ1141" i="1"/>
  <c r="AQ1139" i="1"/>
  <c r="AQ1137" i="1"/>
  <c r="AQ1135" i="1"/>
  <c r="AQ1133" i="1"/>
  <c r="AQ1131" i="1"/>
  <c r="AQ1129" i="1"/>
  <c r="AQ1127" i="1"/>
  <c r="AQ1125" i="1"/>
  <c r="AQ1123" i="1"/>
  <c r="AQ1121" i="1"/>
  <c r="AQ1119" i="1"/>
  <c r="AQ1117" i="1"/>
  <c r="AQ1115" i="1"/>
  <c r="AQ1113" i="1"/>
  <c r="AQ1111" i="1"/>
  <c r="AQ1109" i="1"/>
  <c r="AQ1107" i="1"/>
  <c r="AQ1105" i="1"/>
  <c r="AQ1103" i="1"/>
  <c r="AQ921" i="1"/>
  <c r="AN1267" i="1"/>
  <c r="AN1259" i="1"/>
  <c r="AN1251" i="1"/>
  <c r="AN1243" i="1"/>
  <c r="AN1235" i="1"/>
  <c r="AN1227" i="1"/>
  <c r="AN1219" i="1"/>
  <c r="AN1211" i="1"/>
  <c r="AN1203" i="1"/>
  <c r="AN1195" i="1"/>
  <c r="AN1187" i="1"/>
  <c r="AN1179" i="1"/>
  <c r="AN1171" i="1"/>
  <c r="AN1163" i="1"/>
  <c r="AN1155" i="1"/>
  <c r="AN1147" i="1"/>
  <c r="AN1139" i="1"/>
  <c r="AN1131" i="1"/>
  <c r="AN1123" i="1"/>
  <c r="AN1115" i="1"/>
  <c r="AN1107" i="1"/>
  <c r="AN1093" i="1"/>
  <c r="AN1077" i="1"/>
  <c r="AN1061" i="1"/>
  <c r="AN1045" i="1"/>
  <c r="AN1029" i="1"/>
  <c r="AN1013" i="1"/>
  <c r="AN997" i="1"/>
  <c r="AN981" i="1"/>
  <c r="AN965" i="1"/>
  <c r="AN949" i="1"/>
  <c r="AN933" i="1"/>
  <c r="AM1273" i="1"/>
  <c r="AM1269" i="1"/>
  <c r="AM1265" i="1"/>
  <c r="AM1261" i="1"/>
  <c r="AM1257" i="1"/>
  <c r="AM1253" i="1"/>
  <c r="AM1249" i="1"/>
  <c r="AM1245" i="1"/>
  <c r="AM1241" i="1"/>
  <c r="AM1237" i="1"/>
  <c r="AM1233" i="1"/>
  <c r="AM1229" i="1"/>
  <c r="AM1225" i="1"/>
  <c r="AM1221" i="1"/>
  <c r="AM1217" i="1"/>
  <c r="AM1213" i="1"/>
  <c r="AM1209" i="1"/>
  <c r="AM1205" i="1"/>
  <c r="AM1201" i="1"/>
  <c r="AM1197" i="1"/>
  <c r="AM1193" i="1"/>
  <c r="AM1189" i="1"/>
  <c r="AM1185" i="1"/>
  <c r="AM1181" i="1"/>
  <c r="AM1177" i="1"/>
  <c r="AM1173" i="1"/>
  <c r="AM1169" i="1"/>
  <c r="AM1165" i="1"/>
  <c r="AM1161" i="1"/>
  <c r="AM1157" i="1"/>
  <c r="AM1153" i="1"/>
  <c r="AM1149" i="1"/>
  <c r="AM1145" i="1"/>
  <c r="AM1141" i="1"/>
  <c r="AM1137" i="1"/>
  <c r="AM1133" i="1"/>
  <c r="AM1129" i="1"/>
  <c r="AM1125" i="1"/>
  <c r="AM1121" i="1"/>
  <c r="AM1117" i="1"/>
  <c r="AM1113" i="1"/>
  <c r="AM1109" i="1"/>
  <c r="AM1105" i="1"/>
  <c r="AM1103" i="1"/>
  <c r="AM1101" i="1"/>
  <c r="AM1085" i="1"/>
  <c r="AM1069" i="1"/>
  <c r="AM1053" i="1"/>
  <c r="AM1037" i="1"/>
  <c r="AM1021" i="1"/>
  <c r="AM1005" i="1"/>
  <c r="AM989" i="1"/>
  <c r="AM973" i="1"/>
  <c r="AM957" i="1"/>
  <c r="AM941" i="1"/>
  <c r="AM1100" i="1"/>
  <c r="AN1100" i="1"/>
  <c r="AM1098" i="1"/>
  <c r="AN1098" i="1"/>
  <c r="AM1096" i="1"/>
  <c r="AN1096" i="1"/>
  <c r="AM1094" i="1"/>
  <c r="AN1094" i="1"/>
  <c r="AM1092" i="1"/>
  <c r="AN1092" i="1"/>
  <c r="AM1090" i="1"/>
  <c r="AN1090" i="1"/>
  <c r="AM1088" i="1"/>
  <c r="AN1088" i="1"/>
  <c r="AM1086" i="1"/>
  <c r="AN1086" i="1"/>
  <c r="AM1084" i="1"/>
  <c r="AN1084" i="1"/>
  <c r="AM1082" i="1"/>
  <c r="AN1082" i="1"/>
  <c r="AM1080" i="1"/>
  <c r="AN1080" i="1"/>
  <c r="AM1078" i="1"/>
  <c r="AN1078" i="1"/>
  <c r="AM1076" i="1"/>
  <c r="AN1076" i="1"/>
  <c r="AM1074" i="1"/>
  <c r="AN1074" i="1"/>
  <c r="AM1072" i="1"/>
  <c r="AN1072" i="1"/>
  <c r="AM1070" i="1"/>
  <c r="AN1070" i="1"/>
  <c r="AM1068" i="1"/>
  <c r="AN1068" i="1"/>
  <c r="AM1066" i="1"/>
  <c r="AN1066" i="1"/>
  <c r="AM1064" i="1"/>
  <c r="AN1064" i="1"/>
  <c r="AM1062" i="1"/>
  <c r="AN1062" i="1"/>
  <c r="AM1060" i="1"/>
  <c r="AN1060" i="1"/>
  <c r="AM1058" i="1"/>
  <c r="AN1058" i="1"/>
  <c r="AM1056" i="1"/>
  <c r="AN1056" i="1"/>
  <c r="AM1054" i="1"/>
  <c r="AN1054" i="1"/>
  <c r="AM1052" i="1"/>
  <c r="AN1052" i="1"/>
  <c r="AM1050" i="1"/>
  <c r="AN1050" i="1"/>
  <c r="AM1048" i="1"/>
  <c r="AN1048" i="1"/>
  <c r="AM1046" i="1"/>
  <c r="AN1046" i="1"/>
  <c r="AM1044" i="1"/>
  <c r="AN1044" i="1"/>
  <c r="AM1042" i="1"/>
  <c r="AN1042" i="1"/>
  <c r="AM1040" i="1"/>
  <c r="AN1040" i="1"/>
  <c r="AM1038" i="1"/>
  <c r="AN1038" i="1"/>
  <c r="AM1036" i="1"/>
  <c r="AN1036" i="1"/>
  <c r="AM1034" i="1"/>
  <c r="AN1034" i="1"/>
  <c r="AM1032" i="1"/>
  <c r="AN1032" i="1"/>
  <c r="AM1030" i="1"/>
  <c r="AN1030" i="1"/>
  <c r="AM1028" i="1"/>
  <c r="AN1028" i="1"/>
  <c r="AM1026" i="1"/>
  <c r="AN1026" i="1"/>
  <c r="AM1024" i="1"/>
  <c r="AN1024" i="1"/>
  <c r="AM1022" i="1"/>
  <c r="AN1022" i="1"/>
  <c r="AM1020" i="1"/>
  <c r="AN1020" i="1"/>
  <c r="AM1018" i="1"/>
  <c r="AN1018" i="1"/>
  <c r="AM1016" i="1"/>
  <c r="AN1016" i="1"/>
  <c r="AM1014" i="1"/>
  <c r="AN1014" i="1"/>
  <c r="AM1012" i="1"/>
  <c r="AN1012" i="1"/>
  <c r="AM1010" i="1"/>
  <c r="AN1010" i="1"/>
  <c r="AM1008" i="1"/>
  <c r="AN1008" i="1"/>
  <c r="AM1006" i="1"/>
  <c r="AN1006" i="1"/>
  <c r="AM1004" i="1"/>
  <c r="AN1004" i="1"/>
  <c r="AM1002" i="1"/>
  <c r="AN1002" i="1"/>
  <c r="AM1000" i="1"/>
  <c r="AN1000" i="1"/>
  <c r="AM998" i="1"/>
  <c r="AN998" i="1"/>
  <c r="AM996" i="1"/>
  <c r="AN996" i="1"/>
  <c r="AM994" i="1"/>
  <c r="AN994" i="1"/>
  <c r="AM992" i="1"/>
  <c r="AN992" i="1"/>
  <c r="AM990" i="1"/>
  <c r="AN990" i="1"/>
  <c r="AM988" i="1"/>
  <c r="AN988" i="1"/>
  <c r="AM986" i="1"/>
  <c r="AN986" i="1"/>
  <c r="AM984" i="1"/>
  <c r="AN984" i="1"/>
  <c r="AM982" i="1"/>
  <c r="AN982" i="1"/>
  <c r="AM980" i="1"/>
  <c r="AN980" i="1"/>
  <c r="AM978" i="1"/>
  <c r="AN978" i="1"/>
  <c r="AM976" i="1"/>
  <c r="AN976" i="1"/>
  <c r="AM974" i="1"/>
  <c r="AN974" i="1"/>
  <c r="AM972" i="1"/>
  <c r="AN972" i="1"/>
  <c r="AM970" i="1"/>
  <c r="AN970" i="1"/>
  <c r="AM968" i="1"/>
  <c r="AN968" i="1"/>
  <c r="AM966" i="1"/>
  <c r="AN966" i="1"/>
  <c r="AM964" i="1"/>
  <c r="AN964" i="1"/>
  <c r="AM962" i="1"/>
  <c r="AN962" i="1"/>
  <c r="AM960" i="1"/>
  <c r="AN960" i="1"/>
  <c r="AM958" i="1"/>
  <c r="AN958" i="1"/>
  <c r="AM956" i="1"/>
  <c r="AN956" i="1"/>
  <c r="AM954" i="1"/>
  <c r="AN954" i="1"/>
  <c r="AM952" i="1"/>
  <c r="AN952" i="1"/>
  <c r="AM950" i="1"/>
  <c r="AN950" i="1"/>
  <c r="AM948" i="1"/>
  <c r="AN948" i="1"/>
  <c r="AM946" i="1"/>
  <c r="AN946" i="1"/>
  <c r="AM944" i="1"/>
  <c r="AN944" i="1"/>
  <c r="AM942" i="1"/>
  <c r="AN942" i="1"/>
  <c r="AM940" i="1"/>
  <c r="AN940" i="1"/>
  <c r="AM938" i="1"/>
  <c r="AN938" i="1"/>
  <c r="AM936" i="1"/>
  <c r="AN936" i="1"/>
  <c r="AM934" i="1"/>
  <c r="AN934" i="1"/>
  <c r="AM932" i="1"/>
  <c r="AN932" i="1"/>
  <c r="AE931" i="1"/>
  <c r="AM931" i="1" s="1"/>
  <c r="AO931" i="1"/>
  <c r="AP931" i="1" s="1"/>
  <c r="AN931" i="1"/>
  <c r="AE929" i="1"/>
  <c r="AN929" i="1" s="1"/>
  <c r="AE928" i="1"/>
  <c r="AE927" i="1"/>
  <c r="AN927" i="1" s="1"/>
  <c r="AE926" i="1"/>
  <c r="AM926" i="1" s="1"/>
  <c r="AE925" i="1"/>
  <c r="AU1086" i="1"/>
  <c r="AU1214" i="1"/>
  <c r="AU1150" i="1"/>
  <c r="AU960" i="1"/>
  <c r="AI1144" i="1"/>
  <c r="AU1246" i="1"/>
  <c r="AU1182" i="1"/>
  <c r="AU1024" i="1"/>
  <c r="AI994" i="1"/>
  <c r="AU1262" i="1"/>
  <c r="AU1230" i="1"/>
  <c r="AU1198" i="1"/>
  <c r="AU1166" i="1"/>
  <c r="AU1056" i="1"/>
  <c r="AU992" i="1"/>
  <c r="AS1270" i="1"/>
  <c r="AI1058" i="1"/>
  <c r="AI930" i="1"/>
  <c r="AE924" i="1"/>
  <c r="AU1254" i="1"/>
  <c r="AU1238" i="1"/>
  <c r="AU1222" i="1"/>
  <c r="AU1206" i="1"/>
  <c r="AU1190" i="1"/>
  <c r="AU1174" i="1"/>
  <c r="AU1158" i="1"/>
  <c r="AU1142" i="1"/>
  <c r="AU1072" i="1"/>
  <c r="AU1040" i="1"/>
  <c r="AU1008" i="1"/>
  <c r="AU976" i="1"/>
  <c r="AU944" i="1"/>
  <c r="AS1252" i="1"/>
  <c r="AT1252" i="1" s="1"/>
  <c r="AV1252" i="1" s="1"/>
  <c r="AI1228" i="1"/>
  <c r="AI1090" i="1"/>
  <c r="AI1026" i="1"/>
  <c r="AI962" i="1"/>
  <c r="AC1170" i="1"/>
  <c r="AU1274" i="1"/>
  <c r="AU1258" i="1"/>
  <c r="AU1234" i="1"/>
  <c r="AU1202" i="1"/>
  <c r="AU1170" i="1"/>
  <c r="AU1138" i="1"/>
  <c r="AU1122" i="1"/>
  <c r="AU1106" i="1"/>
  <c r="AU1098" i="1"/>
  <c r="AU1080" i="1"/>
  <c r="AU1064" i="1"/>
  <c r="AU1048" i="1"/>
  <c r="AU1032" i="1"/>
  <c r="AU1016" i="1"/>
  <c r="AU1000" i="1"/>
  <c r="AU984" i="1"/>
  <c r="AU968" i="1"/>
  <c r="AU952" i="1"/>
  <c r="AU936" i="1"/>
  <c r="AI1274" i="1"/>
  <c r="AT1274" i="1" s="1"/>
  <c r="AV1274" i="1" s="1"/>
  <c r="AI1176" i="1"/>
  <c r="AI1112" i="1"/>
  <c r="AI1074" i="1"/>
  <c r="AI1042" i="1"/>
  <c r="AI1010" i="1"/>
  <c r="AI978" i="1"/>
  <c r="AI946" i="1"/>
  <c r="AC1234" i="1"/>
  <c r="AC1122" i="1"/>
  <c r="AD1266" i="1"/>
  <c r="AI1266" i="1"/>
  <c r="AS1250" i="1"/>
  <c r="AC1250" i="1"/>
  <c r="AI1218" i="1"/>
  <c r="AC1218" i="1"/>
  <c r="AC1212" i="1"/>
  <c r="AI1212" i="1"/>
  <c r="AI1186" i="1"/>
  <c r="AC1186" i="1"/>
  <c r="AC1184" i="1"/>
  <c r="AI1184" i="1"/>
  <c r="AC1168" i="1"/>
  <c r="AI1168" i="1"/>
  <c r="AI1154" i="1"/>
  <c r="AC1154" i="1"/>
  <c r="AC1152" i="1"/>
  <c r="AI1152" i="1"/>
  <c r="AC1136" i="1"/>
  <c r="AI1136" i="1"/>
  <c r="AI1130" i="1"/>
  <c r="AC1130" i="1"/>
  <c r="AC1120" i="1"/>
  <c r="AI1120" i="1"/>
  <c r="AI1114" i="1"/>
  <c r="AC1114" i="1"/>
  <c r="AC1104" i="1"/>
  <c r="AI1104" i="1"/>
  <c r="AC1094" i="1"/>
  <c r="AI1094" i="1"/>
  <c r="AI1078" i="1"/>
  <c r="AU1078" i="1"/>
  <c r="AI1070" i="1"/>
  <c r="AU1070" i="1"/>
  <c r="AI1062" i="1"/>
  <c r="AU1062" i="1"/>
  <c r="AI1054" i="1"/>
  <c r="AU1054" i="1"/>
  <c r="AI1046" i="1"/>
  <c r="AU1046" i="1"/>
  <c r="AI1038" i="1"/>
  <c r="AU1038" i="1"/>
  <c r="AI1030" i="1"/>
  <c r="AU1030" i="1"/>
  <c r="AI1022" i="1"/>
  <c r="AU1022" i="1"/>
  <c r="AI1014" i="1"/>
  <c r="AU1014" i="1"/>
  <c r="AI1006" i="1"/>
  <c r="AU1006" i="1"/>
  <c r="AI998" i="1"/>
  <c r="AU998" i="1"/>
  <c r="AI990" i="1"/>
  <c r="AU990" i="1"/>
  <c r="AI982" i="1"/>
  <c r="AU982" i="1"/>
  <c r="AI974" i="1"/>
  <c r="AU974" i="1"/>
  <c r="AI966" i="1"/>
  <c r="AU966" i="1"/>
  <c r="AI958" i="1"/>
  <c r="AU958" i="1"/>
  <c r="AI950" i="1"/>
  <c r="AU950" i="1"/>
  <c r="AI942" i="1"/>
  <c r="AU942" i="1"/>
  <c r="AI934" i="1"/>
  <c r="AU934" i="1"/>
  <c r="AU1272" i="1"/>
  <c r="AU1268" i="1"/>
  <c r="AU1264" i="1"/>
  <c r="AU1260" i="1"/>
  <c r="AU1256" i="1"/>
  <c r="AU1252" i="1"/>
  <c r="AU1248" i="1"/>
  <c r="AU1244" i="1"/>
  <c r="AU1240" i="1"/>
  <c r="AU1232" i="1"/>
  <c r="AU1228" i="1"/>
  <c r="AU1224" i="1"/>
  <c r="AU1216" i="1"/>
  <c r="AU1212" i="1"/>
  <c r="AU1208" i="1"/>
  <c r="AU1200" i="1"/>
  <c r="AU1196" i="1"/>
  <c r="AU1192" i="1"/>
  <c r="AU1184" i="1"/>
  <c r="AU1176" i="1"/>
  <c r="AU1168" i="1"/>
  <c r="AU1160" i="1"/>
  <c r="AU1152" i="1"/>
  <c r="AU1144" i="1"/>
  <c r="AU1136" i="1"/>
  <c r="AU1128" i="1"/>
  <c r="AU1120" i="1"/>
  <c r="AU1112" i="1"/>
  <c r="AU1104" i="1"/>
  <c r="AU1088" i="1"/>
  <c r="AU1084" i="1"/>
  <c r="AU1076" i="1"/>
  <c r="AU1068" i="1"/>
  <c r="AU1060" i="1"/>
  <c r="AU1052" i="1"/>
  <c r="AU1044" i="1"/>
  <c r="AU1036" i="1"/>
  <c r="AU1028" i="1"/>
  <c r="AU1020" i="1"/>
  <c r="AU1012" i="1"/>
  <c r="AU1004" i="1"/>
  <c r="AU996" i="1"/>
  <c r="AU988" i="1"/>
  <c r="AU980" i="1"/>
  <c r="AU972" i="1"/>
  <c r="AU964" i="1"/>
  <c r="AU956" i="1"/>
  <c r="AU948" i="1"/>
  <c r="AU940" i="1"/>
  <c r="AS1266" i="1"/>
  <c r="AS1258" i="1"/>
  <c r="AT1258" i="1" s="1"/>
  <c r="AV1258" i="1" s="1"/>
  <c r="AS1244" i="1"/>
  <c r="AT1244" i="1" s="1"/>
  <c r="AV1244" i="1" s="1"/>
  <c r="AI1196" i="1"/>
  <c r="AI1160" i="1"/>
  <c r="AI1128" i="1"/>
  <c r="AI1098" i="1"/>
  <c r="AI1082" i="1"/>
  <c r="AI1066" i="1"/>
  <c r="AI1050" i="1"/>
  <c r="AI1034" i="1"/>
  <c r="AI1018" i="1"/>
  <c r="AI1002" i="1"/>
  <c r="AI986" i="1"/>
  <c r="AI970" i="1"/>
  <c r="AI954" i="1"/>
  <c r="AI938" i="1"/>
  <c r="AC1266" i="1"/>
  <c r="AC1202" i="1"/>
  <c r="AC1138" i="1"/>
  <c r="AC1106" i="1"/>
  <c r="AD1274" i="1"/>
  <c r="AC1274" i="1"/>
  <c r="AD1270" i="1"/>
  <c r="AI1270" i="1"/>
  <c r="AD1262" i="1"/>
  <c r="AI1262" i="1"/>
  <c r="AT1262" i="1" s="1"/>
  <c r="AV1262" i="1" s="1"/>
  <c r="AD1258" i="1"/>
  <c r="AC1258" i="1"/>
  <c r="AC1242" i="1"/>
  <c r="AS1242" i="1"/>
  <c r="AC1236" i="1"/>
  <c r="AI1236" i="1"/>
  <c r="AI1226" i="1"/>
  <c r="AC1226" i="1"/>
  <c r="AC1220" i="1"/>
  <c r="AI1220" i="1"/>
  <c r="AI1210" i="1"/>
  <c r="AC1210" i="1"/>
  <c r="AC1204" i="1"/>
  <c r="AI1204" i="1"/>
  <c r="AI1194" i="1"/>
  <c r="AC1194" i="1"/>
  <c r="AC1188" i="1"/>
  <c r="AI1188" i="1"/>
  <c r="AC1180" i="1"/>
  <c r="AI1180" i="1"/>
  <c r="AI1178" i="1"/>
  <c r="AC1178" i="1"/>
  <c r="AC1172" i="1"/>
  <c r="AI1172" i="1"/>
  <c r="AC1164" i="1"/>
  <c r="AI1164" i="1"/>
  <c r="AI1162" i="1"/>
  <c r="AC1162" i="1"/>
  <c r="AC1156" i="1"/>
  <c r="AI1156" i="1"/>
  <c r="AC1148" i="1"/>
  <c r="AI1148" i="1"/>
  <c r="AI1146" i="1"/>
  <c r="AC1146" i="1"/>
  <c r="AC1140" i="1"/>
  <c r="AI1140" i="1"/>
  <c r="AI1134" i="1"/>
  <c r="AC1134" i="1"/>
  <c r="AC1132" i="1"/>
  <c r="AI1132" i="1"/>
  <c r="AI1126" i="1"/>
  <c r="AC1126" i="1"/>
  <c r="AC1124" i="1"/>
  <c r="AI1124" i="1"/>
  <c r="AI1118" i="1"/>
  <c r="AC1118" i="1"/>
  <c r="AC1116" i="1"/>
  <c r="AI1116" i="1"/>
  <c r="AI1110" i="1"/>
  <c r="AC1110" i="1"/>
  <c r="AC1108" i="1"/>
  <c r="AI1108" i="1"/>
  <c r="AI1102" i="1"/>
  <c r="AC1102" i="1"/>
  <c r="AC1100" i="1"/>
  <c r="AI1100" i="1"/>
  <c r="AC1096" i="1"/>
  <c r="AI1096" i="1"/>
  <c r="AC1092" i="1"/>
  <c r="AI1092" i="1"/>
  <c r="AE923" i="1"/>
  <c r="AD1272" i="1"/>
  <c r="AC1272" i="1"/>
  <c r="AD1268" i="1"/>
  <c r="AC1268" i="1"/>
  <c r="AD1264" i="1"/>
  <c r="AC1264" i="1"/>
  <c r="AD1260" i="1"/>
  <c r="AC1260" i="1"/>
  <c r="AD1256" i="1"/>
  <c r="AC1256" i="1"/>
  <c r="AD1254" i="1"/>
  <c r="AI1254" i="1"/>
  <c r="AT1254" i="1" s="1"/>
  <c r="AV1254" i="1" s="1"/>
  <c r="AD1252" i="1"/>
  <c r="AC1252" i="1"/>
  <c r="AD1250" i="1"/>
  <c r="AI1250" i="1"/>
  <c r="AD1248" i="1"/>
  <c r="AC1248" i="1"/>
  <c r="AD1246" i="1"/>
  <c r="AI1246" i="1"/>
  <c r="AT1246" i="1" s="1"/>
  <c r="AV1246" i="1" s="1"/>
  <c r="AD1244" i="1"/>
  <c r="AC1244" i="1"/>
  <c r="AD1242" i="1"/>
  <c r="AI1242" i="1"/>
  <c r="AD1240" i="1"/>
  <c r="AC1240" i="1"/>
  <c r="AD1238" i="1"/>
  <c r="AI1238" i="1"/>
  <c r="AT1238" i="1" s="1"/>
  <c r="AV1238" i="1" s="1"/>
  <c r="AI1272" i="1"/>
  <c r="AT1272" i="1" s="1"/>
  <c r="AV1272" i="1" s="1"/>
  <c r="AI1268" i="1"/>
  <c r="AT1268" i="1" s="1"/>
  <c r="AV1268" i="1" s="1"/>
  <c r="AI1264" i="1"/>
  <c r="AT1264" i="1" s="1"/>
  <c r="AV1264" i="1" s="1"/>
  <c r="AI1260" i="1"/>
  <c r="AT1260" i="1" s="1"/>
  <c r="AV1260" i="1" s="1"/>
  <c r="AI1256" i="1"/>
  <c r="AT1256" i="1" s="1"/>
  <c r="AV1256" i="1" s="1"/>
  <c r="AI1248" i="1"/>
  <c r="AT1248" i="1" s="1"/>
  <c r="AV1248" i="1" s="1"/>
  <c r="AI1240" i="1"/>
  <c r="AT1240" i="1" s="1"/>
  <c r="AV1240" i="1" s="1"/>
  <c r="AI1232" i="1"/>
  <c r="AI1224" i="1"/>
  <c r="AI1216" i="1"/>
  <c r="AI1208" i="1"/>
  <c r="AI1200" i="1"/>
  <c r="AI1192" i="1"/>
  <c r="AC1270" i="1"/>
  <c r="AC1262" i="1"/>
  <c r="AC1254" i="1"/>
  <c r="AC1246" i="1"/>
  <c r="AC1238" i="1"/>
  <c r="AC1230" i="1"/>
  <c r="AC1222" i="1"/>
  <c r="AC1214" i="1"/>
  <c r="AC1206" i="1"/>
  <c r="AC1198" i="1"/>
  <c r="AC1190" i="1"/>
  <c r="AC1182" i="1"/>
  <c r="AC1174" i="1"/>
  <c r="AC1166" i="1"/>
  <c r="AC1158" i="1"/>
  <c r="AC1150" i="1"/>
  <c r="AC1142" i="1"/>
  <c r="AD1011" i="1"/>
  <c r="AD1245" i="1"/>
  <c r="AC1051" i="1"/>
  <c r="AC1269" i="1"/>
  <c r="AG1269" i="1"/>
  <c r="AC1261" i="1"/>
  <c r="AD1261" i="1"/>
  <c r="AC1253" i="1"/>
  <c r="AG1253" i="1"/>
  <c r="AS1083" i="1"/>
  <c r="AS1075" i="1"/>
  <c r="AS1043" i="1"/>
  <c r="AS1019" i="1"/>
  <c r="AS987" i="1"/>
  <c r="AS979" i="1"/>
  <c r="AS955" i="1"/>
  <c r="AS947" i="1"/>
  <c r="AI1269" i="1"/>
  <c r="AI1261" i="1"/>
  <c r="AI1253" i="1"/>
  <c r="AI1245" i="1"/>
  <c r="AC1273" i="1"/>
  <c r="AD1273" i="1"/>
  <c r="AD1271" i="1"/>
  <c r="AC1271" i="1"/>
  <c r="AG1271" i="1"/>
  <c r="AD1267" i="1"/>
  <c r="AC1267" i="1"/>
  <c r="AG1267" i="1"/>
  <c r="AC1265" i="1"/>
  <c r="AD1265" i="1"/>
  <c r="AD1263" i="1"/>
  <c r="AC1263" i="1"/>
  <c r="AG1263" i="1"/>
  <c r="AD1259" i="1"/>
  <c r="AC1259" i="1"/>
  <c r="AG1259" i="1"/>
  <c r="AC1257" i="1"/>
  <c r="AD1257" i="1"/>
  <c r="AD1255" i="1"/>
  <c r="AC1255" i="1"/>
  <c r="AG1255" i="1"/>
  <c r="AD1251" i="1"/>
  <c r="AG1251" i="1"/>
  <c r="AC1251" i="1"/>
  <c r="AC1249" i="1"/>
  <c r="AD1249" i="1"/>
  <c r="AG1249" i="1"/>
  <c r="AD1247" i="1"/>
  <c r="AG1247" i="1"/>
  <c r="AC1247" i="1"/>
  <c r="AD1243" i="1"/>
  <c r="AG1243" i="1"/>
  <c r="AC1243" i="1"/>
  <c r="AC1241" i="1"/>
  <c r="AD1241" i="1"/>
  <c r="AG1241" i="1"/>
  <c r="AD1239" i="1"/>
  <c r="AG1239" i="1"/>
  <c r="AC1239" i="1"/>
  <c r="AC1237" i="1"/>
  <c r="AI1237" i="1"/>
  <c r="AD1235" i="1"/>
  <c r="AG1235" i="1"/>
  <c r="AC1235" i="1"/>
  <c r="AI1235" i="1"/>
  <c r="AT1235" i="1" s="1"/>
  <c r="AV1235" i="1" s="1"/>
  <c r="AC1233" i="1"/>
  <c r="AD1233" i="1"/>
  <c r="AG1233" i="1"/>
  <c r="AI1233" i="1"/>
  <c r="AD1231" i="1"/>
  <c r="AG1231" i="1"/>
  <c r="AC1231" i="1"/>
  <c r="AI1231" i="1"/>
  <c r="AT1231" i="1" s="1"/>
  <c r="AV1231" i="1" s="1"/>
  <c r="AC1229" i="1"/>
  <c r="AI1229" i="1"/>
  <c r="AD1227" i="1"/>
  <c r="AG1227" i="1"/>
  <c r="AC1227" i="1"/>
  <c r="AI1227" i="1"/>
  <c r="AT1227" i="1" s="1"/>
  <c r="AV1227" i="1" s="1"/>
  <c r="AC1225" i="1"/>
  <c r="AD1225" i="1"/>
  <c r="AG1225" i="1"/>
  <c r="AI1225" i="1"/>
  <c r="AD1223" i="1"/>
  <c r="AG1223" i="1"/>
  <c r="AC1223" i="1"/>
  <c r="AI1223" i="1"/>
  <c r="AT1223" i="1" s="1"/>
  <c r="AV1223" i="1" s="1"/>
  <c r="AC1221" i="1"/>
  <c r="AI1221" i="1"/>
  <c r="AD1219" i="1"/>
  <c r="AG1219" i="1"/>
  <c r="AC1219" i="1"/>
  <c r="AI1219" i="1"/>
  <c r="AT1219" i="1" s="1"/>
  <c r="AV1219" i="1" s="1"/>
  <c r="AC1217" i="1"/>
  <c r="AD1217" i="1"/>
  <c r="AG1217" i="1"/>
  <c r="AI1217" i="1"/>
  <c r="AD1215" i="1"/>
  <c r="AG1215" i="1"/>
  <c r="AC1215" i="1"/>
  <c r="AI1215" i="1"/>
  <c r="AT1215" i="1" s="1"/>
  <c r="AV1215" i="1" s="1"/>
  <c r="AC1213" i="1"/>
  <c r="AI1213" i="1"/>
  <c r="AD1211" i="1"/>
  <c r="AG1211" i="1"/>
  <c r="AC1211" i="1"/>
  <c r="AI1211" i="1"/>
  <c r="AT1211" i="1" s="1"/>
  <c r="AV1211" i="1" s="1"/>
  <c r="AC1209" i="1"/>
  <c r="AD1209" i="1"/>
  <c r="AG1209" i="1"/>
  <c r="AI1209" i="1"/>
  <c r="AD1207" i="1"/>
  <c r="AG1207" i="1"/>
  <c r="AC1207" i="1"/>
  <c r="AI1207" i="1"/>
  <c r="AT1207" i="1" s="1"/>
  <c r="AV1207" i="1" s="1"/>
  <c r="AC1205" i="1"/>
  <c r="AI1205" i="1"/>
  <c r="AD1203" i="1"/>
  <c r="AG1203" i="1"/>
  <c r="AC1203" i="1"/>
  <c r="AI1203" i="1"/>
  <c r="AT1203" i="1" s="1"/>
  <c r="AV1203" i="1" s="1"/>
  <c r="AC1201" i="1"/>
  <c r="AD1201" i="1"/>
  <c r="AG1201" i="1"/>
  <c r="AI1201" i="1"/>
  <c r="AD1199" i="1"/>
  <c r="AG1199" i="1"/>
  <c r="AC1199" i="1"/>
  <c r="AI1199" i="1"/>
  <c r="AT1199" i="1" s="1"/>
  <c r="AV1199" i="1" s="1"/>
  <c r="AC1197" i="1"/>
  <c r="AI1197" i="1"/>
  <c r="AD1195" i="1"/>
  <c r="AG1195" i="1"/>
  <c r="AC1195" i="1"/>
  <c r="AI1195" i="1"/>
  <c r="AT1195" i="1" s="1"/>
  <c r="AV1195" i="1" s="1"/>
  <c r="AC1193" i="1"/>
  <c r="AD1193" i="1"/>
  <c r="AG1193" i="1"/>
  <c r="AI1193" i="1"/>
  <c r="AD1191" i="1"/>
  <c r="AG1191" i="1"/>
  <c r="AC1191" i="1"/>
  <c r="AI1191" i="1"/>
  <c r="AT1191" i="1" s="1"/>
  <c r="AV1191" i="1" s="1"/>
  <c r="AC1189" i="1"/>
  <c r="AI1189" i="1"/>
  <c r="AD1187" i="1"/>
  <c r="AG1187" i="1"/>
  <c r="AC1187" i="1"/>
  <c r="AI1187" i="1"/>
  <c r="AT1187" i="1" s="1"/>
  <c r="AV1187" i="1" s="1"/>
  <c r="AC1185" i="1"/>
  <c r="AD1185" i="1"/>
  <c r="AG1185" i="1"/>
  <c r="AI1185" i="1"/>
  <c r="AD1183" i="1"/>
  <c r="AG1183" i="1"/>
  <c r="AC1183" i="1"/>
  <c r="AI1183" i="1"/>
  <c r="AT1183" i="1" s="1"/>
  <c r="AV1183" i="1" s="1"/>
  <c r="AC1181" i="1"/>
  <c r="AI1181" i="1"/>
  <c r="AD1179" i="1"/>
  <c r="AG1179" i="1"/>
  <c r="AC1179" i="1"/>
  <c r="AI1179" i="1"/>
  <c r="AT1179" i="1" s="1"/>
  <c r="AV1179" i="1" s="1"/>
  <c r="AC1177" i="1"/>
  <c r="AD1177" i="1"/>
  <c r="AG1177" i="1"/>
  <c r="AI1177" i="1"/>
  <c r="AD1175" i="1"/>
  <c r="AG1175" i="1"/>
  <c r="AC1175" i="1"/>
  <c r="AI1175" i="1"/>
  <c r="AT1175" i="1" s="1"/>
  <c r="AV1175" i="1" s="1"/>
  <c r="AC1173" i="1"/>
  <c r="AI1173" i="1"/>
  <c r="AD1171" i="1"/>
  <c r="AG1171" i="1"/>
  <c r="AC1171" i="1"/>
  <c r="AI1171" i="1"/>
  <c r="AT1171" i="1" s="1"/>
  <c r="AV1171" i="1" s="1"/>
  <c r="AC1169" i="1"/>
  <c r="AD1169" i="1"/>
  <c r="AG1169" i="1"/>
  <c r="AI1169" i="1"/>
  <c r="AD1167" i="1"/>
  <c r="AG1167" i="1"/>
  <c r="AC1167" i="1"/>
  <c r="AI1167" i="1"/>
  <c r="AT1167" i="1" s="1"/>
  <c r="AV1167" i="1" s="1"/>
  <c r="AC1165" i="1"/>
  <c r="AI1165" i="1"/>
  <c r="AD1163" i="1"/>
  <c r="AG1163" i="1"/>
  <c r="AC1163" i="1"/>
  <c r="AI1163" i="1"/>
  <c r="AT1163" i="1" s="1"/>
  <c r="AV1163" i="1" s="1"/>
  <c r="AC1161" i="1"/>
  <c r="AD1161" i="1"/>
  <c r="AG1161" i="1"/>
  <c r="AI1161" i="1"/>
  <c r="AD1159" i="1"/>
  <c r="AG1159" i="1"/>
  <c r="AC1159" i="1"/>
  <c r="AI1159" i="1"/>
  <c r="AT1159" i="1" s="1"/>
  <c r="AV1159" i="1" s="1"/>
  <c r="AC1157" i="1"/>
  <c r="AI1157" i="1"/>
  <c r="AD1155" i="1"/>
  <c r="AG1155" i="1"/>
  <c r="AC1155" i="1"/>
  <c r="AI1155" i="1"/>
  <c r="AT1155" i="1" s="1"/>
  <c r="AV1155" i="1" s="1"/>
  <c r="AC1153" i="1"/>
  <c r="AD1153" i="1"/>
  <c r="AG1153" i="1"/>
  <c r="AI1153" i="1"/>
  <c r="AD1151" i="1"/>
  <c r="AG1151" i="1"/>
  <c r="AC1151" i="1"/>
  <c r="AI1151" i="1"/>
  <c r="AT1151" i="1" s="1"/>
  <c r="AV1151" i="1" s="1"/>
  <c r="AC1149" i="1"/>
  <c r="AI1149" i="1"/>
  <c r="AD1147" i="1"/>
  <c r="AG1147" i="1"/>
  <c r="AC1147" i="1"/>
  <c r="AI1147" i="1"/>
  <c r="AT1147" i="1" s="1"/>
  <c r="AV1147" i="1" s="1"/>
  <c r="AC1145" i="1"/>
  <c r="AD1145" i="1"/>
  <c r="AG1145" i="1"/>
  <c r="AI1145" i="1"/>
  <c r="AD1143" i="1"/>
  <c r="AG1143" i="1"/>
  <c r="AC1143" i="1"/>
  <c r="AI1143" i="1"/>
  <c r="AT1143" i="1" s="1"/>
  <c r="AV1143" i="1" s="1"/>
  <c r="AC1141" i="1"/>
  <c r="AI1141" i="1"/>
  <c r="AD1139" i="1"/>
  <c r="AG1139" i="1"/>
  <c r="AC1139" i="1"/>
  <c r="AI1139" i="1"/>
  <c r="AT1139" i="1" s="1"/>
  <c r="AV1139" i="1" s="1"/>
  <c r="AC1137" i="1"/>
  <c r="AD1137" i="1"/>
  <c r="AG1137" i="1"/>
  <c r="AI1137" i="1"/>
  <c r="AD1135" i="1"/>
  <c r="AG1135" i="1"/>
  <c r="AC1135" i="1"/>
  <c r="AI1135" i="1"/>
  <c r="AT1135" i="1" s="1"/>
  <c r="AV1135" i="1" s="1"/>
  <c r="AC1133" i="1"/>
  <c r="AI1133" i="1"/>
  <c r="AD1131" i="1"/>
  <c r="AG1131" i="1"/>
  <c r="AC1131" i="1"/>
  <c r="AI1131" i="1"/>
  <c r="AT1131" i="1" s="1"/>
  <c r="AV1131" i="1" s="1"/>
  <c r="AC1129" i="1"/>
  <c r="AD1129" i="1"/>
  <c r="AG1129" i="1"/>
  <c r="AI1129" i="1"/>
  <c r="AD1127" i="1"/>
  <c r="AG1127" i="1"/>
  <c r="AC1127" i="1"/>
  <c r="AI1127" i="1"/>
  <c r="AT1127" i="1" s="1"/>
  <c r="AV1127" i="1" s="1"/>
  <c r="AC1125" i="1"/>
  <c r="AI1125" i="1"/>
  <c r="AD1123" i="1"/>
  <c r="AG1123" i="1"/>
  <c r="AC1123" i="1"/>
  <c r="AI1123" i="1"/>
  <c r="AT1123" i="1" s="1"/>
  <c r="AV1123" i="1" s="1"/>
  <c r="AC1121" i="1"/>
  <c r="AD1121" i="1"/>
  <c r="AG1121" i="1"/>
  <c r="AI1121" i="1"/>
  <c r="AD1119" i="1"/>
  <c r="AG1119" i="1"/>
  <c r="AC1119" i="1"/>
  <c r="AI1119" i="1"/>
  <c r="AT1119" i="1" s="1"/>
  <c r="AV1119" i="1" s="1"/>
  <c r="AC1117" i="1"/>
  <c r="AI1117" i="1"/>
  <c r="AD1115" i="1"/>
  <c r="AG1115" i="1"/>
  <c r="AC1115" i="1"/>
  <c r="AI1115" i="1"/>
  <c r="AT1115" i="1" s="1"/>
  <c r="AV1115" i="1" s="1"/>
  <c r="AC1113" i="1"/>
  <c r="AD1113" i="1"/>
  <c r="AG1113" i="1"/>
  <c r="AI1113" i="1"/>
  <c r="AD1111" i="1"/>
  <c r="AG1111" i="1"/>
  <c r="AC1111" i="1"/>
  <c r="AI1111" i="1"/>
  <c r="AT1111" i="1" s="1"/>
  <c r="AV1111" i="1" s="1"/>
  <c r="AC1109" i="1"/>
  <c r="AI1109" i="1"/>
  <c r="AD1107" i="1"/>
  <c r="AG1107" i="1"/>
  <c r="AC1107" i="1"/>
  <c r="AI1107" i="1"/>
  <c r="AT1107" i="1" s="1"/>
  <c r="AV1107" i="1" s="1"/>
  <c r="AC1105" i="1"/>
  <c r="AD1105" i="1"/>
  <c r="AG1105" i="1"/>
  <c r="AI1105" i="1"/>
  <c r="AD1103" i="1"/>
  <c r="AG1103" i="1"/>
  <c r="AC1103" i="1"/>
  <c r="AI1103" i="1"/>
  <c r="AT1103" i="1" s="1"/>
  <c r="AV1103" i="1" s="1"/>
  <c r="AC1101" i="1"/>
  <c r="AI1101" i="1"/>
  <c r="AD1099" i="1"/>
  <c r="AG1099" i="1"/>
  <c r="AC1099" i="1"/>
  <c r="AI1099" i="1"/>
  <c r="AT1099" i="1" s="1"/>
  <c r="AV1099" i="1" s="1"/>
  <c r="AC1097" i="1"/>
  <c r="AD1097" i="1"/>
  <c r="AG1097" i="1"/>
  <c r="AI1097" i="1"/>
  <c r="AD1095" i="1"/>
  <c r="AG1095" i="1"/>
  <c r="AC1095" i="1"/>
  <c r="AI1095" i="1"/>
  <c r="AT1095" i="1" s="1"/>
  <c r="AV1095" i="1" s="1"/>
  <c r="AD1093" i="1"/>
  <c r="AC1093" i="1"/>
  <c r="AI1093" i="1"/>
  <c r="AG1091" i="1"/>
  <c r="AC1091" i="1"/>
  <c r="AI1091" i="1"/>
  <c r="AT1091" i="1" s="1"/>
  <c r="AV1091" i="1" s="1"/>
  <c r="AC1089" i="1"/>
  <c r="AD1089" i="1"/>
  <c r="AG1089" i="1"/>
  <c r="AI1089" i="1"/>
  <c r="AC1087" i="1"/>
  <c r="AD1087" i="1"/>
  <c r="AG1087" i="1"/>
  <c r="AI1087" i="1"/>
  <c r="AT1087" i="1" s="1"/>
  <c r="AV1087" i="1" s="1"/>
  <c r="AC1085" i="1"/>
  <c r="AD1085" i="1"/>
  <c r="AI1085" i="1"/>
  <c r="AG1083" i="1"/>
  <c r="AD1083" i="1"/>
  <c r="AI1083" i="1"/>
  <c r="AT1083" i="1" s="1"/>
  <c r="AV1083" i="1" s="1"/>
  <c r="AC1081" i="1"/>
  <c r="AD1081" i="1"/>
  <c r="AG1081" i="1"/>
  <c r="AI1081" i="1"/>
  <c r="AC1079" i="1"/>
  <c r="AD1079" i="1"/>
  <c r="AG1079" i="1"/>
  <c r="AI1079" i="1"/>
  <c r="AT1079" i="1" s="1"/>
  <c r="AV1079" i="1" s="1"/>
  <c r="AC1077" i="1"/>
  <c r="AD1077" i="1"/>
  <c r="AI1077" i="1"/>
  <c r="AG1075" i="1"/>
  <c r="AC1075" i="1"/>
  <c r="AI1075" i="1"/>
  <c r="AC1073" i="1"/>
  <c r="AD1073" i="1"/>
  <c r="AG1073" i="1"/>
  <c r="AI1073" i="1"/>
  <c r="AC1071" i="1"/>
  <c r="AD1071" i="1"/>
  <c r="AG1071" i="1"/>
  <c r="AI1071" i="1"/>
  <c r="AT1071" i="1" s="1"/>
  <c r="AV1071" i="1" s="1"/>
  <c r="AC1069" i="1"/>
  <c r="AD1069" i="1"/>
  <c r="AI1069" i="1"/>
  <c r="AG1067" i="1"/>
  <c r="AD1067" i="1"/>
  <c r="AI1067" i="1"/>
  <c r="AT1067" i="1" s="1"/>
  <c r="AV1067" i="1" s="1"/>
  <c r="AC1065" i="1"/>
  <c r="AD1065" i="1"/>
  <c r="AG1065" i="1"/>
  <c r="AI1065" i="1"/>
  <c r="AC1063" i="1"/>
  <c r="AD1063" i="1"/>
  <c r="AG1063" i="1"/>
  <c r="AI1063" i="1"/>
  <c r="AT1063" i="1" s="1"/>
  <c r="AV1063" i="1" s="1"/>
  <c r="AC1061" i="1"/>
  <c r="AD1061" i="1"/>
  <c r="AI1061" i="1"/>
  <c r="AG1059" i="1"/>
  <c r="AC1059" i="1"/>
  <c r="AI1059" i="1"/>
  <c r="AT1059" i="1" s="1"/>
  <c r="AV1059" i="1" s="1"/>
  <c r="AC1057" i="1"/>
  <c r="AD1057" i="1"/>
  <c r="AG1057" i="1"/>
  <c r="AI1057" i="1"/>
  <c r="AC1055" i="1"/>
  <c r="AD1055" i="1"/>
  <c r="AG1055" i="1"/>
  <c r="AI1055" i="1"/>
  <c r="AT1055" i="1" s="1"/>
  <c r="AV1055" i="1" s="1"/>
  <c r="AC1053" i="1"/>
  <c r="AD1053" i="1"/>
  <c r="AI1053" i="1"/>
  <c r="AG1051" i="1"/>
  <c r="AD1051" i="1"/>
  <c r="AI1051" i="1"/>
  <c r="AT1051" i="1" s="1"/>
  <c r="AV1051" i="1" s="1"/>
  <c r="AC1049" i="1"/>
  <c r="AD1049" i="1"/>
  <c r="AG1049" i="1"/>
  <c r="AI1049" i="1"/>
  <c r="AC1047" i="1"/>
  <c r="AD1047" i="1"/>
  <c r="AG1047" i="1"/>
  <c r="AI1047" i="1"/>
  <c r="AT1047" i="1" s="1"/>
  <c r="AV1047" i="1" s="1"/>
  <c r="AC1045" i="1"/>
  <c r="AD1045" i="1"/>
  <c r="AI1045" i="1"/>
  <c r="AG1043" i="1"/>
  <c r="AC1043" i="1"/>
  <c r="AI1043" i="1"/>
  <c r="AT1043" i="1" s="1"/>
  <c r="AV1043" i="1" s="1"/>
  <c r="AC1041" i="1"/>
  <c r="AD1041" i="1"/>
  <c r="AG1041" i="1"/>
  <c r="AI1041" i="1"/>
  <c r="AC1039" i="1"/>
  <c r="AD1039" i="1"/>
  <c r="AG1039" i="1"/>
  <c r="AI1039" i="1"/>
  <c r="AT1039" i="1" s="1"/>
  <c r="AV1039" i="1" s="1"/>
  <c r="AC1037" i="1"/>
  <c r="AD1037" i="1"/>
  <c r="AI1037" i="1"/>
  <c r="AG1035" i="1"/>
  <c r="AD1035" i="1"/>
  <c r="AI1035" i="1"/>
  <c r="AT1035" i="1" s="1"/>
  <c r="AV1035" i="1" s="1"/>
  <c r="AC1033" i="1"/>
  <c r="AD1033" i="1"/>
  <c r="AG1033" i="1"/>
  <c r="AI1033" i="1"/>
  <c r="AC1031" i="1"/>
  <c r="AD1031" i="1"/>
  <c r="AG1031" i="1"/>
  <c r="AI1031" i="1"/>
  <c r="AT1031" i="1" s="1"/>
  <c r="AV1031" i="1" s="1"/>
  <c r="AC1029" i="1"/>
  <c r="AD1029" i="1"/>
  <c r="AI1029" i="1"/>
  <c r="AG1027" i="1"/>
  <c r="AC1027" i="1"/>
  <c r="AI1027" i="1"/>
  <c r="AT1027" i="1" s="1"/>
  <c r="AV1027" i="1" s="1"/>
  <c r="AC1025" i="1"/>
  <c r="AD1025" i="1"/>
  <c r="AG1025" i="1"/>
  <c r="AI1025" i="1"/>
  <c r="AC1023" i="1"/>
  <c r="AD1023" i="1"/>
  <c r="AG1023" i="1"/>
  <c r="AI1023" i="1"/>
  <c r="AT1023" i="1" s="1"/>
  <c r="AV1023" i="1" s="1"/>
  <c r="AC1021" i="1"/>
  <c r="AD1021" i="1"/>
  <c r="AI1021" i="1"/>
  <c r="AG1019" i="1"/>
  <c r="AD1019" i="1"/>
  <c r="AI1019" i="1"/>
  <c r="AC1017" i="1"/>
  <c r="AD1017" i="1"/>
  <c r="AG1017" i="1"/>
  <c r="AI1017" i="1"/>
  <c r="AC1015" i="1"/>
  <c r="AD1015" i="1"/>
  <c r="AG1015" i="1"/>
  <c r="AI1015" i="1"/>
  <c r="AT1015" i="1" s="1"/>
  <c r="AV1015" i="1" s="1"/>
  <c r="AC1013" i="1"/>
  <c r="AD1013" i="1"/>
  <c r="AI1013" i="1"/>
  <c r="AG1011" i="1"/>
  <c r="AC1011" i="1"/>
  <c r="AI1011" i="1"/>
  <c r="AT1011" i="1" s="1"/>
  <c r="AV1011" i="1" s="1"/>
  <c r="AC1009" i="1"/>
  <c r="AD1009" i="1"/>
  <c r="AG1009" i="1"/>
  <c r="AI1009" i="1"/>
  <c r="AC1007" i="1"/>
  <c r="AD1007" i="1"/>
  <c r="AG1007" i="1"/>
  <c r="AI1007" i="1"/>
  <c r="AT1007" i="1" s="1"/>
  <c r="AV1007" i="1" s="1"/>
  <c r="AC1005" i="1"/>
  <c r="AD1005" i="1"/>
  <c r="AI1005" i="1"/>
  <c r="AG1003" i="1"/>
  <c r="AD1003" i="1"/>
  <c r="AI1003" i="1"/>
  <c r="AT1003" i="1" s="1"/>
  <c r="AV1003" i="1" s="1"/>
  <c r="AC1001" i="1"/>
  <c r="AD1001" i="1"/>
  <c r="AG1001" i="1"/>
  <c r="AI1001" i="1"/>
  <c r="AC999" i="1"/>
  <c r="AD999" i="1"/>
  <c r="AG999" i="1"/>
  <c r="AI999" i="1"/>
  <c r="AT999" i="1" s="1"/>
  <c r="AV999" i="1" s="1"/>
  <c r="AC997" i="1"/>
  <c r="AD997" i="1"/>
  <c r="AI997" i="1"/>
  <c r="AG995" i="1"/>
  <c r="AC995" i="1"/>
  <c r="AI995" i="1"/>
  <c r="AT995" i="1" s="1"/>
  <c r="AV995" i="1" s="1"/>
  <c r="AC993" i="1"/>
  <c r="AD993" i="1"/>
  <c r="AG993" i="1"/>
  <c r="AI993" i="1"/>
  <c r="AC991" i="1"/>
  <c r="AD991" i="1"/>
  <c r="AG991" i="1"/>
  <c r="AI991" i="1"/>
  <c r="AT991" i="1" s="1"/>
  <c r="AV991" i="1" s="1"/>
  <c r="AC989" i="1"/>
  <c r="AD989" i="1"/>
  <c r="AI989" i="1"/>
  <c r="AG987" i="1"/>
  <c r="AD987" i="1"/>
  <c r="AI987" i="1"/>
  <c r="AT987" i="1" s="1"/>
  <c r="AV987" i="1" s="1"/>
  <c r="AC985" i="1"/>
  <c r="AD985" i="1"/>
  <c r="AG985" i="1"/>
  <c r="AI985" i="1"/>
  <c r="AC983" i="1"/>
  <c r="AD983" i="1"/>
  <c r="AG983" i="1"/>
  <c r="AI983" i="1"/>
  <c r="AT983" i="1" s="1"/>
  <c r="AV983" i="1" s="1"/>
  <c r="AC981" i="1"/>
  <c r="AD981" i="1"/>
  <c r="AI981" i="1"/>
  <c r="AG979" i="1"/>
  <c r="AC979" i="1"/>
  <c r="AI979" i="1"/>
  <c r="AC977" i="1"/>
  <c r="AD977" i="1"/>
  <c r="AG977" i="1"/>
  <c r="AI977" i="1"/>
  <c r="AC975" i="1"/>
  <c r="AD975" i="1"/>
  <c r="AG975" i="1"/>
  <c r="AI975" i="1"/>
  <c r="AT975" i="1" s="1"/>
  <c r="AV975" i="1" s="1"/>
  <c r="AC973" i="1"/>
  <c r="AD973" i="1"/>
  <c r="AI973" i="1"/>
  <c r="AG971" i="1"/>
  <c r="AD971" i="1"/>
  <c r="AI971" i="1"/>
  <c r="AT971" i="1" s="1"/>
  <c r="AV971" i="1" s="1"/>
  <c r="AC969" i="1"/>
  <c r="AD969" i="1"/>
  <c r="AG969" i="1"/>
  <c r="AI969" i="1"/>
  <c r="AC967" i="1"/>
  <c r="AD967" i="1"/>
  <c r="AG967" i="1"/>
  <c r="AI967" i="1"/>
  <c r="AT967" i="1" s="1"/>
  <c r="AV967" i="1" s="1"/>
  <c r="AC965" i="1"/>
  <c r="AD965" i="1"/>
  <c r="AI965" i="1"/>
  <c r="AG963" i="1"/>
  <c r="AC963" i="1"/>
  <c r="AI963" i="1"/>
  <c r="AT963" i="1" s="1"/>
  <c r="AV963" i="1" s="1"/>
  <c r="AC961" i="1"/>
  <c r="AD961" i="1"/>
  <c r="AG961" i="1"/>
  <c r="AI961" i="1"/>
  <c r="AC959" i="1"/>
  <c r="AD959" i="1"/>
  <c r="AG959" i="1"/>
  <c r="AI959" i="1"/>
  <c r="AT959" i="1" s="1"/>
  <c r="AV959" i="1" s="1"/>
  <c r="AC957" i="1"/>
  <c r="AD957" i="1"/>
  <c r="AI957" i="1"/>
  <c r="AG955" i="1"/>
  <c r="AD955" i="1"/>
  <c r="AI955" i="1"/>
  <c r="AT955" i="1" s="1"/>
  <c r="AV955" i="1" s="1"/>
  <c r="AC953" i="1"/>
  <c r="AD953" i="1"/>
  <c r="AG953" i="1"/>
  <c r="AI953" i="1"/>
  <c r="AC951" i="1"/>
  <c r="AD951" i="1"/>
  <c r="AG951" i="1"/>
  <c r="AI951" i="1"/>
  <c r="AT951" i="1" s="1"/>
  <c r="AV951" i="1" s="1"/>
  <c r="AC949" i="1"/>
  <c r="AD949" i="1"/>
  <c r="AI949" i="1"/>
  <c r="AG947" i="1"/>
  <c r="AC947" i="1"/>
  <c r="AI947" i="1"/>
  <c r="AC945" i="1"/>
  <c r="AD945" i="1"/>
  <c r="AG945" i="1"/>
  <c r="AI945" i="1"/>
  <c r="AC943" i="1"/>
  <c r="AD943" i="1"/>
  <c r="AG943" i="1"/>
  <c r="AI943" i="1"/>
  <c r="AT943" i="1" s="1"/>
  <c r="AV943" i="1" s="1"/>
  <c r="AC941" i="1"/>
  <c r="AD941" i="1"/>
  <c r="AI941" i="1"/>
  <c r="AG939" i="1"/>
  <c r="AD939" i="1"/>
  <c r="AI939" i="1"/>
  <c r="AT939" i="1" s="1"/>
  <c r="AV939" i="1" s="1"/>
  <c r="AC937" i="1"/>
  <c r="AD937" i="1"/>
  <c r="AG937" i="1"/>
  <c r="AI937" i="1"/>
  <c r="AC935" i="1"/>
  <c r="AD935" i="1"/>
  <c r="AG935" i="1"/>
  <c r="AI935" i="1"/>
  <c r="AT935" i="1" s="1"/>
  <c r="AV935" i="1" s="1"/>
  <c r="AC933" i="1"/>
  <c r="AD933" i="1"/>
  <c r="AI933" i="1"/>
  <c r="AU1273" i="1"/>
  <c r="AU1271" i="1"/>
  <c r="AU1269" i="1"/>
  <c r="AU1267" i="1"/>
  <c r="AU1265" i="1"/>
  <c r="AU1263" i="1"/>
  <c r="AU1261" i="1"/>
  <c r="AU1259" i="1"/>
  <c r="AU1257" i="1"/>
  <c r="AU1255" i="1"/>
  <c r="AU1253" i="1"/>
  <c r="AU1251" i="1"/>
  <c r="AU1249" i="1"/>
  <c r="AU1247" i="1"/>
  <c r="AU1245" i="1"/>
  <c r="AU1243" i="1"/>
  <c r="AU1241" i="1"/>
  <c r="AU1239" i="1"/>
  <c r="AU1237" i="1"/>
  <c r="AU1235" i="1"/>
  <c r="AU1233" i="1"/>
  <c r="AU1231" i="1"/>
  <c r="AU1229" i="1"/>
  <c r="AU1227" i="1"/>
  <c r="AU1225" i="1"/>
  <c r="AU1223" i="1"/>
  <c r="AU1221" i="1"/>
  <c r="AU1219" i="1"/>
  <c r="AU1217" i="1"/>
  <c r="AU1215" i="1"/>
  <c r="AU1213" i="1"/>
  <c r="AU1211" i="1"/>
  <c r="AU1209" i="1"/>
  <c r="AU1207" i="1"/>
  <c r="AU1205" i="1"/>
  <c r="AU1203" i="1"/>
  <c r="AU1201" i="1"/>
  <c r="AU1199" i="1"/>
  <c r="AU1197" i="1"/>
  <c r="AU1195" i="1"/>
  <c r="AU1193" i="1"/>
  <c r="AU1191" i="1"/>
  <c r="AU1189" i="1"/>
  <c r="AU1187" i="1"/>
  <c r="AU1185" i="1"/>
  <c r="AU1183" i="1"/>
  <c r="AU1181" i="1"/>
  <c r="AU1179" i="1"/>
  <c r="AU1177" i="1"/>
  <c r="AU1175" i="1"/>
  <c r="AU1173" i="1"/>
  <c r="AU1171" i="1"/>
  <c r="AU1169" i="1"/>
  <c r="AU1167" i="1"/>
  <c r="AU1165" i="1"/>
  <c r="AU1163" i="1"/>
  <c r="AU1161" i="1"/>
  <c r="AU1159" i="1"/>
  <c r="AU1157" i="1"/>
  <c r="AU1155" i="1"/>
  <c r="AU1153" i="1"/>
  <c r="AU1151" i="1"/>
  <c r="AU1149" i="1"/>
  <c r="AU1147" i="1"/>
  <c r="AU1145" i="1"/>
  <c r="AU1143" i="1"/>
  <c r="AU1141" i="1"/>
  <c r="AU1139" i="1"/>
  <c r="AU1137" i="1"/>
  <c r="AU1135" i="1"/>
  <c r="AU1133" i="1"/>
  <c r="AU1131" i="1"/>
  <c r="AU1129" i="1"/>
  <c r="AU1127" i="1"/>
  <c r="AU1125" i="1"/>
  <c r="AU1123" i="1"/>
  <c r="AU1121" i="1"/>
  <c r="AU1119" i="1"/>
  <c r="AU1117" i="1"/>
  <c r="AU1115" i="1"/>
  <c r="AU1113" i="1"/>
  <c r="AU1111" i="1"/>
  <c r="AU1109" i="1"/>
  <c r="AU1107" i="1"/>
  <c r="AU1105" i="1"/>
  <c r="AU1103" i="1"/>
  <c r="AU1101" i="1"/>
  <c r="AU1099" i="1"/>
  <c r="AU1097" i="1"/>
  <c r="AU1095" i="1"/>
  <c r="AU1093" i="1"/>
  <c r="AU1091" i="1"/>
  <c r="AU1089" i="1"/>
  <c r="AU1087" i="1"/>
  <c r="AU1085" i="1"/>
  <c r="AU1083" i="1"/>
  <c r="AU1081" i="1"/>
  <c r="AU1079" i="1"/>
  <c r="AU1077" i="1"/>
  <c r="AU1075" i="1"/>
  <c r="AU1073" i="1"/>
  <c r="AU1071" i="1"/>
  <c r="AU1069" i="1"/>
  <c r="AU1067" i="1"/>
  <c r="AU1065" i="1"/>
  <c r="AU1063" i="1"/>
  <c r="AU1061" i="1"/>
  <c r="AU1059" i="1"/>
  <c r="AU1057" i="1"/>
  <c r="AU1055" i="1"/>
  <c r="AU1053" i="1"/>
  <c r="AU1051" i="1"/>
  <c r="AU1049" i="1"/>
  <c r="AU1047" i="1"/>
  <c r="AU1045" i="1"/>
  <c r="AU1043" i="1"/>
  <c r="AU1041" i="1"/>
  <c r="AU1039" i="1"/>
  <c r="AU1037" i="1"/>
  <c r="AU1035" i="1"/>
  <c r="AU1033" i="1"/>
  <c r="AU1031" i="1"/>
  <c r="AU1029" i="1"/>
  <c r="AU1027" i="1"/>
  <c r="AU1025" i="1"/>
  <c r="AU1023" i="1"/>
  <c r="AU1021" i="1"/>
  <c r="AU1019" i="1"/>
  <c r="AU1017" i="1"/>
  <c r="AU1015" i="1"/>
  <c r="AU1013" i="1"/>
  <c r="AU1011" i="1"/>
  <c r="AU1009" i="1"/>
  <c r="AU1007" i="1"/>
  <c r="AU1005" i="1"/>
  <c r="AU1003" i="1"/>
  <c r="AU1001" i="1"/>
  <c r="AU999" i="1"/>
  <c r="AU997" i="1"/>
  <c r="AU995" i="1"/>
  <c r="AU993" i="1"/>
  <c r="AU991" i="1"/>
  <c r="AU989" i="1"/>
  <c r="AU987" i="1"/>
  <c r="AU985" i="1"/>
  <c r="AU983" i="1"/>
  <c r="AU981" i="1"/>
  <c r="AU979" i="1"/>
  <c r="AU977" i="1"/>
  <c r="AU975" i="1"/>
  <c r="AU973" i="1"/>
  <c r="AU971" i="1"/>
  <c r="AU969" i="1"/>
  <c r="AU967" i="1"/>
  <c r="AU965" i="1"/>
  <c r="AU963" i="1"/>
  <c r="AU961" i="1"/>
  <c r="AU959" i="1"/>
  <c r="AU957" i="1"/>
  <c r="AU955" i="1"/>
  <c r="AU953" i="1"/>
  <c r="AU951" i="1"/>
  <c r="AU949" i="1"/>
  <c r="AU947" i="1"/>
  <c r="AU945" i="1"/>
  <c r="AU943" i="1"/>
  <c r="AU941" i="1"/>
  <c r="AU939" i="1"/>
  <c r="AU937" i="1"/>
  <c r="AU935" i="1"/>
  <c r="AU933" i="1"/>
  <c r="AS1273" i="1"/>
  <c r="AT1273" i="1" s="1"/>
  <c r="AV1273" i="1" s="1"/>
  <c r="AS1271" i="1"/>
  <c r="AT1271" i="1" s="1"/>
  <c r="AV1271" i="1" s="1"/>
  <c r="AS1269" i="1"/>
  <c r="AS1267" i="1"/>
  <c r="AT1267" i="1" s="1"/>
  <c r="AV1267" i="1" s="1"/>
  <c r="AS1265" i="1"/>
  <c r="AT1265" i="1" s="1"/>
  <c r="AV1265" i="1" s="1"/>
  <c r="AS1263" i="1"/>
  <c r="AT1263" i="1" s="1"/>
  <c r="AV1263" i="1" s="1"/>
  <c r="AS1261" i="1"/>
  <c r="AS1259" i="1"/>
  <c r="AT1259" i="1" s="1"/>
  <c r="AV1259" i="1" s="1"/>
  <c r="AS1257" i="1"/>
  <c r="AT1257" i="1" s="1"/>
  <c r="AV1257" i="1" s="1"/>
  <c r="AS1255" i="1"/>
  <c r="AT1255" i="1" s="1"/>
  <c r="AV1255" i="1" s="1"/>
  <c r="AS1253" i="1"/>
  <c r="AS1251" i="1"/>
  <c r="AT1251" i="1" s="1"/>
  <c r="AV1251" i="1" s="1"/>
  <c r="AS1249" i="1"/>
  <c r="AT1249" i="1" s="1"/>
  <c r="AV1249" i="1" s="1"/>
  <c r="AS1247" i="1"/>
  <c r="AT1247" i="1" s="1"/>
  <c r="AV1247" i="1" s="1"/>
  <c r="AS1245" i="1"/>
  <c r="AS1243" i="1"/>
  <c r="AT1243" i="1" s="1"/>
  <c r="AV1243" i="1" s="1"/>
  <c r="AS1241" i="1"/>
  <c r="AT1241" i="1" s="1"/>
  <c r="AV1241" i="1" s="1"/>
  <c r="AS1239" i="1"/>
  <c r="AT1239" i="1" s="1"/>
  <c r="AV1239" i="1" s="1"/>
  <c r="AS1237" i="1"/>
  <c r="AS1233" i="1"/>
  <c r="AS1229" i="1"/>
  <c r="AS1225" i="1"/>
  <c r="AS1221" i="1"/>
  <c r="AS1217" i="1"/>
  <c r="AS1213" i="1"/>
  <c r="AS1209" i="1"/>
  <c r="AS1205" i="1"/>
  <c r="AS1201" i="1"/>
  <c r="AS1197" i="1"/>
  <c r="AS1193" i="1"/>
  <c r="AS1189" i="1"/>
  <c r="AS1185" i="1"/>
  <c r="AS1181" i="1"/>
  <c r="AS1177" i="1"/>
  <c r="AS1173" i="1"/>
  <c r="AS1169" i="1"/>
  <c r="AS1165" i="1"/>
  <c r="AS1161" i="1"/>
  <c r="AS1157" i="1"/>
  <c r="AS1153" i="1"/>
  <c r="AS1149" i="1"/>
  <c r="AS1145" i="1"/>
  <c r="AS1141" i="1"/>
  <c r="AS1137" i="1"/>
  <c r="AS1133" i="1"/>
  <c r="AS1129" i="1"/>
  <c r="AS1125" i="1"/>
  <c r="AS1121" i="1"/>
  <c r="AS1117" i="1"/>
  <c r="AS1113" i="1"/>
  <c r="AS1109" i="1"/>
  <c r="AS1105" i="1"/>
  <c r="AS1101" i="1"/>
  <c r="AS1097" i="1"/>
  <c r="AS1093" i="1"/>
  <c r="AS1089" i="1"/>
  <c r="AS1085" i="1"/>
  <c r="AS1081" i="1"/>
  <c r="AS1077" i="1"/>
  <c r="AS1073" i="1"/>
  <c r="AS1069" i="1"/>
  <c r="AS1065" i="1"/>
  <c r="AS1061" i="1"/>
  <c r="AS1057" i="1"/>
  <c r="AS1053" i="1"/>
  <c r="AS1049" i="1"/>
  <c r="AS1045" i="1"/>
  <c r="AS1041" i="1"/>
  <c r="AS1037" i="1"/>
  <c r="AS1033" i="1"/>
  <c r="AS1029" i="1"/>
  <c r="AS1025" i="1"/>
  <c r="AS1021" i="1"/>
  <c r="AS1017" i="1"/>
  <c r="AS1013" i="1"/>
  <c r="AS1009" i="1"/>
  <c r="AS1005" i="1"/>
  <c r="AS1001" i="1"/>
  <c r="AS997" i="1"/>
  <c r="AS993" i="1"/>
  <c r="AS989" i="1"/>
  <c r="AS985" i="1"/>
  <c r="AS981" i="1"/>
  <c r="AS977" i="1"/>
  <c r="AS973" i="1"/>
  <c r="AS969" i="1"/>
  <c r="AS965" i="1"/>
  <c r="AS961" i="1"/>
  <c r="AS957" i="1"/>
  <c r="AS953" i="1"/>
  <c r="AS949" i="1"/>
  <c r="AS945" i="1"/>
  <c r="AS941" i="1"/>
  <c r="AS937" i="1"/>
  <c r="AS933" i="1"/>
  <c r="AG1273" i="1"/>
  <c r="AG1265" i="1"/>
  <c r="AG1257" i="1"/>
  <c r="AG1245" i="1"/>
  <c r="AG1229" i="1"/>
  <c r="AG1213" i="1"/>
  <c r="AG1197" i="1"/>
  <c r="AG1181" i="1"/>
  <c r="AG1165" i="1"/>
  <c r="AG1149" i="1"/>
  <c r="AG1133" i="1"/>
  <c r="AG1117" i="1"/>
  <c r="AG1101" i="1"/>
  <c r="AG1085" i="1"/>
  <c r="AG1069" i="1"/>
  <c r="AG1053" i="1"/>
  <c r="AG1037" i="1"/>
  <c r="AG1021" i="1"/>
  <c r="AG1005" i="1"/>
  <c r="AG989" i="1"/>
  <c r="AG973" i="1"/>
  <c r="AG957" i="1"/>
  <c r="AG941" i="1"/>
  <c r="AD1269" i="1"/>
  <c r="AD1253" i="1"/>
  <c r="AD1237" i="1"/>
  <c r="AD1221" i="1"/>
  <c r="AD1205" i="1"/>
  <c r="AD1189" i="1"/>
  <c r="AD1173" i="1"/>
  <c r="AD1157" i="1"/>
  <c r="AD1141" i="1"/>
  <c r="AD1125" i="1"/>
  <c r="AD1109" i="1"/>
  <c r="AD1091" i="1"/>
  <c r="AD1059" i="1"/>
  <c r="AD1027" i="1"/>
  <c r="AD995" i="1"/>
  <c r="AD963" i="1"/>
  <c r="AC1067" i="1"/>
  <c r="AC1035" i="1"/>
  <c r="AC1003" i="1"/>
  <c r="AC971" i="1"/>
  <c r="AC939" i="1"/>
  <c r="AE922" i="1"/>
  <c r="AD1236" i="1"/>
  <c r="AS1236" i="1"/>
  <c r="AD1234" i="1"/>
  <c r="AS1234" i="1"/>
  <c r="AT1234" i="1" s="1"/>
  <c r="AV1234" i="1" s="1"/>
  <c r="AD1232" i="1"/>
  <c r="AS1232" i="1"/>
  <c r="AD1230" i="1"/>
  <c r="AS1230" i="1"/>
  <c r="AT1230" i="1" s="1"/>
  <c r="AV1230" i="1" s="1"/>
  <c r="AD1228" i="1"/>
  <c r="AS1228" i="1"/>
  <c r="AD1226" i="1"/>
  <c r="AS1226" i="1"/>
  <c r="AD1224" i="1"/>
  <c r="AS1224" i="1"/>
  <c r="AD1222" i="1"/>
  <c r="AS1222" i="1"/>
  <c r="AT1222" i="1" s="1"/>
  <c r="AV1222" i="1" s="1"/>
  <c r="AD1220" i="1"/>
  <c r="AS1220" i="1"/>
  <c r="AD1218" i="1"/>
  <c r="AS1218" i="1"/>
  <c r="AD1216" i="1"/>
  <c r="AS1216" i="1"/>
  <c r="AD1214" i="1"/>
  <c r="AS1214" i="1"/>
  <c r="AT1214" i="1" s="1"/>
  <c r="AV1214" i="1" s="1"/>
  <c r="AD1212" i="1"/>
  <c r="AS1212" i="1"/>
  <c r="AD1210" i="1"/>
  <c r="AS1210" i="1"/>
  <c r="AD1208" i="1"/>
  <c r="AS1208" i="1"/>
  <c r="AD1206" i="1"/>
  <c r="AS1206" i="1"/>
  <c r="AT1206" i="1" s="1"/>
  <c r="AV1206" i="1" s="1"/>
  <c r="AD1204" i="1"/>
  <c r="AS1204" i="1"/>
  <c r="AD1202" i="1"/>
  <c r="AS1202" i="1"/>
  <c r="AT1202" i="1" s="1"/>
  <c r="AV1202" i="1" s="1"/>
  <c r="AD1200" i="1"/>
  <c r="AS1200" i="1"/>
  <c r="AD1198" i="1"/>
  <c r="AS1198" i="1"/>
  <c r="AT1198" i="1" s="1"/>
  <c r="AV1198" i="1" s="1"/>
  <c r="AD1196" i="1"/>
  <c r="AS1196" i="1"/>
  <c r="AD1194" i="1"/>
  <c r="AS1194" i="1"/>
  <c r="AD1192" i="1"/>
  <c r="AS1192" i="1"/>
  <c r="AD1190" i="1"/>
  <c r="AS1190" i="1"/>
  <c r="AT1190" i="1" s="1"/>
  <c r="AV1190" i="1" s="1"/>
  <c r="AD1188" i="1"/>
  <c r="AS1188" i="1"/>
  <c r="AD1186" i="1"/>
  <c r="AS1186" i="1"/>
  <c r="AD1184" i="1"/>
  <c r="AS1184" i="1"/>
  <c r="AD1182" i="1"/>
  <c r="AS1182" i="1"/>
  <c r="AT1182" i="1" s="1"/>
  <c r="AV1182" i="1" s="1"/>
  <c r="AD1180" i="1"/>
  <c r="AS1180" i="1"/>
  <c r="AD1178" i="1"/>
  <c r="AS1178" i="1"/>
  <c r="AD1176" i="1"/>
  <c r="AS1176" i="1"/>
  <c r="AD1174" i="1"/>
  <c r="AS1174" i="1"/>
  <c r="AT1174" i="1" s="1"/>
  <c r="AV1174" i="1" s="1"/>
  <c r="AD1172" i="1"/>
  <c r="AS1172" i="1"/>
  <c r="AD1170" i="1"/>
  <c r="AS1170" i="1"/>
  <c r="AT1170" i="1" s="1"/>
  <c r="AV1170" i="1" s="1"/>
  <c r="AD1168" i="1"/>
  <c r="AS1168" i="1"/>
  <c r="AD1166" i="1"/>
  <c r="AS1166" i="1"/>
  <c r="AT1166" i="1" s="1"/>
  <c r="AV1166" i="1" s="1"/>
  <c r="AD1164" i="1"/>
  <c r="AS1164" i="1"/>
  <c r="AD1162" i="1"/>
  <c r="AS1162" i="1"/>
  <c r="AD1160" i="1"/>
  <c r="AS1160" i="1"/>
  <c r="AD1158" i="1"/>
  <c r="AS1158" i="1"/>
  <c r="AT1158" i="1" s="1"/>
  <c r="AV1158" i="1" s="1"/>
  <c r="AD1156" i="1"/>
  <c r="AS1156" i="1"/>
  <c r="AD1154" i="1"/>
  <c r="AS1154" i="1"/>
  <c r="AD1152" i="1"/>
  <c r="AS1152" i="1"/>
  <c r="AD1150" i="1"/>
  <c r="AS1150" i="1"/>
  <c r="AT1150" i="1" s="1"/>
  <c r="AV1150" i="1" s="1"/>
  <c r="AD1148" i="1"/>
  <c r="AS1148" i="1"/>
  <c r="AD1146" i="1"/>
  <c r="AS1146" i="1"/>
  <c r="AD1144" i="1"/>
  <c r="AS1144" i="1"/>
  <c r="AD1142" i="1"/>
  <c r="AS1142" i="1"/>
  <c r="AT1142" i="1" s="1"/>
  <c r="AV1142" i="1" s="1"/>
  <c r="AD1140" i="1"/>
  <c r="AS1140" i="1"/>
  <c r="AD1138" i="1"/>
  <c r="AS1138" i="1"/>
  <c r="AT1138" i="1" s="1"/>
  <c r="AV1138" i="1" s="1"/>
  <c r="AD1136" i="1"/>
  <c r="AS1136" i="1"/>
  <c r="AD1134" i="1"/>
  <c r="AS1134" i="1"/>
  <c r="AD1132" i="1"/>
  <c r="AS1132" i="1"/>
  <c r="AD1130" i="1"/>
  <c r="AS1130" i="1"/>
  <c r="AD1128" i="1"/>
  <c r="AS1128" i="1"/>
  <c r="AD1126" i="1"/>
  <c r="AS1126" i="1"/>
  <c r="AD1124" i="1"/>
  <c r="AS1124" i="1"/>
  <c r="AD1122" i="1"/>
  <c r="AS1122" i="1"/>
  <c r="AT1122" i="1" s="1"/>
  <c r="AV1122" i="1" s="1"/>
  <c r="AD1120" i="1"/>
  <c r="AS1120" i="1"/>
  <c r="AD1118" i="1"/>
  <c r="AS1118" i="1"/>
  <c r="AD1116" i="1"/>
  <c r="AS1116" i="1"/>
  <c r="AD1114" i="1"/>
  <c r="AS1114" i="1"/>
  <c r="AD1112" i="1"/>
  <c r="AS1112" i="1"/>
  <c r="AD1110" i="1"/>
  <c r="AS1110" i="1"/>
  <c r="AD1108" i="1"/>
  <c r="AS1108" i="1"/>
  <c r="AD1106" i="1"/>
  <c r="AS1106" i="1"/>
  <c r="AT1106" i="1" s="1"/>
  <c r="AV1106" i="1" s="1"/>
  <c r="AD1104" i="1"/>
  <c r="AS1104" i="1"/>
  <c r="AD1102" i="1"/>
  <c r="AS1102" i="1"/>
  <c r="AD1100" i="1"/>
  <c r="AS1100" i="1"/>
  <c r="AD1098" i="1"/>
  <c r="AS1098" i="1"/>
  <c r="AD1096" i="1"/>
  <c r="AS1096" i="1"/>
  <c r="AD1094" i="1"/>
  <c r="AS1094" i="1"/>
  <c r="AD1092" i="1"/>
  <c r="AS1092" i="1"/>
  <c r="AC1090" i="1"/>
  <c r="AD1090" i="1"/>
  <c r="AS1090" i="1"/>
  <c r="AC1088" i="1"/>
  <c r="AD1088" i="1"/>
  <c r="AS1088" i="1"/>
  <c r="AT1088" i="1" s="1"/>
  <c r="AV1088" i="1" s="1"/>
  <c r="AC1086" i="1"/>
  <c r="AD1086" i="1"/>
  <c r="AS1086" i="1"/>
  <c r="AT1086" i="1" s="1"/>
  <c r="AV1086" i="1" s="1"/>
  <c r="AC1084" i="1"/>
  <c r="AD1084" i="1"/>
  <c r="AS1084" i="1"/>
  <c r="AT1084" i="1" s="1"/>
  <c r="AV1084" i="1" s="1"/>
  <c r="AC1082" i="1"/>
  <c r="AD1082" i="1"/>
  <c r="AS1082" i="1"/>
  <c r="AC1080" i="1"/>
  <c r="AD1080" i="1"/>
  <c r="AS1080" i="1"/>
  <c r="AT1080" i="1" s="1"/>
  <c r="AV1080" i="1" s="1"/>
  <c r="AC1078" i="1"/>
  <c r="AD1078" i="1"/>
  <c r="AS1078" i="1"/>
  <c r="AC1076" i="1"/>
  <c r="AD1076" i="1"/>
  <c r="AS1076" i="1"/>
  <c r="AT1076" i="1" s="1"/>
  <c r="AV1076" i="1" s="1"/>
  <c r="AC1074" i="1"/>
  <c r="AD1074" i="1"/>
  <c r="AS1074" i="1"/>
  <c r="AC1072" i="1"/>
  <c r="AD1072" i="1"/>
  <c r="AS1072" i="1"/>
  <c r="AT1072" i="1" s="1"/>
  <c r="AV1072" i="1" s="1"/>
  <c r="AC1070" i="1"/>
  <c r="AD1070" i="1"/>
  <c r="AS1070" i="1"/>
  <c r="AC1068" i="1"/>
  <c r="AD1068" i="1"/>
  <c r="AS1068" i="1"/>
  <c r="AT1068" i="1" s="1"/>
  <c r="AV1068" i="1" s="1"/>
  <c r="AC1066" i="1"/>
  <c r="AD1066" i="1"/>
  <c r="AS1066" i="1"/>
  <c r="AC1064" i="1"/>
  <c r="AD1064" i="1"/>
  <c r="AS1064" i="1"/>
  <c r="AT1064" i="1" s="1"/>
  <c r="AV1064" i="1" s="1"/>
  <c r="AC1062" i="1"/>
  <c r="AD1062" i="1"/>
  <c r="AS1062" i="1"/>
  <c r="AC1060" i="1"/>
  <c r="AD1060" i="1"/>
  <c r="AS1060" i="1"/>
  <c r="AT1060" i="1" s="1"/>
  <c r="AV1060" i="1" s="1"/>
  <c r="AC1058" i="1"/>
  <c r="AD1058" i="1"/>
  <c r="AS1058" i="1"/>
  <c r="AC1056" i="1"/>
  <c r="AD1056" i="1"/>
  <c r="AS1056" i="1"/>
  <c r="AT1056" i="1" s="1"/>
  <c r="AV1056" i="1" s="1"/>
  <c r="AC1054" i="1"/>
  <c r="AD1054" i="1"/>
  <c r="AS1054" i="1"/>
  <c r="AC1052" i="1"/>
  <c r="AD1052" i="1"/>
  <c r="AS1052" i="1"/>
  <c r="AT1052" i="1" s="1"/>
  <c r="AV1052" i="1" s="1"/>
  <c r="AC1050" i="1"/>
  <c r="AD1050" i="1"/>
  <c r="AS1050" i="1"/>
  <c r="AC1048" i="1"/>
  <c r="AD1048" i="1"/>
  <c r="AS1048" i="1"/>
  <c r="AT1048" i="1" s="1"/>
  <c r="AV1048" i="1" s="1"/>
  <c r="AC1046" i="1"/>
  <c r="AD1046" i="1"/>
  <c r="AS1046" i="1"/>
  <c r="AC1044" i="1"/>
  <c r="AD1044" i="1"/>
  <c r="AS1044" i="1"/>
  <c r="AT1044" i="1" s="1"/>
  <c r="AV1044" i="1" s="1"/>
  <c r="AC1042" i="1"/>
  <c r="AD1042" i="1"/>
  <c r="AS1042" i="1"/>
  <c r="AC1040" i="1"/>
  <c r="AD1040" i="1"/>
  <c r="AS1040" i="1"/>
  <c r="AT1040" i="1" s="1"/>
  <c r="AV1040" i="1" s="1"/>
  <c r="AC1038" i="1"/>
  <c r="AD1038" i="1"/>
  <c r="AS1038" i="1"/>
  <c r="AC1036" i="1"/>
  <c r="AD1036" i="1"/>
  <c r="AS1036" i="1"/>
  <c r="AT1036" i="1" s="1"/>
  <c r="AV1036" i="1" s="1"/>
  <c r="AC1034" i="1"/>
  <c r="AD1034" i="1"/>
  <c r="AS1034" i="1"/>
  <c r="AC1032" i="1"/>
  <c r="AD1032" i="1"/>
  <c r="AS1032" i="1"/>
  <c r="AT1032" i="1" s="1"/>
  <c r="AV1032" i="1" s="1"/>
  <c r="AC1030" i="1"/>
  <c r="AD1030" i="1"/>
  <c r="AS1030" i="1"/>
  <c r="AC1028" i="1"/>
  <c r="AD1028" i="1"/>
  <c r="AS1028" i="1"/>
  <c r="AT1028" i="1" s="1"/>
  <c r="AV1028" i="1" s="1"/>
  <c r="AC1026" i="1"/>
  <c r="AD1026" i="1"/>
  <c r="AS1026" i="1"/>
  <c r="AC1024" i="1"/>
  <c r="AD1024" i="1"/>
  <c r="AS1024" i="1"/>
  <c r="AT1024" i="1" s="1"/>
  <c r="AV1024" i="1" s="1"/>
  <c r="AC1022" i="1"/>
  <c r="AD1022" i="1"/>
  <c r="AS1022" i="1"/>
  <c r="AC1020" i="1"/>
  <c r="AD1020" i="1"/>
  <c r="AS1020" i="1"/>
  <c r="AT1020" i="1" s="1"/>
  <c r="AV1020" i="1" s="1"/>
  <c r="AC1018" i="1"/>
  <c r="AD1018" i="1"/>
  <c r="AS1018" i="1"/>
  <c r="AC1016" i="1"/>
  <c r="AD1016" i="1"/>
  <c r="AS1016" i="1"/>
  <c r="AT1016" i="1" s="1"/>
  <c r="AV1016" i="1" s="1"/>
  <c r="AC1014" i="1"/>
  <c r="AD1014" i="1"/>
  <c r="AS1014" i="1"/>
  <c r="AC1012" i="1"/>
  <c r="AD1012" i="1"/>
  <c r="AS1012" i="1"/>
  <c r="AT1012" i="1" s="1"/>
  <c r="AV1012" i="1" s="1"/>
  <c r="AC1010" i="1"/>
  <c r="AD1010" i="1"/>
  <c r="AS1010" i="1"/>
  <c r="AC1008" i="1"/>
  <c r="AD1008" i="1"/>
  <c r="AS1008" i="1"/>
  <c r="AT1008" i="1" s="1"/>
  <c r="AV1008" i="1" s="1"/>
  <c r="AC1006" i="1"/>
  <c r="AD1006" i="1"/>
  <c r="AS1006" i="1"/>
  <c r="AC1004" i="1"/>
  <c r="AD1004" i="1"/>
  <c r="AS1004" i="1"/>
  <c r="AT1004" i="1" s="1"/>
  <c r="AV1004" i="1" s="1"/>
  <c r="AC1002" i="1"/>
  <c r="AD1002" i="1"/>
  <c r="AS1002" i="1"/>
  <c r="AC1000" i="1"/>
  <c r="AD1000" i="1"/>
  <c r="AS1000" i="1"/>
  <c r="AT1000" i="1" s="1"/>
  <c r="AV1000" i="1" s="1"/>
  <c r="AC998" i="1"/>
  <c r="AD998" i="1"/>
  <c r="AS998" i="1"/>
  <c r="AC996" i="1"/>
  <c r="AD996" i="1"/>
  <c r="AS996" i="1"/>
  <c r="AT996" i="1" s="1"/>
  <c r="AV996" i="1" s="1"/>
  <c r="AC994" i="1"/>
  <c r="AD994" i="1"/>
  <c r="AS994" i="1"/>
  <c r="AC992" i="1"/>
  <c r="AD992" i="1"/>
  <c r="AS992" i="1"/>
  <c r="AT992" i="1" s="1"/>
  <c r="AV992" i="1" s="1"/>
  <c r="AC990" i="1"/>
  <c r="AD990" i="1"/>
  <c r="AS990" i="1"/>
  <c r="AC988" i="1"/>
  <c r="AD988" i="1"/>
  <c r="AS988" i="1"/>
  <c r="AT988" i="1" s="1"/>
  <c r="AV988" i="1" s="1"/>
  <c r="AC986" i="1"/>
  <c r="AD986" i="1"/>
  <c r="AS986" i="1"/>
  <c r="AC984" i="1"/>
  <c r="AD984" i="1"/>
  <c r="AS984" i="1"/>
  <c r="AT984" i="1" s="1"/>
  <c r="AV984" i="1" s="1"/>
  <c r="AC982" i="1"/>
  <c r="AD982" i="1"/>
  <c r="AS982" i="1"/>
  <c r="AC980" i="1"/>
  <c r="AD980" i="1"/>
  <c r="AS980" i="1"/>
  <c r="AT980" i="1" s="1"/>
  <c r="AV980" i="1" s="1"/>
  <c r="AC978" i="1"/>
  <c r="AD978" i="1"/>
  <c r="AS978" i="1"/>
  <c r="AC976" i="1"/>
  <c r="AD976" i="1"/>
  <c r="AS976" i="1"/>
  <c r="AT976" i="1" s="1"/>
  <c r="AV976" i="1" s="1"/>
  <c r="AC974" i="1"/>
  <c r="AD974" i="1"/>
  <c r="AS974" i="1"/>
  <c r="AC972" i="1"/>
  <c r="AD972" i="1"/>
  <c r="AS972" i="1"/>
  <c r="AT972" i="1" s="1"/>
  <c r="AV972" i="1" s="1"/>
  <c r="AC970" i="1"/>
  <c r="AD970" i="1"/>
  <c r="AS970" i="1"/>
  <c r="AC968" i="1"/>
  <c r="AD968" i="1"/>
  <c r="AS968" i="1"/>
  <c r="AT968" i="1" s="1"/>
  <c r="AV968" i="1" s="1"/>
  <c r="AC966" i="1"/>
  <c r="AD966" i="1"/>
  <c r="AS966" i="1"/>
  <c r="AC964" i="1"/>
  <c r="AD964" i="1"/>
  <c r="AS964" i="1"/>
  <c r="AT964" i="1" s="1"/>
  <c r="AV964" i="1" s="1"/>
  <c r="AC962" i="1"/>
  <c r="AD962" i="1"/>
  <c r="AS962" i="1"/>
  <c r="AC960" i="1"/>
  <c r="AD960" i="1"/>
  <c r="AS960" i="1"/>
  <c r="AT960" i="1" s="1"/>
  <c r="AV960" i="1" s="1"/>
  <c r="AC958" i="1"/>
  <c r="AD958" i="1"/>
  <c r="AS958" i="1"/>
  <c r="AC956" i="1"/>
  <c r="AD956" i="1"/>
  <c r="AS956" i="1"/>
  <c r="AT956" i="1" s="1"/>
  <c r="AV956" i="1" s="1"/>
  <c r="AC954" i="1"/>
  <c r="AD954" i="1"/>
  <c r="AS954" i="1"/>
  <c r="AC952" i="1"/>
  <c r="AD952" i="1"/>
  <c r="AS952" i="1"/>
  <c r="AT952" i="1" s="1"/>
  <c r="AV952" i="1" s="1"/>
  <c r="AC950" i="1"/>
  <c r="AD950" i="1"/>
  <c r="AS950" i="1"/>
  <c r="AC948" i="1"/>
  <c r="AD948" i="1"/>
  <c r="AS948" i="1"/>
  <c r="AT948" i="1" s="1"/>
  <c r="AV948" i="1" s="1"/>
  <c r="AC946" i="1"/>
  <c r="AD946" i="1"/>
  <c r="AS946" i="1"/>
  <c r="AC944" i="1"/>
  <c r="AD944" i="1"/>
  <c r="AS944" i="1"/>
  <c r="AT944" i="1" s="1"/>
  <c r="AV944" i="1" s="1"/>
  <c r="AC942" i="1"/>
  <c r="AD942" i="1"/>
  <c r="AS942" i="1"/>
  <c r="AC940" i="1"/>
  <c r="AD940" i="1"/>
  <c r="AS940" i="1"/>
  <c r="AT940" i="1" s="1"/>
  <c r="AV940" i="1" s="1"/>
  <c r="AC938" i="1"/>
  <c r="AD938" i="1"/>
  <c r="AS938" i="1"/>
  <c r="AC936" i="1"/>
  <c r="AD936" i="1"/>
  <c r="AS936" i="1"/>
  <c r="AT936" i="1" s="1"/>
  <c r="AV936" i="1" s="1"/>
  <c r="AC934" i="1"/>
  <c r="AD934" i="1"/>
  <c r="AS934" i="1"/>
  <c r="AC930" i="1"/>
  <c r="AD930" i="1"/>
  <c r="AS930" i="1"/>
  <c r="AC921" i="1"/>
  <c r="AD921" i="1"/>
  <c r="AS921" i="1"/>
  <c r="AT921" i="1" s="1"/>
  <c r="AV921" i="1" s="1"/>
  <c r="AG1274" i="1"/>
  <c r="AG1272" i="1"/>
  <c r="AG1270" i="1"/>
  <c r="AG1268" i="1"/>
  <c r="AG1266" i="1"/>
  <c r="AG1264" i="1"/>
  <c r="AG1262" i="1"/>
  <c r="AG1260" i="1"/>
  <c r="AG1258" i="1"/>
  <c r="AG1256" i="1"/>
  <c r="AG1254" i="1"/>
  <c r="AG1252" i="1"/>
  <c r="AG1250" i="1"/>
  <c r="AG1248" i="1"/>
  <c r="AG1246" i="1"/>
  <c r="AG1244" i="1"/>
  <c r="AG1242" i="1"/>
  <c r="AG1240" i="1"/>
  <c r="AG1238" i="1"/>
  <c r="AG1236" i="1"/>
  <c r="AG1234" i="1"/>
  <c r="AG1232" i="1"/>
  <c r="AG1230" i="1"/>
  <c r="AG1228" i="1"/>
  <c r="AG1226" i="1"/>
  <c r="AG1224" i="1"/>
  <c r="AG1222" i="1"/>
  <c r="AG1220" i="1"/>
  <c r="AG1218" i="1"/>
  <c r="AG1216" i="1"/>
  <c r="AG1214" i="1"/>
  <c r="AG1212" i="1"/>
  <c r="AG1210" i="1"/>
  <c r="AG1208" i="1"/>
  <c r="AG1206" i="1"/>
  <c r="AG1204" i="1"/>
  <c r="AG1202" i="1"/>
  <c r="AG1200" i="1"/>
  <c r="AG1198" i="1"/>
  <c r="AG1196" i="1"/>
  <c r="AG1194" i="1"/>
  <c r="AG1192" i="1"/>
  <c r="AG1190" i="1"/>
  <c r="AG1188" i="1"/>
  <c r="AG1186" i="1"/>
  <c r="AG1184" i="1"/>
  <c r="AG1182" i="1"/>
  <c r="AG1180" i="1"/>
  <c r="AG1178" i="1"/>
  <c r="AG1176" i="1"/>
  <c r="AG1174" i="1"/>
  <c r="AG1172" i="1"/>
  <c r="AG1170" i="1"/>
  <c r="AG1168" i="1"/>
  <c r="AG1166" i="1"/>
  <c r="AG1164" i="1"/>
  <c r="AG1162" i="1"/>
  <c r="AG1160" i="1"/>
  <c r="AG1158" i="1"/>
  <c r="AG1156" i="1"/>
  <c r="AG1154" i="1"/>
  <c r="AG1152" i="1"/>
  <c r="AG1150" i="1"/>
  <c r="AG1148" i="1"/>
  <c r="AG1146" i="1"/>
  <c r="AG1144" i="1"/>
  <c r="AG1142" i="1"/>
  <c r="AG1140" i="1"/>
  <c r="AG1138" i="1"/>
  <c r="AG1136" i="1"/>
  <c r="AG1134" i="1"/>
  <c r="AG1132" i="1"/>
  <c r="AG1130" i="1"/>
  <c r="AG1128" i="1"/>
  <c r="AG1126" i="1"/>
  <c r="AG1124" i="1"/>
  <c r="AG1122" i="1"/>
  <c r="AG1120" i="1"/>
  <c r="AG1118" i="1"/>
  <c r="AG1116" i="1"/>
  <c r="AG1114" i="1"/>
  <c r="AG1112" i="1"/>
  <c r="AG1110" i="1"/>
  <c r="AG1108" i="1"/>
  <c r="AG1106" i="1"/>
  <c r="AG1104" i="1"/>
  <c r="AG1102" i="1"/>
  <c r="AG1100" i="1"/>
  <c r="AG1098" i="1"/>
  <c r="AG1096" i="1"/>
  <c r="AG1094" i="1"/>
  <c r="AG1092" i="1"/>
  <c r="AG1090" i="1"/>
  <c r="AG1088" i="1"/>
  <c r="AG1086" i="1"/>
  <c r="AG1084" i="1"/>
  <c r="AG1082" i="1"/>
  <c r="AG1080" i="1"/>
  <c r="AG1078" i="1"/>
  <c r="AG1076" i="1"/>
  <c r="AG1074" i="1"/>
  <c r="AG1072" i="1"/>
  <c r="AG1070" i="1"/>
  <c r="AG1068" i="1"/>
  <c r="AG1066" i="1"/>
  <c r="AG1064" i="1"/>
  <c r="AG1062" i="1"/>
  <c r="AG1060" i="1"/>
  <c r="AG1058" i="1"/>
  <c r="AG1056" i="1"/>
  <c r="AG1054" i="1"/>
  <c r="AG1052" i="1"/>
  <c r="AG1050" i="1"/>
  <c r="AG1048" i="1"/>
  <c r="AG1046" i="1"/>
  <c r="AG1044" i="1"/>
  <c r="AG1042" i="1"/>
  <c r="AG1040" i="1"/>
  <c r="AG1038" i="1"/>
  <c r="AG1036" i="1"/>
  <c r="AG1034" i="1"/>
  <c r="AG1032" i="1"/>
  <c r="AG1030" i="1"/>
  <c r="AG1028" i="1"/>
  <c r="AG1026" i="1"/>
  <c r="AG1024" i="1"/>
  <c r="AG1022" i="1"/>
  <c r="AG1020" i="1"/>
  <c r="AG1018" i="1"/>
  <c r="AG1016" i="1"/>
  <c r="AG1014" i="1"/>
  <c r="AG1012" i="1"/>
  <c r="AG1010" i="1"/>
  <c r="AG1008" i="1"/>
  <c r="AG1006" i="1"/>
  <c r="AG1004" i="1"/>
  <c r="AG1002" i="1"/>
  <c r="AG1000" i="1"/>
  <c r="AG998" i="1"/>
  <c r="AG996" i="1"/>
  <c r="AG994" i="1"/>
  <c r="AG992" i="1"/>
  <c r="AG990" i="1"/>
  <c r="AG988" i="1"/>
  <c r="AG986" i="1"/>
  <c r="AG984" i="1"/>
  <c r="AG982" i="1"/>
  <c r="AG980" i="1"/>
  <c r="AG978" i="1"/>
  <c r="AG976" i="1"/>
  <c r="AG974" i="1"/>
  <c r="AG972" i="1"/>
  <c r="AG970" i="1"/>
  <c r="AG968" i="1"/>
  <c r="AG966" i="1"/>
  <c r="AG964" i="1"/>
  <c r="AG962" i="1"/>
  <c r="AG960" i="1"/>
  <c r="AG958" i="1"/>
  <c r="AG956" i="1"/>
  <c r="AG954" i="1"/>
  <c r="AG952" i="1"/>
  <c r="AG950" i="1"/>
  <c r="AG948" i="1"/>
  <c r="AG946" i="1"/>
  <c r="AG944" i="1"/>
  <c r="AG942" i="1"/>
  <c r="AG940" i="1"/>
  <c r="AG938" i="1"/>
  <c r="AG936" i="1"/>
  <c r="AG934" i="1"/>
  <c r="AG930" i="1"/>
  <c r="AG921" i="1"/>
  <c r="AE920" i="1"/>
  <c r="AE919" i="1"/>
  <c r="AM919" i="1" s="1"/>
  <c r="X1273" i="1"/>
  <c r="Z1273" i="1"/>
  <c r="Y1273" i="1"/>
  <c r="X1271" i="1"/>
  <c r="Y1271" i="1"/>
  <c r="Z1271" i="1"/>
  <c r="X1269" i="1"/>
  <c r="Z1269" i="1"/>
  <c r="Y1269" i="1"/>
  <c r="X1267" i="1"/>
  <c r="Y1267" i="1"/>
  <c r="Z1267" i="1"/>
  <c r="X1265" i="1"/>
  <c r="Z1265" i="1"/>
  <c r="Y1265" i="1"/>
  <c r="X1263" i="1"/>
  <c r="Y1263" i="1"/>
  <c r="Z1263" i="1"/>
  <c r="X1261" i="1"/>
  <c r="Z1261" i="1"/>
  <c r="Y1261" i="1"/>
  <c r="X1259" i="1"/>
  <c r="Y1259" i="1"/>
  <c r="Z1259" i="1"/>
  <c r="X1257" i="1"/>
  <c r="Z1257" i="1"/>
  <c r="Y1257" i="1"/>
  <c r="X1255" i="1"/>
  <c r="Y1255" i="1"/>
  <c r="Z1255" i="1"/>
  <c r="X1253" i="1"/>
  <c r="Z1253" i="1"/>
  <c r="Y1253" i="1"/>
  <c r="X1251" i="1"/>
  <c r="Y1251" i="1"/>
  <c r="Z1251" i="1"/>
  <c r="X1249" i="1"/>
  <c r="Z1249" i="1"/>
  <c r="Y1249" i="1"/>
  <c r="X1247" i="1"/>
  <c r="Y1247" i="1"/>
  <c r="Z1247" i="1"/>
  <c r="X1245" i="1"/>
  <c r="Z1245" i="1"/>
  <c r="Y1245" i="1"/>
  <c r="X1243" i="1"/>
  <c r="Y1243" i="1"/>
  <c r="Z1243" i="1"/>
  <c r="X1241" i="1"/>
  <c r="Z1241" i="1"/>
  <c r="Y1241" i="1"/>
  <c r="X1239" i="1"/>
  <c r="Y1239" i="1"/>
  <c r="Z1239" i="1"/>
  <c r="X1237" i="1"/>
  <c r="Z1237" i="1"/>
  <c r="Y1237" i="1"/>
  <c r="X1235" i="1"/>
  <c r="Y1235" i="1"/>
  <c r="Z1235" i="1"/>
  <c r="X1233" i="1"/>
  <c r="Z1233" i="1"/>
  <c r="Y1233" i="1"/>
  <c r="X1231" i="1"/>
  <c r="Y1231" i="1"/>
  <c r="Z1231" i="1"/>
  <c r="X1229" i="1"/>
  <c r="Z1229" i="1"/>
  <c r="Y1229" i="1"/>
  <c r="X1227" i="1"/>
  <c r="Y1227" i="1"/>
  <c r="Z1227" i="1"/>
  <c r="X1225" i="1"/>
  <c r="Z1225" i="1"/>
  <c r="Y1225" i="1"/>
  <c r="X1223" i="1"/>
  <c r="Y1223" i="1"/>
  <c r="Z1223" i="1"/>
  <c r="X1221" i="1"/>
  <c r="Z1221" i="1"/>
  <c r="Y1221" i="1"/>
  <c r="X1219" i="1"/>
  <c r="Y1219" i="1"/>
  <c r="Z1219" i="1"/>
  <c r="X1217" i="1"/>
  <c r="Z1217" i="1"/>
  <c r="Y1217" i="1"/>
  <c r="X1215" i="1"/>
  <c r="Y1215" i="1"/>
  <c r="Z1215" i="1"/>
  <c r="X1213" i="1"/>
  <c r="Z1213" i="1"/>
  <c r="Y1213" i="1"/>
  <c r="X1211" i="1"/>
  <c r="Y1211" i="1"/>
  <c r="Z1211" i="1"/>
  <c r="X1209" i="1"/>
  <c r="Z1209" i="1"/>
  <c r="Y1209" i="1"/>
  <c r="X1207" i="1"/>
  <c r="Y1207" i="1"/>
  <c r="Z1207" i="1"/>
  <c r="X1205" i="1"/>
  <c r="Z1205" i="1"/>
  <c r="Y1205" i="1"/>
  <c r="X1203" i="1"/>
  <c r="Y1203" i="1"/>
  <c r="Z1203" i="1"/>
  <c r="X1201" i="1"/>
  <c r="Z1201" i="1"/>
  <c r="Y1201" i="1"/>
  <c r="X1199" i="1"/>
  <c r="Y1199" i="1"/>
  <c r="Z1199" i="1"/>
  <c r="X1197" i="1"/>
  <c r="Z1197" i="1"/>
  <c r="Y1197" i="1"/>
  <c r="X1195" i="1"/>
  <c r="Y1195" i="1"/>
  <c r="Z1195" i="1"/>
  <c r="X1193" i="1"/>
  <c r="Z1193" i="1"/>
  <c r="Y1193" i="1"/>
  <c r="X1191" i="1"/>
  <c r="Y1191" i="1"/>
  <c r="Z1191" i="1"/>
  <c r="X1189" i="1"/>
  <c r="Z1189" i="1"/>
  <c r="Y1189" i="1"/>
  <c r="X1187" i="1"/>
  <c r="Y1187" i="1"/>
  <c r="Z1187" i="1"/>
  <c r="X1185" i="1"/>
  <c r="Z1185" i="1"/>
  <c r="Y1185" i="1"/>
  <c r="X1183" i="1"/>
  <c r="Y1183" i="1"/>
  <c r="Z1183" i="1"/>
  <c r="X1181" i="1"/>
  <c r="Z1181" i="1"/>
  <c r="Y1181" i="1"/>
  <c r="X1179" i="1"/>
  <c r="Y1179" i="1"/>
  <c r="Z1179" i="1"/>
  <c r="X1177" i="1"/>
  <c r="Z1177" i="1"/>
  <c r="Y1177" i="1"/>
  <c r="X1175" i="1"/>
  <c r="Y1175" i="1"/>
  <c r="Z1175" i="1"/>
  <c r="X1173" i="1"/>
  <c r="Z1173" i="1"/>
  <c r="Y1173" i="1"/>
  <c r="X1171" i="1"/>
  <c r="Y1171" i="1"/>
  <c r="Z1171" i="1"/>
  <c r="X1169" i="1"/>
  <c r="Z1169" i="1"/>
  <c r="Y1169" i="1"/>
  <c r="X1167" i="1"/>
  <c r="Y1167" i="1"/>
  <c r="Z1167" i="1"/>
  <c r="X1165" i="1"/>
  <c r="Z1165" i="1"/>
  <c r="Y1165" i="1"/>
  <c r="X1163" i="1"/>
  <c r="Y1163" i="1"/>
  <c r="Z1163" i="1"/>
  <c r="X1161" i="1"/>
  <c r="Z1161" i="1"/>
  <c r="Y1161" i="1"/>
  <c r="X1159" i="1"/>
  <c r="Y1159" i="1"/>
  <c r="Z1159" i="1"/>
  <c r="AA1159" i="1"/>
  <c r="X1157" i="1"/>
  <c r="Z1157" i="1"/>
  <c r="AA1157" i="1"/>
  <c r="Y1157" i="1"/>
  <c r="X1155" i="1"/>
  <c r="Y1155" i="1"/>
  <c r="Z1155" i="1"/>
  <c r="AA1155" i="1"/>
  <c r="X1153" i="1"/>
  <c r="Z1153" i="1"/>
  <c r="AA1153" i="1"/>
  <c r="Y1153" i="1"/>
  <c r="X1151" i="1"/>
  <c r="Y1151" i="1"/>
  <c r="Z1151" i="1"/>
  <c r="AA1151" i="1"/>
  <c r="X1149" i="1"/>
  <c r="Z1149" i="1"/>
  <c r="AA1149" i="1"/>
  <c r="Y1149" i="1"/>
  <c r="X1147" i="1"/>
  <c r="Y1147" i="1"/>
  <c r="Z1147" i="1"/>
  <c r="AA1147" i="1"/>
  <c r="X1145" i="1"/>
  <c r="Z1145" i="1"/>
  <c r="AA1145" i="1"/>
  <c r="Y1145" i="1"/>
  <c r="X1143" i="1"/>
  <c r="Y1143" i="1"/>
  <c r="Z1143" i="1"/>
  <c r="AA1143" i="1"/>
  <c r="X1141" i="1"/>
  <c r="Z1141" i="1"/>
  <c r="AA1141" i="1"/>
  <c r="Y1141" i="1"/>
  <c r="X1139" i="1"/>
  <c r="Y1139" i="1"/>
  <c r="Z1139" i="1"/>
  <c r="AA1139" i="1"/>
  <c r="X1137" i="1"/>
  <c r="Z1137" i="1"/>
  <c r="AA1137" i="1"/>
  <c r="Y1137" i="1"/>
  <c r="X1135" i="1"/>
  <c r="Y1135" i="1"/>
  <c r="Z1135" i="1"/>
  <c r="AA1135" i="1"/>
  <c r="X1133" i="1"/>
  <c r="Z1133" i="1"/>
  <c r="AA1133" i="1"/>
  <c r="Y1133" i="1"/>
  <c r="X1131" i="1"/>
  <c r="Y1131" i="1"/>
  <c r="Z1131" i="1"/>
  <c r="AA1131" i="1"/>
  <c r="X1129" i="1"/>
  <c r="Z1129" i="1"/>
  <c r="AA1129" i="1"/>
  <c r="Y1129" i="1"/>
  <c r="X1127" i="1"/>
  <c r="Y1127" i="1"/>
  <c r="Z1127" i="1"/>
  <c r="AA1127" i="1"/>
  <c r="X1125" i="1"/>
  <c r="Z1125" i="1"/>
  <c r="AA1125" i="1"/>
  <c r="Y1125" i="1"/>
  <c r="X1123" i="1"/>
  <c r="Y1123" i="1"/>
  <c r="Z1123" i="1"/>
  <c r="AA1123" i="1"/>
  <c r="X1121" i="1"/>
  <c r="Z1121" i="1"/>
  <c r="AA1121" i="1"/>
  <c r="Y1121" i="1"/>
  <c r="X1119" i="1"/>
  <c r="Y1119" i="1"/>
  <c r="Z1119" i="1"/>
  <c r="AA1119" i="1"/>
  <c r="X1117" i="1"/>
  <c r="Z1117" i="1"/>
  <c r="AA1117" i="1"/>
  <c r="Y1117" i="1"/>
  <c r="X1115" i="1"/>
  <c r="Y1115" i="1"/>
  <c r="Z1115" i="1"/>
  <c r="AA1115" i="1"/>
  <c r="X1113" i="1"/>
  <c r="Z1113" i="1"/>
  <c r="AA1113" i="1"/>
  <c r="Y1113" i="1"/>
  <c r="X1111" i="1"/>
  <c r="Y1111" i="1"/>
  <c r="Z1111" i="1"/>
  <c r="AA1111" i="1"/>
  <c r="X1109" i="1"/>
  <c r="Z1109" i="1"/>
  <c r="AA1109" i="1"/>
  <c r="Y1109" i="1"/>
  <c r="X1107" i="1"/>
  <c r="Y1107" i="1"/>
  <c r="Z1107" i="1"/>
  <c r="AA1107" i="1"/>
  <c r="X1105" i="1"/>
  <c r="Z1105" i="1"/>
  <c r="AA1105" i="1"/>
  <c r="Y1105" i="1"/>
  <c r="X1103" i="1"/>
  <c r="Y1103" i="1"/>
  <c r="Z1103" i="1"/>
  <c r="AA1103" i="1"/>
  <c r="X1101" i="1"/>
  <c r="Z1101" i="1"/>
  <c r="AA1101" i="1"/>
  <c r="Y1101" i="1"/>
  <c r="X1099" i="1"/>
  <c r="Y1099" i="1"/>
  <c r="Z1099" i="1"/>
  <c r="AA1099" i="1"/>
  <c r="X1097" i="1"/>
  <c r="Z1097" i="1"/>
  <c r="AA1097" i="1"/>
  <c r="Y1097" i="1"/>
  <c r="X1095" i="1"/>
  <c r="Y1095" i="1"/>
  <c r="Z1095" i="1"/>
  <c r="AA1095" i="1"/>
  <c r="X1093" i="1"/>
  <c r="Y1093" i="1"/>
  <c r="Z1093" i="1"/>
  <c r="AA1093" i="1"/>
  <c r="X1091" i="1"/>
  <c r="Y1091" i="1"/>
  <c r="Z1091" i="1"/>
  <c r="AA1091" i="1"/>
  <c r="X1089" i="1"/>
  <c r="Y1089" i="1"/>
  <c r="Z1089" i="1"/>
  <c r="AA1089" i="1"/>
  <c r="X1087" i="1"/>
  <c r="Y1087" i="1"/>
  <c r="Z1087" i="1"/>
  <c r="AA1087" i="1"/>
  <c r="X1085" i="1"/>
  <c r="Y1085" i="1"/>
  <c r="Z1085" i="1"/>
  <c r="AA1085" i="1"/>
  <c r="X1083" i="1"/>
  <c r="Y1083" i="1"/>
  <c r="Z1083" i="1"/>
  <c r="AA1083" i="1"/>
  <c r="X1081" i="1"/>
  <c r="Y1081" i="1"/>
  <c r="Z1081" i="1"/>
  <c r="AA1081" i="1"/>
  <c r="X1079" i="1"/>
  <c r="Y1079" i="1"/>
  <c r="Z1079" i="1"/>
  <c r="AA1079" i="1"/>
  <c r="X1077" i="1"/>
  <c r="Y1077" i="1"/>
  <c r="Z1077" i="1"/>
  <c r="AA1077" i="1"/>
  <c r="X1075" i="1"/>
  <c r="Y1075" i="1"/>
  <c r="Z1075" i="1"/>
  <c r="AA1075" i="1"/>
  <c r="X1073" i="1"/>
  <c r="Y1073" i="1"/>
  <c r="Z1073" i="1"/>
  <c r="AA1073" i="1"/>
  <c r="X1071" i="1"/>
  <c r="Y1071" i="1"/>
  <c r="Z1071" i="1"/>
  <c r="AA1071" i="1"/>
  <c r="X1069" i="1"/>
  <c r="Y1069" i="1"/>
  <c r="AA1069" i="1"/>
  <c r="Z1069" i="1"/>
  <c r="X1067" i="1"/>
  <c r="Y1067" i="1"/>
  <c r="Z1067" i="1"/>
  <c r="AA1067" i="1"/>
  <c r="X1065" i="1"/>
  <c r="Y1065" i="1"/>
  <c r="AA1065" i="1"/>
  <c r="Z1065" i="1"/>
  <c r="X1063" i="1"/>
  <c r="Y1063" i="1"/>
  <c r="Z1063" i="1"/>
  <c r="AA1063" i="1"/>
  <c r="X1061" i="1"/>
  <c r="Y1061" i="1"/>
  <c r="AA1061" i="1"/>
  <c r="Z1061" i="1"/>
  <c r="X1059" i="1"/>
  <c r="Y1059" i="1"/>
  <c r="Z1059" i="1"/>
  <c r="AA1059" i="1"/>
  <c r="X1057" i="1"/>
  <c r="Y1057" i="1"/>
  <c r="AA1057" i="1"/>
  <c r="Z1057" i="1"/>
  <c r="X1055" i="1"/>
  <c r="Y1055" i="1"/>
  <c r="Z1055" i="1"/>
  <c r="AA1055" i="1"/>
  <c r="X1053" i="1"/>
  <c r="Y1053" i="1"/>
  <c r="AA1053" i="1"/>
  <c r="Z1053" i="1"/>
  <c r="X1051" i="1"/>
  <c r="Y1051" i="1"/>
  <c r="Z1051" i="1"/>
  <c r="AA1051" i="1"/>
  <c r="X1049" i="1"/>
  <c r="Y1049" i="1"/>
  <c r="AA1049" i="1"/>
  <c r="Z1049" i="1"/>
  <c r="X1047" i="1"/>
  <c r="Y1047" i="1"/>
  <c r="Z1047" i="1"/>
  <c r="AA1047" i="1"/>
  <c r="X1045" i="1"/>
  <c r="Y1045" i="1"/>
  <c r="AA1045" i="1"/>
  <c r="Z1045" i="1"/>
  <c r="X1043" i="1"/>
  <c r="Y1043" i="1"/>
  <c r="Z1043" i="1"/>
  <c r="AA1043" i="1"/>
  <c r="X1041" i="1"/>
  <c r="Y1041" i="1"/>
  <c r="AA1041" i="1"/>
  <c r="Z1041" i="1"/>
  <c r="X1039" i="1"/>
  <c r="Y1039" i="1"/>
  <c r="Z1039" i="1"/>
  <c r="AA1039" i="1"/>
  <c r="X1037" i="1"/>
  <c r="Y1037" i="1"/>
  <c r="AA1037" i="1"/>
  <c r="Z1037" i="1"/>
  <c r="X1035" i="1"/>
  <c r="Y1035" i="1"/>
  <c r="Z1035" i="1"/>
  <c r="AA1035" i="1"/>
  <c r="X1033" i="1"/>
  <c r="Y1033" i="1"/>
  <c r="AA1033" i="1"/>
  <c r="Z1033" i="1"/>
  <c r="X1031" i="1"/>
  <c r="Y1031" i="1"/>
  <c r="Z1031" i="1"/>
  <c r="AA1031" i="1"/>
  <c r="X1029" i="1"/>
  <c r="Y1029" i="1"/>
  <c r="AA1029" i="1"/>
  <c r="Z1029" i="1"/>
  <c r="X1027" i="1"/>
  <c r="Y1027" i="1"/>
  <c r="Z1027" i="1"/>
  <c r="AA1027" i="1"/>
  <c r="X1025" i="1"/>
  <c r="Y1025" i="1"/>
  <c r="AA1025" i="1"/>
  <c r="Z1025" i="1"/>
  <c r="X1023" i="1"/>
  <c r="Y1023" i="1"/>
  <c r="Z1023" i="1"/>
  <c r="AA1023" i="1"/>
  <c r="X1021" i="1"/>
  <c r="Y1021" i="1"/>
  <c r="AA1021" i="1"/>
  <c r="Z1021" i="1"/>
  <c r="X1019" i="1"/>
  <c r="Y1019" i="1"/>
  <c r="Z1019" i="1"/>
  <c r="AA1019" i="1"/>
  <c r="X1017" i="1"/>
  <c r="Y1017" i="1"/>
  <c r="AA1017" i="1"/>
  <c r="Z1017" i="1"/>
  <c r="X1015" i="1"/>
  <c r="Y1015" i="1"/>
  <c r="Z1015" i="1"/>
  <c r="AA1015" i="1"/>
  <c r="X1013" i="1"/>
  <c r="Y1013" i="1"/>
  <c r="AA1013" i="1"/>
  <c r="Z1013" i="1"/>
  <c r="X1011" i="1"/>
  <c r="Y1011" i="1"/>
  <c r="Z1011" i="1"/>
  <c r="AA1011" i="1"/>
  <c r="X1009" i="1"/>
  <c r="Y1009" i="1"/>
  <c r="AA1009" i="1"/>
  <c r="Z1009" i="1"/>
  <c r="X1007" i="1"/>
  <c r="Y1007" i="1"/>
  <c r="Z1007" i="1"/>
  <c r="AA1007" i="1"/>
  <c r="X1005" i="1"/>
  <c r="Y1005" i="1"/>
  <c r="AA1005" i="1"/>
  <c r="Z1005" i="1"/>
  <c r="X1003" i="1"/>
  <c r="Y1003" i="1"/>
  <c r="Z1003" i="1"/>
  <c r="AA1003" i="1"/>
  <c r="X1001" i="1"/>
  <c r="Y1001" i="1"/>
  <c r="AA1001" i="1"/>
  <c r="Z1001" i="1"/>
  <c r="X999" i="1"/>
  <c r="Y999" i="1"/>
  <c r="Z999" i="1"/>
  <c r="AA999" i="1"/>
  <c r="X997" i="1"/>
  <c r="Y997" i="1"/>
  <c r="AA997" i="1"/>
  <c r="Z997" i="1"/>
  <c r="X995" i="1"/>
  <c r="Y995" i="1"/>
  <c r="Z995" i="1"/>
  <c r="AA995" i="1"/>
  <c r="X993" i="1"/>
  <c r="Y993" i="1"/>
  <c r="AA993" i="1"/>
  <c r="Z993" i="1"/>
  <c r="X991" i="1"/>
  <c r="Y991" i="1"/>
  <c r="Z991" i="1"/>
  <c r="AA991" i="1"/>
  <c r="X989" i="1"/>
  <c r="Y989" i="1"/>
  <c r="AA989" i="1"/>
  <c r="Z989" i="1"/>
  <c r="X987" i="1"/>
  <c r="Y987" i="1"/>
  <c r="Z987" i="1"/>
  <c r="AA987" i="1"/>
  <c r="X985" i="1"/>
  <c r="Y985" i="1"/>
  <c r="AA985" i="1"/>
  <c r="Z985" i="1"/>
  <c r="X983" i="1"/>
  <c r="Y983" i="1"/>
  <c r="Z983" i="1"/>
  <c r="AA983" i="1"/>
  <c r="X981" i="1"/>
  <c r="Y981" i="1"/>
  <c r="AA981" i="1"/>
  <c r="Z981" i="1"/>
  <c r="X979" i="1"/>
  <c r="Y979" i="1"/>
  <c r="Z979" i="1"/>
  <c r="AA979" i="1"/>
  <c r="X977" i="1"/>
  <c r="Y977" i="1"/>
  <c r="AA977" i="1"/>
  <c r="Z977" i="1"/>
  <c r="X975" i="1"/>
  <c r="Y975" i="1"/>
  <c r="Z975" i="1"/>
  <c r="AA975" i="1"/>
  <c r="X973" i="1"/>
  <c r="Y973" i="1"/>
  <c r="AA973" i="1"/>
  <c r="Z973" i="1"/>
  <c r="X971" i="1"/>
  <c r="Y971" i="1"/>
  <c r="Z971" i="1"/>
  <c r="AA971" i="1"/>
  <c r="X969" i="1"/>
  <c r="Y969" i="1"/>
  <c r="AA969" i="1"/>
  <c r="Z969" i="1"/>
  <c r="X967" i="1"/>
  <c r="Y967" i="1"/>
  <c r="Z967" i="1"/>
  <c r="AA967" i="1"/>
  <c r="X965" i="1"/>
  <c r="Y965" i="1"/>
  <c r="AA965" i="1"/>
  <c r="Z965" i="1"/>
  <c r="X963" i="1"/>
  <c r="Y963" i="1"/>
  <c r="Z963" i="1"/>
  <c r="AA963" i="1"/>
  <c r="X961" i="1"/>
  <c r="Y961" i="1"/>
  <c r="AA961" i="1"/>
  <c r="Z961" i="1"/>
  <c r="X959" i="1"/>
  <c r="Y959" i="1"/>
  <c r="Z959" i="1"/>
  <c r="AA959" i="1"/>
  <c r="X957" i="1"/>
  <c r="Y957" i="1"/>
  <c r="AA957" i="1"/>
  <c r="Z957" i="1"/>
  <c r="X955" i="1"/>
  <c r="Y955" i="1"/>
  <c r="Z955" i="1"/>
  <c r="AA955" i="1"/>
  <c r="X953" i="1"/>
  <c r="Y953" i="1"/>
  <c r="AA953" i="1"/>
  <c r="Z953" i="1"/>
  <c r="X951" i="1"/>
  <c r="Y951" i="1"/>
  <c r="Z951" i="1"/>
  <c r="AA951" i="1"/>
  <c r="X949" i="1"/>
  <c r="Y949" i="1"/>
  <c r="AA949" i="1"/>
  <c r="Z949" i="1"/>
  <c r="X947" i="1"/>
  <c r="Y947" i="1"/>
  <c r="Z947" i="1"/>
  <c r="AA947" i="1"/>
  <c r="X945" i="1"/>
  <c r="Y945" i="1"/>
  <c r="AA945" i="1"/>
  <c r="Z945" i="1"/>
  <c r="X943" i="1"/>
  <c r="Y943" i="1"/>
  <c r="Z943" i="1"/>
  <c r="AA943" i="1"/>
  <c r="X941" i="1"/>
  <c r="Y941" i="1"/>
  <c r="AA941" i="1"/>
  <c r="Z941" i="1"/>
  <c r="X939" i="1"/>
  <c r="Y939" i="1"/>
  <c r="Z939" i="1"/>
  <c r="AA939" i="1"/>
  <c r="X937" i="1"/>
  <c r="Y937" i="1"/>
  <c r="AA937" i="1"/>
  <c r="Z937" i="1"/>
  <c r="X935" i="1"/>
  <c r="Y935" i="1"/>
  <c r="Z935" i="1"/>
  <c r="AA935" i="1"/>
  <c r="X933" i="1"/>
  <c r="Y933" i="1"/>
  <c r="AA933" i="1"/>
  <c r="Z933" i="1"/>
  <c r="X931" i="1"/>
  <c r="Y931" i="1" s="1"/>
  <c r="Z931" i="1" s="1"/>
  <c r="AA931" i="1" s="1"/>
  <c r="X929" i="1"/>
  <c r="Y929" i="1" s="1"/>
  <c r="Z929" i="1" s="1"/>
  <c r="AA929" i="1" s="1"/>
  <c r="X927" i="1"/>
  <c r="Y927" i="1" s="1"/>
  <c r="X925" i="1"/>
  <c r="Y925" i="1" s="1"/>
  <c r="X923" i="1"/>
  <c r="Y923" i="1" s="1"/>
  <c r="X921" i="1"/>
  <c r="Y921" i="1"/>
  <c r="AA921" i="1"/>
  <c r="Z921" i="1"/>
  <c r="X919" i="1"/>
  <c r="Y919" i="1" s="1"/>
  <c r="Z919" i="1" s="1"/>
  <c r="AA919" i="1" s="1"/>
  <c r="AA1273" i="1"/>
  <c r="AA1271" i="1"/>
  <c r="AA1269" i="1"/>
  <c r="AA1267" i="1"/>
  <c r="AA1265" i="1"/>
  <c r="AA1263" i="1"/>
  <c r="AA1261" i="1"/>
  <c r="AA1259" i="1"/>
  <c r="AA1257" i="1"/>
  <c r="AA1255" i="1"/>
  <c r="AA1253" i="1"/>
  <c r="AA1251" i="1"/>
  <c r="AA1249" i="1"/>
  <c r="AA1247" i="1"/>
  <c r="AA1245" i="1"/>
  <c r="AA1243" i="1"/>
  <c r="AA1241" i="1"/>
  <c r="AA1239" i="1"/>
  <c r="AA1237" i="1"/>
  <c r="AA1235" i="1"/>
  <c r="AA1233" i="1"/>
  <c r="AA1231" i="1"/>
  <c r="AA1227" i="1"/>
  <c r="AA1223" i="1"/>
  <c r="AA1219" i="1"/>
  <c r="AA1215" i="1"/>
  <c r="AA1211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X1274" i="1"/>
  <c r="Y1274" i="1"/>
  <c r="Z1274" i="1"/>
  <c r="Y1272" i="1"/>
  <c r="X1272" i="1"/>
  <c r="Z1272" i="1"/>
  <c r="X1270" i="1"/>
  <c r="Y1270" i="1"/>
  <c r="Z1270" i="1"/>
  <c r="Y1268" i="1"/>
  <c r="X1268" i="1"/>
  <c r="Z1268" i="1"/>
  <c r="X1266" i="1"/>
  <c r="Y1266" i="1"/>
  <c r="Z1266" i="1"/>
  <c r="Y1264" i="1"/>
  <c r="X1264" i="1"/>
  <c r="Z1264" i="1"/>
  <c r="X1262" i="1"/>
  <c r="Y1262" i="1"/>
  <c r="Z1262" i="1"/>
  <c r="Y1260" i="1"/>
  <c r="X1260" i="1"/>
  <c r="Z1260" i="1"/>
  <c r="X1258" i="1"/>
  <c r="Y1258" i="1"/>
  <c r="Z1258" i="1"/>
  <c r="Y1256" i="1"/>
  <c r="X1256" i="1"/>
  <c r="Z1256" i="1"/>
  <c r="X1254" i="1"/>
  <c r="Y1254" i="1"/>
  <c r="Z1254" i="1"/>
  <c r="Y1252" i="1"/>
  <c r="X1252" i="1"/>
  <c r="Z1252" i="1"/>
  <c r="X1250" i="1"/>
  <c r="Y1250" i="1"/>
  <c r="Z1250" i="1"/>
  <c r="Y1248" i="1"/>
  <c r="X1248" i="1"/>
  <c r="Z1248" i="1"/>
  <c r="X1246" i="1"/>
  <c r="Y1246" i="1"/>
  <c r="Z1246" i="1"/>
  <c r="Y1244" i="1"/>
  <c r="X1244" i="1"/>
  <c r="Z1244" i="1"/>
  <c r="X1242" i="1"/>
  <c r="Y1242" i="1"/>
  <c r="Z1242" i="1"/>
  <c r="Y1240" i="1"/>
  <c r="X1240" i="1"/>
  <c r="Z1240" i="1"/>
  <c r="X1238" i="1"/>
  <c r="Y1238" i="1"/>
  <c r="Z1238" i="1"/>
  <c r="Y1236" i="1"/>
  <c r="X1236" i="1"/>
  <c r="Z1236" i="1"/>
  <c r="X1234" i="1"/>
  <c r="Y1234" i="1"/>
  <c r="Z1234" i="1"/>
  <c r="Y1232" i="1"/>
  <c r="X1232" i="1"/>
  <c r="Z1232" i="1"/>
  <c r="X1230" i="1"/>
  <c r="Y1230" i="1"/>
  <c r="Z1230" i="1"/>
  <c r="AA1230" i="1"/>
  <c r="Y1228" i="1"/>
  <c r="X1228" i="1"/>
  <c r="Z1228" i="1"/>
  <c r="AA1228" i="1"/>
  <c r="X1226" i="1"/>
  <c r="Y1226" i="1"/>
  <c r="Z1226" i="1"/>
  <c r="AA1226" i="1"/>
  <c r="Y1224" i="1"/>
  <c r="X1224" i="1"/>
  <c r="Z1224" i="1"/>
  <c r="AA1224" i="1"/>
  <c r="X1222" i="1"/>
  <c r="Y1222" i="1"/>
  <c r="Z1222" i="1"/>
  <c r="AA1222" i="1"/>
  <c r="Y1220" i="1"/>
  <c r="X1220" i="1"/>
  <c r="Z1220" i="1"/>
  <c r="AA1220" i="1"/>
  <c r="X1218" i="1"/>
  <c r="Y1218" i="1"/>
  <c r="Z1218" i="1"/>
  <c r="AA1218" i="1"/>
  <c r="Y1216" i="1"/>
  <c r="X1216" i="1"/>
  <c r="Z1216" i="1"/>
  <c r="AA1216" i="1"/>
  <c r="X1214" i="1"/>
  <c r="Y1214" i="1"/>
  <c r="Z1214" i="1"/>
  <c r="AA1214" i="1"/>
  <c r="Y1212" i="1"/>
  <c r="X1212" i="1"/>
  <c r="Z1212" i="1"/>
  <c r="AA1212" i="1"/>
  <c r="X1210" i="1"/>
  <c r="Y1210" i="1"/>
  <c r="Z1210" i="1"/>
  <c r="AA1210" i="1"/>
  <c r="Y1208" i="1"/>
  <c r="X1208" i="1"/>
  <c r="Z1208" i="1"/>
  <c r="AA1208" i="1"/>
  <c r="X1206" i="1"/>
  <c r="Y1206" i="1"/>
  <c r="Z1206" i="1"/>
  <c r="AA1206" i="1"/>
  <c r="Y1204" i="1"/>
  <c r="X1204" i="1"/>
  <c r="Z1204" i="1"/>
  <c r="AA1204" i="1"/>
  <c r="X1202" i="1"/>
  <c r="Y1202" i="1"/>
  <c r="Z1202" i="1"/>
  <c r="AA1202" i="1"/>
  <c r="Y1200" i="1"/>
  <c r="X1200" i="1"/>
  <c r="Z1200" i="1"/>
  <c r="AA1200" i="1"/>
  <c r="X1198" i="1"/>
  <c r="Y1198" i="1"/>
  <c r="Z1198" i="1"/>
  <c r="AA1198" i="1"/>
  <c r="Y1196" i="1"/>
  <c r="X1196" i="1"/>
  <c r="Z1196" i="1"/>
  <c r="AA1196" i="1"/>
  <c r="X1194" i="1"/>
  <c r="Y1194" i="1"/>
  <c r="Z1194" i="1"/>
  <c r="AA1194" i="1"/>
  <c r="Y1192" i="1"/>
  <c r="X1192" i="1"/>
  <c r="Z1192" i="1"/>
  <c r="AA1192" i="1"/>
  <c r="X1190" i="1"/>
  <c r="Y1190" i="1"/>
  <c r="Z1190" i="1"/>
  <c r="AA1190" i="1"/>
  <c r="Y1188" i="1"/>
  <c r="X1188" i="1"/>
  <c r="Z1188" i="1"/>
  <c r="AA1188" i="1"/>
  <c r="X1186" i="1"/>
  <c r="Y1186" i="1"/>
  <c r="Z1186" i="1"/>
  <c r="AA1186" i="1"/>
  <c r="Y1184" i="1"/>
  <c r="X1184" i="1"/>
  <c r="Z1184" i="1"/>
  <c r="AA1184" i="1"/>
  <c r="X1182" i="1"/>
  <c r="Y1182" i="1"/>
  <c r="Z1182" i="1"/>
  <c r="AA1182" i="1"/>
  <c r="Y1180" i="1"/>
  <c r="X1180" i="1"/>
  <c r="Z1180" i="1"/>
  <c r="AA1180" i="1"/>
  <c r="X1178" i="1"/>
  <c r="Y1178" i="1"/>
  <c r="Z1178" i="1"/>
  <c r="AA1178" i="1"/>
  <c r="Y1176" i="1"/>
  <c r="X1176" i="1"/>
  <c r="Z1176" i="1"/>
  <c r="AA1176" i="1"/>
  <c r="X1174" i="1"/>
  <c r="Y1174" i="1"/>
  <c r="Z1174" i="1"/>
  <c r="AA1174" i="1"/>
  <c r="Y1172" i="1"/>
  <c r="X1172" i="1"/>
  <c r="Z1172" i="1"/>
  <c r="AA1172" i="1"/>
  <c r="X1170" i="1"/>
  <c r="Y1170" i="1"/>
  <c r="Z1170" i="1"/>
  <c r="AA1170" i="1"/>
  <c r="Y1168" i="1"/>
  <c r="X1168" i="1"/>
  <c r="Z1168" i="1"/>
  <c r="AA1168" i="1"/>
  <c r="X1166" i="1"/>
  <c r="Y1166" i="1"/>
  <c r="Z1166" i="1"/>
  <c r="AA1166" i="1"/>
  <c r="Y1164" i="1"/>
  <c r="X1164" i="1"/>
  <c r="Z1164" i="1"/>
  <c r="AA1164" i="1"/>
  <c r="X1162" i="1"/>
  <c r="Y1162" i="1"/>
  <c r="Z1162" i="1"/>
  <c r="AA1162" i="1"/>
  <c r="Y1160" i="1"/>
  <c r="X1160" i="1"/>
  <c r="Z1160" i="1"/>
  <c r="AA1160" i="1"/>
  <c r="X1158" i="1"/>
  <c r="Y1158" i="1"/>
  <c r="Z1158" i="1"/>
  <c r="AA1158" i="1"/>
  <c r="Y1156" i="1"/>
  <c r="X1156" i="1"/>
  <c r="Z1156" i="1"/>
  <c r="AA1156" i="1"/>
  <c r="X1154" i="1"/>
  <c r="Y1154" i="1"/>
  <c r="Z1154" i="1"/>
  <c r="AA1154" i="1"/>
  <c r="Y1152" i="1"/>
  <c r="X1152" i="1"/>
  <c r="Z1152" i="1"/>
  <c r="AA1152" i="1"/>
  <c r="X1150" i="1"/>
  <c r="Y1150" i="1"/>
  <c r="Z1150" i="1"/>
  <c r="AA1150" i="1"/>
  <c r="Y1148" i="1"/>
  <c r="X1148" i="1"/>
  <c r="Z1148" i="1"/>
  <c r="AA1148" i="1"/>
  <c r="X1146" i="1"/>
  <c r="Y1146" i="1"/>
  <c r="Z1146" i="1"/>
  <c r="AA1146" i="1"/>
  <c r="Y1144" i="1"/>
  <c r="X1144" i="1"/>
  <c r="Z1144" i="1"/>
  <c r="AA1144" i="1"/>
  <c r="X1142" i="1"/>
  <c r="Y1142" i="1"/>
  <c r="Z1142" i="1"/>
  <c r="AA1142" i="1"/>
  <c r="Y1140" i="1"/>
  <c r="X1140" i="1"/>
  <c r="Z1140" i="1"/>
  <c r="AA1140" i="1"/>
  <c r="X1138" i="1"/>
  <c r="Y1138" i="1"/>
  <c r="Z1138" i="1"/>
  <c r="AA1138" i="1"/>
  <c r="Y1136" i="1"/>
  <c r="X1136" i="1"/>
  <c r="Z1136" i="1"/>
  <c r="AA1136" i="1"/>
  <c r="X1134" i="1"/>
  <c r="Y1134" i="1"/>
  <c r="Z1134" i="1"/>
  <c r="AA1134" i="1"/>
  <c r="Y1132" i="1"/>
  <c r="X1132" i="1"/>
  <c r="Z1132" i="1"/>
  <c r="AA1132" i="1"/>
  <c r="X1130" i="1"/>
  <c r="Y1130" i="1"/>
  <c r="Z1130" i="1"/>
  <c r="AA1130" i="1"/>
  <c r="Y1128" i="1"/>
  <c r="X1128" i="1"/>
  <c r="Z1128" i="1"/>
  <c r="AA1128" i="1"/>
  <c r="X1126" i="1"/>
  <c r="Y1126" i="1"/>
  <c r="Z1126" i="1"/>
  <c r="AA1126" i="1"/>
  <c r="Y1124" i="1"/>
  <c r="X1124" i="1"/>
  <c r="Z1124" i="1"/>
  <c r="AA1124" i="1"/>
  <c r="X1122" i="1"/>
  <c r="Y1122" i="1"/>
  <c r="Z1122" i="1"/>
  <c r="AA1122" i="1"/>
  <c r="Y1120" i="1"/>
  <c r="X1120" i="1"/>
  <c r="Z1120" i="1"/>
  <c r="AA1120" i="1"/>
  <c r="X1118" i="1"/>
  <c r="Y1118" i="1"/>
  <c r="Z1118" i="1"/>
  <c r="AA1118" i="1"/>
  <c r="Y1116" i="1"/>
  <c r="X1116" i="1"/>
  <c r="Z1116" i="1"/>
  <c r="AA1116" i="1"/>
  <c r="X1114" i="1"/>
  <c r="Y1114" i="1"/>
  <c r="Z1114" i="1"/>
  <c r="AA1114" i="1"/>
  <c r="Y1112" i="1"/>
  <c r="X1112" i="1"/>
  <c r="Z1112" i="1"/>
  <c r="AA1112" i="1"/>
  <c r="X1110" i="1"/>
  <c r="Y1110" i="1"/>
  <c r="Z1110" i="1"/>
  <c r="AA1110" i="1"/>
  <c r="Y1108" i="1"/>
  <c r="X1108" i="1"/>
  <c r="Z1108" i="1"/>
  <c r="AA1108" i="1"/>
  <c r="X1106" i="1"/>
  <c r="Y1106" i="1"/>
  <c r="Z1106" i="1"/>
  <c r="AA1106" i="1"/>
  <c r="Y1104" i="1"/>
  <c r="X1104" i="1"/>
  <c r="Z1104" i="1"/>
  <c r="AA1104" i="1"/>
  <c r="X1102" i="1"/>
  <c r="Y1102" i="1"/>
  <c r="Z1102" i="1"/>
  <c r="AA1102" i="1"/>
  <c r="Y1100" i="1"/>
  <c r="X1100" i="1"/>
  <c r="Z1100" i="1"/>
  <c r="AA1100" i="1"/>
  <c r="X1098" i="1"/>
  <c r="Y1098" i="1"/>
  <c r="Z1098" i="1"/>
  <c r="AA1098" i="1"/>
  <c r="Y1096" i="1"/>
  <c r="X1096" i="1"/>
  <c r="Z1096" i="1"/>
  <c r="AA1096" i="1"/>
  <c r="X1094" i="1"/>
  <c r="Y1094" i="1"/>
  <c r="Z1094" i="1"/>
  <c r="AA1094" i="1"/>
  <c r="X1092" i="1"/>
  <c r="Y1092" i="1"/>
  <c r="Z1092" i="1"/>
  <c r="AA1092" i="1"/>
  <c r="X1090" i="1"/>
  <c r="Y1090" i="1"/>
  <c r="Z1090" i="1"/>
  <c r="AA1090" i="1"/>
  <c r="X1088" i="1"/>
  <c r="Y1088" i="1"/>
  <c r="Z1088" i="1"/>
  <c r="AA1088" i="1"/>
  <c r="X1086" i="1"/>
  <c r="Y1086" i="1"/>
  <c r="Z1086" i="1"/>
  <c r="AA1086" i="1"/>
  <c r="X1084" i="1"/>
  <c r="Y1084" i="1"/>
  <c r="Z1084" i="1"/>
  <c r="AA1084" i="1"/>
  <c r="X1082" i="1"/>
  <c r="Y1082" i="1"/>
  <c r="Z1082" i="1"/>
  <c r="AA1082" i="1"/>
  <c r="X1080" i="1"/>
  <c r="Y1080" i="1"/>
  <c r="Z1080" i="1"/>
  <c r="AA1080" i="1"/>
  <c r="X1078" i="1"/>
  <c r="Y1078" i="1"/>
  <c r="Z1078" i="1"/>
  <c r="AA1078" i="1"/>
  <c r="X1076" i="1"/>
  <c r="Y1076" i="1"/>
  <c r="Z1076" i="1"/>
  <c r="AA1076" i="1"/>
  <c r="X1074" i="1"/>
  <c r="Y1074" i="1"/>
  <c r="Z1074" i="1"/>
  <c r="AA1074" i="1"/>
  <c r="X1072" i="1"/>
  <c r="Y1072" i="1"/>
  <c r="Z1072" i="1"/>
  <c r="AA1072" i="1"/>
  <c r="X1070" i="1"/>
  <c r="Y1070" i="1"/>
  <c r="Z1070" i="1"/>
  <c r="AA1070" i="1"/>
  <c r="Z1068" i="1"/>
  <c r="X1068" i="1"/>
  <c r="Y1068" i="1"/>
  <c r="AA1068" i="1"/>
  <c r="X1066" i="1"/>
  <c r="Y1066" i="1"/>
  <c r="Z1066" i="1"/>
  <c r="AA1066" i="1"/>
  <c r="Z1064" i="1"/>
  <c r="X1064" i="1"/>
  <c r="Y1064" i="1"/>
  <c r="AA1064" i="1"/>
  <c r="X1062" i="1"/>
  <c r="Y1062" i="1"/>
  <c r="Z1062" i="1"/>
  <c r="AA1062" i="1"/>
  <c r="Z1060" i="1"/>
  <c r="X1060" i="1"/>
  <c r="Y1060" i="1"/>
  <c r="AA1060" i="1"/>
  <c r="X1058" i="1"/>
  <c r="Y1058" i="1"/>
  <c r="Z1058" i="1"/>
  <c r="AA1058" i="1"/>
  <c r="Z1056" i="1"/>
  <c r="X1056" i="1"/>
  <c r="Y1056" i="1"/>
  <c r="AA1056" i="1"/>
  <c r="X1054" i="1"/>
  <c r="Y1054" i="1"/>
  <c r="Z1054" i="1"/>
  <c r="AA1054" i="1"/>
  <c r="Z1052" i="1"/>
  <c r="X1052" i="1"/>
  <c r="Y1052" i="1"/>
  <c r="AA1052" i="1"/>
  <c r="X1050" i="1"/>
  <c r="Y1050" i="1"/>
  <c r="Z1050" i="1"/>
  <c r="AA1050" i="1"/>
  <c r="Z1048" i="1"/>
  <c r="X1048" i="1"/>
  <c r="Y1048" i="1"/>
  <c r="AA1048" i="1"/>
  <c r="X1046" i="1"/>
  <c r="Y1046" i="1"/>
  <c r="Z1046" i="1"/>
  <c r="AA1046" i="1"/>
  <c r="Z1044" i="1"/>
  <c r="X1044" i="1"/>
  <c r="Y1044" i="1"/>
  <c r="AA1044" i="1"/>
  <c r="X1042" i="1"/>
  <c r="Y1042" i="1"/>
  <c r="Z1042" i="1"/>
  <c r="AA1042" i="1"/>
  <c r="Z1040" i="1"/>
  <c r="X1040" i="1"/>
  <c r="Y1040" i="1"/>
  <c r="AA1040" i="1"/>
  <c r="X1038" i="1"/>
  <c r="Y1038" i="1"/>
  <c r="Z1038" i="1"/>
  <c r="AA1038" i="1"/>
  <c r="Z1036" i="1"/>
  <c r="X1036" i="1"/>
  <c r="Y1036" i="1"/>
  <c r="AA1036" i="1"/>
  <c r="X1034" i="1"/>
  <c r="Y1034" i="1"/>
  <c r="Z1034" i="1"/>
  <c r="AA1034" i="1"/>
  <c r="Z1032" i="1"/>
  <c r="X1032" i="1"/>
  <c r="Y1032" i="1"/>
  <c r="AA1032" i="1"/>
  <c r="X1030" i="1"/>
  <c r="Y1030" i="1"/>
  <c r="Z1030" i="1"/>
  <c r="AA1030" i="1"/>
  <c r="Z1028" i="1"/>
  <c r="X1028" i="1"/>
  <c r="Y1028" i="1"/>
  <c r="AA1028" i="1"/>
  <c r="X1026" i="1"/>
  <c r="Y1026" i="1"/>
  <c r="Z1026" i="1"/>
  <c r="AA1026" i="1"/>
  <c r="Z1024" i="1"/>
  <c r="X1024" i="1"/>
  <c r="Y1024" i="1"/>
  <c r="AA1024" i="1"/>
  <c r="X1022" i="1"/>
  <c r="Y1022" i="1"/>
  <c r="Z1022" i="1"/>
  <c r="AA1022" i="1"/>
  <c r="Z1020" i="1"/>
  <c r="X1020" i="1"/>
  <c r="Y1020" i="1"/>
  <c r="AA1020" i="1"/>
  <c r="X1018" i="1"/>
  <c r="Y1018" i="1"/>
  <c r="Z1018" i="1"/>
  <c r="AA1018" i="1"/>
  <c r="Z1016" i="1"/>
  <c r="X1016" i="1"/>
  <c r="Y1016" i="1"/>
  <c r="AA1016" i="1"/>
  <c r="X1014" i="1"/>
  <c r="Y1014" i="1"/>
  <c r="Z1014" i="1"/>
  <c r="AA1014" i="1"/>
  <c r="Z1012" i="1"/>
  <c r="X1012" i="1"/>
  <c r="Y1012" i="1"/>
  <c r="AA1012" i="1"/>
  <c r="X1010" i="1"/>
  <c r="Y1010" i="1"/>
  <c r="Z1010" i="1"/>
  <c r="AA1010" i="1"/>
  <c r="Z1008" i="1"/>
  <c r="X1008" i="1"/>
  <c r="Y1008" i="1"/>
  <c r="AA1008" i="1"/>
  <c r="X1006" i="1"/>
  <c r="Y1006" i="1"/>
  <c r="Z1006" i="1"/>
  <c r="AA1006" i="1"/>
  <c r="Z1004" i="1"/>
  <c r="X1004" i="1"/>
  <c r="Y1004" i="1"/>
  <c r="AA1004" i="1"/>
  <c r="X1002" i="1"/>
  <c r="Y1002" i="1"/>
  <c r="Z1002" i="1"/>
  <c r="AA1002" i="1"/>
  <c r="Z1000" i="1"/>
  <c r="X1000" i="1"/>
  <c r="Y1000" i="1"/>
  <c r="AA1000" i="1"/>
  <c r="X998" i="1"/>
  <c r="Y998" i="1"/>
  <c r="Z998" i="1"/>
  <c r="AA998" i="1"/>
  <c r="Z996" i="1"/>
  <c r="X996" i="1"/>
  <c r="Y996" i="1"/>
  <c r="AA996" i="1"/>
  <c r="X994" i="1"/>
  <c r="Y994" i="1"/>
  <c r="Z994" i="1"/>
  <c r="AA994" i="1"/>
  <c r="Z992" i="1"/>
  <c r="X992" i="1"/>
  <c r="Y992" i="1"/>
  <c r="AA992" i="1"/>
  <c r="X990" i="1"/>
  <c r="Y990" i="1"/>
  <c r="Z990" i="1"/>
  <c r="AA990" i="1"/>
  <c r="Z988" i="1"/>
  <c r="X988" i="1"/>
  <c r="Y988" i="1"/>
  <c r="AA988" i="1"/>
  <c r="X986" i="1"/>
  <c r="Y986" i="1"/>
  <c r="Z986" i="1"/>
  <c r="AA986" i="1"/>
  <c r="Z984" i="1"/>
  <c r="X984" i="1"/>
  <c r="Y984" i="1"/>
  <c r="AA984" i="1"/>
  <c r="X982" i="1"/>
  <c r="Y982" i="1"/>
  <c r="Z982" i="1"/>
  <c r="AA982" i="1"/>
  <c r="Z980" i="1"/>
  <c r="X980" i="1"/>
  <c r="Y980" i="1"/>
  <c r="AA980" i="1"/>
  <c r="X978" i="1"/>
  <c r="Y978" i="1"/>
  <c r="Z978" i="1"/>
  <c r="AA978" i="1"/>
  <c r="Z976" i="1"/>
  <c r="X976" i="1"/>
  <c r="Y976" i="1"/>
  <c r="AA976" i="1"/>
  <c r="X974" i="1"/>
  <c r="Y974" i="1"/>
  <c r="Z974" i="1"/>
  <c r="AA974" i="1"/>
  <c r="Z972" i="1"/>
  <c r="X972" i="1"/>
  <c r="Y972" i="1"/>
  <c r="AA972" i="1"/>
  <c r="X970" i="1"/>
  <c r="Y970" i="1"/>
  <c r="Z970" i="1"/>
  <c r="AA970" i="1"/>
  <c r="Z968" i="1"/>
  <c r="X968" i="1"/>
  <c r="Y968" i="1"/>
  <c r="AA968" i="1"/>
  <c r="X966" i="1"/>
  <c r="Y966" i="1"/>
  <c r="Z966" i="1"/>
  <c r="AA966" i="1"/>
  <c r="Z964" i="1"/>
  <c r="X964" i="1"/>
  <c r="Y964" i="1"/>
  <c r="AA964" i="1"/>
  <c r="X962" i="1"/>
  <c r="Y962" i="1"/>
  <c r="Z962" i="1"/>
  <c r="AA962" i="1"/>
  <c r="Z960" i="1"/>
  <c r="X960" i="1"/>
  <c r="Y960" i="1"/>
  <c r="AA960" i="1"/>
  <c r="X958" i="1"/>
  <c r="Y958" i="1"/>
  <c r="Z958" i="1"/>
  <c r="AA958" i="1"/>
  <c r="Z956" i="1"/>
  <c r="X956" i="1"/>
  <c r="Y956" i="1"/>
  <c r="AA956" i="1"/>
  <c r="X954" i="1"/>
  <c r="Y954" i="1"/>
  <c r="Z954" i="1"/>
  <c r="AA954" i="1"/>
  <c r="Z952" i="1"/>
  <c r="X952" i="1"/>
  <c r="Y952" i="1"/>
  <c r="AA952" i="1"/>
  <c r="X950" i="1"/>
  <c r="Y950" i="1"/>
  <c r="Z950" i="1"/>
  <c r="AA950" i="1"/>
  <c r="Z948" i="1"/>
  <c r="X948" i="1"/>
  <c r="Y948" i="1"/>
  <c r="AA948" i="1"/>
  <c r="X946" i="1"/>
  <c r="Y946" i="1"/>
  <c r="Z946" i="1"/>
  <c r="AA946" i="1"/>
  <c r="Z944" i="1"/>
  <c r="X944" i="1"/>
  <c r="Y944" i="1"/>
  <c r="AA944" i="1"/>
  <c r="X942" i="1"/>
  <c r="Y942" i="1"/>
  <c r="Z942" i="1"/>
  <c r="AA942" i="1"/>
  <c r="Z940" i="1"/>
  <c r="X940" i="1"/>
  <c r="Y940" i="1"/>
  <c r="AA940" i="1"/>
  <c r="X938" i="1"/>
  <c r="Y938" i="1"/>
  <c r="Z938" i="1"/>
  <c r="AA938" i="1"/>
  <c r="Z936" i="1"/>
  <c r="X936" i="1"/>
  <c r="Y936" i="1"/>
  <c r="AA936" i="1"/>
  <c r="X934" i="1"/>
  <c r="Y934" i="1"/>
  <c r="Z934" i="1"/>
  <c r="AA934" i="1"/>
  <c r="Z932" i="1"/>
  <c r="X932" i="1"/>
  <c r="Y932" i="1"/>
  <c r="AA932" i="1"/>
  <c r="X930" i="1"/>
  <c r="Y930" i="1"/>
  <c r="Z930" i="1"/>
  <c r="AA930" i="1"/>
  <c r="X928" i="1"/>
  <c r="Y928" i="1"/>
  <c r="Z928" i="1" s="1"/>
  <c r="AA928" i="1" s="1"/>
  <c r="X926" i="1"/>
  <c r="Y926" i="1" s="1"/>
  <c r="X924" i="1"/>
  <c r="X922" i="1"/>
  <c r="Y922" i="1"/>
  <c r="Z922" i="1" s="1"/>
  <c r="AA922" i="1" s="1"/>
  <c r="X920" i="1"/>
  <c r="AA1274" i="1"/>
  <c r="AA1272" i="1"/>
  <c r="AA1270" i="1"/>
  <c r="AA1268" i="1"/>
  <c r="AA1266" i="1"/>
  <c r="AA1264" i="1"/>
  <c r="AA1262" i="1"/>
  <c r="AA1260" i="1"/>
  <c r="AA1258" i="1"/>
  <c r="AA1256" i="1"/>
  <c r="AA1254" i="1"/>
  <c r="AA1252" i="1"/>
  <c r="AA1250" i="1"/>
  <c r="AA1248" i="1"/>
  <c r="AA1246" i="1"/>
  <c r="AA1244" i="1"/>
  <c r="AA1242" i="1"/>
  <c r="AA1240" i="1"/>
  <c r="AA1238" i="1"/>
  <c r="AA1236" i="1"/>
  <c r="AA1234" i="1"/>
  <c r="AA1232" i="1"/>
  <c r="AA1229" i="1"/>
  <c r="AA1225" i="1"/>
  <c r="AA1221" i="1"/>
  <c r="AA1217" i="1"/>
  <c r="AA1213" i="1"/>
  <c r="AA1209" i="1"/>
  <c r="AA1205" i="1"/>
  <c r="AA1201" i="1"/>
  <c r="AA1197" i="1"/>
  <c r="AA1193" i="1"/>
  <c r="AA1189" i="1"/>
  <c r="AA1185" i="1"/>
  <c r="AA1181" i="1"/>
  <c r="AA1177" i="1"/>
  <c r="AA1173" i="1"/>
  <c r="AA1169" i="1"/>
  <c r="AA1165" i="1"/>
  <c r="AA1161" i="1"/>
  <c r="B617" i="1"/>
  <c r="C617" i="1" s="1"/>
  <c r="D617" i="1"/>
  <c r="AC617" i="1" s="1"/>
  <c r="AE617" i="1"/>
  <c r="AF617" i="1"/>
  <c r="W617" i="1" s="1"/>
  <c r="AH617" i="1"/>
  <c r="AK617" i="1" s="1"/>
  <c r="AL617" i="1"/>
  <c r="AM617" i="1" s="1"/>
  <c r="AO617" i="1"/>
  <c r="AP617" i="1" s="1"/>
  <c r="AR617" i="1"/>
  <c r="AT1270" i="1" l="1"/>
  <c r="AV1270" i="1" s="1"/>
  <c r="AM929" i="1"/>
  <c r="AM928" i="1"/>
  <c r="AN928" i="1"/>
  <c r="AT1092" i="1"/>
  <c r="AV1092" i="1" s="1"/>
  <c r="AT1096" i="1"/>
  <c r="AV1096" i="1" s="1"/>
  <c r="AT1098" i="1"/>
  <c r="AV1098" i="1" s="1"/>
  <c r="AT1100" i="1"/>
  <c r="AV1100" i="1" s="1"/>
  <c r="AT1108" i="1"/>
  <c r="AV1108" i="1" s="1"/>
  <c r="AT1112" i="1"/>
  <c r="AV1112" i="1" s="1"/>
  <c r="AT1114" i="1"/>
  <c r="AV1114" i="1" s="1"/>
  <c r="AT1116" i="1"/>
  <c r="AV1116" i="1" s="1"/>
  <c r="AT1124" i="1"/>
  <c r="AV1124" i="1" s="1"/>
  <c r="AT1130" i="1"/>
  <c r="AV1130" i="1" s="1"/>
  <c r="AT1132" i="1"/>
  <c r="AV1132" i="1" s="1"/>
  <c r="AT1140" i="1"/>
  <c r="AV1140" i="1" s="1"/>
  <c r="AT1144" i="1"/>
  <c r="AV1144" i="1" s="1"/>
  <c r="AT1148" i="1"/>
  <c r="AV1148" i="1" s="1"/>
  <c r="AT1154" i="1"/>
  <c r="AV1154" i="1" s="1"/>
  <c r="AT1156" i="1"/>
  <c r="AV1156" i="1" s="1"/>
  <c r="AT1160" i="1"/>
  <c r="AV1160" i="1" s="1"/>
  <c r="AT1164" i="1"/>
  <c r="AV1164" i="1" s="1"/>
  <c r="AT1172" i="1"/>
  <c r="AV1172" i="1" s="1"/>
  <c r="AT1180" i="1"/>
  <c r="AV1180" i="1" s="1"/>
  <c r="AT1186" i="1"/>
  <c r="AV1186" i="1" s="1"/>
  <c r="AT1188" i="1"/>
  <c r="AV1188" i="1" s="1"/>
  <c r="AT1192" i="1"/>
  <c r="AV1192" i="1" s="1"/>
  <c r="AT1204" i="1"/>
  <c r="AV1204" i="1" s="1"/>
  <c r="AT1218" i="1"/>
  <c r="AV1218" i="1" s="1"/>
  <c r="AT1220" i="1"/>
  <c r="AV1220" i="1" s="1"/>
  <c r="AT1228" i="1"/>
  <c r="AV1228" i="1" s="1"/>
  <c r="AT1236" i="1"/>
  <c r="AV1236" i="1" s="1"/>
  <c r="AT937" i="1"/>
  <c r="AV937" i="1" s="1"/>
  <c r="AT945" i="1"/>
  <c r="AV945" i="1" s="1"/>
  <c r="AT953" i="1"/>
  <c r="AV953" i="1" s="1"/>
  <c r="AT961" i="1"/>
  <c r="AV961" i="1" s="1"/>
  <c r="AT969" i="1"/>
  <c r="AV969" i="1" s="1"/>
  <c r="AT977" i="1"/>
  <c r="AV977" i="1" s="1"/>
  <c r="AT985" i="1"/>
  <c r="AV985" i="1" s="1"/>
  <c r="AT993" i="1"/>
  <c r="AV993" i="1" s="1"/>
  <c r="AT1001" i="1"/>
  <c r="AV1001" i="1" s="1"/>
  <c r="AT1009" i="1"/>
  <c r="AV1009" i="1" s="1"/>
  <c r="AT1017" i="1"/>
  <c r="AV1017" i="1" s="1"/>
  <c r="AT1025" i="1"/>
  <c r="AV1025" i="1" s="1"/>
  <c r="AT1033" i="1"/>
  <c r="AV1033" i="1" s="1"/>
  <c r="AT1041" i="1"/>
  <c r="AV1041" i="1" s="1"/>
  <c r="AT1049" i="1"/>
  <c r="AV1049" i="1" s="1"/>
  <c r="AT1057" i="1"/>
  <c r="AV1057" i="1" s="1"/>
  <c r="AT1065" i="1"/>
  <c r="AV1065" i="1" s="1"/>
  <c r="AT1073" i="1"/>
  <c r="AV1073" i="1" s="1"/>
  <c r="AT1081" i="1"/>
  <c r="AV1081" i="1" s="1"/>
  <c r="AT1089" i="1"/>
  <c r="AV1089" i="1" s="1"/>
  <c r="AT1097" i="1"/>
  <c r="AV1097" i="1" s="1"/>
  <c r="AT1105" i="1"/>
  <c r="AV1105" i="1" s="1"/>
  <c r="AT1113" i="1"/>
  <c r="AV1113" i="1" s="1"/>
  <c r="AT1121" i="1"/>
  <c r="AV1121" i="1" s="1"/>
  <c r="AT1129" i="1"/>
  <c r="AV1129" i="1" s="1"/>
  <c r="AT1137" i="1"/>
  <c r="AV1137" i="1" s="1"/>
  <c r="AT1145" i="1"/>
  <c r="AV1145" i="1" s="1"/>
  <c r="AT1153" i="1"/>
  <c r="AV1153" i="1" s="1"/>
  <c r="AT1161" i="1"/>
  <c r="AV1161" i="1" s="1"/>
  <c r="AT1169" i="1"/>
  <c r="AV1169" i="1" s="1"/>
  <c r="AT1177" i="1"/>
  <c r="AV1177" i="1" s="1"/>
  <c r="AT1185" i="1"/>
  <c r="AV1185" i="1" s="1"/>
  <c r="AT1193" i="1"/>
  <c r="AV1193" i="1" s="1"/>
  <c r="AT1201" i="1"/>
  <c r="AV1201" i="1" s="1"/>
  <c r="AT1209" i="1"/>
  <c r="AV1209" i="1" s="1"/>
  <c r="AT1217" i="1"/>
  <c r="AV1217" i="1" s="1"/>
  <c r="AT1225" i="1"/>
  <c r="AV1225" i="1" s="1"/>
  <c r="AT1233" i="1"/>
  <c r="AV1233" i="1" s="1"/>
  <c r="Z927" i="1"/>
  <c r="AA927" i="1" s="1"/>
  <c r="AT1058" i="1"/>
  <c r="AV1058" i="1" s="1"/>
  <c r="AM927" i="1"/>
  <c r="AT933" i="1"/>
  <c r="AV933" i="1" s="1"/>
  <c r="AT941" i="1"/>
  <c r="AV941" i="1" s="1"/>
  <c r="AT949" i="1"/>
  <c r="AV949" i="1" s="1"/>
  <c r="AT957" i="1"/>
  <c r="AV957" i="1" s="1"/>
  <c r="AT965" i="1"/>
  <c r="AV965" i="1" s="1"/>
  <c r="AT973" i="1"/>
  <c r="AV973" i="1" s="1"/>
  <c r="AT981" i="1"/>
  <c r="AV981" i="1" s="1"/>
  <c r="AT989" i="1"/>
  <c r="AV989" i="1" s="1"/>
  <c r="AT997" i="1"/>
  <c r="AV997" i="1" s="1"/>
  <c r="AT1005" i="1"/>
  <c r="AV1005" i="1" s="1"/>
  <c r="AT1013" i="1"/>
  <c r="AV1013" i="1" s="1"/>
  <c r="AT1021" i="1"/>
  <c r="AV1021" i="1" s="1"/>
  <c r="AT1029" i="1"/>
  <c r="AV1029" i="1" s="1"/>
  <c r="AT1037" i="1"/>
  <c r="AV1037" i="1" s="1"/>
  <c r="AT1045" i="1"/>
  <c r="AV1045" i="1" s="1"/>
  <c r="AT1053" i="1"/>
  <c r="AV1053" i="1" s="1"/>
  <c r="AT1061" i="1"/>
  <c r="AV1061" i="1" s="1"/>
  <c r="AT1069" i="1"/>
  <c r="AV1069" i="1" s="1"/>
  <c r="AT1077" i="1"/>
  <c r="AV1077" i="1" s="1"/>
  <c r="AT1085" i="1"/>
  <c r="AV1085" i="1" s="1"/>
  <c r="AT1093" i="1"/>
  <c r="AV1093" i="1" s="1"/>
  <c r="AT1245" i="1"/>
  <c r="AV1245" i="1" s="1"/>
  <c r="AT1261" i="1"/>
  <c r="AV1261" i="1" s="1"/>
  <c r="AN926" i="1"/>
  <c r="Z926" i="1"/>
  <c r="AA926" i="1" s="1"/>
  <c r="AT1094" i="1"/>
  <c r="AV1094" i="1" s="1"/>
  <c r="AT1104" i="1"/>
  <c r="AV1104" i="1" s="1"/>
  <c r="AT1120" i="1"/>
  <c r="AV1120" i="1" s="1"/>
  <c r="AT1128" i="1"/>
  <c r="AV1128" i="1" s="1"/>
  <c r="AT1136" i="1"/>
  <c r="AV1136" i="1" s="1"/>
  <c r="AT1152" i="1"/>
  <c r="AV1152" i="1" s="1"/>
  <c r="AT1168" i="1"/>
  <c r="AV1168" i="1" s="1"/>
  <c r="AT1176" i="1"/>
  <c r="AV1176" i="1" s="1"/>
  <c r="AT1184" i="1"/>
  <c r="AV1184" i="1" s="1"/>
  <c r="Z925" i="1"/>
  <c r="AA925" i="1" s="1"/>
  <c r="AN925" i="1"/>
  <c r="AM925" i="1"/>
  <c r="AT1196" i="1"/>
  <c r="AV1196" i="1" s="1"/>
  <c r="AT1212" i="1"/>
  <c r="AV1212" i="1" s="1"/>
  <c r="AT1250" i="1"/>
  <c r="AV1250" i="1" s="1"/>
  <c r="AT994" i="1"/>
  <c r="AV994" i="1" s="1"/>
  <c r="AT930" i="1"/>
  <c r="AV930" i="1" s="1"/>
  <c r="AT1208" i="1"/>
  <c r="AV1208" i="1" s="1"/>
  <c r="AT1224" i="1"/>
  <c r="AV1224" i="1" s="1"/>
  <c r="Y924" i="1"/>
  <c r="Z924" i="1" s="1"/>
  <c r="AA924" i="1" s="1"/>
  <c r="AT938" i="1"/>
  <c r="AV938" i="1" s="1"/>
  <c r="AT970" i="1"/>
  <c r="AV970" i="1" s="1"/>
  <c r="AT1002" i="1"/>
  <c r="AV1002" i="1" s="1"/>
  <c r="AT1026" i="1"/>
  <c r="AV1026" i="1" s="1"/>
  <c r="AT1034" i="1"/>
  <c r="AV1034" i="1" s="1"/>
  <c r="AT1066" i="1"/>
  <c r="AV1066" i="1" s="1"/>
  <c r="AM924" i="1"/>
  <c r="AN924" i="1"/>
  <c r="AT946" i="1"/>
  <c r="AV946" i="1" s="1"/>
  <c r="AT962" i="1"/>
  <c r="AV962" i="1" s="1"/>
  <c r="AT1010" i="1"/>
  <c r="AV1010" i="1" s="1"/>
  <c r="AT1074" i="1"/>
  <c r="AV1074" i="1" s="1"/>
  <c r="AT1090" i="1"/>
  <c r="AV1090" i="1" s="1"/>
  <c r="AT1266" i="1"/>
  <c r="AV1266" i="1" s="1"/>
  <c r="AT1242" i="1"/>
  <c r="AV1242" i="1" s="1"/>
  <c r="Z923" i="1"/>
  <c r="AA923" i="1" s="1"/>
  <c r="AT934" i="1"/>
  <c r="AV934" i="1" s="1"/>
  <c r="AT942" i="1"/>
  <c r="AV942" i="1" s="1"/>
  <c r="AT950" i="1"/>
  <c r="AV950" i="1" s="1"/>
  <c r="AT954" i="1"/>
  <c r="AV954" i="1" s="1"/>
  <c r="AT958" i="1"/>
  <c r="AV958" i="1" s="1"/>
  <c r="AT966" i="1"/>
  <c r="AV966" i="1" s="1"/>
  <c r="AT974" i="1"/>
  <c r="AV974" i="1" s="1"/>
  <c r="AT978" i="1"/>
  <c r="AV978" i="1" s="1"/>
  <c r="AT982" i="1"/>
  <c r="AV982" i="1" s="1"/>
  <c r="AT986" i="1"/>
  <c r="AV986" i="1" s="1"/>
  <c r="AT990" i="1"/>
  <c r="AV990" i="1" s="1"/>
  <c r="AT998" i="1"/>
  <c r="AV998" i="1" s="1"/>
  <c r="AT1006" i="1"/>
  <c r="AV1006" i="1" s="1"/>
  <c r="AT1014" i="1"/>
  <c r="AV1014" i="1" s="1"/>
  <c r="AT1018" i="1"/>
  <c r="AV1018" i="1" s="1"/>
  <c r="AT1022" i="1"/>
  <c r="AV1022" i="1" s="1"/>
  <c r="AT1030" i="1"/>
  <c r="AV1030" i="1" s="1"/>
  <c r="AT1038" i="1"/>
  <c r="AV1038" i="1" s="1"/>
  <c r="AT1042" i="1"/>
  <c r="AV1042" i="1" s="1"/>
  <c r="AT1046" i="1"/>
  <c r="AV1046" i="1" s="1"/>
  <c r="AT1050" i="1"/>
  <c r="AV1050" i="1" s="1"/>
  <c r="AT1054" i="1"/>
  <c r="AV1054" i="1" s="1"/>
  <c r="AT1062" i="1"/>
  <c r="AV1062" i="1" s="1"/>
  <c r="AT1070" i="1"/>
  <c r="AV1070" i="1" s="1"/>
  <c r="AT1078" i="1"/>
  <c r="AV1078" i="1" s="1"/>
  <c r="AT1082" i="1"/>
  <c r="AV1082" i="1" s="1"/>
  <c r="AT1102" i="1"/>
  <c r="AV1102" i="1" s="1"/>
  <c r="AT1110" i="1"/>
  <c r="AV1110" i="1" s="1"/>
  <c r="AT1118" i="1"/>
  <c r="AV1118" i="1" s="1"/>
  <c r="AT1126" i="1"/>
  <c r="AV1126" i="1" s="1"/>
  <c r="AT1134" i="1"/>
  <c r="AV1134" i="1" s="1"/>
  <c r="AT1146" i="1"/>
  <c r="AV1146" i="1" s="1"/>
  <c r="AT1162" i="1"/>
  <c r="AV1162" i="1" s="1"/>
  <c r="AT1178" i="1"/>
  <c r="AV1178" i="1" s="1"/>
  <c r="AT1194" i="1"/>
  <c r="AV1194" i="1" s="1"/>
  <c r="AT1200" i="1"/>
  <c r="AV1200" i="1" s="1"/>
  <c r="AT1210" i="1"/>
  <c r="AV1210" i="1" s="1"/>
  <c r="AT1216" i="1"/>
  <c r="AV1216" i="1" s="1"/>
  <c r="AT1226" i="1"/>
  <c r="AV1226" i="1" s="1"/>
  <c r="AT1232" i="1"/>
  <c r="AV1232" i="1" s="1"/>
  <c r="AN923" i="1"/>
  <c r="AM923" i="1"/>
  <c r="AT1101" i="1"/>
  <c r="AV1101" i="1" s="1"/>
  <c r="AT1109" i="1"/>
  <c r="AV1109" i="1" s="1"/>
  <c r="AT1117" i="1"/>
  <c r="AV1117" i="1" s="1"/>
  <c r="AT1125" i="1"/>
  <c r="AV1125" i="1" s="1"/>
  <c r="AT1133" i="1"/>
  <c r="AV1133" i="1" s="1"/>
  <c r="AT1141" i="1"/>
  <c r="AV1141" i="1" s="1"/>
  <c r="AT1149" i="1"/>
  <c r="AV1149" i="1" s="1"/>
  <c r="AT1157" i="1"/>
  <c r="AV1157" i="1" s="1"/>
  <c r="AT1165" i="1"/>
  <c r="AV1165" i="1" s="1"/>
  <c r="AT1173" i="1"/>
  <c r="AV1173" i="1" s="1"/>
  <c r="AT1181" i="1"/>
  <c r="AV1181" i="1" s="1"/>
  <c r="AT1189" i="1"/>
  <c r="AV1189" i="1" s="1"/>
  <c r="AT1197" i="1"/>
  <c r="AV1197" i="1" s="1"/>
  <c r="AT1205" i="1"/>
  <c r="AV1205" i="1" s="1"/>
  <c r="AT1213" i="1"/>
  <c r="AV1213" i="1" s="1"/>
  <c r="AT1221" i="1"/>
  <c r="AV1221" i="1" s="1"/>
  <c r="AT1229" i="1"/>
  <c r="AV1229" i="1" s="1"/>
  <c r="AT1237" i="1"/>
  <c r="AV1237" i="1" s="1"/>
  <c r="AT1253" i="1"/>
  <c r="AV1253" i="1" s="1"/>
  <c r="AT1269" i="1"/>
  <c r="AV1269" i="1" s="1"/>
  <c r="AT947" i="1"/>
  <c r="AV947" i="1" s="1"/>
  <c r="AT979" i="1"/>
  <c r="AV979" i="1" s="1"/>
  <c r="AT1019" i="1"/>
  <c r="AV1019" i="1" s="1"/>
  <c r="AT1075" i="1"/>
  <c r="AV1075" i="1" s="1"/>
  <c r="AM922" i="1"/>
  <c r="AN922" i="1"/>
  <c r="AN919" i="1"/>
  <c r="Y920" i="1"/>
  <c r="Z920" i="1" s="1"/>
  <c r="AA920" i="1" s="1"/>
  <c r="AM920" i="1"/>
  <c r="AN920" i="1"/>
  <c r="AN617" i="1"/>
  <c r="AD617" i="1"/>
  <c r="AU617" i="1"/>
  <c r="AS617" i="1"/>
  <c r="AI617" i="1"/>
  <c r="AG617" i="1"/>
  <c r="X617" i="1"/>
  <c r="Z617" i="1"/>
  <c r="Y617" i="1"/>
  <c r="AA617" i="1"/>
  <c r="AQ617" i="1"/>
  <c r="AT617" i="1" l="1"/>
  <c r="AV617" i="1" s="1"/>
  <c r="AK3" i="1" l="1"/>
  <c r="AK6" i="1"/>
  <c r="AK9" i="1"/>
  <c r="AK15" i="1"/>
  <c r="AK17" i="1"/>
  <c r="AK19" i="1"/>
  <c r="AK22" i="1"/>
  <c r="AK24" i="1"/>
  <c r="AK26" i="1"/>
  <c r="AK29" i="1"/>
  <c r="AK31" i="1"/>
  <c r="AK33" i="1"/>
  <c r="AK36" i="1"/>
  <c r="AK38" i="1"/>
  <c r="AK46" i="1"/>
  <c r="AK54" i="1"/>
  <c r="AK59" i="1"/>
  <c r="AK66" i="1"/>
  <c r="AK73" i="1"/>
  <c r="AK80" i="1"/>
  <c r="AK82" i="1"/>
  <c r="AK84" i="1"/>
  <c r="AK86" i="1"/>
  <c r="AK90" i="1"/>
  <c r="AK92" i="1"/>
  <c r="AK96" i="1"/>
  <c r="AK98" i="1"/>
  <c r="AK100" i="1"/>
  <c r="AK104" i="1"/>
  <c r="AK106" i="1"/>
  <c r="AK108" i="1"/>
  <c r="AK116" i="1"/>
  <c r="AK119" i="1"/>
  <c r="AK126" i="1"/>
  <c r="AK129" i="1"/>
  <c r="AK136" i="1"/>
  <c r="AK146" i="1"/>
  <c r="AK151" i="1"/>
  <c r="AK162" i="1"/>
  <c r="AK170" i="1"/>
  <c r="AK180" i="1"/>
  <c r="AK189" i="1"/>
  <c r="AK195" i="1"/>
  <c r="AK204" i="1"/>
  <c r="AK214" i="1"/>
  <c r="AK216" i="1"/>
  <c r="AK219" i="1"/>
  <c r="AK221" i="1"/>
  <c r="AK223" i="1"/>
  <c r="AK225" i="1"/>
  <c r="AK229" i="1"/>
  <c r="AK236" i="1"/>
  <c r="AK244" i="1"/>
  <c r="AK247" i="1"/>
  <c r="AK255" i="1"/>
  <c r="AK268" i="1"/>
  <c r="AK278" i="1"/>
  <c r="AK290" i="1"/>
  <c r="AK293" i="1"/>
  <c r="AK305" i="1"/>
  <c r="AK311" i="1"/>
  <c r="AK315" i="1"/>
  <c r="AK317" i="1"/>
  <c r="AK319" i="1"/>
  <c r="AK321" i="1"/>
  <c r="AK324" i="1"/>
  <c r="AK332" i="1"/>
  <c r="AK339" i="1"/>
  <c r="AK346" i="1"/>
  <c r="AK352" i="1"/>
  <c r="AK360" i="1"/>
  <c r="AK363" i="1"/>
  <c r="AK373" i="1"/>
  <c r="AK376" i="1"/>
  <c r="AK380" i="1"/>
  <c r="AK383" i="1"/>
  <c r="AK389" i="1"/>
  <c r="AK394" i="1"/>
  <c r="AK396" i="1"/>
  <c r="AK399" i="1"/>
  <c r="AK401" i="1"/>
  <c r="AK404" i="1"/>
  <c r="AK413" i="1"/>
  <c r="AK418" i="1"/>
  <c r="AK420" i="1"/>
  <c r="AK422" i="1"/>
  <c r="AK430" i="1"/>
  <c r="AK436" i="1"/>
  <c r="AK438" i="1"/>
  <c r="AK440" i="1"/>
  <c r="AK445" i="1"/>
  <c r="AK448" i="1"/>
  <c r="AK450" i="1"/>
  <c r="AK452" i="1"/>
  <c r="AK462" i="1"/>
  <c r="AK466" i="1"/>
  <c r="AK468" i="1"/>
  <c r="AK471" i="1"/>
  <c r="AK473" i="1"/>
  <c r="AK475" i="1"/>
  <c r="AK477" i="1"/>
  <c r="AK485" i="1"/>
  <c r="AK500" i="1"/>
  <c r="AK516" i="1"/>
  <c r="AK518" i="1"/>
  <c r="AK521" i="1"/>
  <c r="AK524" i="1"/>
  <c r="AK526" i="1"/>
  <c r="AK538" i="1"/>
  <c r="AK550" i="1"/>
  <c r="AK557" i="1"/>
  <c r="AK565" i="1"/>
  <c r="AK576" i="1"/>
  <c r="AK579" i="1"/>
  <c r="AK590" i="1"/>
  <c r="AK599" i="1"/>
  <c r="AK602" i="1"/>
  <c r="AK607" i="1"/>
  <c r="AK610" i="1"/>
  <c r="AK613" i="1"/>
  <c r="AK616" i="1"/>
  <c r="AK618" i="1"/>
  <c r="AK620" i="1"/>
  <c r="AK622" i="1"/>
  <c r="AK625" i="1"/>
  <c r="AK634" i="1"/>
  <c r="AK642" i="1"/>
  <c r="AK648" i="1"/>
  <c r="AK650" i="1"/>
  <c r="AK660" i="1"/>
  <c r="AK672" i="1"/>
  <c r="AK683" i="1"/>
  <c r="AK692" i="1"/>
  <c r="AK695" i="1"/>
  <c r="AK698" i="1"/>
  <c r="AK700" i="1"/>
  <c r="AK703" i="1"/>
  <c r="AK705" i="1"/>
  <c r="AK713" i="1"/>
  <c r="AK722" i="1"/>
  <c r="AK728" i="1"/>
  <c r="AK733" i="1"/>
  <c r="AK735" i="1"/>
  <c r="AK740" i="1"/>
  <c r="AK744" i="1"/>
  <c r="AK758" i="1"/>
  <c r="AK760" i="1"/>
  <c r="AK771" i="1"/>
  <c r="AK774" i="1"/>
  <c r="AK784" i="1"/>
  <c r="AK793" i="1"/>
  <c r="AK800" i="1"/>
  <c r="B789" i="1" l="1"/>
  <c r="C789" i="1" s="1"/>
  <c r="W789" i="1"/>
  <c r="X789" i="1" s="1"/>
  <c r="Y789" i="1" s="1"/>
  <c r="Z789" i="1" s="1"/>
  <c r="AA789" i="1" s="1"/>
  <c r="AF789" i="1"/>
  <c r="AE789" i="1" s="1"/>
  <c r="AL789" i="1"/>
  <c r="AO789" i="1"/>
  <c r="AP789" i="1" s="1"/>
  <c r="AR789" i="1"/>
  <c r="AN789" i="1" l="1"/>
  <c r="AM789" i="1"/>
  <c r="B754" i="1"/>
  <c r="C754" i="1" s="1"/>
  <c r="AF754" i="1"/>
  <c r="W754" i="1" s="1"/>
  <c r="AL754" i="1"/>
  <c r="AO754" i="1"/>
  <c r="AP754" i="1" s="1"/>
  <c r="AR754" i="1"/>
  <c r="B751" i="1"/>
  <c r="C751" i="1" s="1"/>
  <c r="AF751" i="1"/>
  <c r="W751" i="1" s="1"/>
  <c r="AL751" i="1"/>
  <c r="AO751" i="1"/>
  <c r="AP751" i="1" s="1"/>
  <c r="AR751" i="1"/>
  <c r="B748" i="1"/>
  <c r="C748" i="1" s="1"/>
  <c r="AF748" i="1"/>
  <c r="AE748" i="1" s="1"/>
  <c r="AL748" i="1"/>
  <c r="AO748" i="1"/>
  <c r="AP748" i="1" s="1"/>
  <c r="AR748" i="1"/>
  <c r="B747" i="1"/>
  <c r="C747" i="1" s="1"/>
  <c r="AF747" i="1"/>
  <c r="W747" i="1" s="1"/>
  <c r="AL747" i="1"/>
  <c r="AO747" i="1"/>
  <c r="AP747" i="1" s="1"/>
  <c r="AR747" i="1"/>
  <c r="B745" i="1"/>
  <c r="C745" i="1" s="1"/>
  <c r="AF745" i="1"/>
  <c r="W745" i="1" s="1"/>
  <c r="X745" i="1" s="1"/>
  <c r="Y745" i="1" s="1"/>
  <c r="AL745" i="1"/>
  <c r="AO745" i="1"/>
  <c r="AP745" i="1" s="1"/>
  <c r="AR745" i="1"/>
  <c r="AM748" i="1" l="1"/>
  <c r="AE754" i="1"/>
  <c r="AM754" i="1" s="1"/>
  <c r="AE751" i="1"/>
  <c r="AN751" i="1" s="1"/>
  <c r="X754" i="1"/>
  <c r="Y754" i="1" s="1"/>
  <c r="Z754" i="1" s="1"/>
  <c r="AA754" i="1" s="1"/>
  <c r="W748" i="1"/>
  <c r="X748" i="1" s="1"/>
  <c r="Y748" i="1" s="1"/>
  <c r="X751" i="1"/>
  <c r="Y751" i="1" s="1"/>
  <c r="Z751" i="1" s="1"/>
  <c r="AA751" i="1" s="1"/>
  <c r="AN748" i="1"/>
  <c r="Z748" i="1"/>
  <c r="AA748" i="1" s="1"/>
  <c r="AE747" i="1"/>
  <c r="X747" i="1"/>
  <c r="Y747" i="1" s="1"/>
  <c r="Z747" i="1" s="1"/>
  <c r="AA747" i="1" s="1"/>
  <c r="AE745" i="1"/>
  <c r="AN745" i="1" s="1"/>
  <c r="Z745" i="1"/>
  <c r="AA745" i="1" s="1"/>
  <c r="N737" i="1"/>
  <c r="P736" i="1"/>
  <c r="N736" i="1"/>
  <c r="P735" i="1"/>
  <c r="N735" i="1"/>
  <c r="AM751" i="1" l="1"/>
  <c r="AN754" i="1"/>
  <c r="AM747" i="1"/>
  <c r="AN747" i="1"/>
  <c r="AM745" i="1"/>
  <c r="G1" i="13"/>
  <c r="G13" i="3"/>
  <c r="F1" i="13" l="1"/>
  <c r="N616" i="1" l="1"/>
  <c r="N610" i="1"/>
  <c r="P524" i="1" l="1"/>
  <c r="P522" i="1"/>
  <c r="B520" i="1"/>
  <c r="C520" i="1" s="1"/>
  <c r="D520" i="1"/>
  <c r="AS520" i="1" s="1"/>
  <c r="AE520" i="1"/>
  <c r="AF520" i="1"/>
  <c r="W520" i="1" s="1"/>
  <c r="AH520" i="1"/>
  <c r="AK520" i="1" s="1"/>
  <c r="AL520" i="1"/>
  <c r="AQ520" i="1" s="1"/>
  <c r="AO520" i="1"/>
  <c r="AP520" i="1" s="1"/>
  <c r="AR520" i="1"/>
  <c r="P521" i="1"/>
  <c r="P469" i="1"/>
  <c r="N469" i="1"/>
  <c r="P468" i="1"/>
  <c r="N468" i="1"/>
  <c r="AM520" i="1" l="1"/>
  <c r="AD520" i="1"/>
  <c r="AU520" i="1"/>
  <c r="AN520" i="1"/>
  <c r="X520" i="1"/>
  <c r="AA520" i="1"/>
  <c r="AC520" i="1"/>
  <c r="Y520" i="1"/>
  <c r="Z520" i="1"/>
  <c r="AI520" i="1"/>
  <c r="AG520" i="1"/>
  <c r="AT520" i="1" l="1"/>
  <c r="AV520" i="1" s="1"/>
  <c r="AH5" i="1" l="1"/>
  <c r="AK5" i="1" s="1"/>
  <c r="AH8" i="1"/>
  <c r="AK8" i="1" s="1"/>
  <c r="AH14" i="1"/>
  <c r="AK14" i="1" s="1"/>
  <c r="AH16" i="1"/>
  <c r="AK16" i="1" s="1"/>
  <c r="AH18" i="1"/>
  <c r="AK18" i="1" s="1"/>
  <c r="AH21" i="1"/>
  <c r="AK21" i="1" s="1"/>
  <c r="AH23" i="1"/>
  <c r="AK23" i="1" s="1"/>
  <c r="AH25" i="1"/>
  <c r="AK25" i="1" s="1"/>
  <c r="AH28" i="1"/>
  <c r="AK28" i="1" s="1"/>
  <c r="AH30" i="1"/>
  <c r="AK30" i="1" s="1"/>
  <c r="AH32" i="1"/>
  <c r="AK32" i="1" s="1"/>
  <c r="AH35" i="1"/>
  <c r="AK35" i="1" s="1"/>
  <c r="AH37" i="1"/>
  <c r="AK37" i="1" s="1"/>
  <c r="AH45" i="1"/>
  <c r="AK45" i="1" s="1"/>
  <c r="AH53" i="1"/>
  <c r="AK53" i="1" s="1"/>
  <c r="AH58" i="1"/>
  <c r="AK58" i="1" s="1"/>
  <c r="AH65" i="1"/>
  <c r="AK65" i="1" s="1"/>
  <c r="AH72" i="1"/>
  <c r="AK72" i="1" s="1"/>
  <c r="AH79" i="1"/>
  <c r="AK79" i="1" s="1"/>
  <c r="AH81" i="1"/>
  <c r="AK81" i="1" s="1"/>
  <c r="AH83" i="1"/>
  <c r="AK83" i="1" s="1"/>
  <c r="AH85" i="1"/>
  <c r="AK85" i="1" s="1"/>
  <c r="AH89" i="1"/>
  <c r="AK89" i="1" s="1"/>
  <c r="AH91" i="1"/>
  <c r="AK91" i="1" s="1"/>
  <c r="AH95" i="1"/>
  <c r="AK95" i="1" s="1"/>
  <c r="AH97" i="1"/>
  <c r="AK97" i="1" s="1"/>
  <c r="AH99" i="1"/>
  <c r="AK99" i="1" s="1"/>
  <c r="AH103" i="1"/>
  <c r="AK103" i="1" s="1"/>
  <c r="AH105" i="1"/>
  <c r="AK105" i="1" s="1"/>
  <c r="AH107" i="1"/>
  <c r="AK107" i="1" s="1"/>
  <c r="AH115" i="1"/>
  <c r="AK115" i="1" s="1"/>
  <c r="AH118" i="1"/>
  <c r="AK118" i="1" s="1"/>
  <c r="AH125" i="1"/>
  <c r="AK125" i="1" s="1"/>
  <c r="AH128" i="1"/>
  <c r="AK128" i="1" s="1"/>
  <c r="AH135" i="1"/>
  <c r="AK135" i="1" s="1"/>
  <c r="AH145" i="1"/>
  <c r="AK145" i="1" s="1"/>
  <c r="AH150" i="1"/>
  <c r="AK150" i="1" s="1"/>
  <c r="AH161" i="1"/>
  <c r="AK161" i="1" s="1"/>
  <c r="AH169" i="1"/>
  <c r="AK169" i="1" s="1"/>
  <c r="AH179" i="1"/>
  <c r="AK179" i="1" s="1"/>
  <c r="AH188" i="1"/>
  <c r="AK188" i="1" s="1"/>
  <c r="AH194" i="1"/>
  <c r="AK194" i="1" s="1"/>
  <c r="AH203" i="1"/>
  <c r="AK203" i="1" s="1"/>
  <c r="AH213" i="1"/>
  <c r="AK213" i="1" s="1"/>
  <c r="AH215" i="1"/>
  <c r="AK215" i="1" s="1"/>
  <c r="AH217" i="1"/>
  <c r="AK217" i="1" s="1"/>
  <c r="AH218" i="1"/>
  <c r="AK218" i="1" s="1"/>
  <c r="AH220" i="1"/>
  <c r="AK220" i="1" s="1"/>
  <c r="AH222" i="1"/>
  <c r="AK222" i="1" s="1"/>
  <c r="AH224" i="1"/>
  <c r="AK224" i="1" s="1"/>
  <c r="AH228" i="1"/>
  <c r="AK228" i="1" s="1"/>
  <c r="AH235" i="1"/>
  <c r="AK235" i="1" s="1"/>
  <c r="AH243" i="1"/>
  <c r="AK243" i="1" s="1"/>
  <c r="AH246" i="1"/>
  <c r="AK246" i="1" s="1"/>
  <c r="AH254" i="1"/>
  <c r="AK254" i="1" s="1"/>
  <c r="AH267" i="1"/>
  <c r="AK267" i="1" s="1"/>
  <c r="AH277" i="1"/>
  <c r="AK277" i="1" s="1"/>
  <c r="AH289" i="1"/>
  <c r="AK289" i="1" s="1"/>
  <c r="AH292" i="1"/>
  <c r="AK292" i="1" s="1"/>
  <c r="AH304" i="1"/>
  <c r="AK304" i="1" s="1"/>
  <c r="AH310" i="1"/>
  <c r="AK310" i="1" s="1"/>
  <c r="AH314" i="1"/>
  <c r="AK314" i="1" s="1"/>
  <c r="AH316" i="1"/>
  <c r="AK316" i="1" s="1"/>
  <c r="AH318" i="1"/>
  <c r="AK318" i="1" s="1"/>
  <c r="AH320" i="1"/>
  <c r="AK320" i="1" s="1"/>
  <c r="AH323" i="1"/>
  <c r="AK323" i="1" s="1"/>
  <c r="AH331" i="1"/>
  <c r="AK331" i="1" s="1"/>
  <c r="AH338" i="1"/>
  <c r="AK338" i="1" s="1"/>
  <c r="AH345" i="1"/>
  <c r="AK345" i="1" s="1"/>
  <c r="AH351" i="1"/>
  <c r="AK351" i="1" s="1"/>
  <c r="AH359" i="1"/>
  <c r="AK359" i="1" s="1"/>
  <c r="AH362" i="1"/>
  <c r="AK362" i="1" s="1"/>
  <c r="AH372" i="1"/>
  <c r="AK372" i="1" s="1"/>
  <c r="AH375" i="1"/>
  <c r="AK375" i="1" s="1"/>
  <c r="AH379" i="1"/>
  <c r="AK379" i="1" s="1"/>
  <c r="AH382" i="1"/>
  <c r="AK382" i="1" s="1"/>
  <c r="AH388" i="1"/>
  <c r="AK388" i="1" s="1"/>
  <c r="AH393" i="1"/>
  <c r="AK393" i="1" s="1"/>
  <c r="AH395" i="1"/>
  <c r="AK395" i="1" s="1"/>
  <c r="AH398" i="1"/>
  <c r="AK398" i="1" s="1"/>
  <c r="AH400" i="1"/>
  <c r="AK400" i="1" s="1"/>
  <c r="AH403" i="1"/>
  <c r="AK403" i="1" s="1"/>
  <c r="AH412" i="1"/>
  <c r="AK412" i="1" s="1"/>
  <c r="AH417" i="1"/>
  <c r="AK417" i="1" s="1"/>
  <c r="AH419" i="1"/>
  <c r="AK419" i="1" s="1"/>
  <c r="AH421" i="1"/>
  <c r="AK421" i="1" s="1"/>
  <c r="AH429" i="1"/>
  <c r="AK429" i="1" s="1"/>
  <c r="AH435" i="1"/>
  <c r="AK435" i="1" s="1"/>
  <c r="AH437" i="1"/>
  <c r="AK437" i="1" s="1"/>
  <c r="AH439" i="1"/>
  <c r="AK439" i="1" s="1"/>
  <c r="AH444" i="1"/>
  <c r="AK444" i="1" s="1"/>
  <c r="AH447" i="1"/>
  <c r="AK447" i="1" s="1"/>
  <c r="AH449" i="1"/>
  <c r="AK449" i="1" s="1"/>
  <c r="AH451" i="1"/>
  <c r="AK451" i="1" s="1"/>
  <c r="AH461" i="1"/>
  <c r="AK461" i="1" s="1"/>
  <c r="AH465" i="1"/>
  <c r="AK465" i="1" s="1"/>
  <c r="AH467" i="1"/>
  <c r="AK467" i="1" s="1"/>
  <c r="AH470" i="1"/>
  <c r="AK470" i="1" s="1"/>
  <c r="AH472" i="1"/>
  <c r="AK472" i="1" s="1"/>
  <c r="AH474" i="1"/>
  <c r="AK474" i="1" s="1"/>
  <c r="AH476" i="1"/>
  <c r="AK476" i="1" s="1"/>
  <c r="AH484" i="1"/>
  <c r="AK484" i="1" s="1"/>
  <c r="AH499" i="1"/>
  <c r="AK499" i="1" s="1"/>
  <c r="AH515" i="1"/>
  <c r="AK515" i="1" s="1"/>
  <c r="AH517" i="1"/>
  <c r="AK517" i="1" s="1"/>
  <c r="AH523" i="1"/>
  <c r="AK523" i="1" s="1"/>
  <c r="AH525" i="1"/>
  <c r="AK525" i="1" s="1"/>
  <c r="AH537" i="1"/>
  <c r="AK537" i="1" s="1"/>
  <c r="AH549" i="1"/>
  <c r="AK549" i="1" s="1"/>
  <c r="AH556" i="1"/>
  <c r="AK556" i="1" s="1"/>
  <c r="AH564" i="1"/>
  <c r="AK564" i="1" s="1"/>
  <c r="AH575" i="1"/>
  <c r="AK575" i="1" s="1"/>
  <c r="AH578" i="1"/>
  <c r="AK578" i="1" s="1"/>
  <c r="AH589" i="1"/>
  <c r="AK589" i="1" s="1"/>
  <c r="AH598" i="1"/>
  <c r="AK598" i="1" s="1"/>
  <c r="AH601" i="1"/>
  <c r="AK601" i="1" s="1"/>
  <c r="AH606" i="1"/>
  <c r="AK606" i="1" s="1"/>
  <c r="AH609" i="1"/>
  <c r="AK609" i="1" s="1"/>
  <c r="AH612" i="1"/>
  <c r="AK612" i="1" s="1"/>
  <c r="AH615" i="1"/>
  <c r="AK615" i="1" s="1"/>
  <c r="AH619" i="1"/>
  <c r="AK619" i="1" s="1"/>
  <c r="AH621" i="1"/>
  <c r="AK621" i="1" s="1"/>
  <c r="AH624" i="1"/>
  <c r="AK624" i="1" s="1"/>
  <c r="AH633" i="1"/>
  <c r="AK633" i="1" s="1"/>
  <c r="AH641" i="1"/>
  <c r="AK641" i="1" s="1"/>
  <c r="AH647" i="1"/>
  <c r="AK647" i="1" s="1"/>
  <c r="AH649" i="1"/>
  <c r="AK649" i="1" s="1"/>
  <c r="AH659" i="1"/>
  <c r="AK659" i="1" s="1"/>
  <c r="AH671" i="1"/>
  <c r="AK671" i="1" s="1"/>
  <c r="AH682" i="1"/>
  <c r="AK682" i="1" s="1"/>
  <c r="AH691" i="1"/>
  <c r="AK691" i="1" s="1"/>
  <c r="AH694" i="1"/>
  <c r="AK694" i="1" s="1"/>
  <c r="AH697" i="1"/>
  <c r="AK697" i="1" s="1"/>
  <c r="AH699" i="1"/>
  <c r="AK699" i="1" s="1"/>
  <c r="AH702" i="1"/>
  <c r="AK702" i="1" s="1"/>
  <c r="AH704" i="1"/>
  <c r="AK704" i="1" s="1"/>
  <c r="AH712" i="1"/>
  <c r="AK712" i="1" s="1"/>
  <c r="AH721" i="1"/>
  <c r="AK721" i="1" s="1"/>
  <c r="AH727" i="1"/>
  <c r="AK727" i="1" s="1"/>
  <c r="AH732" i="1"/>
  <c r="AK732" i="1" s="1"/>
  <c r="AH734" i="1"/>
  <c r="AK734" i="1" s="1"/>
  <c r="AH739" i="1"/>
  <c r="AK739" i="1" s="1"/>
  <c r="AH743" i="1"/>
  <c r="AK743" i="1" s="1"/>
  <c r="AH757" i="1"/>
  <c r="AK757" i="1" s="1"/>
  <c r="AH759" i="1"/>
  <c r="AK759" i="1" s="1"/>
  <c r="AH770" i="1"/>
  <c r="AK770" i="1" s="1"/>
  <c r="AH773" i="1"/>
  <c r="AK773" i="1" s="1"/>
  <c r="AH783" i="1"/>
  <c r="AK783" i="1" s="1"/>
  <c r="AH792" i="1"/>
  <c r="AK792" i="1" s="1"/>
  <c r="AH799" i="1"/>
  <c r="AK799" i="1" s="1"/>
  <c r="AH803" i="1"/>
  <c r="AK803" i="1" s="1"/>
  <c r="AH805" i="1"/>
  <c r="AK805" i="1" s="1"/>
  <c r="AH809" i="1"/>
  <c r="AK809" i="1" s="1"/>
  <c r="AH816" i="1"/>
  <c r="AK816" i="1" s="1"/>
  <c r="AH823" i="1"/>
  <c r="AK823" i="1" s="1"/>
  <c r="AH833" i="1"/>
  <c r="AK833" i="1" s="1"/>
  <c r="AH835" i="1"/>
  <c r="AK835" i="1" s="1"/>
  <c r="AH838" i="1"/>
  <c r="AK838" i="1" s="1"/>
  <c r="AH840" i="1"/>
  <c r="AK840" i="1" s="1"/>
  <c r="AH842" i="1"/>
  <c r="AK842" i="1" s="1"/>
  <c r="AH844" i="1"/>
  <c r="AK844" i="1" s="1"/>
  <c r="AH854" i="1"/>
  <c r="AK854" i="1" s="1"/>
  <c r="AH857" i="1"/>
  <c r="AK857" i="1" s="1"/>
  <c r="AH862" i="1"/>
  <c r="AK862" i="1" s="1"/>
  <c r="AH879" i="1"/>
  <c r="AK879" i="1" s="1"/>
  <c r="AH892" i="1"/>
  <c r="AK892" i="1" s="1"/>
  <c r="AH895" i="1"/>
  <c r="AK895" i="1" s="1"/>
  <c r="AH897" i="1"/>
  <c r="AK897" i="1" s="1"/>
  <c r="AH909" i="1"/>
  <c r="AK909" i="1" s="1"/>
  <c r="AH916" i="1"/>
  <c r="AK916" i="1" s="1"/>
  <c r="AF3" i="1"/>
  <c r="W3" i="1" s="1"/>
  <c r="AF4" i="1"/>
  <c r="AF5" i="1"/>
  <c r="W5" i="1" s="1"/>
  <c r="AF6" i="1"/>
  <c r="AF7" i="1"/>
  <c r="AE7" i="1" s="1"/>
  <c r="AF8" i="1"/>
  <c r="W8" i="1" s="1"/>
  <c r="AF9" i="1"/>
  <c r="W9" i="1" s="1"/>
  <c r="AF10" i="1"/>
  <c r="AF11" i="1"/>
  <c r="W11" i="1" s="1"/>
  <c r="AF12" i="1"/>
  <c r="AF13" i="1"/>
  <c r="W13" i="1" s="1"/>
  <c r="AF14" i="1"/>
  <c r="W14" i="1" s="1"/>
  <c r="AA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AF21" i="1"/>
  <c r="W21" i="1" s="1"/>
  <c r="AF22" i="1"/>
  <c r="AF23" i="1"/>
  <c r="W23" i="1" s="1"/>
  <c r="AF24" i="1"/>
  <c r="AF25" i="1"/>
  <c r="W25" i="1" s="1"/>
  <c r="AF26" i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AF35" i="1"/>
  <c r="W35" i="1" s="1"/>
  <c r="AF36" i="1"/>
  <c r="AF37" i="1"/>
  <c r="W37" i="1" s="1"/>
  <c r="AF38" i="1"/>
  <c r="AF39" i="1"/>
  <c r="W39" i="1" s="1"/>
  <c r="AF40" i="1"/>
  <c r="AF41" i="1"/>
  <c r="W41" i="1" s="1"/>
  <c r="AF42" i="1"/>
  <c r="AF43" i="1"/>
  <c r="W43" i="1" s="1"/>
  <c r="AF44" i="1"/>
  <c r="AF45" i="1"/>
  <c r="W45" i="1" s="1"/>
  <c r="AF46" i="1"/>
  <c r="AF47" i="1"/>
  <c r="W47" i="1" s="1"/>
  <c r="AF48" i="1"/>
  <c r="AF49" i="1"/>
  <c r="W49" i="1" s="1"/>
  <c r="AF50" i="1"/>
  <c r="AF51" i="1"/>
  <c r="W51" i="1" s="1"/>
  <c r="AF52" i="1"/>
  <c r="AF53" i="1"/>
  <c r="W53" i="1" s="1"/>
  <c r="AF54" i="1"/>
  <c r="AF55" i="1"/>
  <c r="W55" i="1" s="1"/>
  <c r="AF56" i="1"/>
  <c r="AF57" i="1"/>
  <c r="W57" i="1" s="1"/>
  <c r="AF58" i="1"/>
  <c r="W58" i="1" s="1"/>
  <c r="AF59" i="1"/>
  <c r="AE59" i="1" s="1"/>
  <c r="AF60" i="1"/>
  <c r="AE60" i="1" s="1"/>
  <c r="AF61" i="1"/>
  <c r="AF62" i="1"/>
  <c r="AE62" i="1" s="1"/>
  <c r="AF63" i="1"/>
  <c r="AE63" i="1" s="1"/>
  <c r="AF64" i="1"/>
  <c r="AE64" i="1" s="1"/>
  <c r="AF65" i="1"/>
  <c r="W65" i="1" s="1"/>
  <c r="AF66" i="1"/>
  <c r="AE66" i="1" s="1"/>
  <c r="AF67" i="1"/>
  <c r="AE67" i="1" s="1"/>
  <c r="AF68" i="1"/>
  <c r="AE68" i="1" s="1"/>
  <c r="AF69" i="1"/>
  <c r="AF70" i="1"/>
  <c r="AE70" i="1" s="1"/>
  <c r="AF71" i="1"/>
  <c r="AE71" i="1" s="1"/>
  <c r="AF72" i="1"/>
  <c r="W72" i="1" s="1"/>
  <c r="AF73" i="1"/>
  <c r="W73" i="1" s="1"/>
  <c r="AF74" i="1"/>
  <c r="AF75" i="1"/>
  <c r="W75" i="1" s="1"/>
  <c r="AF76" i="1"/>
  <c r="AF77" i="1"/>
  <c r="W77" i="1" s="1"/>
  <c r="AF78" i="1"/>
  <c r="AF79" i="1"/>
  <c r="W79" i="1" s="1"/>
  <c r="AF80" i="1"/>
  <c r="AF81" i="1"/>
  <c r="W81" i="1" s="1"/>
  <c r="AF82" i="1"/>
  <c r="AF83" i="1"/>
  <c r="AF84" i="1"/>
  <c r="AF85" i="1"/>
  <c r="W85" i="1" s="1"/>
  <c r="AF86" i="1"/>
  <c r="AF87" i="1"/>
  <c r="W87" i="1" s="1"/>
  <c r="AF88" i="1"/>
  <c r="AF89" i="1"/>
  <c r="W89" i="1" s="1"/>
  <c r="AF90" i="1"/>
  <c r="AF91" i="1"/>
  <c r="W91" i="1" s="1"/>
  <c r="AF92" i="1"/>
  <c r="AF93" i="1"/>
  <c r="W93" i="1" s="1"/>
  <c r="AF94" i="1"/>
  <c r="AF95" i="1"/>
  <c r="W95" i="1" s="1"/>
  <c r="AF96" i="1"/>
  <c r="AF97" i="1"/>
  <c r="W97" i="1" s="1"/>
  <c r="AF98" i="1"/>
  <c r="AF99" i="1"/>
  <c r="W99" i="1" s="1"/>
  <c r="AF100" i="1"/>
  <c r="AF101" i="1"/>
  <c r="W101" i="1" s="1"/>
  <c r="AF102" i="1"/>
  <c r="AF103" i="1"/>
  <c r="W103" i="1" s="1"/>
  <c r="AF104" i="1"/>
  <c r="AF105" i="1"/>
  <c r="W105" i="1" s="1"/>
  <c r="AF106" i="1"/>
  <c r="AF107" i="1"/>
  <c r="W107" i="1" s="1"/>
  <c r="AF108" i="1"/>
  <c r="AF109" i="1"/>
  <c r="W109" i="1" s="1"/>
  <c r="AF110" i="1"/>
  <c r="AF111" i="1"/>
  <c r="W111" i="1" s="1"/>
  <c r="AF112" i="1"/>
  <c r="AF113" i="1"/>
  <c r="W113" i="1" s="1"/>
  <c r="AF114" i="1"/>
  <c r="AF115" i="1"/>
  <c r="W115" i="1" s="1"/>
  <c r="AF116" i="1"/>
  <c r="AF117" i="1"/>
  <c r="W117" i="1" s="1"/>
  <c r="AF118" i="1"/>
  <c r="W118" i="1" s="1"/>
  <c r="AF119" i="1"/>
  <c r="W119" i="1" s="1"/>
  <c r="AF120" i="1"/>
  <c r="AF121" i="1"/>
  <c r="W121" i="1" s="1"/>
  <c r="AF122" i="1"/>
  <c r="AF123" i="1"/>
  <c r="W123" i="1" s="1"/>
  <c r="AF124" i="1"/>
  <c r="AF125" i="1"/>
  <c r="W125" i="1" s="1"/>
  <c r="AF126" i="1"/>
  <c r="AF127" i="1"/>
  <c r="W127" i="1" s="1"/>
  <c r="AF128" i="1"/>
  <c r="W128" i="1" s="1"/>
  <c r="AF129" i="1"/>
  <c r="W129" i="1" s="1"/>
  <c r="AF130" i="1"/>
  <c r="AF131" i="1"/>
  <c r="W131" i="1" s="1"/>
  <c r="AF132" i="1"/>
  <c r="AF133" i="1"/>
  <c r="W133" i="1" s="1"/>
  <c r="AF134" i="1"/>
  <c r="AF135" i="1"/>
  <c r="W135" i="1" s="1"/>
  <c r="AF136" i="1"/>
  <c r="AF137" i="1"/>
  <c r="W137" i="1" s="1"/>
  <c r="AF138" i="1"/>
  <c r="AF139" i="1"/>
  <c r="W139" i="1" s="1"/>
  <c r="AF140" i="1"/>
  <c r="AF141" i="1"/>
  <c r="W141" i="1" s="1"/>
  <c r="AF142" i="1"/>
  <c r="AF143" i="1"/>
  <c r="W143" i="1" s="1"/>
  <c r="AF144" i="1"/>
  <c r="AF145" i="1"/>
  <c r="W145" i="1" s="1"/>
  <c r="AF146" i="1"/>
  <c r="AE146" i="1" s="1"/>
  <c r="AF147" i="1"/>
  <c r="AF148" i="1"/>
  <c r="AE148" i="1" s="1"/>
  <c r="AF149" i="1"/>
  <c r="AE149" i="1" s="1"/>
  <c r="AF150" i="1"/>
  <c r="W150" i="1" s="1"/>
  <c r="AF151" i="1"/>
  <c r="AE151" i="1" s="1"/>
  <c r="AF152" i="1"/>
  <c r="AE152" i="1" s="1"/>
  <c r="AF153" i="1"/>
  <c r="AF154" i="1"/>
  <c r="AE154" i="1" s="1"/>
  <c r="AF155" i="1"/>
  <c r="AE155" i="1" s="1"/>
  <c r="AF156" i="1"/>
  <c r="AE156" i="1" s="1"/>
  <c r="AF157" i="1"/>
  <c r="AF158" i="1"/>
  <c r="AE158" i="1" s="1"/>
  <c r="AF159" i="1"/>
  <c r="AE159" i="1" s="1"/>
  <c r="AF160" i="1"/>
  <c r="AE160" i="1" s="1"/>
  <c r="AF161" i="1"/>
  <c r="W161" i="1" s="1"/>
  <c r="AF162" i="1"/>
  <c r="AE162" i="1" s="1"/>
  <c r="AF163" i="1"/>
  <c r="AE163" i="1" s="1"/>
  <c r="AF164" i="1"/>
  <c r="AE164" i="1" s="1"/>
  <c r="AF165" i="1"/>
  <c r="AF166" i="1"/>
  <c r="AE166" i="1" s="1"/>
  <c r="AF167" i="1"/>
  <c r="AE167" i="1" s="1"/>
  <c r="AF168" i="1"/>
  <c r="AE168" i="1" s="1"/>
  <c r="AF169" i="1"/>
  <c r="W169" i="1" s="1"/>
  <c r="AF170" i="1"/>
  <c r="AF171" i="1"/>
  <c r="W171" i="1" s="1"/>
  <c r="AF172" i="1"/>
  <c r="AF173" i="1"/>
  <c r="W173" i="1" s="1"/>
  <c r="AF174" i="1"/>
  <c r="AF175" i="1"/>
  <c r="W175" i="1" s="1"/>
  <c r="AF176" i="1"/>
  <c r="AF177" i="1"/>
  <c r="W177" i="1" s="1"/>
  <c r="AF178" i="1"/>
  <c r="AF179" i="1"/>
  <c r="W179" i="1" s="1"/>
  <c r="AF180" i="1"/>
  <c r="AF181" i="1"/>
  <c r="W181" i="1" s="1"/>
  <c r="AF182" i="1"/>
  <c r="AF183" i="1"/>
  <c r="W183" i="1" s="1"/>
  <c r="AF184" i="1"/>
  <c r="AF185" i="1"/>
  <c r="W185" i="1" s="1"/>
  <c r="AF186" i="1"/>
  <c r="AF187" i="1"/>
  <c r="W187" i="1" s="1"/>
  <c r="AF188" i="1"/>
  <c r="W188" i="1" s="1"/>
  <c r="AF189" i="1"/>
  <c r="W189" i="1" s="1"/>
  <c r="AF190" i="1"/>
  <c r="AF191" i="1"/>
  <c r="W191" i="1" s="1"/>
  <c r="AF192" i="1"/>
  <c r="AF193" i="1"/>
  <c r="W193" i="1" s="1"/>
  <c r="AF194" i="1"/>
  <c r="W194" i="1" s="1"/>
  <c r="AF195" i="1"/>
  <c r="AE195" i="1" s="1"/>
  <c r="AF196" i="1"/>
  <c r="AE196" i="1" s="1"/>
  <c r="AF197" i="1"/>
  <c r="AF198" i="1"/>
  <c r="AE198" i="1" s="1"/>
  <c r="AF199" i="1"/>
  <c r="AE199" i="1" s="1"/>
  <c r="AF200" i="1"/>
  <c r="AE200" i="1" s="1"/>
  <c r="AF201" i="1"/>
  <c r="AF202" i="1"/>
  <c r="AF203" i="1"/>
  <c r="W203" i="1" s="1"/>
  <c r="AF204" i="1"/>
  <c r="AF205" i="1"/>
  <c r="AF206" i="1"/>
  <c r="AF207" i="1"/>
  <c r="AF208" i="1"/>
  <c r="AF209" i="1"/>
  <c r="AF210" i="1"/>
  <c r="AF211" i="1"/>
  <c r="AF212" i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AF237" i="1"/>
  <c r="AF238" i="1"/>
  <c r="AF239" i="1"/>
  <c r="AF240" i="1"/>
  <c r="AF241" i="1"/>
  <c r="AF242" i="1"/>
  <c r="AF243" i="1"/>
  <c r="W243" i="1" s="1"/>
  <c r="AF244" i="1"/>
  <c r="AF245" i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W304" i="1" s="1"/>
  <c r="AF305" i="1"/>
  <c r="AF306" i="1"/>
  <c r="AF307" i="1"/>
  <c r="AF308" i="1"/>
  <c r="AF309" i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3" i="1"/>
  <c r="W323" i="1" s="1"/>
  <c r="AF324" i="1"/>
  <c r="AF325" i="1"/>
  <c r="AF326" i="1"/>
  <c r="AF327" i="1"/>
  <c r="AF328" i="1"/>
  <c r="AF329" i="1"/>
  <c r="AF330" i="1"/>
  <c r="AF331" i="1"/>
  <c r="W331" i="1" s="1"/>
  <c r="AF332" i="1"/>
  <c r="AF333" i="1"/>
  <c r="AF334" i="1"/>
  <c r="AF335" i="1"/>
  <c r="AF336" i="1"/>
  <c r="AF337" i="1"/>
  <c r="AF338" i="1"/>
  <c r="W338" i="1" s="1"/>
  <c r="AF339" i="1"/>
  <c r="AF340" i="1"/>
  <c r="AF341" i="1"/>
  <c r="AF342" i="1"/>
  <c r="AF343" i="1"/>
  <c r="AF344" i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8" i="1"/>
  <c r="W398" i="1" s="1"/>
  <c r="AF399" i="1"/>
  <c r="W399" i="1" s="1"/>
  <c r="AF400" i="1"/>
  <c r="W400" i="1" s="1"/>
  <c r="AF401" i="1"/>
  <c r="AF402" i="1"/>
  <c r="AF403" i="1"/>
  <c r="W403" i="1" s="1"/>
  <c r="AF404" i="1"/>
  <c r="AF405" i="1"/>
  <c r="AF406" i="1"/>
  <c r="AF407" i="1"/>
  <c r="AF408" i="1"/>
  <c r="AF409" i="1"/>
  <c r="AF410" i="1"/>
  <c r="AF411" i="1"/>
  <c r="AF412" i="1"/>
  <c r="W412" i="1" s="1"/>
  <c r="AF413" i="1"/>
  <c r="W413" i="1" s="1"/>
  <c r="AF414" i="1"/>
  <c r="AE414" i="1" s="1"/>
  <c r="AF415" i="1"/>
  <c r="W415" i="1" s="1"/>
  <c r="AF416" i="1"/>
  <c r="AF417" i="1"/>
  <c r="W417" i="1" s="1"/>
  <c r="AF418" i="1"/>
  <c r="AF419" i="1"/>
  <c r="W419" i="1" s="1"/>
  <c r="AF420" i="1"/>
  <c r="AF421" i="1"/>
  <c r="W421" i="1" s="1"/>
  <c r="AF422" i="1"/>
  <c r="AE422" i="1" s="1"/>
  <c r="AF423" i="1"/>
  <c r="W423" i="1" s="1"/>
  <c r="AF424" i="1"/>
  <c r="AF425" i="1"/>
  <c r="W425" i="1" s="1"/>
  <c r="AF426" i="1"/>
  <c r="AF427" i="1"/>
  <c r="W427" i="1" s="1"/>
  <c r="AF428" i="1"/>
  <c r="AF429" i="1"/>
  <c r="W429" i="1" s="1"/>
  <c r="AF430" i="1"/>
  <c r="AE430" i="1" s="1"/>
  <c r="AF431" i="1"/>
  <c r="AE431" i="1" s="1"/>
  <c r="AF432" i="1"/>
  <c r="AE432" i="1" s="1"/>
  <c r="AF433" i="1"/>
  <c r="AE433" i="1" s="1"/>
  <c r="AF434" i="1"/>
  <c r="AE434" i="1" s="1"/>
  <c r="AF435" i="1"/>
  <c r="W435" i="1" s="1"/>
  <c r="AF436" i="1"/>
  <c r="AF437" i="1"/>
  <c r="W437" i="1" s="1"/>
  <c r="AF438" i="1"/>
  <c r="AF439" i="1"/>
  <c r="W439" i="1" s="1"/>
  <c r="AF440" i="1"/>
  <c r="AF441" i="1"/>
  <c r="W441" i="1" s="1"/>
  <c r="AF442" i="1"/>
  <c r="AE442" i="1" s="1"/>
  <c r="AF443" i="1"/>
  <c r="W443" i="1" s="1"/>
  <c r="AF444" i="1"/>
  <c r="W444" i="1" s="1"/>
  <c r="AF445" i="1"/>
  <c r="W445" i="1" s="1"/>
  <c r="AF446" i="1"/>
  <c r="AF447" i="1"/>
  <c r="W447" i="1" s="1"/>
  <c r="AF448" i="1"/>
  <c r="AE448" i="1" s="1"/>
  <c r="AF449" i="1"/>
  <c r="W449" i="1" s="1"/>
  <c r="AF450" i="1"/>
  <c r="AE450" i="1" s="1"/>
  <c r="AF451" i="1"/>
  <c r="W451" i="1" s="1"/>
  <c r="AF452" i="1"/>
  <c r="AE452" i="1" s="1"/>
  <c r="AF453" i="1"/>
  <c r="W453" i="1" s="1"/>
  <c r="AF454" i="1"/>
  <c r="AF455" i="1"/>
  <c r="AE455" i="1" s="1"/>
  <c r="AF456" i="1"/>
  <c r="AE456" i="1" s="1"/>
  <c r="AF457" i="1"/>
  <c r="AE457" i="1" s="1"/>
  <c r="AF458" i="1"/>
  <c r="AE458" i="1" s="1"/>
  <c r="AF459" i="1"/>
  <c r="AE459" i="1" s="1"/>
  <c r="AF460" i="1"/>
  <c r="AE460" i="1" s="1"/>
  <c r="AF461" i="1"/>
  <c r="W461" i="1" s="1"/>
  <c r="AF462" i="1"/>
  <c r="AF463" i="1"/>
  <c r="AE463" i="1" s="1"/>
  <c r="AF464" i="1"/>
  <c r="W464" i="1" s="1"/>
  <c r="AF465" i="1"/>
  <c r="W465" i="1" s="1"/>
  <c r="AF466" i="1"/>
  <c r="AE466" i="1" s="1"/>
  <c r="AF467" i="1"/>
  <c r="W467" i="1" s="1"/>
  <c r="AF468" i="1"/>
  <c r="AE468" i="1" s="1"/>
  <c r="AF469" i="1"/>
  <c r="AF470" i="1"/>
  <c r="W470" i="1" s="1"/>
  <c r="AF471" i="1"/>
  <c r="AE471" i="1" s="1"/>
  <c r="AF472" i="1"/>
  <c r="W472" i="1" s="1"/>
  <c r="AF473" i="1"/>
  <c r="AF474" i="1"/>
  <c r="W474" i="1" s="1"/>
  <c r="AF475" i="1"/>
  <c r="AE475" i="1" s="1"/>
  <c r="AF476" i="1"/>
  <c r="W476" i="1" s="1"/>
  <c r="AF477" i="1"/>
  <c r="AF478" i="1"/>
  <c r="AE478" i="1" s="1"/>
  <c r="AF479" i="1"/>
  <c r="AE479" i="1" s="1"/>
  <c r="AF480" i="1"/>
  <c r="AE480" i="1" s="1"/>
  <c r="AF481" i="1"/>
  <c r="W481" i="1" s="1"/>
  <c r="AF482" i="1"/>
  <c r="AE482" i="1" s="1"/>
  <c r="AF483" i="1"/>
  <c r="AE483" i="1" s="1"/>
  <c r="AF484" i="1"/>
  <c r="W484" i="1" s="1"/>
  <c r="AF485" i="1"/>
  <c r="AF486" i="1"/>
  <c r="AE486" i="1" s="1"/>
  <c r="AF487" i="1"/>
  <c r="W487" i="1" s="1"/>
  <c r="AF488" i="1"/>
  <c r="AE488" i="1" s="1"/>
  <c r="AF489" i="1"/>
  <c r="AF490" i="1"/>
  <c r="AE490" i="1" s="1"/>
  <c r="AF491" i="1"/>
  <c r="AE491" i="1" s="1"/>
  <c r="AF492" i="1"/>
  <c r="AE492" i="1" s="1"/>
  <c r="AF493" i="1"/>
  <c r="AF494" i="1"/>
  <c r="AE494" i="1" s="1"/>
  <c r="AF495" i="1"/>
  <c r="AE495" i="1" s="1"/>
  <c r="AF496" i="1"/>
  <c r="AE496" i="1" s="1"/>
  <c r="AF497" i="1"/>
  <c r="AF498" i="1"/>
  <c r="AE498" i="1" s="1"/>
  <c r="AF499" i="1"/>
  <c r="W499" i="1" s="1"/>
  <c r="AF500" i="1"/>
  <c r="AE500" i="1" s="1"/>
  <c r="AF501" i="1"/>
  <c r="AF502" i="1"/>
  <c r="AE502" i="1" s="1"/>
  <c r="AF503" i="1"/>
  <c r="AE503" i="1" s="1"/>
  <c r="AF504" i="1"/>
  <c r="AE504" i="1" s="1"/>
  <c r="AF505" i="1"/>
  <c r="AF506" i="1"/>
  <c r="AE506" i="1" s="1"/>
  <c r="AF507" i="1"/>
  <c r="AE507" i="1" s="1"/>
  <c r="AF508" i="1"/>
  <c r="AE508" i="1" s="1"/>
  <c r="AF509" i="1"/>
  <c r="AF510" i="1"/>
  <c r="AE510" i="1" s="1"/>
  <c r="AF511" i="1"/>
  <c r="W511" i="1" s="1"/>
  <c r="AF512" i="1"/>
  <c r="AE512" i="1" s="1"/>
  <c r="AF513" i="1"/>
  <c r="AF514" i="1"/>
  <c r="AE514" i="1" s="1"/>
  <c r="AF515" i="1"/>
  <c r="W515" i="1" s="1"/>
  <c r="AF516" i="1"/>
  <c r="AE516" i="1" s="1"/>
  <c r="AF517" i="1"/>
  <c r="W517" i="1" s="1"/>
  <c r="AF518" i="1"/>
  <c r="AF519" i="1"/>
  <c r="AE519" i="1" s="1"/>
  <c r="AF521" i="1"/>
  <c r="AF522" i="1"/>
  <c r="AF523" i="1"/>
  <c r="W523" i="1" s="1"/>
  <c r="AF524" i="1"/>
  <c r="AF525" i="1"/>
  <c r="W525" i="1" s="1"/>
  <c r="AF526" i="1"/>
  <c r="AF527" i="1"/>
  <c r="AF528" i="1"/>
  <c r="AF529" i="1"/>
  <c r="AE529" i="1" s="1"/>
  <c r="AF530" i="1"/>
  <c r="AF531" i="1"/>
  <c r="AE531" i="1" s="1"/>
  <c r="AF532" i="1"/>
  <c r="AF533" i="1"/>
  <c r="AE533" i="1" s="1"/>
  <c r="AF534" i="1"/>
  <c r="AF535" i="1"/>
  <c r="AF536" i="1"/>
  <c r="AF537" i="1"/>
  <c r="W537" i="1" s="1"/>
  <c r="AF538" i="1"/>
  <c r="AF539" i="1"/>
  <c r="AE539" i="1" s="1"/>
  <c r="AF540" i="1"/>
  <c r="AF541" i="1"/>
  <c r="AE541" i="1" s="1"/>
  <c r="AF542" i="1"/>
  <c r="AF543" i="1"/>
  <c r="AF544" i="1"/>
  <c r="AF545" i="1"/>
  <c r="AE545" i="1" s="1"/>
  <c r="AF546" i="1"/>
  <c r="AF547" i="1"/>
  <c r="AE547" i="1" s="1"/>
  <c r="AF548" i="1"/>
  <c r="AF549" i="1"/>
  <c r="W549" i="1" s="1"/>
  <c r="AF550" i="1"/>
  <c r="AF551" i="1"/>
  <c r="AF552" i="1"/>
  <c r="AF553" i="1"/>
  <c r="AE553" i="1" s="1"/>
  <c r="AF554" i="1"/>
  <c r="AF555" i="1"/>
  <c r="AE555" i="1" s="1"/>
  <c r="AF556" i="1"/>
  <c r="W556" i="1" s="1"/>
  <c r="AF557" i="1"/>
  <c r="AE557" i="1" s="1"/>
  <c r="AF558" i="1"/>
  <c r="AF559" i="1"/>
  <c r="AF560" i="1"/>
  <c r="AE560" i="1" s="1"/>
  <c r="AF561" i="1"/>
  <c r="AE561" i="1" s="1"/>
  <c r="AF562" i="1"/>
  <c r="AE562" i="1" s="1"/>
  <c r="AF563" i="1"/>
  <c r="AE563" i="1" s="1"/>
  <c r="AF564" i="1"/>
  <c r="W564" i="1" s="1"/>
  <c r="AF565" i="1"/>
  <c r="AE565" i="1" s="1"/>
  <c r="AF566" i="1"/>
  <c r="AE566" i="1" s="1"/>
  <c r="AF567" i="1"/>
  <c r="AF568" i="1"/>
  <c r="AE568" i="1" s="1"/>
  <c r="AF569" i="1"/>
  <c r="AE569" i="1" s="1"/>
  <c r="AF570" i="1"/>
  <c r="AE570" i="1" s="1"/>
  <c r="AF571" i="1"/>
  <c r="AE571" i="1" s="1"/>
  <c r="AF572" i="1"/>
  <c r="AE572" i="1" s="1"/>
  <c r="AF573" i="1"/>
  <c r="AE573" i="1" s="1"/>
  <c r="AF574" i="1"/>
  <c r="AE574" i="1" s="1"/>
  <c r="AF575" i="1"/>
  <c r="W575" i="1" s="1"/>
  <c r="AF576" i="1"/>
  <c r="AE576" i="1" s="1"/>
  <c r="AF577" i="1"/>
  <c r="AE577" i="1" s="1"/>
  <c r="AF578" i="1"/>
  <c r="W578" i="1" s="1"/>
  <c r="AF579" i="1"/>
  <c r="AE579" i="1" s="1"/>
  <c r="AF580" i="1"/>
  <c r="AE580" i="1" s="1"/>
  <c r="AF581" i="1"/>
  <c r="AE581" i="1" s="1"/>
  <c r="AF582" i="1"/>
  <c r="AE582" i="1" s="1"/>
  <c r="AF583" i="1"/>
  <c r="AE583" i="1" s="1"/>
  <c r="AF584" i="1"/>
  <c r="AE584" i="1" s="1"/>
  <c r="AF585" i="1"/>
  <c r="AE585" i="1" s="1"/>
  <c r="AF586" i="1"/>
  <c r="AE586" i="1" s="1"/>
  <c r="AF587" i="1"/>
  <c r="AE587" i="1" s="1"/>
  <c r="AF588" i="1"/>
  <c r="AE588" i="1" s="1"/>
  <c r="AF589" i="1"/>
  <c r="W589" i="1" s="1"/>
  <c r="AF590" i="1"/>
  <c r="AE590" i="1" s="1"/>
  <c r="AF591" i="1"/>
  <c r="AE591" i="1" s="1"/>
  <c r="AF592" i="1"/>
  <c r="AE592" i="1" s="1"/>
  <c r="AF593" i="1"/>
  <c r="AE593" i="1" s="1"/>
  <c r="AF594" i="1"/>
  <c r="AE594" i="1" s="1"/>
  <c r="AF595" i="1"/>
  <c r="AE595" i="1" s="1"/>
  <c r="AF596" i="1"/>
  <c r="AE596" i="1" s="1"/>
  <c r="AF597" i="1"/>
  <c r="AE597" i="1" s="1"/>
  <c r="AF598" i="1"/>
  <c r="W598" i="1" s="1"/>
  <c r="AF599" i="1"/>
  <c r="AE599" i="1" s="1"/>
  <c r="AF600" i="1"/>
  <c r="AE600" i="1" s="1"/>
  <c r="AF601" i="1"/>
  <c r="W601" i="1" s="1"/>
  <c r="AF602" i="1"/>
  <c r="AE602" i="1" s="1"/>
  <c r="AF603" i="1"/>
  <c r="AE603" i="1" s="1"/>
  <c r="AF604" i="1"/>
  <c r="AE604" i="1" s="1"/>
  <c r="AF605" i="1"/>
  <c r="AE605" i="1" s="1"/>
  <c r="AF606" i="1"/>
  <c r="W606" i="1" s="1"/>
  <c r="AF607" i="1"/>
  <c r="AE607" i="1" s="1"/>
  <c r="AF608" i="1"/>
  <c r="AE608" i="1" s="1"/>
  <c r="AF609" i="1"/>
  <c r="W609" i="1" s="1"/>
  <c r="AF610" i="1"/>
  <c r="AE610" i="1" s="1"/>
  <c r="AF611" i="1"/>
  <c r="AE611" i="1" s="1"/>
  <c r="AF612" i="1"/>
  <c r="W612" i="1" s="1"/>
  <c r="AF613" i="1"/>
  <c r="AE613" i="1" s="1"/>
  <c r="AF614" i="1"/>
  <c r="AE614" i="1" s="1"/>
  <c r="AF615" i="1"/>
  <c r="W615" i="1" s="1"/>
  <c r="AF616" i="1"/>
  <c r="AE616" i="1" s="1"/>
  <c r="AF618" i="1"/>
  <c r="AE618" i="1" s="1"/>
  <c r="AF619" i="1"/>
  <c r="W619" i="1" s="1"/>
  <c r="AF620" i="1"/>
  <c r="AE620" i="1" s="1"/>
  <c r="AF621" i="1"/>
  <c r="W621" i="1" s="1"/>
  <c r="AF622" i="1"/>
  <c r="AE622" i="1" s="1"/>
  <c r="AF623" i="1"/>
  <c r="AE623" i="1" s="1"/>
  <c r="AF624" i="1"/>
  <c r="W624" i="1" s="1"/>
  <c r="AF625" i="1"/>
  <c r="AF626" i="1"/>
  <c r="W626" i="1" s="1"/>
  <c r="AF627" i="1"/>
  <c r="AF628" i="1"/>
  <c r="W628" i="1" s="1"/>
  <c r="AF629" i="1"/>
  <c r="AE629" i="1" s="1"/>
  <c r="AF630" i="1"/>
  <c r="W630" i="1" s="1"/>
  <c r="AF631" i="1"/>
  <c r="AE631" i="1" s="1"/>
  <c r="AF632" i="1"/>
  <c r="W632" i="1" s="1"/>
  <c r="AF633" i="1"/>
  <c r="W633" i="1" s="1"/>
  <c r="AF634" i="1"/>
  <c r="W634" i="1" s="1"/>
  <c r="AF635" i="1"/>
  <c r="AF636" i="1"/>
  <c r="W636" i="1" s="1"/>
  <c r="AF637" i="1"/>
  <c r="AE637" i="1" s="1"/>
  <c r="AF638" i="1"/>
  <c r="W638" i="1" s="1"/>
  <c r="AF639" i="1"/>
  <c r="AE639" i="1" s="1"/>
  <c r="AF640" i="1"/>
  <c r="W640" i="1" s="1"/>
  <c r="AF641" i="1"/>
  <c r="W641" i="1" s="1"/>
  <c r="AF642" i="1"/>
  <c r="W642" i="1" s="1"/>
  <c r="AF643" i="1"/>
  <c r="AF644" i="1"/>
  <c r="W644" i="1" s="1"/>
  <c r="AF645" i="1"/>
  <c r="AE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AF652" i="1"/>
  <c r="W652" i="1" s="1"/>
  <c r="AF653" i="1"/>
  <c r="AE653" i="1" s="1"/>
  <c r="AF654" i="1"/>
  <c r="W654" i="1" s="1"/>
  <c r="AF655" i="1"/>
  <c r="AE655" i="1" s="1"/>
  <c r="AF656" i="1"/>
  <c r="W656" i="1" s="1"/>
  <c r="AF657" i="1"/>
  <c r="AE657" i="1" s="1"/>
  <c r="AF658" i="1"/>
  <c r="W658" i="1" s="1"/>
  <c r="AF659" i="1"/>
  <c r="W659" i="1" s="1"/>
  <c r="AF660" i="1"/>
  <c r="W660" i="1" s="1"/>
  <c r="AF661" i="1"/>
  <c r="AE661" i="1" s="1"/>
  <c r="AF662" i="1"/>
  <c r="W662" i="1" s="1"/>
  <c r="AF663" i="1"/>
  <c r="AE663" i="1" s="1"/>
  <c r="AF664" i="1"/>
  <c r="W664" i="1" s="1"/>
  <c r="AF665" i="1"/>
  <c r="AE665" i="1" s="1"/>
  <c r="AF666" i="1"/>
  <c r="W666" i="1" s="1"/>
  <c r="AF667" i="1"/>
  <c r="AE667" i="1" s="1"/>
  <c r="AF668" i="1"/>
  <c r="W668" i="1" s="1"/>
  <c r="AF669" i="1"/>
  <c r="AE669" i="1" s="1"/>
  <c r="AF670" i="1"/>
  <c r="W670" i="1" s="1"/>
  <c r="AF671" i="1"/>
  <c r="W671" i="1" s="1"/>
  <c r="AF672" i="1"/>
  <c r="W672" i="1" s="1"/>
  <c r="AF673" i="1"/>
  <c r="AE673" i="1" s="1"/>
  <c r="AF674" i="1"/>
  <c r="W674" i="1" s="1"/>
  <c r="AF675" i="1"/>
  <c r="AE675" i="1" s="1"/>
  <c r="AF676" i="1"/>
  <c r="W676" i="1" s="1"/>
  <c r="AF677" i="1"/>
  <c r="AE677" i="1" s="1"/>
  <c r="AF678" i="1"/>
  <c r="W678" i="1" s="1"/>
  <c r="AF679" i="1"/>
  <c r="AE679" i="1" s="1"/>
  <c r="AF680" i="1"/>
  <c r="W680" i="1" s="1"/>
  <c r="AF681" i="1"/>
  <c r="AE681" i="1" s="1"/>
  <c r="AF682" i="1"/>
  <c r="W682" i="1" s="1"/>
  <c r="AF683" i="1"/>
  <c r="AE683" i="1" s="1"/>
  <c r="AF684" i="1"/>
  <c r="W684" i="1" s="1"/>
  <c r="AF685" i="1"/>
  <c r="AE685" i="1" s="1"/>
  <c r="AF686" i="1"/>
  <c r="W686" i="1" s="1"/>
  <c r="AF687" i="1"/>
  <c r="AE687" i="1" s="1"/>
  <c r="AF688" i="1"/>
  <c r="W688" i="1" s="1"/>
  <c r="AF689" i="1"/>
  <c r="AE689" i="1" s="1"/>
  <c r="AF690" i="1"/>
  <c r="W690" i="1" s="1"/>
  <c r="AF691" i="1"/>
  <c r="W691" i="1" s="1"/>
  <c r="AF692" i="1"/>
  <c r="W692" i="1" s="1"/>
  <c r="AF693" i="1"/>
  <c r="AE693" i="1" s="1"/>
  <c r="AF694" i="1"/>
  <c r="W694" i="1" s="1"/>
  <c r="AF695" i="1"/>
  <c r="AE695" i="1" s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AE701" i="1" s="1"/>
  <c r="AF702" i="1"/>
  <c r="W702" i="1" s="1"/>
  <c r="AF703" i="1"/>
  <c r="AE703" i="1" s="1"/>
  <c r="AF704" i="1"/>
  <c r="W704" i="1" s="1"/>
  <c r="AF705" i="1"/>
  <c r="AE705" i="1" s="1"/>
  <c r="AF706" i="1"/>
  <c r="W706" i="1" s="1"/>
  <c r="AF707" i="1"/>
  <c r="AF708" i="1"/>
  <c r="W708" i="1" s="1"/>
  <c r="AF709" i="1"/>
  <c r="AE709" i="1" s="1"/>
  <c r="AF710" i="1"/>
  <c r="W710" i="1" s="1"/>
  <c r="AF711" i="1"/>
  <c r="AE711" i="1" s="1"/>
  <c r="AF712" i="1"/>
  <c r="W712" i="1" s="1"/>
  <c r="AF713" i="1"/>
  <c r="AE713" i="1" s="1"/>
  <c r="AF714" i="1"/>
  <c r="W714" i="1" s="1"/>
  <c r="AF715" i="1"/>
  <c r="AF716" i="1"/>
  <c r="W716" i="1" s="1"/>
  <c r="AF717" i="1"/>
  <c r="AE717" i="1" s="1"/>
  <c r="AF718" i="1"/>
  <c r="W718" i="1" s="1"/>
  <c r="AF719" i="1"/>
  <c r="AE719" i="1" s="1"/>
  <c r="AF720" i="1"/>
  <c r="W720" i="1" s="1"/>
  <c r="AF721" i="1"/>
  <c r="W721" i="1" s="1"/>
  <c r="AF722" i="1"/>
  <c r="W722" i="1" s="1"/>
  <c r="AF723" i="1"/>
  <c r="AF724" i="1"/>
  <c r="W724" i="1" s="1"/>
  <c r="AF725" i="1"/>
  <c r="AE725" i="1" s="1"/>
  <c r="AF726" i="1"/>
  <c r="W726" i="1" s="1"/>
  <c r="AF727" i="1"/>
  <c r="W727" i="1" s="1"/>
  <c r="AF728" i="1"/>
  <c r="W728" i="1" s="1"/>
  <c r="AF729" i="1"/>
  <c r="AE729" i="1" s="1"/>
  <c r="AF730" i="1"/>
  <c r="W730" i="1" s="1"/>
  <c r="AF731" i="1"/>
  <c r="AF732" i="1"/>
  <c r="W732" i="1" s="1"/>
  <c r="AF733" i="1"/>
  <c r="AE733" i="1" s="1"/>
  <c r="AF734" i="1"/>
  <c r="W734" i="1" s="1"/>
  <c r="AF735" i="1"/>
  <c r="AE735" i="1" s="1"/>
  <c r="AF736" i="1"/>
  <c r="W736" i="1" s="1"/>
  <c r="AF737" i="1"/>
  <c r="AE737" i="1" s="1"/>
  <c r="AF738" i="1"/>
  <c r="W738" i="1" s="1"/>
  <c r="AF739" i="1"/>
  <c r="W739" i="1" s="1"/>
  <c r="AF740" i="1"/>
  <c r="W740" i="1" s="1"/>
  <c r="AF741" i="1"/>
  <c r="AE741" i="1" s="1"/>
  <c r="AF742" i="1"/>
  <c r="W742" i="1" s="1"/>
  <c r="AF743" i="1"/>
  <c r="W743" i="1" s="1"/>
  <c r="AF744" i="1"/>
  <c r="W744" i="1" s="1"/>
  <c r="AF746" i="1"/>
  <c r="AF749" i="1"/>
  <c r="W749" i="1" s="1"/>
  <c r="AF750" i="1"/>
  <c r="AF752" i="1"/>
  <c r="W752" i="1" s="1"/>
  <c r="AF753" i="1"/>
  <c r="AF755" i="1"/>
  <c r="W755" i="1" s="1"/>
  <c r="AF756" i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AE788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2" i="1"/>
  <c r="W852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F891" i="1"/>
  <c r="W891" i="1" s="1"/>
  <c r="AF892" i="1"/>
  <c r="W892" i="1" s="1"/>
  <c r="AF893" i="1"/>
  <c r="W893" i="1" s="1"/>
  <c r="AF894" i="1"/>
  <c r="W894" i="1" s="1"/>
  <c r="AF895" i="1"/>
  <c r="W895" i="1" s="1"/>
  <c r="AF896" i="1"/>
  <c r="W896" i="1" s="1"/>
  <c r="AF897" i="1"/>
  <c r="W897" i="1" s="1"/>
  <c r="AF898" i="1"/>
  <c r="W898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W918" i="1" s="1"/>
  <c r="AE5" i="1"/>
  <c r="AE8" i="1"/>
  <c r="AE11" i="1"/>
  <c r="AE14" i="1"/>
  <c r="AE16" i="1"/>
  <c r="AE18" i="1"/>
  <c r="AE21" i="1"/>
  <c r="AE23" i="1"/>
  <c r="AE25" i="1"/>
  <c r="AE28" i="1"/>
  <c r="AE30" i="1"/>
  <c r="AE32" i="1"/>
  <c r="AE35" i="1"/>
  <c r="AE37" i="1"/>
  <c r="AE39" i="1"/>
  <c r="AE43" i="1"/>
  <c r="AE45" i="1"/>
  <c r="AE47" i="1"/>
  <c r="AE51" i="1"/>
  <c r="AE53" i="1"/>
  <c r="AE55" i="1"/>
  <c r="AE58" i="1"/>
  <c r="AE61" i="1"/>
  <c r="AE65" i="1"/>
  <c r="AE69" i="1"/>
  <c r="AE72" i="1"/>
  <c r="AE75" i="1"/>
  <c r="AE79" i="1"/>
  <c r="AE81" i="1"/>
  <c r="AE83" i="1"/>
  <c r="AE85" i="1"/>
  <c r="AE87" i="1"/>
  <c r="AE89" i="1"/>
  <c r="AE91" i="1"/>
  <c r="AE95" i="1"/>
  <c r="AE97" i="1"/>
  <c r="AE99" i="1"/>
  <c r="AE103" i="1"/>
  <c r="AE105" i="1"/>
  <c r="AE107" i="1"/>
  <c r="AE111" i="1"/>
  <c r="AE115" i="1"/>
  <c r="AE118" i="1"/>
  <c r="AE121" i="1"/>
  <c r="AE125" i="1"/>
  <c r="AE128" i="1"/>
  <c r="AE131" i="1"/>
  <c r="AE135" i="1"/>
  <c r="AE139" i="1"/>
  <c r="AE143" i="1"/>
  <c r="AE145" i="1"/>
  <c r="AE147" i="1"/>
  <c r="AE150" i="1"/>
  <c r="AE153" i="1"/>
  <c r="AE157" i="1"/>
  <c r="AE161" i="1"/>
  <c r="AE165" i="1"/>
  <c r="AE169" i="1"/>
  <c r="AE173" i="1"/>
  <c r="AE177" i="1"/>
  <c r="AE179" i="1"/>
  <c r="AE181" i="1"/>
  <c r="AE185" i="1"/>
  <c r="AE188" i="1"/>
  <c r="AE191" i="1"/>
  <c r="AE194" i="1"/>
  <c r="AE197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5" i="1"/>
  <c r="AE417" i="1"/>
  <c r="AE419" i="1"/>
  <c r="AE421" i="1"/>
  <c r="AE423" i="1"/>
  <c r="AE429" i="1"/>
  <c r="AE435" i="1"/>
  <c r="AE437" i="1"/>
  <c r="AE439" i="1"/>
  <c r="AE444" i="1"/>
  <c r="AE447" i="1"/>
  <c r="AE449" i="1"/>
  <c r="AE451" i="1"/>
  <c r="AE461" i="1"/>
  <c r="AE465" i="1"/>
  <c r="AE467" i="1"/>
  <c r="AE470" i="1"/>
  <c r="AE472" i="1"/>
  <c r="AE474" i="1"/>
  <c r="AE476" i="1"/>
  <c r="AE484" i="1"/>
  <c r="AE499" i="1"/>
  <c r="AE515" i="1"/>
  <c r="AE517" i="1"/>
  <c r="AE523" i="1"/>
  <c r="AE525" i="1"/>
  <c r="AE537" i="1"/>
  <c r="AE549" i="1"/>
  <c r="AE556" i="1"/>
  <c r="AE564" i="1"/>
  <c r="AE575" i="1"/>
  <c r="AE578" i="1"/>
  <c r="AE589" i="1"/>
  <c r="AE598" i="1"/>
  <c r="AE601" i="1"/>
  <c r="AE606" i="1"/>
  <c r="AE609" i="1"/>
  <c r="AE612" i="1"/>
  <c r="AE615" i="1"/>
  <c r="AE619" i="1"/>
  <c r="AE621" i="1"/>
  <c r="AE624" i="1"/>
  <c r="AE633" i="1"/>
  <c r="AE641" i="1"/>
  <c r="AE647" i="1"/>
  <c r="AE649" i="1"/>
  <c r="AE659" i="1"/>
  <c r="AE671" i="1"/>
  <c r="AE682" i="1"/>
  <c r="AE691" i="1"/>
  <c r="AE694" i="1"/>
  <c r="AE697" i="1"/>
  <c r="AE699" i="1"/>
  <c r="AE702" i="1"/>
  <c r="AE704" i="1"/>
  <c r="AE710" i="1"/>
  <c r="AE712" i="1"/>
  <c r="AE714" i="1"/>
  <c r="AE721" i="1"/>
  <c r="AE727" i="1"/>
  <c r="AE732" i="1"/>
  <c r="AE734" i="1"/>
  <c r="AE739" i="1"/>
  <c r="AE743" i="1"/>
  <c r="AE757" i="1"/>
  <c r="AE759" i="1"/>
  <c r="AE763" i="1"/>
  <c r="AE770" i="1"/>
  <c r="AE773" i="1"/>
  <c r="AE777" i="1"/>
  <c r="AE783" i="1"/>
  <c r="AE790" i="1"/>
  <c r="AE792" i="1"/>
  <c r="AE794" i="1"/>
  <c r="AE799" i="1"/>
  <c r="AE803" i="1"/>
  <c r="AE805" i="1"/>
  <c r="AE808" i="1"/>
  <c r="AE809" i="1"/>
  <c r="AE810" i="1"/>
  <c r="AE816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W59" i="1"/>
  <c r="W60" i="1"/>
  <c r="W61" i="1"/>
  <c r="W62" i="1"/>
  <c r="W63" i="1"/>
  <c r="W64" i="1"/>
  <c r="W66" i="1"/>
  <c r="W67" i="1"/>
  <c r="W68" i="1"/>
  <c r="W69" i="1"/>
  <c r="W70" i="1"/>
  <c r="W71" i="1"/>
  <c r="W83" i="1"/>
  <c r="W146" i="1"/>
  <c r="W147" i="1"/>
  <c r="W148" i="1"/>
  <c r="W149" i="1"/>
  <c r="W151" i="1"/>
  <c r="W152" i="1"/>
  <c r="W153" i="1"/>
  <c r="W154" i="1"/>
  <c r="W155" i="1"/>
  <c r="W156" i="1"/>
  <c r="W157" i="1"/>
  <c r="W158" i="1"/>
  <c r="W159" i="1"/>
  <c r="W160" i="1"/>
  <c r="W162" i="1"/>
  <c r="W163" i="1"/>
  <c r="W164" i="1"/>
  <c r="W165" i="1"/>
  <c r="W166" i="1"/>
  <c r="W167" i="1"/>
  <c r="W168" i="1"/>
  <c r="W195" i="1"/>
  <c r="W196" i="1"/>
  <c r="W197" i="1"/>
  <c r="W198" i="1"/>
  <c r="W199" i="1"/>
  <c r="W200" i="1"/>
  <c r="W201" i="1"/>
  <c r="W202" i="1"/>
  <c r="W204" i="1"/>
  <c r="W205" i="1"/>
  <c r="W206" i="1"/>
  <c r="W207" i="1"/>
  <c r="W208" i="1"/>
  <c r="W209" i="1"/>
  <c r="W210" i="1"/>
  <c r="W211" i="1"/>
  <c r="W212" i="1"/>
  <c r="W236" i="1"/>
  <c r="W237" i="1"/>
  <c r="W238" i="1"/>
  <c r="W239" i="1"/>
  <c r="W240" i="1"/>
  <c r="W241" i="1"/>
  <c r="W242" i="1"/>
  <c r="W244" i="1"/>
  <c r="W245" i="1"/>
  <c r="W293" i="1"/>
  <c r="W294" i="1"/>
  <c r="W295" i="1"/>
  <c r="W296" i="1"/>
  <c r="W297" i="1"/>
  <c r="W298" i="1"/>
  <c r="W299" i="1"/>
  <c r="W300" i="1"/>
  <c r="W301" i="1"/>
  <c r="W302" i="1"/>
  <c r="W303" i="1"/>
  <c r="W305" i="1"/>
  <c r="W306" i="1"/>
  <c r="W307" i="1"/>
  <c r="W308" i="1"/>
  <c r="W309" i="1"/>
  <c r="W324" i="1"/>
  <c r="W325" i="1"/>
  <c r="W326" i="1"/>
  <c r="W327" i="1"/>
  <c r="W328" i="1"/>
  <c r="W329" i="1"/>
  <c r="W330" i="1"/>
  <c r="W332" i="1"/>
  <c r="W333" i="1"/>
  <c r="W334" i="1"/>
  <c r="W335" i="1"/>
  <c r="W336" i="1"/>
  <c r="W337" i="1"/>
  <c r="W339" i="1"/>
  <c r="W340" i="1"/>
  <c r="W341" i="1"/>
  <c r="W342" i="1"/>
  <c r="W343" i="1"/>
  <c r="W344" i="1"/>
  <c r="W401" i="1"/>
  <c r="W402" i="1"/>
  <c r="W404" i="1"/>
  <c r="W405" i="1"/>
  <c r="W406" i="1"/>
  <c r="W407" i="1"/>
  <c r="W408" i="1"/>
  <c r="W409" i="1"/>
  <c r="W410" i="1"/>
  <c r="W411" i="1"/>
  <c r="W422" i="1"/>
  <c r="W430" i="1"/>
  <c r="W431" i="1"/>
  <c r="W432" i="1"/>
  <c r="W433" i="1"/>
  <c r="W434" i="1"/>
  <c r="W442" i="1"/>
  <c r="W579" i="1"/>
  <c r="W580" i="1"/>
  <c r="W581" i="1"/>
  <c r="W582" i="1"/>
  <c r="W583" i="1"/>
  <c r="W584" i="1"/>
  <c r="W585" i="1"/>
  <c r="W586" i="1"/>
  <c r="W587" i="1"/>
  <c r="W588" i="1"/>
  <c r="W590" i="1"/>
  <c r="W591" i="1"/>
  <c r="W592" i="1"/>
  <c r="W593" i="1"/>
  <c r="W594" i="1"/>
  <c r="W595" i="1"/>
  <c r="W596" i="1"/>
  <c r="W597" i="1"/>
  <c r="W631" i="1"/>
  <c r="W661" i="1"/>
  <c r="W663" i="1"/>
  <c r="W665" i="1"/>
  <c r="W667" i="1"/>
  <c r="W669" i="1"/>
  <c r="W673" i="1"/>
  <c r="W675" i="1"/>
  <c r="W677" i="1"/>
  <c r="W679" i="1"/>
  <c r="W681" i="1"/>
  <c r="W683" i="1"/>
  <c r="W685" i="1"/>
  <c r="W687" i="1"/>
  <c r="W689" i="1"/>
  <c r="W788" i="1"/>
  <c r="W7" i="1" l="1"/>
  <c r="AE818" i="1"/>
  <c r="AE814" i="1"/>
  <c r="AE800" i="1"/>
  <c r="AE798" i="1"/>
  <c r="AE785" i="1"/>
  <c r="AE781" i="1"/>
  <c r="AE767" i="1"/>
  <c r="AE755" i="1"/>
  <c r="AE740" i="1"/>
  <c r="AE738" i="1"/>
  <c r="AE688" i="1"/>
  <c r="AE676" i="1"/>
  <c r="AE666" i="1"/>
  <c r="AE652" i="1"/>
  <c r="AE634" i="1"/>
  <c r="AE632" i="1"/>
  <c r="AE193" i="1"/>
  <c r="AE189" i="1"/>
  <c r="AE187" i="1"/>
  <c r="AE183" i="1"/>
  <c r="AE175" i="1"/>
  <c r="AE171" i="1"/>
  <c r="AE141" i="1"/>
  <c r="AE137" i="1"/>
  <c r="AE133" i="1"/>
  <c r="AE129" i="1"/>
  <c r="AE127" i="1"/>
  <c r="AE123" i="1"/>
  <c r="AE119" i="1"/>
  <c r="AE117" i="1"/>
  <c r="AE113" i="1"/>
  <c r="AE109" i="1"/>
  <c r="AE101" i="1"/>
  <c r="AE93" i="1"/>
  <c r="AE77" i="1"/>
  <c r="AE73" i="1"/>
  <c r="AE57" i="1"/>
  <c r="AE49" i="1"/>
  <c r="AE41" i="1"/>
  <c r="AE33" i="1"/>
  <c r="AE31" i="1"/>
  <c r="AE29" i="1"/>
  <c r="AE27" i="1"/>
  <c r="AE19" i="1"/>
  <c r="AE17" i="1"/>
  <c r="AE15" i="1"/>
  <c r="AE13" i="1"/>
  <c r="AE9" i="1"/>
  <c r="AE3" i="1"/>
  <c r="W547" i="1"/>
  <c r="AE820" i="1"/>
  <c r="AE812" i="1"/>
  <c r="AE806" i="1"/>
  <c r="AE804" i="1"/>
  <c r="AE802" i="1"/>
  <c r="AE796" i="1"/>
  <c r="AE787" i="1"/>
  <c r="AE779" i="1"/>
  <c r="AE775" i="1"/>
  <c r="AE771" i="1"/>
  <c r="AE769" i="1"/>
  <c r="AE765" i="1"/>
  <c r="AE761" i="1"/>
  <c r="AE730" i="1"/>
  <c r="AE724" i="1"/>
  <c r="AE718" i="1"/>
  <c r="AE706" i="1"/>
  <c r="AE684" i="1"/>
  <c r="AE680" i="1"/>
  <c r="AE672" i="1"/>
  <c r="AE670" i="1"/>
  <c r="AE662" i="1"/>
  <c r="AE656" i="1"/>
  <c r="AE644" i="1"/>
  <c r="AE638" i="1"/>
  <c r="AE628" i="1"/>
  <c r="AE801" i="1"/>
  <c r="AE797" i="1"/>
  <c r="AE795" i="1"/>
  <c r="AE793" i="1"/>
  <c r="AE791" i="1"/>
  <c r="AE786" i="1"/>
  <c r="AE784" i="1"/>
  <c r="AE782" i="1"/>
  <c r="AE780" i="1"/>
  <c r="AE778" i="1"/>
  <c r="AE776" i="1"/>
  <c r="AE774" i="1"/>
  <c r="AE772" i="1"/>
  <c r="AE768" i="1"/>
  <c r="AE766" i="1"/>
  <c r="AE764" i="1"/>
  <c r="AE762" i="1"/>
  <c r="AE760" i="1"/>
  <c r="AE758" i="1"/>
  <c r="AE511" i="1"/>
  <c r="AE487" i="1"/>
  <c r="AE481" i="1"/>
  <c r="AE453" i="1"/>
  <c r="AE445" i="1"/>
  <c r="AE443" i="1"/>
  <c r="AE427" i="1"/>
  <c r="W192" i="1"/>
  <c r="AE192" i="1"/>
  <c r="W190" i="1"/>
  <c r="X190" i="1" s="1"/>
  <c r="AE190" i="1"/>
  <c r="W186" i="1"/>
  <c r="AE186" i="1"/>
  <c r="W184" i="1"/>
  <c r="X184" i="1" s="1"/>
  <c r="Y184" i="1" s="1"/>
  <c r="AE184" i="1"/>
  <c r="W182" i="1"/>
  <c r="AE182" i="1"/>
  <c r="W180" i="1"/>
  <c r="X180" i="1" s="1"/>
  <c r="Y180" i="1" s="1"/>
  <c r="AE180" i="1"/>
  <c r="W178" i="1"/>
  <c r="AE178" i="1"/>
  <c r="W176" i="1"/>
  <c r="X176" i="1" s="1"/>
  <c r="Y176" i="1" s="1"/>
  <c r="AE176" i="1"/>
  <c r="W174" i="1"/>
  <c r="AE174" i="1"/>
  <c r="W172" i="1"/>
  <c r="X172" i="1" s="1"/>
  <c r="Y172" i="1" s="1"/>
  <c r="AE172" i="1"/>
  <c r="W170" i="1"/>
  <c r="AE170" i="1"/>
  <c r="W144" i="1"/>
  <c r="AE144" i="1"/>
  <c r="W142" i="1"/>
  <c r="X142" i="1" s="1"/>
  <c r="AE142" i="1"/>
  <c r="W140" i="1"/>
  <c r="AE140" i="1"/>
  <c r="W138" i="1"/>
  <c r="X138" i="1" s="1"/>
  <c r="AE138" i="1"/>
  <c r="W136" i="1"/>
  <c r="AE136" i="1"/>
  <c r="W134" i="1"/>
  <c r="X134" i="1" s="1"/>
  <c r="AE134" i="1"/>
  <c r="W132" i="1"/>
  <c r="AE132" i="1"/>
  <c r="W130" i="1"/>
  <c r="X130" i="1" s="1"/>
  <c r="AE130" i="1"/>
  <c r="W126" i="1"/>
  <c r="AE126" i="1"/>
  <c r="W124" i="1"/>
  <c r="X124" i="1" s="1"/>
  <c r="Y124" i="1" s="1"/>
  <c r="AE124" i="1"/>
  <c r="W122" i="1"/>
  <c r="AE122" i="1"/>
  <c r="W120" i="1"/>
  <c r="X120" i="1" s="1"/>
  <c r="Y120" i="1" s="1"/>
  <c r="AE120" i="1"/>
  <c r="W116" i="1"/>
  <c r="AE116" i="1"/>
  <c r="W114" i="1"/>
  <c r="X114" i="1" s="1"/>
  <c r="AE114" i="1"/>
  <c r="W112" i="1"/>
  <c r="AE112" i="1"/>
  <c r="W110" i="1"/>
  <c r="X110" i="1" s="1"/>
  <c r="AE110" i="1"/>
  <c r="W108" i="1"/>
  <c r="AE108" i="1"/>
  <c r="W106" i="1"/>
  <c r="X106" i="1" s="1"/>
  <c r="AE106" i="1"/>
  <c r="W104" i="1"/>
  <c r="AE104" i="1"/>
  <c r="W102" i="1"/>
  <c r="X102" i="1" s="1"/>
  <c r="AE102" i="1"/>
  <c r="W100" i="1"/>
  <c r="AE100" i="1"/>
  <c r="W98" i="1"/>
  <c r="X98" i="1" s="1"/>
  <c r="AE98" i="1"/>
  <c r="W96" i="1"/>
  <c r="AE96" i="1"/>
  <c r="W94" i="1"/>
  <c r="X94" i="1" s="1"/>
  <c r="AE94" i="1"/>
  <c r="W92" i="1"/>
  <c r="AE92" i="1"/>
  <c r="W90" i="1"/>
  <c r="X90" i="1" s="1"/>
  <c r="Y90" i="1" s="1"/>
  <c r="AE90" i="1"/>
  <c r="W88" i="1"/>
  <c r="AE88" i="1"/>
  <c r="W86" i="1"/>
  <c r="X86" i="1" s="1"/>
  <c r="Y86" i="1" s="1"/>
  <c r="AE86" i="1"/>
  <c r="W84" i="1"/>
  <c r="AE84" i="1"/>
  <c r="W82" i="1"/>
  <c r="X82" i="1" s="1"/>
  <c r="Y82" i="1" s="1"/>
  <c r="AE82" i="1"/>
  <c r="W80" i="1"/>
  <c r="AE80" i="1"/>
  <c r="W78" i="1"/>
  <c r="X78" i="1" s="1"/>
  <c r="AE78" i="1"/>
  <c r="W76" i="1"/>
  <c r="AE76" i="1"/>
  <c r="W74" i="1"/>
  <c r="X74" i="1" s="1"/>
  <c r="AE74" i="1"/>
  <c r="W56" i="1"/>
  <c r="AE56" i="1"/>
  <c r="W54" i="1"/>
  <c r="X54" i="1" s="1"/>
  <c r="Y54" i="1" s="1"/>
  <c r="AE54" i="1"/>
  <c r="W52" i="1"/>
  <c r="AE52" i="1"/>
  <c r="W50" i="1"/>
  <c r="X50" i="1" s="1"/>
  <c r="AE50" i="1"/>
  <c r="W48" i="1"/>
  <c r="AE48" i="1"/>
  <c r="W46" i="1"/>
  <c r="X46" i="1" s="1"/>
  <c r="Y46" i="1" s="1"/>
  <c r="AE46" i="1"/>
  <c r="W44" i="1"/>
  <c r="AE44" i="1"/>
  <c r="W42" i="1"/>
  <c r="X42" i="1" s="1"/>
  <c r="AE42" i="1"/>
  <c r="W40" i="1"/>
  <c r="AE40" i="1"/>
  <c r="W38" i="1"/>
  <c r="X38" i="1" s="1"/>
  <c r="Y38" i="1" s="1"/>
  <c r="AE38" i="1"/>
  <c r="W36" i="1"/>
  <c r="AE36" i="1"/>
  <c r="W34" i="1"/>
  <c r="X34" i="1" s="1"/>
  <c r="Y34" i="1" s="1"/>
  <c r="AE34" i="1"/>
  <c r="W26" i="1"/>
  <c r="AE26" i="1"/>
  <c r="W24" i="1"/>
  <c r="X24" i="1" s="1"/>
  <c r="AE24" i="1"/>
  <c r="W22" i="1"/>
  <c r="AE22" i="1"/>
  <c r="W20" i="1"/>
  <c r="X20" i="1" s="1"/>
  <c r="AE20" i="1"/>
  <c r="W12" i="1"/>
  <c r="AE12" i="1"/>
  <c r="W10" i="1"/>
  <c r="X10" i="1" s="1"/>
  <c r="AE10" i="1"/>
  <c r="W6" i="1"/>
  <c r="AE6" i="1"/>
  <c r="W4" i="1"/>
  <c r="X4" i="1" s="1"/>
  <c r="Y4" i="1" s="1"/>
  <c r="Z4" i="1" s="1"/>
  <c r="AA4" i="1" s="1"/>
  <c r="AE4" i="1"/>
  <c r="W695" i="1"/>
  <c r="AE821" i="1"/>
  <c r="AE819" i="1"/>
  <c r="AE817" i="1"/>
  <c r="AE815" i="1"/>
  <c r="AE813" i="1"/>
  <c r="AE811" i="1"/>
  <c r="AE441" i="1"/>
  <c r="AE425" i="1"/>
  <c r="AE807" i="1"/>
  <c r="W711" i="1"/>
  <c r="W613" i="1"/>
  <c r="W563" i="1"/>
  <c r="X563" i="1" s="1"/>
  <c r="Y563" i="1" s="1"/>
  <c r="W531" i="1"/>
  <c r="W458" i="1"/>
  <c r="X458" i="1" s="1"/>
  <c r="AE715" i="1"/>
  <c r="W715" i="1"/>
  <c r="AE643" i="1"/>
  <c r="W643" i="1"/>
  <c r="AE559" i="1"/>
  <c r="W559" i="1"/>
  <c r="X559" i="1" s="1"/>
  <c r="Y559" i="1" s="1"/>
  <c r="AE543" i="1"/>
  <c r="W543" i="1"/>
  <c r="X543" i="1" s="1"/>
  <c r="Y543" i="1" s="1"/>
  <c r="AE462" i="1"/>
  <c r="W462" i="1"/>
  <c r="X462" i="1" s="1"/>
  <c r="AE454" i="1"/>
  <c r="W454" i="1"/>
  <c r="X454" i="1" s="1"/>
  <c r="Y454" i="1" s="1"/>
  <c r="AE446" i="1"/>
  <c r="W446" i="1"/>
  <c r="X446" i="1" s="1"/>
  <c r="Y446" i="1" s="1"/>
  <c r="W440" i="1"/>
  <c r="AE440" i="1"/>
  <c r="W436" i="1"/>
  <c r="AE436" i="1"/>
  <c r="W428" i="1"/>
  <c r="AE428" i="1"/>
  <c r="AE426" i="1"/>
  <c r="W426" i="1"/>
  <c r="W424" i="1"/>
  <c r="AE424" i="1"/>
  <c r="AE731" i="1"/>
  <c r="W731" i="1"/>
  <c r="AE723" i="1"/>
  <c r="W723" i="1"/>
  <c r="AE707" i="1"/>
  <c r="W707" i="1"/>
  <c r="AE651" i="1"/>
  <c r="W651" i="1"/>
  <c r="AE635" i="1"/>
  <c r="W635" i="1"/>
  <c r="AE627" i="1"/>
  <c r="W627" i="1"/>
  <c r="AE567" i="1"/>
  <c r="W567" i="1"/>
  <c r="X567" i="1" s="1"/>
  <c r="Y567" i="1" s="1"/>
  <c r="AE551" i="1"/>
  <c r="W551" i="1"/>
  <c r="X551" i="1" s="1"/>
  <c r="Y551" i="1" s="1"/>
  <c r="AE535" i="1"/>
  <c r="W535" i="1"/>
  <c r="X535" i="1" s="1"/>
  <c r="Y535" i="1" s="1"/>
  <c r="Z535" i="1" s="1"/>
  <c r="AA535" i="1" s="1"/>
  <c r="AE527" i="1"/>
  <c r="W527" i="1"/>
  <c r="X527" i="1" s="1"/>
  <c r="Y527" i="1" s="1"/>
  <c r="Z527" i="1" s="1"/>
  <c r="AA527" i="1" s="1"/>
  <c r="W518" i="1"/>
  <c r="AE518" i="1"/>
  <c r="AE438" i="1"/>
  <c r="W438" i="1"/>
  <c r="W420" i="1"/>
  <c r="AE420" i="1"/>
  <c r="AE418" i="1"/>
  <c r="W418" i="1"/>
  <c r="W416" i="1"/>
  <c r="AE416" i="1"/>
  <c r="W735" i="1"/>
  <c r="W719" i="1"/>
  <c r="W703" i="1"/>
  <c r="W655" i="1"/>
  <c r="W639" i="1"/>
  <c r="W605" i="1"/>
  <c r="W571" i="1"/>
  <c r="W555" i="1"/>
  <c r="X555" i="1" s="1"/>
  <c r="Y555" i="1" s="1"/>
  <c r="W539" i="1"/>
  <c r="W450" i="1"/>
  <c r="X450" i="1" s="1"/>
  <c r="Y450" i="1" s="1"/>
  <c r="W414" i="1"/>
  <c r="AE749" i="1"/>
  <c r="AE413" i="1"/>
  <c r="AE752" i="1"/>
  <c r="AE744" i="1"/>
  <c r="AE742" i="1"/>
  <c r="AE736" i="1"/>
  <c r="AE728" i="1"/>
  <c r="AE726" i="1"/>
  <c r="AE722" i="1"/>
  <c r="AE720" i="1"/>
  <c r="AE716" i="1"/>
  <c r="AE708" i="1"/>
  <c r="AE700" i="1"/>
  <c r="AE698" i="1"/>
  <c r="AE696" i="1"/>
  <c r="AE692" i="1"/>
  <c r="AE690" i="1"/>
  <c r="AE686" i="1"/>
  <c r="AE678" i="1"/>
  <c r="AE674" i="1"/>
  <c r="AE668" i="1"/>
  <c r="AE664" i="1"/>
  <c r="AE660" i="1"/>
  <c r="AE658" i="1"/>
  <c r="AE654" i="1"/>
  <c r="AE650" i="1"/>
  <c r="AE648" i="1"/>
  <c r="AE646" i="1"/>
  <c r="AE642" i="1"/>
  <c r="AE640" i="1"/>
  <c r="AE636" i="1"/>
  <c r="AE630" i="1"/>
  <c r="AE626" i="1"/>
  <c r="W756" i="1"/>
  <c r="AE756" i="1"/>
  <c r="W753" i="1"/>
  <c r="AE753" i="1"/>
  <c r="W750" i="1"/>
  <c r="X750" i="1" s="1"/>
  <c r="Y750" i="1" s="1"/>
  <c r="AE750" i="1"/>
  <c r="W746" i="1"/>
  <c r="AE746" i="1"/>
  <c r="W625" i="1"/>
  <c r="AE625" i="1"/>
  <c r="W741" i="1"/>
  <c r="W737" i="1"/>
  <c r="X737" i="1" s="1"/>
  <c r="Y737" i="1" s="1"/>
  <c r="W733" i="1"/>
  <c r="W729" i="1"/>
  <c r="X729" i="1" s="1"/>
  <c r="Y729" i="1" s="1"/>
  <c r="W725" i="1"/>
  <c r="W717" i="1"/>
  <c r="X717" i="1" s="1"/>
  <c r="Y717" i="1" s="1"/>
  <c r="W713" i="1"/>
  <c r="W709" i="1"/>
  <c r="X709" i="1" s="1"/>
  <c r="Y709" i="1" s="1"/>
  <c r="W705" i="1"/>
  <c r="W701" i="1"/>
  <c r="X701" i="1" s="1"/>
  <c r="Y701" i="1" s="1"/>
  <c r="W693" i="1"/>
  <c r="W657" i="1"/>
  <c r="X657" i="1" s="1"/>
  <c r="Y657" i="1" s="1"/>
  <c r="W653" i="1"/>
  <c r="W645" i="1"/>
  <c r="X645" i="1" s="1"/>
  <c r="Y645" i="1" s="1"/>
  <c r="W637" i="1"/>
  <c r="W629" i="1"/>
  <c r="X629" i="1" s="1"/>
  <c r="Y629" i="1" s="1"/>
  <c r="W623" i="1"/>
  <c r="W611" i="1"/>
  <c r="X611" i="1" s="1"/>
  <c r="Y611" i="1" s="1"/>
  <c r="W607" i="1"/>
  <c r="W603" i="1"/>
  <c r="X603" i="1" s="1"/>
  <c r="Y603" i="1" s="1"/>
  <c r="W599" i="1"/>
  <c r="W577" i="1"/>
  <c r="W573" i="1"/>
  <c r="W569" i="1"/>
  <c r="W565" i="1"/>
  <c r="W561" i="1"/>
  <c r="W557" i="1"/>
  <c r="W553" i="1"/>
  <c r="W545" i="1"/>
  <c r="W541" i="1"/>
  <c r="W533" i="1"/>
  <c r="W529" i="1"/>
  <c r="W460" i="1"/>
  <c r="W456" i="1"/>
  <c r="W452" i="1"/>
  <c r="W448" i="1"/>
  <c r="W521" i="1"/>
  <c r="AE521" i="1"/>
  <c r="W483" i="1"/>
  <c r="W608" i="1"/>
  <c r="X608" i="1" s="1"/>
  <c r="W604" i="1"/>
  <c r="W602" i="1"/>
  <c r="W600" i="1"/>
  <c r="W576" i="1"/>
  <c r="X576" i="1" s="1"/>
  <c r="Y576" i="1" s="1"/>
  <c r="W574" i="1"/>
  <c r="W572" i="1"/>
  <c r="X572" i="1" s="1"/>
  <c r="W570" i="1"/>
  <c r="W568" i="1"/>
  <c r="X568" i="1" s="1"/>
  <c r="W566" i="1"/>
  <c r="W562" i="1"/>
  <c r="W560" i="1"/>
  <c r="W507" i="1"/>
  <c r="W491" i="1"/>
  <c r="W475" i="1"/>
  <c r="AE552" i="1"/>
  <c r="W552" i="1"/>
  <c r="X552" i="1" s="1"/>
  <c r="Y552" i="1" s="1"/>
  <c r="AE548" i="1"/>
  <c r="W548" i="1"/>
  <c r="X548" i="1" s="1"/>
  <c r="AE542" i="1"/>
  <c r="W542" i="1"/>
  <c r="AE538" i="1"/>
  <c r="W538" i="1"/>
  <c r="AE532" i="1"/>
  <c r="W532" i="1"/>
  <c r="X532" i="1" s="1"/>
  <c r="AE528" i="1"/>
  <c r="W528" i="1"/>
  <c r="X528" i="1" s="1"/>
  <c r="Y528" i="1" s="1"/>
  <c r="W524" i="1"/>
  <c r="AE524" i="1"/>
  <c r="AE509" i="1"/>
  <c r="W509" i="1"/>
  <c r="X509" i="1" s="1"/>
  <c r="Y509" i="1" s="1"/>
  <c r="AE493" i="1"/>
  <c r="W493" i="1"/>
  <c r="X493" i="1" s="1"/>
  <c r="AE489" i="1"/>
  <c r="W489" i="1"/>
  <c r="AE485" i="1"/>
  <c r="W485" i="1"/>
  <c r="X485" i="1" s="1"/>
  <c r="W477" i="1"/>
  <c r="AE477" i="1"/>
  <c r="AE558" i="1"/>
  <c r="W558" i="1"/>
  <c r="AE554" i="1"/>
  <c r="W554" i="1"/>
  <c r="AE550" i="1"/>
  <c r="W550" i="1"/>
  <c r="AE546" i="1"/>
  <c r="W546" i="1"/>
  <c r="AE544" i="1"/>
  <c r="W544" i="1"/>
  <c r="X544" i="1" s="1"/>
  <c r="AE540" i="1"/>
  <c r="W540" i="1"/>
  <c r="X540" i="1" s="1"/>
  <c r="AE536" i="1"/>
  <c r="W536" i="1"/>
  <c r="X536" i="1" s="1"/>
  <c r="Y536" i="1" s="1"/>
  <c r="AE534" i="1"/>
  <c r="W534" i="1"/>
  <c r="AE530" i="1"/>
  <c r="W530" i="1"/>
  <c r="AE526" i="1"/>
  <c r="W526" i="1"/>
  <c r="AE522" i="1"/>
  <c r="W522" i="1"/>
  <c r="AE513" i="1"/>
  <c r="W513" i="1"/>
  <c r="X513" i="1" s="1"/>
  <c r="Y513" i="1" s="1"/>
  <c r="AE505" i="1"/>
  <c r="W505" i="1"/>
  <c r="X505" i="1" s="1"/>
  <c r="Y505" i="1" s="1"/>
  <c r="AE501" i="1"/>
  <c r="W501" i="1"/>
  <c r="X501" i="1" s="1"/>
  <c r="Y501" i="1" s="1"/>
  <c r="AE497" i="1"/>
  <c r="W497" i="1"/>
  <c r="X497" i="1" s="1"/>
  <c r="W473" i="1"/>
  <c r="AE473" i="1"/>
  <c r="W469" i="1"/>
  <c r="AE469" i="1"/>
  <c r="W622" i="1"/>
  <c r="W620" i="1"/>
  <c r="X620" i="1" s="1"/>
  <c r="W618" i="1"/>
  <c r="W616" i="1"/>
  <c r="X616" i="1" s="1"/>
  <c r="Y616" i="1" s="1"/>
  <c r="W614" i="1"/>
  <c r="W519" i="1"/>
  <c r="X519" i="1" s="1"/>
  <c r="Y519" i="1" s="1"/>
  <c r="W503" i="1"/>
  <c r="W495" i="1"/>
  <c r="W479" i="1"/>
  <c r="W471" i="1"/>
  <c r="X471" i="1" s="1"/>
  <c r="Y471" i="1" s="1"/>
  <c r="W463" i="1"/>
  <c r="W459" i="1"/>
  <c r="X459" i="1" s="1"/>
  <c r="Y459" i="1" s="1"/>
  <c r="W457" i="1"/>
  <c r="X457" i="1" s="1"/>
  <c r="Y457" i="1" s="1"/>
  <c r="W455" i="1"/>
  <c r="X455" i="1" s="1"/>
  <c r="Y455" i="1" s="1"/>
  <c r="W610" i="1"/>
  <c r="W516" i="1"/>
  <c r="W514" i="1"/>
  <c r="W512" i="1"/>
  <c r="X512" i="1" s="1"/>
  <c r="W510" i="1"/>
  <c r="W508" i="1"/>
  <c r="X508" i="1" s="1"/>
  <c r="W506" i="1"/>
  <c r="W504" i="1"/>
  <c r="X504" i="1" s="1"/>
  <c r="W502" i="1"/>
  <c r="W500" i="1"/>
  <c r="X500" i="1" s="1"/>
  <c r="W498" i="1"/>
  <c r="W496" i="1"/>
  <c r="X496" i="1" s="1"/>
  <c r="Y496" i="1" s="1"/>
  <c r="W494" i="1"/>
  <c r="W492" i="1"/>
  <c r="X492" i="1" s="1"/>
  <c r="Y492" i="1" s="1"/>
  <c r="W490" i="1"/>
  <c r="W488" i="1"/>
  <c r="X488" i="1" s="1"/>
  <c r="W486" i="1"/>
  <c r="W482" i="1"/>
  <c r="X482" i="1" s="1"/>
  <c r="Y482" i="1" s="1"/>
  <c r="W480" i="1"/>
  <c r="W478" i="1"/>
  <c r="X478" i="1" s="1"/>
  <c r="W468" i="1"/>
  <c r="W466" i="1"/>
  <c r="X466" i="1" s="1"/>
  <c r="AE464" i="1"/>
  <c r="AA916" i="1"/>
  <c r="Y916" i="1"/>
  <c r="Z916" i="1"/>
  <c r="AA909" i="1"/>
  <c r="Z909" i="1"/>
  <c r="Y909" i="1"/>
  <c r="AA897" i="1"/>
  <c r="Z897" i="1"/>
  <c r="Y897" i="1"/>
  <c r="AA895" i="1"/>
  <c r="Z895" i="1"/>
  <c r="Y895" i="1"/>
  <c r="AA879" i="1"/>
  <c r="Z879" i="1"/>
  <c r="Y879" i="1"/>
  <c r="AA857" i="1"/>
  <c r="Z857" i="1"/>
  <c r="Y857" i="1"/>
  <c r="AA854" i="1"/>
  <c r="Z854" i="1"/>
  <c r="Y854" i="1"/>
  <c r="AA844" i="1"/>
  <c r="Z844" i="1"/>
  <c r="Y844" i="1"/>
  <c r="AA842" i="1"/>
  <c r="Z842" i="1"/>
  <c r="Y842" i="1"/>
  <c r="AA840" i="1"/>
  <c r="Z840" i="1"/>
  <c r="Y840" i="1"/>
  <c r="AA838" i="1"/>
  <c r="Z838" i="1"/>
  <c r="Y838" i="1"/>
  <c r="AA835" i="1"/>
  <c r="Z835" i="1"/>
  <c r="Y835" i="1"/>
  <c r="AA833" i="1"/>
  <c r="Z833" i="1"/>
  <c r="Y833" i="1"/>
  <c r="AA823" i="1"/>
  <c r="Z823" i="1"/>
  <c r="Y823" i="1"/>
  <c r="AA809" i="1"/>
  <c r="Z809" i="1"/>
  <c r="Y809" i="1"/>
  <c r="AA805" i="1"/>
  <c r="Z805" i="1"/>
  <c r="Y805" i="1"/>
  <c r="AA803" i="1"/>
  <c r="Z803" i="1"/>
  <c r="Y803" i="1"/>
  <c r="AA799" i="1"/>
  <c r="Z799" i="1"/>
  <c r="Y799" i="1"/>
  <c r="AA770" i="1"/>
  <c r="Z770" i="1"/>
  <c r="Y770" i="1"/>
  <c r="AA743" i="1"/>
  <c r="Z743" i="1"/>
  <c r="Y743" i="1"/>
  <c r="AA739" i="1"/>
  <c r="Z739" i="1"/>
  <c r="Y739" i="1"/>
  <c r="AA727" i="1"/>
  <c r="Z727" i="1"/>
  <c r="Y727" i="1"/>
  <c r="AA721" i="1"/>
  <c r="Z721" i="1"/>
  <c r="Y721" i="1"/>
  <c r="AA699" i="1"/>
  <c r="Z699" i="1"/>
  <c r="Y699" i="1"/>
  <c r="AA697" i="1"/>
  <c r="Z697" i="1"/>
  <c r="Y697" i="1"/>
  <c r="AA691" i="1"/>
  <c r="Z691" i="1"/>
  <c r="Y691" i="1"/>
  <c r="AA671" i="1"/>
  <c r="Z671" i="1"/>
  <c r="Y671" i="1"/>
  <c r="AA659" i="1"/>
  <c r="Z659" i="1"/>
  <c r="Y659" i="1"/>
  <c r="AA649" i="1"/>
  <c r="Z649" i="1"/>
  <c r="Y649" i="1"/>
  <c r="AA647" i="1"/>
  <c r="Z647" i="1"/>
  <c r="Y647" i="1"/>
  <c r="AA641" i="1"/>
  <c r="Z641" i="1"/>
  <c r="Y641" i="1"/>
  <c r="AA633" i="1"/>
  <c r="Z633" i="1"/>
  <c r="Y633" i="1"/>
  <c r="AA621" i="1"/>
  <c r="Z621" i="1"/>
  <c r="Y621" i="1"/>
  <c r="AA619" i="1"/>
  <c r="Z619" i="1"/>
  <c r="Y619" i="1"/>
  <c r="AA615" i="1"/>
  <c r="Z615" i="1"/>
  <c r="Y615" i="1"/>
  <c r="AA609" i="1"/>
  <c r="Z609" i="1"/>
  <c r="Y609" i="1"/>
  <c r="AA601" i="1"/>
  <c r="Z601" i="1"/>
  <c r="Y601" i="1"/>
  <c r="AA589" i="1"/>
  <c r="Z589" i="1"/>
  <c r="Y589" i="1"/>
  <c r="AA575" i="1"/>
  <c r="Z575" i="1"/>
  <c r="Y575" i="1"/>
  <c r="AA549" i="1"/>
  <c r="Z549" i="1"/>
  <c r="Y549" i="1"/>
  <c r="AA537" i="1"/>
  <c r="Z537" i="1"/>
  <c r="Y537" i="1"/>
  <c r="AA525" i="1"/>
  <c r="Z525" i="1"/>
  <c r="Y525" i="1"/>
  <c r="AA523" i="1"/>
  <c r="Z523" i="1"/>
  <c r="Y523" i="1"/>
  <c r="AA499" i="1"/>
  <c r="Z499" i="1"/>
  <c r="Y499" i="1"/>
  <c r="AA483" i="1"/>
  <c r="Z483" i="1"/>
  <c r="Y483" i="1"/>
  <c r="AA467" i="1"/>
  <c r="Z467" i="1"/>
  <c r="Y467" i="1"/>
  <c r="AA465" i="1"/>
  <c r="Z465" i="1"/>
  <c r="Y465" i="1"/>
  <c r="X463" i="1"/>
  <c r="Y463" i="1" s="1"/>
  <c r="AA461" i="1"/>
  <c r="Z461" i="1"/>
  <c r="Y461" i="1"/>
  <c r="X461" i="1"/>
  <c r="X453" i="1"/>
  <c r="Y453" i="1" s="1"/>
  <c r="AA451" i="1"/>
  <c r="Z451" i="1"/>
  <c r="Y451" i="1"/>
  <c r="X451" i="1"/>
  <c r="AA449" i="1"/>
  <c r="Z449" i="1"/>
  <c r="Y449" i="1"/>
  <c r="X449" i="1"/>
  <c r="AA447" i="1"/>
  <c r="Z447" i="1"/>
  <c r="Y447" i="1"/>
  <c r="X447" i="1"/>
  <c r="X445" i="1"/>
  <c r="Y445" i="1" s="1"/>
  <c r="X443" i="1"/>
  <c r="X441" i="1"/>
  <c r="Y441" i="1" s="1"/>
  <c r="AA439" i="1"/>
  <c r="Z439" i="1"/>
  <c r="Y439" i="1"/>
  <c r="X439" i="1"/>
  <c r="AA437" i="1"/>
  <c r="Z437" i="1"/>
  <c r="Y437" i="1"/>
  <c r="X437" i="1"/>
  <c r="AA435" i="1"/>
  <c r="Z435" i="1"/>
  <c r="Y435" i="1"/>
  <c r="X435" i="1"/>
  <c r="X433" i="1"/>
  <c r="Y433" i="1" s="1"/>
  <c r="X431" i="1"/>
  <c r="Y431" i="1" s="1"/>
  <c r="AA429" i="1"/>
  <c r="Z429" i="1"/>
  <c r="Y429" i="1"/>
  <c r="X429" i="1"/>
  <c r="X427" i="1"/>
  <c r="Y427" i="1" s="1"/>
  <c r="X425" i="1"/>
  <c r="Y425" i="1" s="1"/>
  <c r="X423" i="1"/>
  <c r="Y423" i="1" s="1"/>
  <c r="AA421" i="1"/>
  <c r="Z421" i="1"/>
  <c r="Y421" i="1"/>
  <c r="X421" i="1"/>
  <c r="AA419" i="1"/>
  <c r="Z419" i="1"/>
  <c r="Y419" i="1"/>
  <c r="X419" i="1"/>
  <c r="AA417" i="1"/>
  <c r="Z417" i="1"/>
  <c r="Y417" i="1"/>
  <c r="X417" i="1"/>
  <c r="X415" i="1"/>
  <c r="Y415" i="1" s="1"/>
  <c r="X413" i="1"/>
  <c r="Y413" i="1" s="1"/>
  <c r="X411" i="1"/>
  <c r="Y411" i="1" s="1"/>
  <c r="Z411" i="1" s="1"/>
  <c r="AA411" i="1" s="1"/>
  <c r="X409" i="1"/>
  <c r="Y409" i="1" s="1"/>
  <c r="X407" i="1"/>
  <c r="Y407" i="1" s="1"/>
  <c r="X405" i="1"/>
  <c r="Y405" i="1" s="1"/>
  <c r="AA403" i="1"/>
  <c r="Z403" i="1"/>
  <c r="Y403" i="1"/>
  <c r="X403" i="1"/>
  <c r="X401" i="1"/>
  <c r="Y401" i="1" s="1"/>
  <c r="X399" i="1"/>
  <c r="Y399" i="1" s="1"/>
  <c r="AA395" i="1"/>
  <c r="Z395" i="1"/>
  <c r="Y395" i="1"/>
  <c r="X395" i="1"/>
  <c r="AA393" i="1"/>
  <c r="Z393" i="1"/>
  <c r="Y393" i="1"/>
  <c r="X393" i="1"/>
  <c r="X391" i="1"/>
  <c r="Y391" i="1" s="1"/>
  <c r="X389" i="1"/>
  <c r="Y389" i="1" s="1"/>
  <c r="X387" i="1"/>
  <c r="Y387" i="1" s="1"/>
  <c r="X385" i="1"/>
  <c r="Y385" i="1" s="1"/>
  <c r="X383" i="1"/>
  <c r="Y383" i="1" s="1"/>
  <c r="X381" i="1"/>
  <c r="Y381" i="1" s="1"/>
  <c r="AA379" i="1"/>
  <c r="Z379" i="1"/>
  <c r="Y379" i="1"/>
  <c r="X379" i="1"/>
  <c r="X377" i="1"/>
  <c r="Y377" i="1" s="1"/>
  <c r="AA375" i="1"/>
  <c r="Z375" i="1"/>
  <c r="Y375" i="1"/>
  <c r="X375" i="1"/>
  <c r="X373" i="1"/>
  <c r="Y373" i="1" s="1"/>
  <c r="X371" i="1"/>
  <c r="Y371" i="1" s="1"/>
  <c r="X369" i="1"/>
  <c r="Y369" i="1" s="1"/>
  <c r="X367" i="1"/>
  <c r="Y367" i="1" s="1"/>
  <c r="X365" i="1"/>
  <c r="Y365" i="1" s="1"/>
  <c r="X363" i="1"/>
  <c r="Y363" i="1" s="1"/>
  <c r="X361" i="1"/>
  <c r="Y361" i="1" s="1"/>
  <c r="AA359" i="1"/>
  <c r="Z359" i="1"/>
  <c r="Y359" i="1"/>
  <c r="X359" i="1"/>
  <c r="X357" i="1"/>
  <c r="Y357" i="1" s="1"/>
  <c r="X355" i="1"/>
  <c r="Y355" i="1" s="1"/>
  <c r="X353" i="1"/>
  <c r="Y353" i="1" s="1"/>
  <c r="AA351" i="1"/>
  <c r="Z351" i="1"/>
  <c r="Y351" i="1"/>
  <c r="X351" i="1"/>
  <c r="X349" i="1"/>
  <c r="Y349" i="1" s="1"/>
  <c r="X347" i="1"/>
  <c r="Y347" i="1" s="1"/>
  <c r="AA345" i="1"/>
  <c r="Z345" i="1"/>
  <c r="Y345" i="1"/>
  <c r="X345" i="1"/>
  <c r="X343" i="1"/>
  <c r="Y343" i="1" s="1"/>
  <c r="X341" i="1"/>
  <c r="Y341" i="1" s="1"/>
  <c r="X339" i="1"/>
  <c r="Y339" i="1" s="1"/>
  <c r="X337" i="1"/>
  <c r="Y337" i="1" s="1"/>
  <c r="X335" i="1"/>
  <c r="Y335" i="1" s="1"/>
  <c r="X333" i="1"/>
  <c r="Y333" i="1" s="1"/>
  <c r="AA331" i="1"/>
  <c r="Z331" i="1"/>
  <c r="Y331" i="1"/>
  <c r="X331" i="1"/>
  <c r="X329" i="1"/>
  <c r="Y329" i="1" s="1"/>
  <c r="X327" i="1"/>
  <c r="Y327" i="1" s="1"/>
  <c r="X325" i="1"/>
  <c r="Y325" i="1" s="1"/>
  <c r="AA323" i="1"/>
  <c r="Z323" i="1"/>
  <c r="Y323" i="1"/>
  <c r="X323" i="1"/>
  <c r="X319" i="1"/>
  <c r="Y319" i="1" s="1"/>
  <c r="X317" i="1"/>
  <c r="Y317" i="1" s="1"/>
  <c r="X315" i="1"/>
  <c r="Y315" i="1" s="1"/>
  <c r="X313" i="1"/>
  <c r="Y313" i="1" s="1"/>
  <c r="X311" i="1"/>
  <c r="Y311" i="1" s="1"/>
  <c r="X309" i="1"/>
  <c r="Y309" i="1" s="1"/>
  <c r="X307" i="1"/>
  <c r="Y307" i="1" s="1"/>
  <c r="X305" i="1"/>
  <c r="Y305" i="1" s="1"/>
  <c r="X303" i="1"/>
  <c r="Y303" i="1" s="1"/>
  <c r="X301" i="1"/>
  <c r="Y301" i="1" s="1"/>
  <c r="X299" i="1"/>
  <c r="Y299" i="1" s="1"/>
  <c r="X297" i="1"/>
  <c r="Y297" i="1" s="1"/>
  <c r="X295" i="1"/>
  <c r="Y295" i="1" s="1"/>
  <c r="X293" i="1"/>
  <c r="Y293" i="1" s="1"/>
  <c r="AA291" i="1"/>
  <c r="Z291" i="1"/>
  <c r="Y291" i="1"/>
  <c r="X291" i="1"/>
  <c r="AA289" i="1"/>
  <c r="Z289" i="1"/>
  <c r="Y289" i="1"/>
  <c r="X289" i="1"/>
  <c r="X287" i="1"/>
  <c r="Y287" i="1" s="1"/>
  <c r="X285" i="1"/>
  <c r="Y285" i="1" s="1"/>
  <c r="X283" i="1"/>
  <c r="Y283" i="1" s="1"/>
  <c r="X281" i="1"/>
  <c r="Y281" i="1" s="1"/>
  <c r="X279" i="1"/>
  <c r="Y279" i="1" s="1"/>
  <c r="AA277" i="1"/>
  <c r="Z277" i="1"/>
  <c r="Y277" i="1"/>
  <c r="X277" i="1"/>
  <c r="X275" i="1"/>
  <c r="Y275" i="1" s="1"/>
  <c r="X273" i="1"/>
  <c r="Y273" i="1" s="1"/>
  <c r="X271" i="1"/>
  <c r="Y271" i="1" s="1"/>
  <c r="X269" i="1"/>
  <c r="Y269" i="1" s="1"/>
  <c r="AA267" i="1"/>
  <c r="Z267" i="1"/>
  <c r="Y267" i="1"/>
  <c r="X267" i="1"/>
  <c r="X265" i="1"/>
  <c r="Y265" i="1" s="1"/>
  <c r="X263" i="1"/>
  <c r="Y263" i="1" s="1"/>
  <c r="X261" i="1"/>
  <c r="Y261" i="1" s="1"/>
  <c r="X259" i="1"/>
  <c r="Y259" i="1" s="1"/>
  <c r="X257" i="1"/>
  <c r="Y257" i="1" s="1"/>
  <c r="X255" i="1"/>
  <c r="Y255" i="1" s="1"/>
  <c r="X253" i="1"/>
  <c r="Y253" i="1" s="1"/>
  <c r="X251" i="1"/>
  <c r="Y251" i="1" s="1"/>
  <c r="X249" i="1"/>
  <c r="Y249" i="1" s="1"/>
  <c r="X247" i="1"/>
  <c r="X245" i="1"/>
  <c r="AA243" i="1"/>
  <c r="Z243" i="1"/>
  <c r="X243" i="1"/>
  <c r="Y243" i="1"/>
  <c r="X241" i="1"/>
  <c r="X239" i="1"/>
  <c r="X237" i="1"/>
  <c r="AA235" i="1"/>
  <c r="Z235" i="1"/>
  <c r="X235" i="1"/>
  <c r="Y235" i="1"/>
  <c r="X233" i="1"/>
  <c r="X231" i="1"/>
  <c r="X229" i="1"/>
  <c r="X227" i="1"/>
  <c r="X225" i="1"/>
  <c r="X221" i="1"/>
  <c r="X219" i="1"/>
  <c r="AA217" i="1"/>
  <c r="Z217" i="1"/>
  <c r="X217" i="1"/>
  <c r="Y217" i="1"/>
  <c r="AA215" i="1"/>
  <c r="Z215" i="1"/>
  <c r="X215" i="1"/>
  <c r="Y215" i="1"/>
  <c r="AA213" i="1"/>
  <c r="Z213" i="1"/>
  <c r="X213" i="1"/>
  <c r="Y213" i="1"/>
  <c r="X211" i="1"/>
  <c r="X209" i="1"/>
  <c r="X207" i="1"/>
  <c r="X205" i="1"/>
  <c r="AA203" i="1"/>
  <c r="Z203" i="1"/>
  <c r="X203" i="1"/>
  <c r="Y203" i="1"/>
  <c r="X201" i="1"/>
  <c r="X199" i="1"/>
  <c r="X197" i="1"/>
  <c r="X195" i="1"/>
  <c r="X193" i="1"/>
  <c r="X191" i="1"/>
  <c r="X189" i="1"/>
  <c r="X187" i="1"/>
  <c r="X185" i="1"/>
  <c r="X183" i="1"/>
  <c r="X181" i="1"/>
  <c r="AA179" i="1"/>
  <c r="Z179" i="1"/>
  <c r="X179" i="1"/>
  <c r="Y179" i="1"/>
  <c r="X177" i="1"/>
  <c r="X175" i="1"/>
  <c r="X173" i="1"/>
  <c r="X171" i="1"/>
  <c r="AA169" i="1"/>
  <c r="Z169" i="1"/>
  <c r="X169" i="1"/>
  <c r="Y169" i="1"/>
  <c r="X167" i="1"/>
  <c r="X165" i="1"/>
  <c r="X163" i="1"/>
  <c r="Y163" i="1" s="1"/>
  <c r="AA161" i="1"/>
  <c r="Z161" i="1"/>
  <c r="X161" i="1"/>
  <c r="Y161" i="1"/>
  <c r="X159" i="1"/>
  <c r="X157" i="1"/>
  <c r="X155" i="1"/>
  <c r="X153" i="1"/>
  <c r="X151" i="1"/>
  <c r="X149" i="1"/>
  <c r="X147" i="1"/>
  <c r="AA145" i="1"/>
  <c r="Z145" i="1"/>
  <c r="X145" i="1"/>
  <c r="Y145" i="1"/>
  <c r="X143" i="1"/>
  <c r="X141" i="1"/>
  <c r="X139" i="1"/>
  <c r="X137" i="1"/>
  <c r="AA135" i="1"/>
  <c r="Z135" i="1"/>
  <c r="X135" i="1"/>
  <c r="Y135" i="1"/>
  <c r="X133" i="1"/>
  <c r="X131" i="1"/>
  <c r="Y131" i="1" s="1"/>
  <c r="X129" i="1"/>
  <c r="X127" i="1"/>
  <c r="AA125" i="1"/>
  <c r="Z125" i="1"/>
  <c r="X125" i="1"/>
  <c r="Y125" i="1"/>
  <c r="X123" i="1"/>
  <c r="X121" i="1"/>
  <c r="X119" i="1"/>
  <c r="X117" i="1"/>
  <c r="Z115" i="1"/>
  <c r="AA115" i="1"/>
  <c r="X115" i="1"/>
  <c r="Y115" i="1"/>
  <c r="X113" i="1"/>
  <c r="X111" i="1"/>
  <c r="X109" i="1"/>
  <c r="AA107" i="1"/>
  <c r="Z107" i="1"/>
  <c r="X107" i="1"/>
  <c r="Y107" i="1"/>
  <c r="AA105" i="1"/>
  <c r="Z105" i="1"/>
  <c r="X105" i="1"/>
  <c r="Y105" i="1"/>
  <c r="AA103" i="1"/>
  <c r="Z103" i="1"/>
  <c r="X103" i="1"/>
  <c r="Y103" i="1"/>
  <c r="X101" i="1"/>
  <c r="Z99" i="1"/>
  <c r="X99" i="1"/>
  <c r="AA99" i="1"/>
  <c r="Y99" i="1"/>
  <c r="AA97" i="1"/>
  <c r="Z97" i="1"/>
  <c r="X97" i="1"/>
  <c r="Y97" i="1"/>
  <c r="AA95" i="1"/>
  <c r="Z95" i="1"/>
  <c r="X95" i="1"/>
  <c r="Y95" i="1"/>
  <c r="X93" i="1"/>
  <c r="AA91" i="1"/>
  <c r="Z91" i="1"/>
  <c r="Y91" i="1"/>
  <c r="X91" i="1"/>
  <c r="AA89" i="1"/>
  <c r="Z89" i="1"/>
  <c r="X89" i="1"/>
  <c r="Y89" i="1"/>
  <c r="X87" i="1"/>
  <c r="AA85" i="1"/>
  <c r="Z85" i="1"/>
  <c r="X85" i="1"/>
  <c r="Y85" i="1"/>
  <c r="Z83" i="1"/>
  <c r="AA83" i="1"/>
  <c r="Y83" i="1"/>
  <c r="X83" i="1"/>
  <c r="AA81" i="1"/>
  <c r="Z81" i="1"/>
  <c r="X81" i="1"/>
  <c r="Y81" i="1"/>
  <c r="AA79" i="1"/>
  <c r="Z79" i="1"/>
  <c r="Y79" i="1"/>
  <c r="X79" i="1"/>
  <c r="X77" i="1"/>
  <c r="X75" i="1"/>
  <c r="Y75" i="1" s="1"/>
  <c r="X73" i="1"/>
  <c r="X71" i="1"/>
  <c r="X69" i="1"/>
  <c r="X67" i="1"/>
  <c r="AA65" i="1"/>
  <c r="Z65" i="1"/>
  <c r="X65" i="1"/>
  <c r="Y65" i="1"/>
  <c r="X63" i="1"/>
  <c r="X61" i="1"/>
  <c r="X59" i="1"/>
  <c r="Y59" i="1" s="1"/>
  <c r="X57" i="1"/>
  <c r="X55" i="1"/>
  <c r="AA53" i="1"/>
  <c r="Z53" i="1"/>
  <c r="X53" i="1"/>
  <c r="Y53" i="1"/>
  <c r="X51" i="1"/>
  <c r="Y51" i="1" s="1"/>
  <c r="Z51" i="1" s="1"/>
  <c r="AA51" i="1" s="1"/>
  <c r="X49" i="1"/>
  <c r="X47" i="1"/>
  <c r="Y47" i="1" s="1"/>
  <c r="AA45" i="1"/>
  <c r="Z45" i="1"/>
  <c r="X45" i="1"/>
  <c r="Y45" i="1"/>
  <c r="X43" i="1"/>
  <c r="Y43" i="1" s="1"/>
  <c r="X41" i="1"/>
  <c r="X39" i="1"/>
  <c r="AA37" i="1"/>
  <c r="Z37" i="1"/>
  <c r="X37" i="1"/>
  <c r="Y37" i="1"/>
  <c r="Z35" i="1"/>
  <c r="Y35" i="1"/>
  <c r="X35" i="1"/>
  <c r="AA35" i="1"/>
  <c r="X33" i="1"/>
  <c r="AA31" i="1"/>
  <c r="Z31" i="1"/>
  <c r="Y31" i="1"/>
  <c r="X31" i="1"/>
  <c r="X29" i="1"/>
  <c r="X27" i="1"/>
  <c r="AA25" i="1"/>
  <c r="Z25" i="1"/>
  <c r="X25" i="1"/>
  <c r="Y25" i="1"/>
  <c r="AA23" i="1"/>
  <c r="Z23" i="1"/>
  <c r="Y23" i="1"/>
  <c r="X23" i="1"/>
  <c r="AA21" i="1"/>
  <c r="Z21" i="1"/>
  <c r="X21" i="1"/>
  <c r="Y21" i="1"/>
  <c r="X19" i="1"/>
  <c r="X17" i="1"/>
  <c r="X15" i="1"/>
  <c r="X13" i="1"/>
  <c r="Y13" i="1" s="1"/>
  <c r="Z13" i="1" s="1"/>
  <c r="AA13" i="1" s="1"/>
  <c r="X11" i="1"/>
  <c r="Y11" i="1" s="1"/>
  <c r="Z11" i="1" s="1"/>
  <c r="AA11" i="1" s="1"/>
  <c r="X9" i="1"/>
  <c r="Y9" i="1" s="1"/>
  <c r="Z9" i="1" s="1"/>
  <c r="AA9" i="1" s="1"/>
  <c r="X7" i="1"/>
  <c r="Y7" i="1" s="1"/>
  <c r="Z7" i="1" s="1"/>
  <c r="AA7" i="1" s="1"/>
  <c r="AA5" i="1"/>
  <c r="Y5" i="1"/>
  <c r="Z5" i="1"/>
  <c r="X5" i="1"/>
  <c r="X3" i="1"/>
  <c r="X917" i="1"/>
  <c r="X915" i="1"/>
  <c r="X913" i="1"/>
  <c r="Y913" i="1" s="1"/>
  <c r="X911" i="1"/>
  <c r="Y911" i="1" s="1"/>
  <c r="X909" i="1"/>
  <c r="X907" i="1"/>
  <c r="X905" i="1"/>
  <c r="Y905" i="1" s="1"/>
  <c r="X903" i="1"/>
  <c r="Y903" i="1" s="1"/>
  <c r="Z903" i="1" s="1"/>
  <c r="AA903" i="1" s="1"/>
  <c r="X901" i="1"/>
  <c r="X899" i="1"/>
  <c r="Y899" i="1" s="1"/>
  <c r="Z899" i="1" s="1"/>
  <c r="AA899" i="1" s="1"/>
  <c r="X897" i="1"/>
  <c r="X895" i="1"/>
  <c r="X893" i="1"/>
  <c r="Y893" i="1" s="1"/>
  <c r="X891" i="1"/>
  <c r="X889" i="1"/>
  <c r="Y889" i="1" s="1"/>
  <c r="X887" i="1"/>
  <c r="X885" i="1"/>
  <c r="Y885" i="1" s="1"/>
  <c r="X883" i="1"/>
  <c r="Y883" i="1" s="1"/>
  <c r="X881" i="1"/>
  <c r="Y881" i="1" s="1"/>
  <c r="X879" i="1"/>
  <c r="X877" i="1"/>
  <c r="Y877" i="1" s="1"/>
  <c r="X875" i="1"/>
  <c r="X873" i="1"/>
  <c r="Y873" i="1" s="1"/>
  <c r="X871" i="1"/>
  <c r="X869" i="1"/>
  <c r="Y869" i="1" s="1"/>
  <c r="X867" i="1"/>
  <c r="X865" i="1"/>
  <c r="Y865" i="1" s="1"/>
  <c r="X863" i="1"/>
  <c r="Y863" i="1" s="1"/>
  <c r="X861" i="1"/>
  <c r="Y861" i="1" s="1"/>
  <c r="Z861" i="1" s="1"/>
  <c r="AA861" i="1" s="1"/>
  <c r="X859" i="1"/>
  <c r="X857" i="1"/>
  <c r="X856" i="1"/>
  <c r="Y856" i="1" s="1"/>
  <c r="Z856" i="1" s="1"/>
  <c r="AA856" i="1" s="1"/>
  <c r="X854" i="1"/>
  <c r="X852" i="1"/>
  <c r="Y852" i="1" s="1"/>
  <c r="X850" i="1"/>
  <c r="Y850" i="1" s="1"/>
  <c r="X848" i="1"/>
  <c r="Y848" i="1" s="1"/>
  <c r="Z848" i="1" s="1"/>
  <c r="AA848" i="1" s="1"/>
  <c r="X846" i="1"/>
  <c r="X844" i="1"/>
  <c r="X842" i="1"/>
  <c r="X840" i="1"/>
  <c r="X838" i="1"/>
  <c r="X836" i="1"/>
  <c r="Y836" i="1" s="1"/>
  <c r="X835" i="1"/>
  <c r="X833" i="1"/>
  <c r="X831" i="1"/>
  <c r="X829" i="1"/>
  <c r="Y829" i="1" s="1"/>
  <c r="X827" i="1"/>
  <c r="X825" i="1"/>
  <c r="Y825" i="1" s="1"/>
  <c r="X823" i="1"/>
  <c r="X821" i="1"/>
  <c r="X819" i="1"/>
  <c r="Y819" i="1" s="1"/>
  <c r="X817" i="1"/>
  <c r="X815" i="1"/>
  <c r="Y815" i="1" s="1"/>
  <c r="X813" i="1"/>
  <c r="X811" i="1"/>
  <c r="Y811" i="1" s="1"/>
  <c r="X809" i="1"/>
  <c r="X807" i="1"/>
  <c r="Y807" i="1" s="1"/>
  <c r="Z807" i="1" s="1"/>
  <c r="AA807" i="1" s="1"/>
  <c r="X805" i="1"/>
  <c r="X803" i="1"/>
  <c r="X801" i="1"/>
  <c r="Y801" i="1" s="1"/>
  <c r="X799" i="1"/>
  <c r="X797" i="1"/>
  <c r="Y797" i="1" s="1"/>
  <c r="Z797" i="1" s="1"/>
  <c r="AA797" i="1" s="1"/>
  <c r="X795" i="1"/>
  <c r="Y795" i="1" s="1"/>
  <c r="X793" i="1"/>
  <c r="Y793" i="1" s="1"/>
  <c r="Z793" i="1" s="1"/>
  <c r="AA793" i="1" s="1"/>
  <c r="X791" i="1"/>
  <c r="Y791" i="1" s="1"/>
  <c r="Z791" i="1" s="1"/>
  <c r="AA791" i="1" s="1"/>
  <c r="X788" i="1"/>
  <c r="Y788" i="1" s="1"/>
  <c r="X786" i="1"/>
  <c r="Y786" i="1" s="1"/>
  <c r="Z786" i="1" s="1"/>
  <c r="AA786" i="1" s="1"/>
  <c r="X784" i="1"/>
  <c r="Y784" i="1" s="1"/>
  <c r="X782" i="1"/>
  <c r="X780" i="1"/>
  <c r="Y780" i="1" s="1"/>
  <c r="X778" i="1"/>
  <c r="Y778" i="1" s="1"/>
  <c r="Z778" i="1" s="1"/>
  <c r="AA778" i="1" s="1"/>
  <c r="X776" i="1"/>
  <c r="Y776" i="1" s="1"/>
  <c r="X774" i="1"/>
  <c r="Y774" i="1" s="1"/>
  <c r="Z774" i="1" s="1"/>
  <c r="AA774" i="1" s="1"/>
  <c r="X772" i="1"/>
  <c r="Y772" i="1" s="1"/>
  <c r="X770" i="1"/>
  <c r="X768" i="1"/>
  <c r="X766" i="1"/>
  <c r="Y766" i="1" s="1"/>
  <c r="X764" i="1"/>
  <c r="X762" i="1"/>
  <c r="X760" i="1"/>
  <c r="Y760" i="1" s="1"/>
  <c r="X758" i="1"/>
  <c r="Y758" i="1" s="1"/>
  <c r="Z758" i="1" s="1"/>
  <c r="AA758" i="1" s="1"/>
  <c r="X756" i="1"/>
  <c r="X753" i="1"/>
  <c r="Y753" i="1" s="1"/>
  <c r="X746" i="1"/>
  <c r="Y746" i="1" s="1"/>
  <c r="Z746" i="1" s="1"/>
  <c r="AA746" i="1" s="1"/>
  <c r="X743" i="1"/>
  <c r="X741" i="1"/>
  <c r="Y741" i="1" s="1"/>
  <c r="X739" i="1"/>
  <c r="X735" i="1"/>
  <c r="X733" i="1"/>
  <c r="Y733" i="1" s="1"/>
  <c r="X731" i="1"/>
  <c r="X727" i="1"/>
  <c r="X725" i="1"/>
  <c r="Y725" i="1" s="1"/>
  <c r="X723" i="1"/>
  <c r="X721" i="1"/>
  <c r="X719" i="1"/>
  <c r="Y719" i="1" s="1"/>
  <c r="X715" i="1"/>
  <c r="X713" i="1"/>
  <c r="Y713" i="1" s="1"/>
  <c r="X711" i="1"/>
  <c r="X707" i="1"/>
  <c r="X705" i="1"/>
  <c r="Y705" i="1" s="1"/>
  <c r="X703" i="1"/>
  <c r="X699" i="1"/>
  <c r="X697" i="1"/>
  <c r="X695" i="1"/>
  <c r="X693" i="1"/>
  <c r="Y693" i="1" s="1"/>
  <c r="X691" i="1"/>
  <c r="X689" i="1"/>
  <c r="Y689" i="1" s="1"/>
  <c r="X687" i="1"/>
  <c r="X685" i="1"/>
  <c r="Y685" i="1" s="1"/>
  <c r="X683" i="1"/>
  <c r="X681" i="1"/>
  <c r="Y681" i="1" s="1"/>
  <c r="X679" i="1"/>
  <c r="X677" i="1"/>
  <c r="Y677" i="1" s="1"/>
  <c r="X675" i="1"/>
  <c r="X673" i="1"/>
  <c r="Y673" i="1" s="1"/>
  <c r="X671" i="1"/>
  <c r="X669" i="1"/>
  <c r="Y669" i="1" s="1"/>
  <c r="X667" i="1"/>
  <c r="X665" i="1"/>
  <c r="Y665" i="1" s="1"/>
  <c r="X663" i="1"/>
  <c r="X661" i="1"/>
  <c r="Y661" i="1" s="1"/>
  <c r="X659" i="1"/>
  <c r="X655" i="1"/>
  <c r="X653" i="1"/>
  <c r="Y653" i="1" s="1"/>
  <c r="X651" i="1"/>
  <c r="X649" i="1"/>
  <c r="X647" i="1"/>
  <c r="X643" i="1"/>
  <c r="X641" i="1"/>
  <c r="X639" i="1"/>
  <c r="X637" i="1"/>
  <c r="Y637" i="1" s="1"/>
  <c r="X635" i="1"/>
  <c r="X633" i="1"/>
  <c r="X631" i="1"/>
  <c r="X627" i="1"/>
  <c r="X625" i="1"/>
  <c r="Y625" i="1" s="1"/>
  <c r="X623" i="1"/>
  <c r="Y623" i="1" s="1"/>
  <c r="Z623" i="1" s="1"/>
  <c r="AA623" i="1" s="1"/>
  <c r="X621" i="1"/>
  <c r="X619" i="1"/>
  <c r="X615" i="1"/>
  <c r="X613" i="1"/>
  <c r="Y613" i="1" s="1"/>
  <c r="X609" i="1"/>
  <c r="X607" i="1"/>
  <c r="Y607" i="1" s="1"/>
  <c r="X605" i="1"/>
  <c r="X601" i="1"/>
  <c r="X599" i="1"/>
  <c r="Y599" i="1" s="1"/>
  <c r="X597" i="1"/>
  <c r="X595" i="1"/>
  <c r="Y595" i="1" s="1"/>
  <c r="X593" i="1"/>
  <c r="X591" i="1"/>
  <c r="Y591" i="1" s="1"/>
  <c r="X589" i="1"/>
  <c r="X587" i="1"/>
  <c r="Y587" i="1" s="1"/>
  <c r="Z587" i="1" s="1"/>
  <c r="AA587" i="1" s="1"/>
  <c r="X585" i="1"/>
  <c r="X583" i="1"/>
  <c r="Y583" i="1" s="1"/>
  <c r="X581" i="1"/>
  <c r="X579" i="1"/>
  <c r="Y579" i="1" s="1"/>
  <c r="X577" i="1"/>
  <c r="X575" i="1"/>
  <c r="X573" i="1"/>
  <c r="X571" i="1"/>
  <c r="Y571" i="1" s="1"/>
  <c r="X569" i="1"/>
  <c r="X565" i="1"/>
  <c r="X561" i="1"/>
  <c r="X557" i="1"/>
  <c r="X553" i="1"/>
  <c r="X549" i="1"/>
  <c r="X547" i="1"/>
  <c r="Y547" i="1" s="1"/>
  <c r="X545" i="1"/>
  <c r="X541" i="1"/>
  <c r="X539" i="1"/>
  <c r="Y539" i="1" s="1"/>
  <c r="X537" i="1"/>
  <c r="X533" i="1"/>
  <c r="X531" i="1"/>
  <c r="Y531" i="1" s="1"/>
  <c r="X529" i="1"/>
  <c r="X525" i="1"/>
  <c r="X523" i="1"/>
  <c r="X521" i="1"/>
  <c r="X518" i="1"/>
  <c r="Y518" i="1" s="1"/>
  <c r="X516" i="1"/>
  <c r="X511" i="1"/>
  <c r="X507" i="1"/>
  <c r="X503" i="1"/>
  <c r="X499" i="1"/>
  <c r="X495" i="1"/>
  <c r="Y495" i="1" s="1"/>
  <c r="X491" i="1"/>
  <c r="Y491" i="1" s="1"/>
  <c r="X487" i="1"/>
  <c r="Y487" i="1" s="1"/>
  <c r="X483" i="1"/>
  <c r="X479" i="1"/>
  <c r="Y479" i="1" s="1"/>
  <c r="X475" i="1"/>
  <c r="Y475" i="1" s="1"/>
  <c r="X467" i="1"/>
  <c r="AA892" i="1"/>
  <c r="Y892" i="1"/>
  <c r="Z892" i="1"/>
  <c r="Z878" i="1"/>
  <c r="Y878" i="1"/>
  <c r="AA878" i="1"/>
  <c r="Z862" i="1"/>
  <c r="Y862" i="1"/>
  <c r="AA862" i="1"/>
  <c r="Z816" i="1"/>
  <c r="Y816" i="1"/>
  <c r="AA816" i="1"/>
  <c r="Z792" i="1"/>
  <c r="Y792" i="1"/>
  <c r="AA792" i="1"/>
  <c r="Z783" i="1"/>
  <c r="Y783" i="1"/>
  <c r="AA783" i="1"/>
  <c r="AA773" i="1"/>
  <c r="Y773" i="1"/>
  <c r="Z773" i="1"/>
  <c r="Z759" i="1"/>
  <c r="Y759" i="1"/>
  <c r="AA759" i="1"/>
  <c r="AA757" i="1"/>
  <c r="Y757" i="1"/>
  <c r="Z757" i="1"/>
  <c r="AA734" i="1"/>
  <c r="Z734" i="1"/>
  <c r="Y734" i="1"/>
  <c r="AA732" i="1"/>
  <c r="Y732" i="1"/>
  <c r="Z732" i="1"/>
  <c r="AA712" i="1"/>
  <c r="Y712" i="1"/>
  <c r="Z712" i="1"/>
  <c r="AA704" i="1"/>
  <c r="Y704" i="1"/>
  <c r="Z704" i="1"/>
  <c r="AA702" i="1"/>
  <c r="Z702" i="1"/>
  <c r="Y702" i="1"/>
  <c r="AA694" i="1"/>
  <c r="Z694" i="1"/>
  <c r="Y694" i="1"/>
  <c r="Z658" i="1"/>
  <c r="Y658" i="1"/>
  <c r="AA658" i="1"/>
  <c r="AA624" i="1"/>
  <c r="Y624" i="1"/>
  <c r="Z624" i="1"/>
  <c r="AA612" i="1"/>
  <c r="Y612" i="1"/>
  <c r="Z612" i="1"/>
  <c r="AA606" i="1"/>
  <c r="Z606" i="1"/>
  <c r="Y606" i="1"/>
  <c r="AA598" i="1"/>
  <c r="Z598" i="1"/>
  <c r="Y598" i="1"/>
  <c r="Z578" i="1"/>
  <c r="Y578" i="1"/>
  <c r="AA578" i="1"/>
  <c r="AA564" i="1"/>
  <c r="Y564" i="1"/>
  <c r="Z564" i="1"/>
  <c r="AA556" i="1"/>
  <c r="Y556" i="1"/>
  <c r="Z556" i="1"/>
  <c r="AA517" i="1"/>
  <c r="Z517" i="1"/>
  <c r="Y517" i="1"/>
  <c r="AA515" i="1"/>
  <c r="Y515" i="1"/>
  <c r="Z515" i="1"/>
  <c r="X490" i="1"/>
  <c r="X486" i="1"/>
  <c r="Y486" i="1" s="1"/>
  <c r="AA484" i="1"/>
  <c r="Y484" i="1"/>
  <c r="Z484" i="1"/>
  <c r="X484" i="1"/>
  <c r="X480" i="1"/>
  <c r="AA476" i="1"/>
  <c r="Y476" i="1"/>
  <c r="Z476" i="1"/>
  <c r="X476" i="1"/>
  <c r="Z474" i="1"/>
  <c r="Y474" i="1"/>
  <c r="AA474" i="1"/>
  <c r="X474" i="1"/>
  <c r="AA472" i="1"/>
  <c r="Y472" i="1"/>
  <c r="Z472" i="1"/>
  <c r="X472" i="1"/>
  <c r="AA470" i="1"/>
  <c r="Z470" i="1"/>
  <c r="Y470" i="1"/>
  <c r="X470" i="1"/>
  <c r="X468" i="1"/>
  <c r="X464" i="1"/>
  <c r="X460" i="1"/>
  <c r="Y460" i="1" s="1"/>
  <c r="X456" i="1"/>
  <c r="Y456" i="1" s="1"/>
  <c r="X452" i="1"/>
  <c r="Y452" i="1" s="1"/>
  <c r="X448" i="1"/>
  <c r="Y448" i="1" s="1"/>
  <c r="AA444" i="1"/>
  <c r="Y444" i="1"/>
  <c r="Z444" i="1"/>
  <c r="X444" i="1"/>
  <c r="X442" i="1"/>
  <c r="Y442" i="1" s="1"/>
  <c r="X440" i="1"/>
  <c r="X438" i="1"/>
  <c r="Y438" i="1" s="1"/>
  <c r="X436" i="1"/>
  <c r="X434" i="1"/>
  <c r="X432" i="1"/>
  <c r="X430" i="1"/>
  <c r="Y430" i="1" s="1"/>
  <c r="X428" i="1"/>
  <c r="Y428" i="1" s="1"/>
  <c r="X426" i="1"/>
  <c r="Y426" i="1" s="1"/>
  <c r="X424" i="1"/>
  <c r="Y424" i="1" s="1"/>
  <c r="X422" i="1"/>
  <c r="Y422" i="1" s="1"/>
  <c r="X420" i="1"/>
  <c r="X418" i="1"/>
  <c r="Y418" i="1" s="1"/>
  <c r="X416" i="1"/>
  <c r="X414" i="1"/>
  <c r="Y414" i="1" s="1"/>
  <c r="AA412" i="1"/>
  <c r="Y412" i="1"/>
  <c r="Z412" i="1"/>
  <c r="X412" i="1"/>
  <c r="X410" i="1"/>
  <c r="X408" i="1"/>
  <c r="Y408" i="1" s="1"/>
  <c r="X406" i="1"/>
  <c r="Y406" i="1" s="1"/>
  <c r="X404" i="1"/>
  <c r="X402" i="1"/>
  <c r="Y402" i="1" s="1"/>
  <c r="AA400" i="1"/>
  <c r="Y400" i="1"/>
  <c r="Z400" i="1"/>
  <c r="X400" i="1"/>
  <c r="AA398" i="1"/>
  <c r="Z398" i="1"/>
  <c r="Y398" i="1"/>
  <c r="X398" i="1"/>
  <c r="X394" i="1"/>
  <c r="X392" i="1"/>
  <c r="Y392" i="1" s="1"/>
  <c r="X390" i="1"/>
  <c r="AA388" i="1"/>
  <c r="Y388" i="1"/>
  <c r="Z388" i="1"/>
  <c r="X388" i="1"/>
  <c r="X386" i="1"/>
  <c r="X384" i="1"/>
  <c r="Y384" i="1" s="1"/>
  <c r="AA382" i="1"/>
  <c r="Z382" i="1"/>
  <c r="Y382" i="1"/>
  <c r="X382" i="1"/>
  <c r="X380" i="1"/>
  <c r="Y380" i="1" s="1"/>
  <c r="X378" i="1"/>
  <c r="X376" i="1"/>
  <c r="Y376" i="1" s="1"/>
  <c r="X374" i="1"/>
  <c r="AA372" i="1"/>
  <c r="Y372" i="1"/>
  <c r="Z372" i="1"/>
  <c r="X372" i="1"/>
  <c r="X370" i="1"/>
  <c r="X368" i="1"/>
  <c r="Y368" i="1" s="1"/>
  <c r="X366" i="1"/>
  <c r="X364" i="1"/>
  <c r="Y364" i="1" s="1"/>
  <c r="AA362" i="1"/>
  <c r="Z362" i="1"/>
  <c r="Y362" i="1"/>
  <c r="X362" i="1"/>
  <c r="X360" i="1"/>
  <c r="Y360" i="1" s="1"/>
  <c r="X358" i="1"/>
  <c r="X356" i="1"/>
  <c r="Y356" i="1" s="1"/>
  <c r="X354" i="1"/>
  <c r="X352" i="1"/>
  <c r="Y352" i="1" s="1"/>
  <c r="X350" i="1"/>
  <c r="X348" i="1"/>
  <c r="Y348" i="1" s="1"/>
  <c r="X346" i="1"/>
  <c r="X344" i="1"/>
  <c r="Y344" i="1" s="1"/>
  <c r="X342" i="1"/>
  <c r="X340" i="1"/>
  <c r="Y340" i="1" s="1"/>
  <c r="AA338" i="1"/>
  <c r="Z338" i="1"/>
  <c r="Y338" i="1"/>
  <c r="X338" i="1"/>
  <c r="X336" i="1"/>
  <c r="Y336" i="1" s="1"/>
  <c r="X334" i="1"/>
  <c r="X332" i="1"/>
  <c r="Y332" i="1" s="1"/>
  <c r="X330" i="1"/>
  <c r="X328" i="1"/>
  <c r="Y328" i="1" s="1"/>
  <c r="X326" i="1"/>
  <c r="X324" i="1"/>
  <c r="Y324" i="1" s="1"/>
  <c r="AA320" i="1"/>
  <c r="Y320" i="1"/>
  <c r="Z320" i="1"/>
  <c r="X320" i="1"/>
  <c r="AA318" i="1"/>
  <c r="Z318" i="1"/>
  <c r="Y318" i="1"/>
  <c r="X318" i="1"/>
  <c r="AA316" i="1"/>
  <c r="Y316" i="1"/>
  <c r="Z316" i="1"/>
  <c r="X316" i="1"/>
  <c r="AA314" i="1"/>
  <c r="Z314" i="1"/>
  <c r="Y314" i="1"/>
  <c r="X314" i="1"/>
  <c r="X312" i="1"/>
  <c r="Y312" i="1" s="1"/>
  <c r="AA310" i="1"/>
  <c r="Z310" i="1"/>
  <c r="Y310" i="1"/>
  <c r="X310" i="1"/>
  <c r="X308" i="1"/>
  <c r="Y308" i="1" s="1"/>
  <c r="X306" i="1"/>
  <c r="AA304" i="1"/>
  <c r="Y304" i="1"/>
  <c r="Z304" i="1"/>
  <c r="X304" i="1"/>
  <c r="X302" i="1"/>
  <c r="X300" i="1"/>
  <c r="Y300" i="1" s="1"/>
  <c r="X298" i="1"/>
  <c r="X296" i="1"/>
  <c r="Y296" i="1" s="1"/>
  <c r="X294" i="1"/>
  <c r="AA292" i="1"/>
  <c r="Y292" i="1"/>
  <c r="Z292" i="1"/>
  <c r="X292" i="1"/>
  <c r="X290" i="1"/>
  <c r="X288" i="1"/>
  <c r="Y288" i="1" s="1"/>
  <c r="X286" i="1"/>
  <c r="X284" i="1"/>
  <c r="Y284" i="1" s="1"/>
  <c r="X282" i="1"/>
  <c r="X280" i="1"/>
  <c r="Y280" i="1" s="1"/>
  <c r="X278" i="1"/>
  <c r="X276" i="1"/>
  <c r="Y276" i="1" s="1"/>
  <c r="X274" i="1"/>
  <c r="X272" i="1"/>
  <c r="Y272" i="1" s="1"/>
  <c r="X270" i="1"/>
  <c r="X268" i="1"/>
  <c r="Y268" i="1" s="1"/>
  <c r="X266" i="1"/>
  <c r="X264" i="1"/>
  <c r="Y264" i="1" s="1"/>
  <c r="X262" i="1"/>
  <c r="X260" i="1"/>
  <c r="Y260" i="1" s="1"/>
  <c r="X258" i="1"/>
  <c r="X256" i="1"/>
  <c r="Y256" i="1" s="1"/>
  <c r="AA254" i="1"/>
  <c r="Z254" i="1"/>
  <c r="Y254" i="1"/>
  <c r="X254" i="1"/>
  <c r="X252" i="1"/>
  <c r="Y252" i="1" s="1"/>
  <c r="X250" i="1"/>
  <c r="X248" i="1"/>
  <c r="Y248" i="1" s="1"/>
  <c r="AA246" i="1"/>
  <c r="Z246" i="1"/>
  <c r="Y246" i="1"/>
  <c r="X246" i="1"/>
  <c r="X244" i="1"/>
  <c r="Y244" i="1" s="1"/>
  <c r="X242" i="1"/>
  <c r="X240" i="1"/>
  <c r="Y240" i="1" s="1"/>
  <c r="X238" i="1"/>
  <c r="X236" i="1"/>
  <c r="Y236" i="1" s="1"/>
  <c r="X234" i="1"/>
  <c r="X232" i="1"/>
  <c r="Y232" i="1" s="1"/>
  <c r="X230" i="1"/>
  <c r="AA228" i="1"/>
  <c r="Y228" i="1"/>
  <c r="Z228" i="1"/>
  <c r="X228" i="1"/>
  <c r="X226" i="1"/>
  <c r="AA224" i="1"/>
  <c r="Y224" i="1"/>
  <c r="Z224" i="1"/>
  <c r="X224" i="1"/>
  <c r="AA222" i="1"/>
  <c r="Z222" i="1"/>
  <c r="Y222" i="1"/>
  <c r="X222" i="1"/>
  <c r="AA220" i="1"/>
  <c r="Y220" i="1"/>
  <c r="Z220" i="1"/>
  <c r="X220" i="1"/>
  <c r="AA218" i="1"/>
  <c r="Z218" i="1"/>
  <c r="Y218" i="1"/>
  <c r="X218" i="1"/>
  <c r="X216" i="1"/>
  <c r="Y216" i="1" s="1"/>
  <c r="X214" i="1"/>
  <c r="X212" i="1"/>
  <c r="Y212" i="1" s="1"/>
  <c r="X210" i="1"/>
  <c r="X208" i="1"/>
  <c r="Y208" i="1" s="1"/>
  <c r="X206" i="1"/>
  <c r="X204" i="1"/>
  <c r="Y204" i="1" s="1"/>
  <c r="X202" i="1"/>
  <c r="X200" i="1"/>
  <c r="Y200" i="1" s="1"/>
  <c r="X198" i="1"/>
  <c r="X196" i="1"/>
  <c r="Y196" i="1" s="1"/>
  <c r="AA194" i="1"/>
  <c r="Z194" i="1"/>
  <c r="Y194" i="1"/>
  <c r="X194" i="1"/>
  <c r="X192" i="1"/>
  <c r="Y192" i="1" s="1"/>
  <c r="AA188" i="1"/>
  <c r="Y188" i="1"/>
  <c r="Z188" i="1"/>
  <c r="X188" i="1"/>
  <c r="X186" i="1"/>
  <c r="X182" i="1"/>
  <c r="X178" i="1"/>
  <c r="X174" i="1"/>
  <c r="X170" i="1"/>
  <c r="X168" i="1"/>
  <c r="Y168" i="1" s="1"/>
  <c r="X166" i="1"/>
  <c r="X164" i="1"/>
  <c r="Y164" i="1" s="1"/>
  <c r="X162" i="1"/>
  <c r="X160" i="1"/>
  <c r="Y160" i="1" s="1"/>
  <c r="X158" i="1"/>
  <c r="X156" i="1"/>
  <c r="Y156" i="1" s="1"/>
  <c r="X154" i="1"/>
  <c r="X152" i="1"/>
  <c r="Y152" i="1" s="1"/>
  <c r="AA150" i="1"/>
  <c r="Z150" i="1"/>
  <c r="Y150" i="1"/>
  <c r="X150" i="1"/>
  <c r="X148" i="1"/>
  <c r="Y148" i="1" s="1"/>
  <c r="X146" i="1"/>
  <c r="X144" i="1"/>
  <c r="Y144" i="1" s="1"/>
  <c r="X140" i="1"/>
  <c r="Y140" i="1" s="1"/>
  <c r="X136" i="1"/>
  <c r="Y136" i="1" s="1"/>
  <c r="X132" i="1"/>
  <c r="Y132" i="1" s="1"/>
  <c r="AA128" i="1"/>
  <c r="Y128" i="1"/>
  <c r="Z128" i="1"/>
  <c r="X128" i="1"/>
  <c r="X126" i="1"/>
  <c r="X122" i="1"/>
  <c r="AA118" i="1"/>
  <c r="Z118" i="1"/>
  <c r="Y118" i="1"/>
  <c r="X118" i="1"/>
  <c r="X116" i="1"/>
  <c r="Y116" i="1" s="1"/>
  <c r="X112" i="1"/>
  <c r="Y112" i="1" s="1"/>
  <c r="X108" i="1"/>
  <c r="Y108" i="1" s="1"/>
  <c r="X104" i="1"/>
  <c r="Y104" i="1" s="1"/>
  <c r="X100" i="1"/>
  <c r="Y100" i="1" s="1"/>
  <c r="X96" i="1"/>
  <c r="Y96" i="1" s="1"/>
  <c r="X92" i="1"/>
  <c r="Y92" i="1" s="1"/>
  <c r="X88" i="1"/>
  <c r="Y88" i="1" s="1"/>
  <c r="X84" i="1"/>
  <c r="Y84" i="1" s="1"/>
  <c r="X80" i="1"/>
  <c r="Y80" i="1" s="1"/>
  <c r="X76" i="1"/>
  <c r="AA72" i="1"/>
  <c r="Y72" i="1"/>
  <c r="Z72" i="1"/>
  <c r="X72" i="1"/>
  <c r="X70" i="1"/>
  <c r="X68" i="1"/>
  <c r="X66" i="1"/>
  <c r="Y66" i="1" s="1"/>
  <c r="X64" i="1"/>
  <c r="Y64" i="1" s="1"/>
  <c r="X62" i="1"/>
  <c r="Y62" i="1" s="1"/>
  <c r="X60" i="1"/>
  <c r="Y60" i="1" s="1"/>
  <c r="AA58" i="1"/>
  <c r="Y58" i="1"/>
  <c r="Z58" i="1"/>
  <c r="X58" i="1"/>
  <c r="X56" i="1"/>
  <c r="Y56" i="1" s="1"/>
  <c r="X52" i="1"/>
  <c r="X48" i="1"/>
  <c r="Y48" i="1" s="1"/>
  <c r="X44" i="1"/>
  <c r="Y44" i="1" s="1"/>
  <c r="X40" i="1"/>
  <c r="X36" i="1"/>
  <c r="Y36" i="1" s="1"/>
  <c r="AA32" i="1"/>
  <c r="Y32" i="1"/>
  <c r="Z32" i="1"/>
  <c r="X32" i="1"/>
  <c r="AA30" i="1"/>
  <c r="Y30" i="1"/>
  <c r="Z30" i="1"/>
  <c r="X30" i="1"/>
  <c r="AA28" i="1"/>
  <c r="Y28" i="1"/>
  <c r="Z28" i="1"/>
  <c r="X28" i="1"/>
  <c r="X26" i="1"/>
  <c r="X22" i="1"/>
  <c r="AA18" i="1"/>
  <c r="Y18" i="1"/>
  <c r="Z18" i="1"/>
  <c r="X18" i="1"/>
  <c r="AA16" i="1"/>
  <c r="Y16" i="1"/>
  <c r="Z16" i="1"/>
  <c r="X16" i="1"/>
  <c r="X12" i="1"/>
  <c r="Y12" i="1" s="1"/>
  <c r="Z12" i="1" s="1"/>
  <c r="AA12" i="1" s="1"/>
  <c r="AA8" i="1"/>
  <c r="Z8" i="1"/>
  <c r="X8" i="1"/>
  <c r="Y8" i="1"/>
  <c r="X6" i="1"/>
  <c r="X918" i="1"/>
  <c r="Y918" i="1" s="1"/>
  <c r="X916" i="1"/>
  <c r="X914" i="1"/>
  <c r="X912" i="1"/>
  <c r="Y912" i="1" s="1"/>
  <c r="X910" i="1"/>
  <c r="Y910" i="1" s="1"/>
  <c r="X908" i="1"/>
  <c r="X906" i="1"/>
  <c r="X904" i="1"/>
  <c r="Y904" i="1" s="1"/>
  <c r="X902" i="1"/>
  <c r="Y902" i="1" s="1"/>
  <c r="Z902" i="1" s="1"/>
  <c r="AA902" i="1" s="1"/>
  <c r="X900" i="1"/>
  <c r="Y900" i="1" s="1"/>
  <c r="X898" i="1"/>
  <c r="Y898" i="1" s="1"/>
  <c r="X896" i="1"/>
  <c r="Y896" i="1" s="1"/>
  <c r="X894" i="1"/>
  <c r="Y894" i="1" s="1"/>
  <c r="X892" i="1"/>
  <c r="X890" i="1"/>
  <c r="Y890" i="1" s="1"/>
  <c r="Z890" i="1" s="1"/>
  <c r="AA890" i="1" s="1"/>
  <c r="X888" i="1"/>
  <c r="X886" i="1"/>
  <c r="X884" i="1"/>
  <c r="X882" i="1"/>
  <c r="X880" i="1"/>
  <c r="Y880" i="1" s="1"/>
  <c r="X878" i="1"/>
  <c r="X876" i="1"/>
  <c r="X874" i="1"/>
  <c r="Y874" i="1" s="1"/>
  <c r="Z874" i="1" s="1"/>
  <c r="AA874" i="1" s="1"/>
  <c r="X872" i="1"/>
  <c r="X870" i="1"/>
  <c r="Y870" i="1" s="1"/>
  <c r="X868" i="1"/>
  <c r="X866" i="1"/>
  <c r="X864" i="1"/>
  <c r="Y864" i="1" s="1"/>
  <c r="Z864" i="1" s="1"/>
  <c r="AA864" i="1" s="1"/>
  <c r="X862" i="1"/>
  <c r="X860" i="1"/>
  <c r="Y860" i="1" s="1"/>
  <c r="X858" i="1"/>
  <c r="X855" i="1"/>
  <c r="Y855" i="1" s="1"/>
  <c r="X853" i="1"/>
  <c r="X851" i="1"/>
  <c r="Y851" i="1" s="1"/>
  <c r="Z851" i="1" s="1"/>
  <c r="AA851" i="1" s="1"/>
  <c r="X849" i="1"/>
  <c r="X847" i="1"/>
  <c r="Y847" i="1" s="1"/>
  <c r="Z847" i="1" s="1"/>
  <c r="AA847" i="1" s="1"/>
  <c r="X845" i="1"/>
  <c r="X843" i="1"/>
  <c r="X841" i="1"/>
  <c r="X839" i="1"/>
  <c r="X837" i="1"/>
  <c r="Y837" i="1" s="1"/>
  <c r="X834" i="1"/>
  <c r="X832" i="1"/>
  <c r="Y832" i="1" s="1"/>
  <c r="X830" i="1"/>
  <c r="Y830" i="1" s="1"/>
  <c r="Z830" i="1" s="1"/>
  <c r="AA830" i="1" s="1"/>
  <c r="X828" i="1"/>
  <c r="X826" i="1"/>
  <c r="Y826" i="1" s="1"/>
  <c r="X824" i="1"/>
  <c r="Y824" i="1" s="1"/>
  <c r="X822" i="1"/>
  <c r="Y822" i="1" s="1"/>
  <c r="X820" i="1"/>
  <c r="X818" i="1"/>
  <c r="X816" i="1"/>
  <c r="X814" i="1"/>
  <c r="X812" i="1"/>
  <c r="Y812" i="1" s="1"/>
  <c r="Z812" i="1" s="1"/>
  <c r="AA812" i="1" s="1"/>
  <c r="X810" i="1"/>
  <c r="X808" i="1"/>
  <c r="Y808" i="1" s="1"/>
  <c r="X806" i="1"/>
  <c r="X804" i="1"/>
  <c r="Y804" i="1" s="1"/>
  <c r="Z804" i="1" s="1"/>
  <c r="AA804" i="1" s="1"/>
  <c r="X802" i="1"/>
  <c r="X800" i="1"/>
  <c r="Y800" i="1" s="1"/>
  <c r="X798" i="1"/>
  <c r="Y798" i="1" s="1"/>
  <c r="Z798" i="1" s="1"/>
  <c r="AA798" i="1" s="1"/>
  <c r="X796" i="1"/>
  <c r="Y796" i="1" s="1"/>
  <c r="Z796" i="1" s="1"/>
  <c r="AA796" i="1" s="1"/>
  <c r="X794" i="1"/>
  <c r="X792" i="1"/>
  <c r="X790" i="1"/>
  <c r="X787" i="1"/>
  <c r="Y787" i="1" s="1"/>
  <c r="X785" i="1"/>
  <c r="Y785" i="1" s="1"/>
  <c r="X783" i="1"/>
  <c r="X781" i="1"/>
  <c r="X779" i="1"/>
  <c r="Y779" i="1" s="1"/>
  <c r="X777" i="1"/>
  <c r="X775" i="1"/>
  <c r="X773" i="1"/>
  <c r="X771" i="1"/>
  <c r="Y771" i="1" s="1"/>
  <c r="X769" i="1"/>
  <c r="Y769" i="1" s="1"/>
  <c r="Z769" i="1" s="1"/>
  <c r="AA769" i="1" s="1"/>
  <c r="X767" i="1"/>
  <c r="Y767" i="1" s="1"/>
  <c r="X765" i="1"/>
  <c r="Y765" i="1" s="1"/>
  <c r="Z765" i="1" s="1"/>
  <c r="AA765" i="1" s="1"/>
  <c r="X763" i="1"/>
  <c r="Y763" i="1" s="1"/>
  <c r="X761" i="1"/>
  <c r="Y761" i="1" s="1"/>
  <c r="X759" i="1"/>
  <c r="X757" i="1"/>
  <c r="X755" i="1"/>
  <c r="Y755" i="1" s="1"/>
  <c r="X752" i="1"/>
  <c r="X749" i="1"/>
  <c r="Y749" i="1" s="1"/>
  <c r="Z749" i="1" s="1"/>
  <c r="AA749" i="1" s="1"/>
  <c r="X744" i="1"/>
  <c r="X742" i="1"/>
  <c r="Y742" i="1" s="1"/>
  <c r="X740" i="1"/>
  <c r="Y740" i="1" s="1"/>
  <c r="X738" i="1"/>
  <c r="Y738" i="1" s="1"/>
  <c r="X736" i="1"/>
  <c r="Y736" i="1" s="1"/>
  <c r="X734" i="1"/>
  <c r="X732" i="1"/>
  <c r="X730" i="1"/>
  <c r="X728" i="1"/>
  <c r="Y728" i="1" s="1"/>
  <c r="X726" i="1"/>
  <c r="Y726" i="1" s="1"/>
  <c r="X724" i="1"/>
  <c r="X722" i="1"/>
  <c r="X720" i="1"/>
  <c r="Y720" i="1" s="1"/>
  <c r="X718" i="1"/>
  <c r="X716" i="1"/>
  <c r="X714" i="1"/>
  <c r="Y714" i="1" s="1"/>
  <c r="X712" i="1"/>
  <c r="X710" i="1"/>
  <c r="X708" i="1"/>
  <c r="Y708" i="1" s="1"/>
  <c r="X706" i="1"/>
  <c r="Y706" i="1" s="1"/>
  <c r="X704" i="1"/>
  <c r="X702" i="1"/>
  <c r="X700" i="1"/>
  <c r="Y700" i="1" s="1"/>
  <c r="Z700" i="1" s="1"/>
  <c r="AA700" i="1" s="1"/>
  <c r="X698" i="1"/>
  <c r="X696" i="1"/>
  <c r="Y696" i="1" s="1"/>
  <c r="X694" i="1"/>
  <c r="X692" i="1"/>
  <c r="Y692" i="1" s="1"/>
  <c r="X690" i="1"/>
  <c r="X688" i="1"/>
  <c r="X686" i="1"/>
  <c r="Y686" i="1" s="1"/>
  <c r="X684" i="1"/>
  <c r="Y684" i="1" s="1"/>
  <c r="X682" i="1"/>
  <c r="X680" i="1"/>
  <c r="X678" i="1"/>
  <c r="Y678" i="1" s="1"/>
  <c r="X676" i="1"/>
  <c r="X674" i="1"/>
  <c r="X672" i="1"/>
  <c r="X670" i="1"/>
  <c r="X668" i="1"/>
  <c r="Y668" i="1" s="1"/>
  <c r="X666" i="1"/>
  <c r="Y666" i="1" s="1"/>
  <c r="Z666" i="1" s="1"/>
  <c r="AA666" i="1" s="1"/>
  <c r="X664" i="1"/>
  <c r="Y664" i="1" s="1"/>
  <c r="X662" i="1"/>
  <c r="X660" i="1"/>
  <c r="Y660" i="1" s="1"/>
  <c r="X658" i="1"/>
  <c r="X656" i="1"/>
  <c r="X654" i="1"/>
  <c r="Y654" i="1" s="1"/>
  <c r="X652" i="1"/>
  <c r="X650" i="1"/>
  <c r="X648" i="1"/>
  <c r="Y648" i="1" s="1"/>
  <c r="X646" i="1"/>
  <c r="X644" i="1"/>
  <c r="X642" i="1"/>
  <c r="X640" i="1"/>
  <c r="X638" i="1"/>
  <c r="X636" i="1"/>
  <c r="X634" i="1"/>
  <c r="Y634" i="1" s="1"/>
  <c r="X632" i="1"/>
  <c r="X630" i="1"/>
  <c r="X628" i="1"/>
  <c r="X626" i="1"/>
  <c r="X624" i="1"/>
  <c r="X622" i="1"/>
  <c r="Y622" i="1" s="1"/>
  <c r="X618" i="1"/>
  <c r="X614" i="1"/>
  <c r="Y614" i="1" s="1"/>
  <c r="X612" i="1"/>
  <c r="X610" i="1"/>
  <c r="Y610" i="1" s="1"/>
  <c r="X606" i="1"/>
  <c r="X604" i="1"/>
  <c r="X602" i="1"/>
  <c r="X600" i="1"/>
  <c r="Y600" i="1" s="1"/>
  <c r="X598" i="1"/>
  <c r="X596" i="1"/>
  <c r="Y596" i="1" s="1"/>
  <c r="X594" i="1"/>
  <c r="Y594" i="1" s="1"/>
  <c r="X592" i="1"/>
  <c r="X590" i="1"/>
  <c r="Y590" i="1" s="1"/>
  <c r="X588" i="1"/>
  <c r="Y588" i="1" s="1"/>
  <c r="X586" i="1"/>
  <c r="X584" i="1"/>
  <c r="Y584" i="1" s="1"/>
  <c r="Z584" i="1" s="1"/>
  <c r="AA584" i="1" s="1"/>
  <c r="X582" i="1"/>
  <c r="X580" i="1"/>
  <c r="Y580" i="1" s="1"/>
  <c r="X578" i="1"/>
  <c r="X574" i="1"/>
  <c r="Y574" i="1" s="1"/>
  <c r="X570" i="1"/>
  <c r="X566" i="1"/>
  <c r="Y566" i="1" s="1"/>
  <c r="X564" i="1"/>
  <c r="X562" i="1"/>
  <c r="X560" i="1"/>
  <c r="Y560" i="1" s="1"/>
  <c r="X558" i="1"/>
  <c r="Y558" i="1" s="1"/>
  <c r="X556" i="1"/>
  <c r="X554" i="1"/>
  <c r="X550" i="1"/>
  <c r="X546" i="1"/>
  <c r="X542" i="1"/>
  <c r="Y542" i="1" s="1"/>
  <c r="X538" i="1"/>
  <c r="X534" i="1"/>
  <c r="X530" i="1"/>
  <c r="Y530" i="1" s="1"/>
  <c r="X526" i="1"/>
  <c r="X524" i="1"/>
  <c r="X522" i="1"/>
  <c r="Y522" i="1" s="1"/>
  <c r="X517" i="1"/>
  <c r="X515" i="1"/>
  <c r="X514" i="1"/>
  <c r="Y514" i="1" s="1"/>
  <c r="X510" i="1"/>
  <c r="X506" i="1"/>
  <c r="Y506" i="1" s="1"/>
  <c r="X502" i="1"/>
  <c r="X498" i="1"/>
  <c r="X494" i="1"/>
  <c r="Y494" i="1" s="1"/>
  <c r="X489" i="1"/>
  <c r="X481" i="1"/>
  <c r="X477" i="1"/>
  <c r="X473" i="1"/>
  <c r="X469" i="1"/>
  <c r="X465" i="1"/>
  <c r="X14" i="1"/>
  <c r="Y14" i="1"/>
  <c r="Z14" i="1"/>
  <c r="Z918" i="1" l="1"/>
  <c r="AA918" i="1" s="1"/>
  <c r="Y917" i="1"/>
  <c r="Z917" i="1" s="1"/>
  <c r="AA917" i="1" s="1"/>
  <c r="Y886" i="1"/>
  <c r="Z886" i="1" s="1"/>
  <c r="AA886" i="1" s="1"/>
  <c r="Z900" i="1"/>
  <c r="AA900" i="1" s="1"/>
  <c r="Z912" i="1"/>
  <c r="AA912" i="1" s="1"/>
  <c r="Y882" i="1"/>
  <c r="Z882" i="1" s="1"/>
  <c r="AA882" i="1" s="1"/>
  <c r="Y888" i="1"/>
  <c r="Z888" i="1" s="1"/>
  <c r="AA888" i="1" s="1"/>
  <c r="Y906" i="1"/>
  <c r="Z906" i="1" s="1"/>
  <c r="AA906" i="1" s="1"/>
  <c r="Z863" i="1"/>
  <c r="AA863" i="1" s="1"/>
  <c r="Z883" i="1"/>
  <c r="AA883" i="1" s="1"/>
  <c r="Z911" i="1"/>
  <c r="AA911" i="1" s="1"/>
  <c r="Y908" i="1"/>
  <c r="Z908" i="1" s="1"/>
  <c r="AA908" i="1" s="1"/>
  <c r="Y915" i="1"/>
  <c r="Z915" i="1" s="1"/>
  <c r="AA915" i="1" s="1"/>
  <c r="Y914" i="1"/>
  <c r="Z914" i="1" s="1"/>
  <c r="AA914" i="1" s="1"/>
  <c r="Z913" i="1"/>
  <c r="AA913" i="1" s="1"/>
  <c r="Z910" i="1"/>
  <c r="AA910" i="1" s="1"/>
  <c r="Y907" i="1"/>
  <c r="Z907" i="1" s="1"/>
  <c r="AA907" i="1" s="1"/>
  <c r="Z905" i="1"/>
  <c r="AA905" i="1" s="1"/>
  <c r="Z904" i="1"/>
  <c r="AA904" i="1" s="1"/>
  <c r="Y901" i="1"/>
  <c r="Z901" i="1" s="1"/>
  <c r="AA901" i="1" s="1"/>
  <c r="Z898" i="1"/>
  <c r="AA898" i="1" s="1"/>
  <c r="Z896" i="1"/>
  <c r="AA896" i="1" s="1"/>
  <c r="Z894" i="1"/>
  <c r="AA894" i="1" s="1"/>
  <c r="Z893" i="1"/>
  <c r="AA893" i="1" s="1"/>
  <c r="Y891" i="1"/>
  <c r="Z891" i="1" s="1"/>
  <c r="AA891" i="1" s="1"/>
  <c r="Z889" i="1"/>
  <c r="AA889" i="1" s="1"/>
  <c r="Y887" i="1"/>
  <c r="Z887" i="1" s="1"/>
  <c r="AA887" i="1" s="1"/>
  <c r="Z885" i="1"/>
  <c r="AA885" i="1" s="1"/>
  <c r="Y884" i="1"/>
  <c r="Z884" i="1" s="1"/>
  <c r="AA884" i="1" s="1"/>
  <c r="Z881" i="1"/>
  <c r="AA881" i="1" s="1"/>
  <c r="Z880" i="1"/>
  <c r="AA880" i="1" s="1"/>
  <c r="Z877" i="1"/>
  <c r="AA877" i="1" s="1"/>
  <c r="Y876" i="1"/>
  <c r="Z876" i="1" s="1"/>
  <c r="AA876" i="1" s="1"/>
  <c r="Y875" i="1"/>
  <c r="Z875" i="1" s="1"/>
  <c r="AA875" i="1" s="1"/>
  <c r="Z873" i="1"/>
  <c r="AA873" i="1" s="1"/>
  <c r="Y872" i="1"/>
  <c r="Z872" i="1" s="1"/>
  <c r="AA872" i="1" s="1"/>
  <c r="Y871" i="1"/>
  <c r="Z871" i="1" s="1"/>
  <c r="AA871" i="1" s="1"/>
  <c r="Z870" i="1"/>
  <c r="AA870" i="1" s="1"/>
  <c r="Z869" i="1"/>
  <c r="AA869" i="1" s="1"/>
  <c r="Y868" i="1"/>
  <c r="Z868" i="1" s="1"/>
  <c r="AA868" i="1" s="1"/>
  <c r="Y867" i="1"/>
  <c r="Z867" i="1" s="1"/>
  <c r="AA867" i="1" s="1"/>
  <c r="Y866" i="1"/>
  <c r="Z866" i="1" s="1"/>
  <c r="AA866" i="1" s="1"/>
  <c r="Z865" i="1"/>
  <c r="AA865" i="1" s="1"/>
  <c r="Z860" i="1"/>
  <c r="AA860" i="1" s="1"/>
  <c r="Y859" i="1"/>
  <c r="Z859" i="1" s="1"/>
  <c r="AA859" i="1" s="1"/>
  <c r="Y858" i="1"/>
  <c r="Z858" i="1" s="1"/>
  <c r="AA858" i="1" s="1"/>
  <c r="Z855" i="1"/>
  <c r="AA855" i="1" s="1"/>
  <c r="Y853" i="1"/>
  <c r="Z853" i="1" s="1"/>
  <c r="AA853" i="1" s="1"/>
  <c r="Z852" i="1"/>
  <c r="AA852" i="1" s="1"/>
  <c r="Z850" i="1"/>
  <c r="AA850" i="1" s="1"/>
  <c r="Y849" i="1"/>
  <c r="Z849" i="1" s="1"/>
  <c r="AA849" i="1" s="1"/>
  <c r="Y846" i="1"/>
  <c r="Z846" i="1" s="1"/>
  <c r="AA846" i="1" s="1"/>
  <c r="Y845" i="1"/>
  <c r="Z845" i="1" s="1"/>
  <c r="AA845" i="1" s="1"/>
  <c r="Y843" i="1"/>
  <c r="Z843" i="1" s="1"/>
  <c r="AA843" i="1" s="1"/>
  <c r="Y841" i="1"/>
  <c r="Z841" i="1" s="1"/>
  <c r="AA841" i="1" s="1"/>
  <c r="Y839" i="1"/>
  <c r="Z839" i="1" s="1"/>
  <c r="AA839" i="1" s="1"/>
  <c r="Z837" i="1"/>
  <c r="AA837" i="1" s="1"/>
  <c r="Z836" i="1"/>
  <c r="AA836" i="1" s="1"/>
  <c r="Y834" i="1"/>
  <c r="Z834" i="1" s="1"/>
  <c r="AA834" i="1" s="1"/>
  <c r="Z832" i="1"/>
  <c r="AA832" i="1" s="1"/>
  <c r="Z829" i="1"/>
  <c r="AA829" i="1" s="1"/>
  <c r="Y828" i="1"/>
  <c r="Z828" i="1" s="1"/>
  <c r="AA828" i="1" s="1"/>
  <c r="Y827" i="1"/>
  <c r="Z827" i="1" s="1"/>
  <c r="AA827" i="1" s="1"/>
  <c r="Z826" i="1"/>
  <c r="AA826" i="1" s="1"/>
  <c r="Z825" i="1"/>
  <c r="AA825" i="1" s="1"/>
  <c r="Z824" i="1"/>
  <c r="AA824" i="1" s="1"/>
  <c r="Y831" i="1"/>
  <c r="Z831" i="1" s="1"/>
  <c r="AA831" i="1" s="1"/>
  <c r="Z822" i="1"/>
  <c r="AA822" i="1" s="1"/>
  <c r="Y821" i="1"/>
  <c r="Z821" i="1" s="1"/>
  <c r="AA821" i="1" s="1"/>
  <c r="Y820" i="1"/>
  <c r="Z820" i="1" s="1"/>
  <c r="AA820" i="1" s="1"/>
  <c r="Z819" i="1"/>
  <c r="AA819" i="1" s="1"/>
  <c r="Y818" i="1"/>
  <c r="Z818" i="1" s="1"/>
  <c r="AA818" i="1" s="1"/>
  <c r="Y817" i="1"/>
  <c r="Z817" i="1" s="1"/>
  <c r="AA817" i="1" s="1"/>
  <c r="Z815" i="1"/>
  <c r="AA815" i="1" s="1"/>
  <c r="Y814" i="1"/>
  <c r="Z814" i="1" s="1"/>
  <c r="AA814" i="1" s="1"/>
  <c r="Y813" i="1"/>
  <c r="Z813" i="1" s="1"/>
  <c r="AA813" i="1" s="1"/>
  <c r="Z811" i="1"/>
  <c r="AA811" i="1" s="1"/>
  <c r="Y810" i="1"/>
  <c r="Z810" i="1" s="1"/>
  <c r="AA810" i="1" s="1"/>
  <c r="Z808" i="1"/>
  <c r="AA808" i="1" s="1"/>
  <c r="Y806" i="1"/>
  <c r="Z806" i="1" s="1"/>
  <c r="AA806" i="1" s="1"/>
  <c r="Y802" i="1"/>
  <c r="Z802" i="1" s="1"/>
  <c r="AA802" i="1" s="1"/>
  <c r="Z801" i="1"/>
  <c r="AA801" i="1" s="1"/>
  <c r="Z800" i="1"/>
  <c r="AA800" i="1" s="1"/>
  <c r="Z795" i="1"/>
  <c r="AA795" i="1" s="1"/>
  <c r="Y794" i="1"/>
  <c r="Z794" i="1" s="1"/>
  <c r="AA794" i="1" s="1"/>
  <c r="Y790" i="1"/>
  <c r="Z790" i="1" s="1"/>
  <c r="AA790" i="1" s="1"/>
  <c r="Z788" i="1"/>
  <c r="AA788" i="1" s="1"/>
  <c r="Z787" i="1"/>
  <c r="AA787" i="1" s="1"/>
  <c r="Z785" i="1"/>
  <c r="AA785" i="1" s="1"/>
  <c r="Z784" i="1"/>
  <c r="AA784" i="1" s="1"/>
  <c r="Y782" i="1"/>
  <c r="Z782" i="1" s="1"/>
  <c r="AA782" i="1" s="1"/>
  <c r="Y781" i="1"/>
  <c r="Z781" i="1" s="1"/>
  <c r="AA781" i="1" s="1"/>
  <c r="Z780" i="1"/>
  <c r="AA780" i="1" s="1"/>
  <c r="Z779" i="1"/>
  <c r="AA779" i="1" s="1"/>
  <c r="Y777" i="1"/>
  <c r="Z777" i="1" s="1"/>
  <c r="AA777" i="1" s="1"/>
  <c r="Z776" i="1"/>
  <c r="AA776" i="1" s="1"/>
  <c r="Y775" i="1"/>
  <c r="Z775" i="1" s="1"/>
  <c r="AA775" i="1" s="1"/>
  <c r="Z772" i="1"/>
  <c r="AA772" i="1" s="1"/>
  <c r="Z771" i="1"/>
  <c r="AA771" i="1" s="1"/>
  <c r="Y768" i="1"/>
  <c r="Z768" i="1" s="1"/>
  <c r="AA768" i="1" s="1"/>
  <c r="Z767" i="1"/>
  <c r="AA767" i="1" s="1"/>
  <c r="Z766" i="1"/>
  <c r="AA766" i="1" s="1"/>
  <c r="Y764" i="1"/>
  <c r="Z764" i="1" s="1"/>
  <c r="AA764" i="1" s="1"/>
  <c r="Z763" i="1"/>
  <c r="AA763" i="1" s="1"/>
  <c r="Y762" i="1"/>
  <c r="Z762" i="1" s="1"/>
  <c r="AA762" i="1" s="1"/>
  <c r="Z761" i="1"/>
  <c r="AA761" i="1" s="1"/>
  <c r="Z760" i="1"/>
  <c r="AA760" i="1" s="1"/>
  <c r="Z750" i="1"/>
  <c r="AA750" i="1" s="1"/>
  <c r="Y756" i="1"/>
  <c r="Z756" i="1" s="1"/>
  <c r="AA756" i="1" s="1"/>
  <c r="Z755" i="1"/>
  <c r="AA755" i="1" s="1"/>
  <c r="Z753" i="1"/>
  <c r="AA753" i="1" s="1"/>
  <c r="Y752" i="1"/>
  <c r="Z752" i="1" s="1"/>
  <c r="AA752" i="1" s="1"/>
  <c r="Y744" i="1"/>
  <c r="Z744" i="1" s="1"/>
  <c r="AA744" i="1" s="1"/>
  <c r="Z742" i="1"/>
  <c r="AA742" i="1" s="1"/>
  <c r="Z740" i="1"/>
  <c r="AA740" i="1" s="1"/>
  <c r="Z741" i="1"/>
  <c r="AA741" i="1" s="1"/>
  <c r="Z738" i="1"/>
  <c r="AA738" i="1" s="1"/>
  <c r="Z737" i="1"/>
  <c r="AA737" i="1" s="1"/>
  <c r="Z736" i="1"/>
  <c r="AA736" i="1" s="1"/>
  <c r="Y735" i="1"/>
  <c r="Z735" i="1" s="1"/>
  <c r="AA735" i="1" s="1"/>
  <c r="Z733" i="1"/>
  <c r="AA733" i="1" s="1"/>
  <c r="Y731" i="1"/>
  <c r="Z731" i="1" s="1"/>
  <c r="AA731" i="1" s="1"/>
  <c r="Z729" i="1"/>
  <c r="AA729" i="1" s="1"/>
  <c r="Y730" i="1"/>
  <c r="Z730" i="1" s="1"/>
  <c r="AA730" i="1" s="1"/>
  <c r="Z728" i="1"/>
  <c r="AA728" i="1" s="1"/>
  <c r="Z726" i="1"/>
  <c r="AA726" i="1" s="1"/>
  <c r="Z725" i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Z720" i="1"/>
  <c r="AA720" i="1" s="1"/>
  <c r="Z719" i="1"/>
  <c r="AA719" i="1" s="1"/>
  <c r="Y718" i="1"/>
  <c r="Z718" i="1" s="1"/>
  <c r="AA718" i="1" s="1"/>
  <c r="Z717" i="1"/>
  <c r="AA717" i="1" s="1"/>
  <c r="Y716" i="1"/>
  <c r="Z716" i="1" s="1"/>
  <c r="AA716" i="1" s="1"/>
  <c r="Y715" i="1"/>
  <c r="Z715" i="1" s="1"/>
  <c r="AA715" i="1" s="1"/>
  <c r="Z714" i="1"/>
  <c r="AA714" i="1" s="1"/>
  <c r="Z713" i="1"/>
  <c r="AA713" i="1" s="1"/>
  <c r="Y710" i="1"/>
  <c r="Z710" i="1" s="1"/>
  <c r="AA710" i="1" s="1"/>
  <c r="Y711" i="1"/>
  <c r="Z711" i="1" s="1"/>
  <c r="AA711" i="1" s="1"/>
  <c r="Z709" i="1"/>
  <c r="AA709" i="1" s="1"/>
  <c r="Z708" i="1"/>
  <c r="AA708" i="1" s="1"/>
  <c r="Y707" i="1"/>
  <c r="Z707" i="1" s="1"/>
  <c r="AA707" i="1" s="1"/>
  <c r="Z706" i="1"/>
  <c r="AA706" i="1" s="1"/>
  <c r="Z705" i="1"/>
  <c r="AA705" i="1" s="1"/>
  <c r="Y703" i="1"/>
  <c r="Z703" i="1" s="1"/>
  <c r="AA703" i="1" s="1"/>
  <c r="Z701" i="1"/>
  <c r="AA701" i="1" s="1"/>
  <c r="Y698" i="1"/>
  <c r="Z698" i="1" s="1"/>
  <c r="AA698" i="1" s="1"/>
  <c r="Z696" i="1"/>
  <c r="AA696" i="1" s="1"/>
  <c r="Y695" i="1"/>
  <c r="Z695" i="1" s="1"/>
  <c r="AA695" i="1" s="1"/>
  <c r="Z693" i="1"/>
  <c r="AA693" i="1" s="1"/>
  <c r="Z692" i="1"/>
  <c r="AA692" i="1" s="1"/>
  <c r="Y690" i="1"/>
  <c r="Z690" i="1" s="1"/>
  <c r="AA690" i="1" s="1"/>
  <c r="Y688" i="1"/>
  <c r="Z688" i="1" s="1"/>
  <c r="AA688" i="1" s="1"/>
  <c r="Z689" i="1"/>
  <c r="AA689" i="1" s="1"/>
  <c r="Y687" i="1"/>
  <c r="Z687" i="1" s="1"/>
  <c r="AA687" i="1" s="1"/>
  <c r="Z686" i="1"/>
  <c r="AA686" i="1" s="1"/>
  <c r="Z685" i="1"/>
  <c r="AA685" i="1" s="1"/>
  <c r="Y682" i="1"/>
  <c r="Z682" i="1" s="1"/>
  <c r="AA682" i="1" s="1"/>
  <c r="Z684" i="1"/>
  <c r="AA684" i="1" s="1"/>
  <c r="Y683" i="1"/>
  <c r="Z683" i="1" s="1"/>
  <c r="AA683" i="1" s="1"/>
  <c r="Z681" i="1"/>
  <c r="AA681" i="1" s="1"/>
  <c r="Y680" i="1"/>
  <c r="Z680" i="1" s="1"/>
  <c r="AA680" i="1" s="1"/>
  <c r="Y679" i="1"/>
  <c r="Z679" i="1" s="1"/>
  <c r="AA679" i="1" s="1"/>
  <c r="Z678" i="1"/>
  <c r="AA678" i="1" s="1"/>
  <c r="Z677" i="1"/>
  <c r="AA677" i="1" s="1"/>
  <c r="Y676" i="1"/>
  <c r="Z676" i="1" s="1"/>
  <c r="AA676" i="1" s="1"/>
  <c r="Y675" i="1"/>
  <c r="Z675" i="1" s="1"/>
  <c r="AA675" i="1" s="1"/>
  <c r="Y674" i="1"/>
  <c r="Z674" i="1" s="1"/>
  <c r="AA674" i="1" s="1"/>
  <c r="Z673" i="1"/>
  <c r="AA673" i="1" s="1"/>
  <c r="Y672" i="1"/>
  <c r="Z672" i="1" s="1"/>
  <c r="AA672" i="1" s="1"/>
  <c r="Y670" i="1"/>
  <c r="Z670" i="1" s="1"/>
  <c r="AA670" i="1" s="1"/>
  <c r="Z668" i="1"/>
  <c r="AA668" i="1" s="1"/>
  <c r="Z669" i="1"/>
  <c r="AA669" i="1" s="1"/>
  <c r="Y667" i="1"/>
  <c r="Z667" i="1" s="1"/>
  <c r="AA667" i="1" s="1"/>
  <c r="Z664" i="1"/>
  <c r="AA664" i="1" s="1"/>
  <c r="Z665" i="1"/>
  <c r="AA665" i="1" s="1"/>
  <c r="Y663" i="1"/>
  <c r="Z663" i="1" s="1"/>
  <c r="AA663" i="1" s="1"/>
  <c r="Y662" i="1"/>
  <c r="Z662" i="1" s="1"/>
  <c r="AA662" i="1" s="1"/>
  <c r="Z661" i="1"/>
  <c r="AA661" i="1" s="1"/>
  <c r="Z660" i="1"/>
  <c r="AA660" i="1" s="1"/>
  <c r="Z657" i="1"/>
  <c r="AA657" i="1" s="1"/>
  <c r="Y656" i="1"/>
  <c r="Z656" i="1" s="1"/>
  <c r="AA656" i="1" s="1"/>
  <c r="Y655" i="1"/>
  <c r="Z655" i="1" s="1"/>
  <c r="AA655" i="1" s="1"/>
  <c r="Z654" i="1"/>
  <c r="AA654" i="1" s="1"/>
  <c r="Z653" i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Z648" i="1"/>
  <c r="AA648" i="1" s="1"/>
  <c r="Y646" i="1"/>
  <c r="Z646" i="1" s="1"/>
  <c r="AA646" i="1" s="1"/>
  <c r="Z645" i="1"/>
  <c r="AA645" i="1" s="1"/>
  <c r="Y644" i="1"/>
  <c r="Z644" i="1" s="1"/>
  <c r="AA644" i="1" s="1"/>
  <c r="Y643" i="1"/>
  <c r="Z643" i="1" s="1"/>
  <c r="AA643" i="1" s="1"/>
  <c r="Y642" i="1"/>
  <c r="Z642" i="1" s="1"/>
  <c r="AA642" i="1" s="1"/>
  <c r="Y638" i="1"/>
  <c r="Z638" i="1" s="1"/>
  <c r="AA638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Z637" i="1"/>
  <c r="AA637" i="1" s="1"/>
  <c r="Z634" i="1"/>
  <c r="AA634" i="1" s="1"/>
  <c r="Y632" i="1"/>
  <c r="Z632" i="1" s="1"/>
  <c r="AA632" i="1" s="1"/>
  <c r="Y631" i="1"/>
  <c r="Z631" i="1" s="1"/>
  <c r="AA631" i="1" s="1"/>
  <c r="Y630" i="1"/>
  <c r="Z630" i="1" s="1"/>
  <c r="AA630" i="1" s="1"/>
  <c r="Z629" i="1"/>
  <c r="AA629" i="1" s="1"/>
  <c r="Y628" i="1"/>
  <c r="Z628" i="1" s="1"/>
  <c r="AA628" i="1" s="1"/>
  <c r="Y627" i="1"/>
  <c r="Z627" i="1" s="1"/>
  <c r="AA627" i="1" s="1"/>
  <c r="Y626" i="1"/>
  <c r="Z626" i="1" s="1"/>
  <c r="AA626" i="1" s="1"/>
  <c r="Z625" i="1"/>
  <c r="AA625" i="1" s="1"/>
  <c r="Z611" i="1"/>
  <c r="AA611" i="1" s="1"/>
  <c r="Z622" i="1"/>
  <c r="AA622" i="1" s="1"/>
  <c r="Y620" i="1"/>
  <c r="Z620" i="1" s="1"/>
  <c r="AA620" i="1" s="1"/>
  <c r="Y618" i="1"/>
  <c r="Z618" i="1" s="1"/>
  <c r="AA618" i="1" s="1"/>
  <c r="Z616" i="1"/>
  <c r="AA616" i="1" s="1"/>
  <c r="Z614" i="1"/>
  <c r="AA614" i="1" s="1"/>
  <c r="Z613" i="1"/>
  <c r="AA613" i="1" s="1"/>
  <c r="Z610" i="1"/>
  <c r="AA610" i="1" s="1"/>
  <c r="Y608" i="1"/>
  <c r="Z608" i="1" s="1"/>
  <c r="AA608" i="1" s="1"/>
  <c r="Z607" i="1"/>
  <c r="AA607" i="1" s="1"/>
  <c r="Y605" i="1"/>
  <c r="Z605" i="1" s="1"/>
  <c r="AA605" i="1" s="1"/>
  <c r="Y604" i="1"/>
  <c r="Z604" i="1" s="1"/>
  <c r="AA604" i="1" s="1"/>
  <c r="Z603" i="1"/>
  <c r="AA603" i="1" s="1"/>
  <c r="Y602" i="1"/>
  <c r="Z602" i="1" s="1"/>
  <c r="AA602" i="1" s="1"/>
  <c r="Z600" i="1"/>
  <c r="AA600" i="1" s="1"/>
  <c r="Z599" i="1"/>
  <c r="AA599" i="1" s="1"/>
  <c r="Y597" i="1"/>
  <c r="Z597" i="1" s="1"/>
  <c r="AA597" i="1" s="1"/>
  <c r="Z596" i="1"/>
  <c r="AA596" i="1" s="1"/>
  <c r="Z595" i="1"/>
  <c r="AA595" i="1" s="1"/>
  <c r="Z594" i="1"/>
  <c r="AA594" i="1" s="1"/>
  <c r="Y593" i="1"/>
  <c r="Z593" i="1" s="1"/>
  <c r="AA593" i="1" s="1"/>
  <c r="Z591" i="1"/>
  <c r="AA591" i="1" s="1"/>
  <c r="Z590" i="1"/>
  <c r="AA590" i="1" s="1"/>
  <c r="Y586" i="1"/>
  <c r="Z586" i="1" s="1"/>
  <c r="AA586" i="1" s="1"/>
  <c r="Z588" i="1"/>
  <c r="AA588" i="1" s="1"/>
  <c r="Y585" i="1"/>
  <c r="Z585" i="1" s="1"/>
  <c r="AA585" i="1" s="1"/>
  <c r="Z583" i="1"/>
  <c r="AA583" i="1" s="1"/>
  <c r="Y582" i="1"/>
  <c r="Z582" i="1" s="1"/>
  <c r="AA582" i="1" s="1"/>
  <c r="Y581" i="1"/>
  <c r="Z581" i="1" s="1"/>
  <c r="AA581" i="1" s="1"/>
  <c r="Z580" i="1"/>
  <c r="AA580" i="1" s="1"/>
  <c r="Z579" i="1"/>
  <c r="AA579" i="1" s="1"/>
  <c r="Z131" i="1"/>
  <c r="AA131" i="1" s="1"/>
  <c r="Z163" i="1"/>
  <c r="AA163" i="1" s="1"/>
  <c r="Y577" i="1"/>
  <c r="Z577" i="1" s="1"/>
  <c r="AA577" i="1" s="1"/>
  <c r="Z576" i="1"/>
  <c r="AA576" i="1" s="1"/>
  <c r="Z574" i="1"/>
  <c r="AA574" i="1" s="1"/>
  <c r="Y573" i="1"/>
  <c r="Z573" i="1" s="1"/>
  <c r="AA573" i="1" s="1"/>
  <c r="Y572" i="1"/>
  <c r="Z572" i="1" s="1"/>
  <c r="AA572" i="1" s="1"/>
  <c r="Z571" i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Z567" i="1"/>
  <c r="AA567" i="1" s="1"/>
  <c r="Z566" i="1"/>
  <c r="AA566" i="1" s="1"/>
  <c r="Y565" i="1"/>
  <c r="Z565" i="1" s="1"/>
  <c r="AA565" i="1" s="1"/>
  <c r="Y562" i="1"/>
  <c r="Z562" i="1" s="1"/>
  <c r="AA562" i="1" s="1"/>
  <c r="Z563" i="1"/>
  <c r="AA563" i="1" s="1"/>
  <c r="Y561" i="1"/>
  <c r="Z561" i="1" s="1"/>
  <c r="AA561" i="1" s="1"/>
  <c r="Z558" i="1"/>
  <c r="AA558" i="1" s="1"/>
  <c r="Z560" i="1"/>
  <c r="AA560" i="1" s="1"/>
  <c r="Z559" i="1"/>
  <c r="AA559" i="1" s="1"/>
  <c r="Y557" i="1"/>
  <c r="Z557" i="1" s="1"/>
  <c r="AA557" i="1" s="1"/>
  <c r="Z555" i="1"/>
  <c r="AA555" i="1" s="1"/>
  <c r="Y554" i="1"/>
  <c r="Z554" i="1" s="1"/>
  <c r="AA554" i="1" s="1"/>
  <c r="Y592" i="1"/>
  <c r="Z592" i="1" s="1"/>
  <c r="AA592" i="1" s="1"/>
  <c r="Y553" i="1"/>
  <c r="Z553" i="1" s="1"/>
  <c r="AA553" i="1" s="1"/>
  <c r="Z552" i="1"/>
  <c r="AA552" i="1" s="1"/>
  <c r="Z551" i="1"/>
  <c r="AA551" i="1" s="1"/>
  <c r="Y550" i="1"/>
  <c r="Z550" i="1" s="1"/>
  <c r="AA550" i="1" s="1"/>
  <c r="Y548" i="1"/>
  <c r="Z548" i="1" s="1"/>
  <c r="AA548" i="1" s="1"/>
  <c r="Z547" i="1"/>
  <c r="AA547" i="1" s="1"/>
  <c r="Y546" i="1"/>
  <c r="Z546" i="1" s="1"/>
  <c r="AA546" i="1" s="1"/>
  <c r="Y545" i="1"/>
  <c r="Z545" i="1" s="1"/>
  <c r="AA545" i="1" s="1"/>
  <c r="Y544" i="1"/>
  <c r="Z544" i="1" s="1"/>
  <c r="AA544" i="1" s="1"/>
  <c r="Z543" i="1"/>
  <c r="AA543" i="1" s="1"/>
  <c r="Z542" i="1"/>
  <c r="AA542" i="1" s="1"/>
  <c r="Y541" i="1"/>
  <c r="Z541" i="1" s="1"/>
  <c r="AA541" i="1" s="1"/>
  <c r="Y540" i="1"/>
  <c r="Z540" i="1" s="1"/>
  <c r="AA540" i="1" s="1"/>
  <c r="Z539" i="1"/>
  <c r="AA539" i="1" s="1"/>
  <c r="Y538" i="1"/>
  <c r="Z538" i="1" s="1"/>
  <c r="AA538" i="1" s="1"/>
  <c r="Z536" i="1"/>
  <c r="AA536" i="1" s="1"/>
  <c r="Y534" i="1"/>
  <c r="Z534" i="1" s="1"/>
  <c r="AA534" i="1" s="1"/>
  <c r="Y533" i="1"/>
  <c r="Z533" i="1" s="1"/>
  <c r="AA533" i="1" s="1"/>
  <c r="Y532" i="1"/>
  <c r="Z532" i="1" s="1"/>
  <c r="AA532" i="1" s="1"/>
  <c r="Z531" i="1"/>
  <c r="AA531" i="1" s="1"/>
  <c r="Z530" i="1"/>
  <c r="AA530" i="1" s="1"/>
  <c r="Y529" i="1"/>
  <c r="Z529" i="1" s="1"/>
  <c r="AA529" i="1" s="1"/>
  <c r="Z528" i="1"/>
  <c r="AA528" i="1" s="1"/>
  <c r="Y526" i="1"/>
  <c r="Z526" i="1" s="1"/>
  <c r="AA526" i="1" s="1"/>
  <c r="Y524" i="1"/>
  <c r="Z524" i="1" s="1"/>
  <c r="AA524" i="1" s="1"/>
  <c r="Z522" i="1"/>
  <c r="AA522" i="1" s="1"/>
  <c r="Y521" i="1"/>
  <c r="Z521" i="1" s="1"/>
  <c r="AA521" i="1" s="1"/>
  <c r="Z519" i="1"/>
  <c r="AA519" i="1" s="1"/>
  <c r="Z518" i="1"/>
  <c r="AA518" i="1" s="1"/>
  <c r="Y516" i="1"/>
  <c r="Z516" i="1" s="1"/>
  <c r="AA516" i="1" s="1"/>
  <c r="Y502" i="1"/>
  <c r="Z502" i="1" s="1"/>
  <c r="AA502" i="1" s="1"/>
  <c r="Y504" i="1"/>
  <c r="Z504" i="1" s="1"/>
  <c r="AA504" i="1" s="1"/>
  <c r="Z506" i="1"/>
  <c r="AA506" i="1" s="1"/>
  <c r="Y508" i="1"/>
  <c r="Z508" i="1" s="1"/>
  <c r="AA508" i="1" s="1"/>
  <c r="Y510" i="1"/>
  <c r="Z510" i="1" s="1"/>
  <c r="AA510" i="1" s="1"/>
  <c r="Y512" i="1"/>
  <c r="Z512" i="1" s="1"/>
  <c r="AA512" i="1" s="1"/>
  <c r="Z514" i="1"/>
  <c r="AA514" i="1" s="1"/>
  <c r="Z501" i="1"/>
  <c r="AA501" i="1" s="1"/>
  <c r="Y503" i="1"/>
  <c r="Z503" i="1" s="1"/>
  <c r="AA503" i="1" s="1"/>
  <c r="Z505" i="1"/>
  <c r="AA505" i="1" s="1"/>
  <c r="Y507" i="1"/>
  <c r="Z507" i="1" s="1"/>
  <c r="AA507" i="1" s="1"/>
  <c r="Z509" i="1"/>
  <c r="AA509" i="1" s="1"/>
  <c r="Y511" i="1"/>
  <c r="Z511" i="1" s="1"/>
  <c r="AA511" i="1" s="1"/>
  <c r="Z513" i="1"/>
  <c r="AA513" i="1" s="1"/>
  <c r="Y500" i="1"/>
  <c r="Z500" i="1" s="1"/>
  <c r="AA500" i="1" s="1"/>
  <c r="Z431" i="1"/>
  <c r="AA431" i="1" s="1"/>
  <c r="Z433" i="1"/>
  <c r="AA433" i="1" s="1"/>
  <c r="Z486" i="1"/>
  <c r="AA486" i="1" s="1"/>
  <c r="Y488" i="1"/>
  <c r="Z488" i="1" s="1"/>
  <c r="AA488" i="1" s="1"/>
  <c r="Y490" i="1"/>
  <c r="Z490" i="1" s="1"/>
  <c r="AA490" i="1" s="1"/>
  <c r="Z492" i="1"/>
  <c r="AA492" i="1" s="1"/>
  <c r="Z494" i="1"/>
  <c r="AA494" i="1" s="1"/>
  <c r="Z496" i="1"/>
  <c r="AA496" i="1" s="1"/>
  <c r="Y498" i="1"/>
  <c r="Z498" i="1" s="1"/>
  <c r="AA498" i="1" s="1"/>
  <c r="Z487" i="1"/>
  <c r="AA487" i="1" s="1"/>
  <c r="Y489" i="1"/>
  <c r="Z489" i="1" s="1"/>
  <c r="AA489" i="1" s="1"/>
  <c r="Z491" i="1"/>
  <c r="AA491" i="1" s="1"/>
  <c r="Y493" i="1"/>
  <c r="Z493" i="1" s="1"/>
  <c r="AA493" i="1" s="1"/>
  <c r="Z495" i="1"/>
  <c r="AA495" i="1" s="1"/>
  <c r="Y497" i="1"/>
  <c r="Z497" i="1" s="1"/>
  <c r="AA497" i="1" s="1"/>
  <c r="Y485" i="1"/>
  <c r="Z485" i="1" s="1"/>
  <c r="AA485" i="1" s="1"/>
  <c r="Z482" i="1"/>
  <c r="AA482" i="1" s="1"/>
  <c r="Y481" i="1"/>
  <c r="Z481" i="1" s="1"/>
  <c r="AA481" i="1" s="1"/>
  <c r="Y480" i="1"/>
  <c r="Z480" i="1" s="1"/>
  <c r="AA480" i="1" s="1"/>
  <c r="Z479" i="1"/>
  <c r="AA479" i="1" s="1"/>
  <c r="Y478" i="1"/>
  <c r="Z478" i="1" s="1"/>
  <c r="AA478" i="1" s="1"/>
  <c r="Y477" i="1"/>
  <c r="Z477" i="1" s="1"/>
  <c r="AA477" i="1" s="1"/>
  <c r="Z475" i="1"/>
  <c r="AA475" i="1" s="1"/>
  <c r="Y473" i="1"/>
  <c r="Z473" i="1" s="1"/>
  <c r="AA473" i="1" s="1"/>
  <c r="Z471" i="1"/>
  <c r="AA471" i="1" s="1"/>
  <c r="Y469" i="1"/>
  <c r="Z469" i="1" s="1"/>
  <c r="AA469" i="1" s="1"/>
  <c r="Y468" i="1"/>
  <c r="Z468" i="1" s="1"/>
  <c r="AA468" i="1" s="1"/>
  <c r="Y466" i="1"/>
  <c r="Z466" i="1" s="1"/>
  <c r="AA466" i="1" s="1"/>
  <c r="Y464" i="1"/>
  <c r="Z464" i="1" s="1"/>
  <c r="AA464" i="1" s="1"/>
  <c r="Z463" i="1"/>
  <c r="AA463" i="1" s="1"/>
  <c r="Y462" i="1"/>
  <c r="Z462" i="1" s="1"/>
  <c r="AA462" i="1" s="1"/>
  <c r="Z460" i="1"/>
  <c r="AA460" i="1" s="1"/>
  <c r="Z459" i="1"/>
  <c r="AA459" i="1" s="1"/>
  <c r="Y458" i="1"/>
  <c r="Z458" i="1" s="1"/>
  <c r="AA458" i="1" s="1"/>
  <c r="Z457" i="1"/>
  <c r="AA457" i="1" s="1"/>
  <c r="Z456" i="1"/>
  <c r="AA456" i="1" s="1"/>
  <c r="Z455" i="1"/>
  <c r="AA455" i="1" s="1"/>
  <c r="Z454" i="1"/>
  <c r="AA454" i="1" s="1"/>
  <c r="Z453" i="1"/>
  <c r="AA453" i="1" s="1"/>
  <c r="Z452" i="1"/>
  <c r="AA452" i="1" s="1"/>
  <c r="Z450" i="1"/>
  <c r="AA450" i="1" s="1"/>
  <c r="Z448" i="1"/>
  <c r="AA448" i="1" s="1"/>
  <c r="Z446" i="1"/>
  <c r="AA446" i="1" s="1"/>
  <c r="Z445" i="1"/>
  <c r="AA445" i="1" s="1"/>
  <c r="Y443" i="1"/>
  <c r="Z443" i="1" s="1"/>
  <c r="AA443" i="1" s="1"/>
  <c r="Z442" i="1"/>
  <c r="AA442" i="1" s="1"/>
  <c r="Z441" i="1"/>
  <c r="AA441" i="1" s="1"/>
  <c r="Y440" i="1"/>
  <c r="Z440" i="1" s="1"/>
  <c r="AA440" i="1" s="1"/>
  <c r="Z438" i="1"/>
  <c r="AA438" i="1" s="1"/>
  <c r="Y436" i="1"/>
  <c r="Z436" i="1" s="1"/>
  <c r="AA436" i="1" s="1"/>
  <c r="Y434" i="1"/>
  <c r="Z434" i="1" s="1"/>
  <c r="AA434" i="1" s="1"/>
  <c r="Y432" i="1"/>
  <c r="Z432" i="1" s="1"/>
  <c r="AA432" i="1" s="1"/>
  <c r="Z430" i="1"/>
  <c r="AA430" i="1" s="1"/>
  <c r="Y26" i="1"/>
  <c r="Z26" i="1" s="1"/>
  <c r="AA26" i="1" s="1"/>
  <c r="Y3" i="1"/>
  <c r="Z3" i="1" s="1"/>
  <c r="AA3" i="1" s="1"/>
  <c r="Y15" i="1"/>
  <c r="Z15" i="1" s="1"/>
  <c r="AA15" i="1" s="1"/>
  <c r="Y27" i="1"/>
  <c r="Z27" i="1" s="1"/>
  <c r="AA27" i="1" s="1"/>
  <c r="Y39" i="1"/>
  <c r="Z39" i="1" s="1"/>
  <c r="AA39" i="1" s="1"/>
  <c r="Z43" i="1"/>
  <c r="AA43" i="1" s="1"/>
  <c r="Z47" i="1"/>
  <c r="AA47" i="1" s="1"/>
  <c r="Y55" i="1"/>
  <c r="Z55" i="1" s="1"/>
  <c r="AA55" i="1" s="1"/>
  <c r="Z59" i="1"/>
  <c r="AA59" i="1" s="1"/>
  <c r="Y63" i="1"/>
  <c r="Z63" i="1" s="1"/>
  <c r="AA63" i="1" s="1"/>
  <c r="Y71" i="1"/>
  <c r="Z71" i="1" s="1"/>
  <c r="AA71" i="1" s="1"/>
  <c r="Z75" i="1"/>
  <c r="AA75" i="1" s="1"/>
  <c r="Y87" i="1"/>
  <c r="Z87" i="1" s="1"/>
  <c r="AA87" i="1" s="1"/>
  <c r="Z249" i="1"/>
  <c r="AA249" i="1" s="1"/>
  <c r="Z251" i="1"/>
  <c r="AA251" i="1" s="1"/>
  <c r="Z253" i="1"/>
  <c r="AA253" i="1" s="1"/>
  <c r="Z255" i="1"/>
  <c r="AA255" i="1" s="1"/>
  <c r="Z257" i="1"/>
  <c r="AA257" i="1" s="1"/>
  <c r="Z259" i="1"/>
  <c r="AA259" i="1" s="1"/>
  <c r="Z261" i="1"/>
  <c r="AA261" i="1" s="1"/>
  <c r="Z263" i="1"/>
  <c r="AA263" i="1" s="1"/>
  <c r="Z265" i="1"/>
  <c r="AA265" i="1" s="1"/>
  <c r="Z269" i="1"/>
  <c r="AA269" i="1" s="1"/>
  <c r="Z271" i="1"/>
  <c r="AA271" i="1" s="1"/>
  <c r="Z273" i="1"/>
  <c r="AA273" i="1" s="1"/>
  <c r="Z275" i="1"/>
  <c r="AA275" i="1" s="1"/>
  <c r="Z279" i="1"/>
  <c r="AA279" i="1" s="1"/>
  <c r="Z281" i="1"/>
  <c r="AA281" i="1" s="1"/>
  <c r="Z283" i="1"/>
  <c r="AA283" i="1" s="1"/>
  <c r="Z285" i="1"/>
  <c r="AA285" i="1" s="1"/>
  <c r="Z287" i="1"/>
  <c r="AA287" i="1" s="1"/>
  <c r="Z293" i="1"/>
  <c r="AA293" i="1" s="1"/>
  <c r="Z295" i="1"/>
  <c r="AA295" i="1" s="1"/>
  <c r="Z297" i="1"/>
  <c r="AA297" i="1" s="1"/>
  <c r="Z299" i="1"/>
  <c r="AA299" i="1" s="1"/>
  <c r="Z301" i="1"/>
  <c r="AA301" i="1" s="1"/>
  <c r="Z303" i="1"/>
  <c r="AA303" i="1" s="1"/>
  <c r="Z305" i="1"/>
  <c r="AA305" i="1" s="1"/>
  <c r="Z307" i="1"/>
  <c r="AA307" i="1" s="1"/>
  <c r="Z309" i="1"/>
  <c r="AA309" i="1" s="1"/>
  <c r="Z311" i="1"/>
  <c r="AA311" i="1" s="1"/>
  <c r="Z313" i="1"/>
  <c r="AA313" i="1" s="1"/>
  <c r="Z315" i="1"/>
  <c r="AA315" i="1" s="1"/>
  <c r="Z317" i="1"/>
  <c r="AA317" i="1" s="1"/>
  <c r="Z319" i="1"/>
  <c r="AA319" i="1" s="1"/>
  <c r="Z325" i="1"/>
  <c r="AA325" i="1" s="1"/>
  <c r="Z327" i="1"/>
  <c r="AA327" i="1" s="1"/>
  <c r="Z329" i="1"/>
  <c r="AA329" i="1" s="1"/>
  <c r="Z333" i="1"/>
  <c r="AA333" i="1" s="1"/>
  <c r="Z335" i="1"/>
  <c r="AA335" i="1" s="1"/>
  <c r="Z337" i="1"/>
  <c r="AA337" i="1" s="1"/>
  <c r="Z339" i="1"/>
  <c r="AA339" i="1" s="1"/>
  <c r="Z428" i="1"/>
  <c r="AA428" i="1" s="1"/>
  <c r="Z426" i="1"/>
  <c r="AA426" i="1" s="1"/>
  <c r="Z427" i="1"/>
  <c r="AA427" i="1" s="1"/>
  <c r="Z425" i="1"/>
  <c r="AA425" i="1" s="1"/>
  <c r="Z423" i="1"/>
  <c r="AA423" i="1" s="1"/>
  <c r="Z424" i="1"/>
  <c r="AA424" i="1" s="1"/>
  <c r="Z422" i="1"/>
  <c r="AA422" i="1" s="1"/>
  <c r="Y420" i="1"/>
  <c r="Z420" i="1" s="1"/>
  <c r="AA420" i="1" s="1"/>
  <c r="Z418" i="1"/>
  <c r="AA418" i="1" s="1"/>
  <c r="Z414" i="1"/>
  <c r="AA414" i="1" s="1"/>
  <c r="Y416" i="1"/>
  <c r="Z416" i="1" s="1"/>
  <c r="AA416" i="1" s="1"/>
  <c r="Z415" i="1"/>
  <c r="AA415" i="1" s="1"/>
  <c r="Z413" i="1"/>
  <c r="AA413" i="1" s="1"/>
  <c r="Y410" i="1"/>
  <c r="Z410" i="1" s="1"/>
  <c r="AA410" i="1" s="1"/>
  <c r="Z409" i="1"/>
  <c r="AA409" i="1" s="1"/>
  <c r="Z408" i="1"/>
  <c r="AA408" i="1" s="1"/>
  <c r="Z407" i="1"/>
  <c r="AA407" i="1" s="1"/>
  <c r="Z406" i="1"/>
  <c r="AA406" i="1" s="1"/>
  <c r="Z405" i="1"/>
  <c r="AA405" i="1" s="1"/>
  <c r="Y404" i="1"/>
  <c r="Z404" i="1" s="1"/>
  <c r="AA404" i="1" s="1"/>
  <c r="Z402" i="1"/>
  <c r="AA402" i="1" s="1"/>
  <c r="Z401" i="1"/>
  <c r="AA401" i="1" s="1"/>
  <c r="Y19" i="1"/>
  <c r="Z19" i="1" s="1"/>
  <c r="AA19" i="1" s="1"/>
  <c r="Y20" i="1"/>
  <c r="Z20" i="1" s="1"/>
  <c r="AA20" i="1" s="1"/>
  <c r="Y22" i="1"/>
  <c r="Z22" i="1" s="1"/>
  <c r="AA22" i="1" s="1"/>
  <c r="Y24" i="1"/>
  <c r="Z24" i="1" s="1"/>
  <c r="AA24" i="1" s="1"/>
  <c r="Y40" i="1"/>
  <c r="Z40" i="1" s="1"/>
  <c r="AA40" i="1" s="1"/>
  <c r="Y42" i="1"/>
  <c r="Z42" i="1" s="1"/>
  <c r="AA42" i="1" s="1"/>
  <c r="Y50" i="1"/>
  <c r="Z50" i="1" s="1"/>
  <c r="AA50" i="1" s="1"/>
  <c r="Y52" i="1"/>
  <c r="Z52" i="1" s="1"/>
  <c r="AA52" i="1" s="1"/>
  <c r="Y68" i="1"/>
  <c r="Z68" i="1" s="1"/>
  <c r="AA68" i="1" s="1"/>
  <c r="Y70" i="1"/>
  <c r="Z70" i="1" s="1"/>
  <c r="AA70" i="1" s="1"/>
  <c r="Y74" i="1"/>
  <c r="Z74" i="1" s="1"/>
  <c r="AA74" i="1" s="1"/>
  <c r="Y76" i="1"/>
  <c r="Z76" i="1" s="1"/>
  <c r="AA76" i="1" s="1"/>
  <c r="Y78" i="1"/>
  <c r="Z78" i="1" s="1"/>
  <c r="AA78" i="1" s="1"/>
  <c r="Y6" i="1"/>
  <c r="Z6" i="1" s="1"/>
  <c r="AA6" i="1" s="1"/>
  <c r="Y10" i="1"/>
  <c r="Z10" i="1" s="1"/>
  <c r="AA10" i="1" s="1"/>
  <c r="Z34" i="1"/>
  <c r="AA34" i="1" s="1"/>
  <c r="Z36" i="1"/>
  <c r="AA36" i="1" s="1"/>
  <c r="Z38" i="1"/>
  <c r="AA38" i="1" s="1"/>
  <c r="Z44" i="1"/>
  <c r="AA44" i="1" s="1"/>
  <c r="Z46" i="1"/>
  <c r="AA46" i="1" s="1"/>
  <c r="Z48" i="1"/>
  <c r="AA48" i="1" s="1"/>
  <c r="Z54" i="1"/>
  <c r="AA54" i="1" s="1"/>
  <c r="Z56" i="1"/>
  <c r="AA56" i="1" s="1"/>
  <c r="Z60" i="1"/>
  <c r="AA60" i="1" s="1"/>
  <c r="Z62" i="1"/>
  <c r="AA62" i="1" s="1"/>
  <c r="Z64" i="1"/>
  <c r="AA64" i="1" s="1"/>
  <c r="Z66" i="1"/>
  <c r="AA66" i="1" s="1"/>
  <c r="Z80" i="1"/>
  <c r="AA80" i="1" s="1"/>
  <c r="Z82" i="1"/>
  <c r="AA82" i="1" s="1"/>
  <c r="Z84" i="1"/>
  <c r="AA84" i="1" s="1"/>
  <c r="Z86" i="1"/>
  <c r="AA86" i="1" s="1"/>
  <c r="Z88" i="1"/>
  <c r="AA88" i="1" s="1"/>
  <c r="Z90" i="1"/>
  <c r="AA90" i="1" s="1"/>
  <c r="Z92" i="1"/>
  <c r="AA92" i="1" s="1"/>
  <c r="Y94" i="1"/>
  <c r="Z94" i="1" s="1"/>
  <c r="AA94" i="1" s="1"/>
  <c r="Z96" i="1"/>
  <c r="AA96" i="1" s="1"/>
  <c r="Y98" i="1"/>
  <c r="Z98" i="1" s="1"/>
  <c r="AA98" i="1" s="1"/>
  <c r="Z100" i="1"/>
  <c r="AA100" i="1" s="1"/>
  <c r="Y102" i="1"/>
  <c r="Z102" i="1" s="1"/>
  <c r="AA102" i="1" s="1"/>
  <c r="Z104" i="1"/>
  <c r="AA104" i="1" s="1"/>
  <c r="Y106" i="1"/>
  <c r="Z106" i="1" s="1"/>
  <c r="AA106" i="1" s="1"/>
  <c r="Z108" i="1"/>
  <c r="AA108" i="1" s="1"/>
  <c r="Y110" i="1"/>
  <c r="Z110" i="1" s="1"/>
  <c r="AA110" i="1" s="1"/>
  <c r="Z112" i="1"/>
  <c r="AA112" i="1" s="1"/>
  <c r="Y114" i="1"/>
  <c r="Z114" i="1" s="1"/>
  <c r="AA114" i="1" s="1"/>
  <c r="Z116" i="1"/>
  <c r="AA116" i="1" s="1"/>
  <c r="Z120" i="1"/>
  <c r="AA120" i="1" s="1"/>
  <c r="Y122" i="1"/>
  <c r="Z122" i="1" s="1"/>
  <c r="AA122" i="1" s="1"/>
  <c r="Z124" i="1"/>
  <c r="AA124" i="1" s="1"/>
  <c r="Y126" i="1"/>
  <c r="Z126" i="1" s="1"/>
  <c r="AA126" i="1" s="1"/>
  <c r="Y130" i="1"/>
  <c r="Z130" i="1" s="1"/>
  <c r="AA130" i="1" s="1"/>
  <c r="Z132" i="1"/>
  <c r="AA132" i="1" s="1"/>
  <c r="Y134" i="1"/>
  <c r="Z134" i="1" s="1"/>
  <c r="AA134" i="1" s="1"/>
  <c r="Z136" i="1"/>
  <c r="AA136" i="1" s="1"/>
  <c r="Y138" i="1"/>
  <c r="Z138" i="1" s="1"/>
  <c r="AA138" i="1" s="1"/>
  <c r="Z140" i="1"/>
  <c r="AA140" i="1" s="1"/>
  <c r="Y142" i="1"/>
  <c r="Z142" i="1" s="1"/>
  <c r="AA142" i="1" s="1"/>
  <c r="Z144" i="1"/>
  <c r="AA144" i="1" s="1"/>
  <c r="Y146" i="1"/>
  <c r="Z146" i="1" s="1"/>
  <c r="AA146" i="1" s="1"/>
  <c r="Z148" i="1"/>
  <c r="AA148" i="1" s="1"/>
  <c r="Z152" i="1"/>
  <c r="AA152" i="1" s="1"/>
  <c r="Y154" i="1"/>
  <c r="Z154" i="1" s="1"/>
  <c r="AA154" i="1" s="1"/>
  <c r="Z156" i="1"/>
  <c r="AA156" i="1" s="1"/>
  <c r="Y158" i="1"/>
  <c r="Z158" i="1" s="1"/>
  <c r="AA158" i="1" s="1"/>
  <c r="Z160" i="1"/>
  <c r="AA160" i="1" s="1"/>
  <c r="Y162" i="1"/>
  <c r="Z162" i="1" s="1"/>
  <c r="AA162" i="1" s="1"/>
  <c r="Z164" i="1"/>
  <c r="AA164" i="1" s="1"/>
  <c r="Y166" i="1"/>
  <c r="Z166" i="1" s="1"/>
  <c r="AA166" i="1" s="1"/>
  <c r="Z168" i="1"/>
  <c r="AA168" i="1" s="1"/>
  <c r="Y170" i="1"/>
  <c r="Z170" i="1" s="1"/>
  <c r="AA170" i="1" s="1"/>
  <c r="Z172" i="1"/>
  <c r="AA172" i="1" s="1"/>
  <c r="Y174" i="1"/>
  <c r="Z174" i="1" s="1"/>
  <c r="AA174" i="1" s="1"/>
  <c r="Z176" i="1"/>
  <c r="AA176" i="1" s="1"/>
  <c r="Y178" i="1"/>
  <c r="Z178" i="1" s="1"/>
  <c r="AA178" i="1" s="1"/>
  <c r="Z180" i="1"/>
  <c r="AA180" i="1" s="1"/>
  <c r="Y182" i="1"/>
  <c r="Z182" i="1" s="1"/>
  <c r="AA182" i="1" s="1"/>
  <c r="Z184" i="1"/>
  <c r="AA184" i="1" s="1"/>
  <c r="Y186" i="1"/>
  <c r="Z186" i="1" s="1"/>
  <c r="AA186" i="1" s="1"/>
  <c r="Y190" i="1"/>
  <c r="Z190" i="1" s="1"/>
  <c r="AA190" i="1" s="1"/>
  <c r="Z192" i="1"/>
  <c r="AA192" i="1" s="1"/>
  <c r="Z196" i="1"/>
  <c r="AA196" i="1" s="1"/>
  <c r="Y198" i="1"/>
  <c r="Z198" i="1" s="1"/>
  <c r="AA198" i="1" s="1"/>
  <c r="Z200" i="1"/>
  <c r="AA200" i="1" s="1"/>
  <c r="Y202" i="1"/>
  <c r="Z202" i="1" s="1"/>
  <c r="AA202" i="1" s="1"/>
  <c r="Z204" i="1"/>
  <c r="AA204" i="1" s="1"/>
  <c r="Y206" i="1"/>
  <c r="Z206" i="1" s="1"/>
  <c r="AA206" i="1" s="1"/>
  <c r="Z208" i="1"/>
  <c r="AA208" i="1" s="1"/>
  <c r="Y210" i="1"/>
  <c r="Z210" i="1" s="1"/>
  <c r="AA210" i="1" s="1"/>
  <c r="Z212" i="1"/>
  <c r="AA212" i="1" s="1"/>
  <c r="Y214" i="1"/>
  <c r="Z214" i="1" s="1"/>
  <c r="AA214" i="1" s="1"/>
  <c r="Z216" i="1"/>
  <c r="AA216" i="1" s="1"/>
  <c r="Y226" i="1"/>
  <c r="Z226" i="1" s="1"/>
  <c r="AA226" i="1" s="1"/>
  <c r="Y230" i="1"/>
  <c r="Z230" i="1" s="1"/>
  <c r="AA230" i="1" s="1"/>
  <c r="Z232" i="1"/>
  <c r="AA232" i="1" s="1"/>
  <c r="Y234" i="1"/>
  <c r="Z234" i="1" s="1"/>
  <c r="AA234" i="1" s="1"/>
  <c r="Z236" i="1"/>
  <c r="AA236" i="1" s="1"/>
  <c r="Y238" i="1"/>
  <c r="Z238" i="1" s="1"/>
  <c r="AA238" i="1" s="1"/>
  <c r="Z240" i="1"/>
  <c r="AA240" i="1" s="1"/>
  <c r="Y242" i="1"/>
  <c r="Z242" i="1" s="1"/>
  <c r="AA242" i="1" s="1"/>
  <c r="Z244" i="1"/>
  <c r="AA244" i="1" s="1"/>
  <c r="Z248" i="1"/>
  <c r="AA248" i="1" s="1"/>
  <c r="Y250" i="1"/>
  <c r="Z250" i="1" s="1"/>
  <c r="AA250" i="1" s="1"/>
  <c r="Z252" i="1"/>
  <c r="AA252" i="1" s="1"/>
  <c r="Z256" i="1"/>
  <c r="AA256" i="1" s="1"/>
  <c r="Y258" i="1"/>
  <c r="Z258" i="1" s="1"/>
  <c r="AA258" i="1" s="1"/>
  <c r="Z260" i="1"/>
  <c r="AA260" i="1" s="1"/>
  <c r="Y262" i="1"/>
  <c r="Z262" i="1" s="1"/>
  <c r="AA262" i="1" s="1"/>
  <c r="Z264" i="1"/>
  <c r="AA264" i="1" s="1"/>
  <c r="Y266" i="1"/>
  <c r="Z266" i="1" s="1"/>
  <c r="AA266" i="1" s="1"/>
  <c r="Z268" i="1"/>
  <c r="AA268" i="1" s="1"/>
  <c r="Y270" i="1"/>
  <c r="Z270" i="1" s="1"/>
  <c r="AA270" i="1" s="1"/>
  <c r="Z272" i="1"/>
  <c r="AA272" i="1" s="1"/>
  <c r="Y274" i="1"/>
  <c r="Z274" i="1" s="1"/>
  <c r="AA274" i="1" s="1"/>
  <c r="Z276" i="1"/>
  <c r="AA276" i="1" s="1"/>
  <c r="Y278" i="1"/>
  <c r="Z278" i="1" s="1"/>
  <c r="AA278" i="1" s="1"/>
  <c r="Z280" i="1"/>
  <c r="AA280" i="1" s="1"/>
  <c r="Y282" i="1"/>
  <c r="Z282" i="1" s="1"/>
  <c r="AA282" i="1" s="1"/>
  <c r="Z284" i="1"/>
  <c r="AA284" i="1" s="1"/>
  <c r="Y286" i="1"/>
  <c r="Z286" i="1" s="1"/>
  <c r="AA286" i="1" s="1"/>
  <c r="Z288" i="1"/>
  <c r="AA288" i="1" s="1"/>
  <c r="Y290" i="1"/>
  <c r="Z290" i="1" s="1"/>
  <c r="AA290" i="1" s="1"/>
  <c r="Y294" i="1"/>
  <c r="Z294" i="1" s="1"/>
  <c r="AA294" i="1" s="1"/>
  <c r="Z296" i="1"/>
  <c r="AA296" i="1" s="1"/>
  <c r="Y298" i="1"/>
  <c r="Z298" i="1" s="1"/>
  <c r="AA298" i="1" s="1"/>
  <c r="Z300" i="1"/>
  <c r="AA300" i="1" s="1"/>
  <c r="Y302" i="1"/>
  <c r="Z302" i="1" s="1"/>
  <c r="AA302" i="1" s="1"/>
  <c r="Y306" i="1"/>
  <c r="Z306" i="1" s="1"/>
  <c r="AA306" i="1" s="1"/>
  <c r="Z308" i="1"/>
  <c r="AA308" i="1" s="1"/>
  <c r="Z312" i="1"/>
  <c r="AA312" i="1" s="1"/>
  <c r="Z324" i="1"/>
  <c r="AA324" i="1" s="1"/>
  <c r="Y326" i="1"/>
  <c r="Z326" i="1" s="1"/>
  <c r="AA326" i="1" s="1"/>
  <c r="Z328" i="1"/>
  <c r="AA328" i="1" s="1"/>
  <c r="Y330" i="1"/>
  <c r="Z330" i="1" s="1"/>
  <c r="AA330" i="1" s="1"/>
  <c r="Z332" i="1"/>
  <c r="AA332" i="1" s="1"/>
  <c r="Y334" i="1"/>
  <c r="Z334" i="1" s="1"/>
  <c r="AA334" i="1" s="1"/>
  <c r="Z336" i="1"/>
  <c r="AA336" i="1" s="1"/>
  <c r="Z340" i="1"/>
  <c r="AA340" i="1" s="1"/>
  <c r="Y342" i="1"/>
  <c r="Z342" i="1" s="1"/>
  <c r="AA342" i="1" s="1"/>
  <c r="Z344" i="1"/>
  <c r="AA344" i="1" s="1"/>
  <c r="Y346" i="1"/>
  <c r="Z346" i="1" s="1"/>
  <c r="AA346" i="1" s="1"/>
  <c r="Z348" i="1"/>
  <c r="AA348" i="1" s="1"/>
  <c r="Y350" i="1"/>
  <c r="Z350" i="1" s="1"/>
  <c r="AA350" i="1" s="1"/>
  <c r="Z352" i="1"/>
  <c r="AA352" i="1" s="1"/>
  <c r="Y354" i="1"/>
  <c r="Z354" i="1" s="1"/>
  <c r="AA354" i="1" s="1"/>
  <c r="Z356" i="1"/>
  <c r="AA356" i="1" s="1"/>
  <c r="Y358" i="1"/>
  <c r="Z358" i="1" s="1"/>
  <c r="AA358" i="1" s="1"/>
  <c r="Z360" i="1"/>
  <c r="AA360" i="1" s="1"/>
  <c r="Z364" i="1"/>
  <c r="AA364" i="1" s="1"/>
  <c r="Y366" i="1"/>
  <c r="Z366" i="1" s="1"/>
  <c r="AA366" i="1" s="1"/>
  <c r="Z368" i="1"/>
  <c r="AA368" i="1" s="1"/>
  <c r="Y370" i="1"/>
  <c r="Z370" i="1" s="1"/>
  <c r="AA370" i="1" s="1"/>
  <c r="Y374" i="1"/>
  <c r="Z374" i="1" s="1"/>
  <c r="AA374" i="1" s="1"/>
  <c r="Z376" i="1"/>
  <c r="AA376" i="1" s="1"/>
  <c r="Y378" i="1"/>
  <c r="Z378" i="1" s="1"/>
  <c r="AA378" i="1" s="1"/>
  <c r="Z380" i="1"/>
  <c r="AA380" i="1" s="1"/>
  <c r="Z384" i="1"/>
  <c r="AA384" i="1" s="1"/>
  <c r="Y386" i="1"/>
  <c r="Z386" i="1" s="1"/>
  <c r="AA386" i="1" s="1"/>
  <c r="Y390" i="1"/>
  <c r="Z390" i="1" s="1"/>
  <c r="AA390" i="1" s="1"/>
  <c r="Z392" i="1"/>
  <c r="AA392" i="1" s="1"/>
  <c r="Y394" i="1"/>
  <c r="Z394" i="1" s="1"/>
  <c r="AA394" i="1" s="1"/>
  <c r="Y17" i="1"/>
  <c r="Z17" i="1" s="1"/>
  <c r="AA17" i="1" s="1"/>
  <c r="Y29" i="1"/>
  <c r="Z29" i="1" s="1"/>
  <c r="AA29" i="1" s="1"/>
  <c r="Y33" i="1"/>
  <c r="Z33" i="1" s="1"/>
  <c r="AA33" i="1" s="1"/>
  <c r="Y41" i="1"/>
  <c r="Z41" i="1" s="1"/>
  <c r="AA41" i="1" s="1"/>
  <c r="Y49" i="1"/>
  <c r="Z49" i="1" s="1"/>
  <c r="AA49" i="1" s="1"/>
  <c r="Y57" i="1"/>
  <c r="Z57" i="1" s="1"/>
  <c r="AA57" i="1" s="1"/>
  <c r="Y61" i="1"/>
  <c r="Z61" i="1" s="1"/>
  <c r="AA61" i="1" s="1"/>
  <c r="Y67" i="1"/>
  <c r="Z67" i="1" s="1"/>
  <c r="AA67" i="1" s="1"/>
  <c r="Y69" i="1"/>
  <c r="Z69" i="1" s="1"/>
  <c r="AA69" i="1" s="1"/>
  <c r="Y73" i="1"/>
  <c r="Z73" i="1" s="1"/>
  <c r="AA73" i="1" s="1"/>
  <c r="Y77" i="1"/>
  <c r="Z77" i="1" s="1"/>
  <c r="AA77" i="1" s="1"/>
  <c r="Y93" i="1"/>
  <c r="Z93" i="1" s="1"/>
  <c r="AA93" i="1" s="1"/>
  <c r="Y101" i="1"/>
  <c r="Z101" i="1" s="1"/>
  <c r="AA101" i="1" s="1"/>
  <c r="Y109" i="1"/>
  <c r="Z109" i="1" s="1"/>
  <c r="AA109" i="1" s="1"/>
  <c r="Y111" i="1"/>
  <c r="Z111" i="1" s="1"/>
  <c r="AA111" i="1" s="1"/>
  <c r="Y113" i="1"/>
  <c r="Z113" i="1" s="1"/>
  <c r="AA113" i="1" s="1"/>
  <c r="Y117" i="1"/>
  <c r="Z117" i="1" s="1"/>
  <c r="AA117" i="1" s="1"/>
  <c r="Y119" i="1"/>
  <c r="Z119" i="1" s="1"/>
  <c r="AA119" i="1" s="1"/>
  <c r="Y121" i="1"/>
  <c r="Z121" i="1" s="1"/>
  <c r="AA121" i="1" s="1"/>
  <c r="Y123" i="1"/>
  <c r="Z123" i="1" s="1"/>
  <c r="AA123" i="1" s="1"/>
  <c r="Y127" i="1"/>
  <c r="Z127" i="1" s="1"/>
  <c r="AA127" i="1" s="1"/>
  <c r="Y129" i="1"/>
  <c r="Z129" i="1" s="1"/>
  <c r="AA129" i="1" s="1"/>
  <c r="Y133" i="1"/>
  <c r="Z133" i="1" s="1"/>
  <c r="AA133" i="1" s="1"/>
  <c r="Y137" i="1"/>
  <c r="Z137" i="1" s="1"/>
  <c r="AA137" i="1" s="1"/>
  <c r="Y139" i="1"/>
  <c r="Z139" i="1" s="1"/>
  <c r="AA139" i="1" s="1"/>
  <c r="Y141" i="1"/>
  <c r="Z141" i="1" s="1"/>
  <c r="AA141" i="1" s="1"/>
  <c r="Y143" i="1"/>
  <c r="Z143" i="1" s="1"/>
  <c r="AA143" i="1" s="1"/>
  <c r="Y147" i="1"/>
  <c r="Z147" i="1" s="1"/>
  <c r="AA147" i="1" s="1"/>
  <c r="Y149" i="1"/>
  <c r="Z149" i="1" s="1"/>
  <c r="AA149" i="1" s="1"/>
  <c r="Y151" i="1"/>
  <c r="Z151" i="1" s="1"/>
  <c r="AA151" i="1" s="1"/>
  <c r="Y153" i="1"/>
  <c r="Z153" i="1" s="1"/>
  <c r="AA153" i="1" s="1"/>
  <c r="Y155" i="1"/>
  <c r="Z155" i="1" s="1"/>
  <c r="AA155" i="1" s="1"/>
  <c r="Y157" i="1"/>
  <c r="Z157" i="1" s="1"/>
  <c r="AA157" i="1" s="1"/>
  <c r="Y159" i="1"/>
  <c r="Z159" i="1" s="1"/>
  <c r="AA159" i="1" s="1"/>
  <c r="Y165" i="1"/>
  <c r="Z165" i="1" s="1"/>
  <c r="AA165" i="1" s="1"/>
  <c r="Y167" i="1"/>
  <c r="Z167" i="1" s="1"/>
  <c r="AA167" i="1" s="1"/>
  <c r="Y171" i="1"/>
  <c r="Z171" i="1" s="1"/>
  <c r="AA171" i="1" s="1"/>
  <c r="Y173" i="1"/>
  <c r="Z173" i="1" s="1"/>
  <c r="AA173" i="1" s="1"/>
  <c r="Y175" i="1"/>
  <c r="Z175" i="1" s="1"/>
  <c r="AA175" i="1" s="1"/>
  <c r="Y177" i="1"/>
  <c r="Z177" i="1" s="1"/>
  <c r="AA177" i="1" s="1"/>
  <c r="Y181" i="1"/>
  <c r="Z181" i="1" s="1"/>
  <c r="AA181" i="1" s="1"/>
  <c r="Y183" i="1"/>
  <c r="Z183" i="1" s="1"/>
  <c r="AA183" i="1" s="1"/>
  <c r="Y185" i="1"/>
  <c r="Z185" i="1" s="1"/>
  <c r="AA185" i="1" s="1"/>
  <c r="Y187" i="1"/>
  <c r="Z187" i="1" s="1"/>
  <c r="AA187" i="1" s="1"/>
  <c r="Y189" i="1"/>
  <c r="Z189" i="1" s="1"/>
  <c r="AA189" i="1" s="1"/>
  <c r="Y191" i="1"/>
  <c r="Z191" i="1" s="1"/>
  <c r="AA191" i="1" s="1"/>
  <c r="Y193" i="1"/>
  <c r="Z193" i="1" s="1"/>
  <c r="AA193" i="1" s="1"/>
  <c r="Y195" i="1"/>
  <c r="Z195" i="1" s="1"/>
  <c r="AA195" i="1" s="1"/>
  <c r="Y197" i="1"/>
  <c r="Z197" i="1" s="1"/>
  <c r="AA197" i="1" s="1"/>
  <c r="Y199" i="1"/>
  <c r="Z199" i="1" s="1"/>
  <c r="AA199" i="1" s="1"/>
  <c r="Y201" i="1"/>
  <c r="Z201" i="1" s="1"/>
  <c r="AA201" i="1" s="1"/>
  <c r="Y205" i="1"/>
  <c r="Z205" i="1" s="1"/>
  <c r="AA205" i="1" s="1"/>
  <c r="Y207" i="1"/>
  <c r="Z207" i="1" s="1"/>
  <c r="AA207" i="1" s="1"/>
  <c r="Y209" i="1"/>
  <c r="Z209" i="1" s="1"/>
  <c r="AA209" i="1" s="1"/>
  <c r="Y211" i="1"/>
  <c r="Z211" i="1" s="1"/>
  <c r="AA211" i="1" s="1"/>
  <c r="Y219" i="1"/>
  <c r="Z219" i="1" s="1"/>
  <c r="AA219" i="1" s="1"/>
  <c r="Y221" i="1"/>
  <c r="Z221" i="1" s="1"/>
  <c r="AA221" i="1" s="1"/>
  <c r="Y225" i="1"/>
  <c r="Z225" i="1" s="1"/>
  <c r="AA225" i="1" s="1"/>
  <c r="Y227" i="1"/>
  <c r="Z227" i="1" s="1"/>
  <c r="AA227" i="1" s="1"/>
  <c r="Y229" i="1"/>
  <c r="Z229" i="1" s="1"/>
  <c r="AA229" i="1" s="1"/>
  <c r="Y231" i="1"/>
  <c r="Z231" i="1" s="1"/>
  <c r="AA231" i="1" s="1"/>
  <c r="Y233" i="1"/>
  <c r="Z233" i="1" s="1"/>
  <c r="AA233" i="1" s="1"/>
  <c r="Y237" i="1"/>
  <c r="Z237" i="1" s="1"/>
  <c r="AA237" i="1" s="1"/>
  <c r="Y239" i="1"/>
  <c r="Z239" i="1" s="1"/>
  <c r="AA239" i="1" s="1"/>
  <c r="Y241" i="1"/>
  <c r="Z241" i="1" s="1"/>
  <c r="AA241" i="1" s="1"/>
  <c r="Y245" i="1"/>
  <c r="Z245" i="1" s="1"/>
  <c r="AA245" i="1" s="1"/>
  <c r="Y247" i="1"/>
  <c r="Z247" i="1" s="1"/>
  <c r="AA247" i="1" s="1"/>
  <c r="Z341" i="1"/>
  <c r="AA341" i="1" s="1"/>
  <c r="Z343" i="1"/>
  <c r="AA343" i="1" s="1"/>
  <c r="Z347" i="1"/>
  <c r="AA347" i="1" s="1"/>
  <c r="Z349" i="1"/>
  <c r="AA349" i="1" s="1"/>
  <c r="Z353" i="1"/>
  <c r="AA353" i="1" s="1"/>
  <c r="Z355" i="1"/>
  <c r="AA355" i="1" s="1"/>
  <c r="Z357" i="1"/>
  <c r="AA357" i="1" s="1"/>
  <c r="Z361" i="1"/>
  <c r="AA361" i="1" s="1"/>
  <c r="Z363" i="1"/>
  <c r="AA363" i="1" s="1"/>
  <c r="Z365" i="1"/>
  <c r="AA365" i="1" s="1"/>
  <c r="Z367" i="1"/>
  <c r="AA367" i="1" s="1"/>
  <c r="Z369" i="1"/>
  <c r="AA369" i="1" s="1"/>
  <c r="Z371" i="1"/>
  <c r="AA371" i="1" s="1"/>
  <c r="Z373" i="1"/>
  <c r="AA373" i="1" s="1"/>
  <c r="Z377" i="1"/>
  <c r="AA377" i="1" s="1"/>
  <c r="Z381" i="1"/>
  <c r="AA381" i="1" s="1"/>
  <c r="Z383" i="1"/>
  <c r="AA383" i="1" s="1"/>
  <c r="Z385" i="1"/>
  <c r="AA385" i="1" s="1"/>
  <c r="Z387" i="1"/>
  <c r="AA387" i="1" s="1"/>
  <c r="Z389" i="1"/>
  <c r="AA389" i="1" s="1"/>
  <c r="Z391" i="1"/>
  <c r="AA391" i="1" s="1"/>
  <c r="Z399" i="1"/>
  <c r="AA399" i="1" s="1"/>
  <c r="B217" i="1" l="1"/>
  <c r="C217" i="1" s="1"/>
  <c r="D217" i="1"/>
  <c r="AS217" i="1" s="1"/>
  <c r="AL217" i="1"/>
  <c r="AQ217" i="1" s="1"/>
  <c r="AO217" i="1"/>
  <c r="AP217" i="1" s="1"/>
  <c r="AR21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6" i="1"/>
  <c r="AR749" i="1"/>
  <c r="AR750" i="1"/>
  <c r="AR752" i="1"/>
  <c r="AR753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M217" i="1" l="1"/>
  <c r="AU217" i="1"/>
  <c r="AD217" i="1"/>
  <c r="AG217" i="1"/>
  <c r="AC217" i="1"/>
  <c r="AN217" i="1"/>
  <c r="AI217" i="1"/>
  <c r="AT217" i="1" l="1"/>
  <c r="AV217" i="1" s="1"/>
  <c r="P397" i="1"/>
  <c r="N397" i="1"/>
  <c r="P396" i="1"/>
  <c r="N396" i="1"/>
  <c r="B362" i="1"/>
  <c r="C362" i="1" s="1"/>
  <c r="D362" i="1"/>
  <c r="AS362" i="1" s="1"/>
  <c r="AL362" i="1"/>
  <c r="AQ362" i="1" s="1"/>
  <c r="AO362" i="1"/>
  <c r="AP362" i="1" s="1"/>
  <c r="AU362" i="1" l="1"/>
  <c r="AF396" i="1"/>
  <c r="AF397" i="1"/>
  <c r="AD362" i="1"/>
  <c r="AG362" i="1"/>
  <c r="AC362" i="1"/>
  <c r="AM362" i="1"/>
  <c r="AN362" i="1"/>
  <c r="AI362" i="1"/>
  <c r="N322" i="1"/>
  <c r="N321" i="1"/>
  <c r="AF322" i="1" l="1"/>
  <c r="AE322" i="1" s="1"/>
  <c r="AF321" i="1"/>
  <c r="W321" i="1" s="1"/>
  <c r="W322" i="1"/>
  <c r="AE397" i="1"/>
  <c r="W397" i="1"/>
  <c r="AE321" i="1"/>
  <c r="AE396" i="1"/>
  <c r="W396" i="1"/>
  <c r="AT362" i="1"/>
  <c r="AV362" i="1" s="1"/>
  <c r="N223" i="1"/>
  <c r="B173" i="1"/>
  <c r="C173" i="1" s="1"/>
  <c r="AL173" i="1"/>
  <c r="AO173" i="1"/>
  <c r="AP173" i="1" s="1"/>
  <c r="AF223" i="1" l="1"/>
  <c r="AE223" i="1" s="1"/>
  <c r="X396" i="1"/>
  <c r="Y396" i="1" s="1"/>
  <c r="X321" i="1"/>
  <c r="Y321" i="1" s="1"/>
  <c r="X397" i="1"/>
  <c r="Y397" i="1" s="1"/>
  <c r="X322" i="1"/>
  <c r="Y322" i="1" s="1"/>
  <c r="Z322" i="1" s="1"/>
  <c r="AA322" i="1" s="1"/>
  <c r="AN173" i="1"/>
  <c r="B97" i="1"/>
  <c r="C97" i="1" s="1"/>
  <c r="D97" i="1"/>
  <c r="AS97" i="1" s="1"/>
  <c r="AL97" i="1"/>
  <c r="AQ97" i="1" s="1"/>
  <c r="AO97" i="1"/>
  <c r="AP97" i="1" s="1"/>
  <c r="B95" i="1"/>
  <c r="C95" i="1" s="1"/>
  <c r="D95" i="1"/>
  <c r="AS95" i="1" s="1"/>
  <c r="AL95" i="1"/>
  <c r="AQ95" i="1" s="1"/>
  <c r="AO95" i="1"/>
  <c r="AP95" i="1" s="1"/>
  <c r="B91" i="1"/>
  <c r="C91" i="1" s="1"/>
  <c r="D91" i="1"/>
  <c r="AS91" i="1" s="1"/>
  <c r="AL91" i="1"/>
  <c r="AQ91" i="1" s="1"/>
  <c r="AO91" i="1"/>
  <c r="AP91" i="1" s="1"/>
  <c r="B89" i="1"/>
  <c r="C89" i="1" s="1"/>
  <c r="D89" i="1"/>
  <c r="AS89" i="1" s="1"/>
  <c r="AL89" i="1"/>
  <c r="AQ89" i="1" s="1"/>
  <c r="AO89" i="1"/>
  <c r="AP89" i="1" s="1"/>
  <c r="B85" i="1"/>
  <c r="C85" i="1" s="1"/>
  <c r="D85" i="1"/>
  <c r="AS85" i="1" s="1"/>
  <c r="AL85" i="1"/>
  <c r="AQ85" i="1" s="1"/>
  <c r="AO85" i="1"/>
  <c r="AP85" i="1" s="1"/>
  <c r="B83" i="1"/>
  <c r="C83" i="1" s="1"/>
  <c r="D83" i="1"/>
  <c r="AS83" i="1" s="1"/>
  <c r="AL83" i="1"/>
  <c r="AQ83" i="1" s="1"/>
  <c r="AO83" i="1"/>
  <c r="AP83" i="1" s="1"/>
  <c r="B81" i="1"/>
  <c r="C81" i="1" s="1"/>
  <c r="D81" i="1"/>
  <c r="AS81" i="1" s="1"/>
  <c r="AL81" i="1"/>
  <c r="AQ81" i="1" s="1"/>
  <c r="AO81" i="1"/>
  <c r="AP81" i="1" s="1"/>
  <c r="B79" i="1"/>
  <c r="C79" i="1" s="1"/>
  <c r="D79" i="1"/>
  <c r="AS79" i="1" s="1"/>
  <c r="AL79" i="1"/>
  <c r="AQ79" i="1" s="1"/>
  <c r="AO79" i="1"/>
  <c r="AP79" i="1" s="1"/>
  <c r="B72" i="1"/>
  <c r="C72" i="1" s="1"/>
  <c r="D72" i="1"/>
  <c r="AS72" i="1" s="1"/>
  <c r="AL72" i="1"/>
  <c r="AQ72" i="1" s="1"/>
  <c r="AO72" i="1"/>
  <c r="AP72" i="1" s="1"/>
  <c r="B65" i="1"/>
  <c r="C65" i="1" s="1"/>
  <c r="D65" i="1"/>
  <c r="AS65" i="1" s="1"/>
  <c r="AL65" i="1"/>
  <c r="AQ65" i="1" s="1"/>
  <c r="AO65" i="1"/>
  <c r="AP65" i="1" s="1"/>
  <c r="B58" i="1"/>
  <c r="C58" i="1" s="1"/>
  <c r="D58" i="1"/>
  <c r="AS58" i="1" s="1"/>
  <c r="AL58" i="1"/>
  <c r="AQ58" i="1" s="1"/>
  <c r="AO58" i="1"/>
  <c r="AP58" i="1" s="1"/>
  <c r="B53" i="1"/>
  <c r="C53" i="1" s="1"/>
  <c r="D53" i="1"/>
  <c r="AS53" i="1" s="1"/>
  <c r="AL53" i="1"/>
  <c r="AQ53" i="1" s="1"/>
  <c r="AO53" i="1"/>
  <c r="AP53" i="1" s="1"/>
  <c r="B45" i="1"/>
  <c r="C45" i="1" s="1"/>
  <c r="D45" i="1"/>
  <c r="AS45" i="1" s="1"/>
  <c r="AL45" i="1"/>
  <c r="AQ45" i="1" s="1"/>
  <c r="AO45" i="1"/>
  <c r="AP45" i="1" s="1"/>
  <c r="B37" i="1"/>
  <c r="C37" i="1" s="1"/>
  <c r="D37" i="1"/>
  <c r="AS37" i="1" s="1"/>
  <c r="AL37" i="1"/>
  <c r="AQ37" i="1" s="1"/>
  <c r="AO37" i="1"/>
  <c r="AP37" i="1" s="1"/>
  <c r="B35" i="1"/>
  <c r="C35" i="1" s="1"/>
  <c r="D35" i="1"/>
  <c r="AS35" i="1" s="1"/>
  <c r="AL35" i="1"/>
  <c r="AQ35" i="1" s="1"/>
  <c r="AO35" i="1"/>
  <c r="AP35" i="1" s="1"/>
  <c r="B32" i="1"/>
  <c r="C32" i="1" s="1"/>
  <c r="D32" i="1"/>
  <c r="AS32" i="1" s="1"/>
  <c r="AL32" i="1"/>
  <c r="AQ32" i="1" s="1"/>
  <c r="AO32" i="1"/>
  <c r="AP32" i="1" s="1"/>
  <c r="B30" i="1"/>
  <c r="C30" i="1" s="1"/>
  <c r="D30" i="1"/>
  <c r="AS30" i="1" s="1"/>
  <c r="AL30" i="1"/>
  <c r="AQ30" i="1" s="1"/>
  <c r="AO30" i="1"/>
  <c r="AP30" i="1" s="1"/>
  <c r="B28" i="1"/>
  <c r="C28" i="1" s="1"/>
  <c r="D28" i="1"/>
  <c r="AS28" i="1" s="1"/>
  <c r="AL28" i="1"/>
  <c r="AQ28" i="1" s="1"/>
  <c r="AO28" i="1"/>
  <c r="AP28" i="1" s="1"/>
  <c r="B25" i="1"/>
  <c r="C25" i="1" s="1"/>
  <c r="D25" i="1"/>
  <c r="AS25" i="1" s="1"/>
  <c r="AL25" i="1"/>
  <c r="AQ25" i="1" s="1"/>
  <c r="AO25" i="1"/>
  <c r="AP25" i="1" s="1"/>
  <c r="B23" i="1"/>
  <c r="C23" i="1" s="1"/>
  <c r="D23" i="1"/>
  <c r="AS23" i="1" s="1"/>
  <c r="AL23" i="1"/>
  <c r="AQ23" i="1" s="1"/>
  <c r="AO23" i="1"/>
  <c r="AP23" i="1" s="1"/>
  <c r="B21" i="1"/>
  <c r="C21" i="1" s="1"/>
  <c r="D21" i="1"/>
  <c r="AS21" i="1" s="1"/>
  <c r="AL21" i="1"/>
  <c r="AQ21" i="1" s="1"/>
  <c r="AO21" i="1"/>
  <c r="AP21" i="1" s="1"/>
  <c r="B18" i="1"/>
  <c r="C18" i="1" s="1"/>
  <c r="D18" i="1"/>
  <c r="AS18" i="1" s="1"/>
  <c r="AL18" i="1"/>
  <c r="AQ18" i="1" s="1"/>
  <c r="AO18" i="1"/>
  <c r="AP18" i="1" s="1"/>
  <c r="B16" i="1"/>
  <c r="C16" i="1" s="1"/>
  <c r="D16" i="1"/>
  <c r="AS16" i="1" s="1"/>
  <c r="AL16" i="1"/>
  <c r="AQ16" i="1" s="1"/>
  <c r="AO16" i="1"/>
  <c r="AP16" i="1" s="1"/>
  <c r="B14" i="1"/>
  <c r="C14" i="1" s="1"/>
  <c r="D14" i="1"/>
  <c r="AS14" i="1" s="1"/>
  <c r="AL14" i="1"/>
  <c r="AQ14" i="1" s="1"/>
  <c r="AO14" i="1"/>
  <c r="AP14" i="1" s="1"/>
  <c r="B8" i="1"/>
  <c r="C8" i="1" s="1"/>
  <c r="D8" i="1"/>
  <c r="AS8" i="1" s="1"/>
  <c r="AL8" i="1"/>
  <c r="AQ8" i="1" s="1"/>
  <c r="AO8" i="1"/>
  <c r="AP8" i="1" s="1"/>
  <c r="B5" i="1"/>
  <c r="C5" i="1" s="1"/>
  <c r="D5" i="1"/>
  <c r="AS5" i="1" s="1"/>
  <c r="AL5" i="1"/>
  <c r="AQ5" i="1" s="1"/>
  <c r="AO5" i="1"/>
  <c r="AP5" i="1" s="1"/>
  <c r="B124" i="1"/>
  <c r="C124" i="1" s="1"/>
  <c r="AL124" i="1"/>
  <c r="AO124" i="1"/>
  <c r="AP124" i="1" s="1"/>
  <c r="B123" i="1"/>
  <c r="C123" i="1" s="1"/>
  <c r="AL123" i="1"/>
  <c r="AO123" i="1"/>
  <c r="AP123" i="1" s="1"/>
  <c r="B122" i="1"/>
  <c r="C122" i="1" s="1"/>
  <c r="AL122" i="1"/>
  <c r="AO122" i="1"/>
  <c r="AP122" i="1" s="1"/>
  <c r="B121" i="1"/>
  <c r="C121" i="1" s="1"/>
  <c r="AL121" i="1"/>
  <c r="AO121" i="1"/>
  <c r="AP121" i="1" s="1"/>
  <c r="AL119" i="1"/>
  <c r="B118" i="1"/>
  <c r="C118" i="1" s="1"/>
  <c r="D118" i="1"/>
  <c r="AS118" i="1" s="1"/>
  <c r="AL118" i="1"/>
  <c r="AQ118" i="1" s="1"/>
  <c r="AO118" i="1"/>
  <c r="AP118" i="1" s="1"/>
  <c r="W223" i="1" l="1"/>
  <c r="AU118" i="1"/>
  <c r="AU79" i="1"/>
  <c r="AU89" i="1"/>
  <c r="AU58" i="1"/>
  <c r="AU81" i="1"/>
  <c r="AU91" i="1"/>
  <c r="AU28" i="1"/>
  <c r="AU65" i="1"/>
  <c r="AU83" i="1"/>
  <c r="AU72" i="1"/>
  <c r="AU85" i="1"/>
  <c r="AG16" i="1"/>
  <c r="AU16" i="1"/>
  <c r="AG25" i="1"/>
  <c r="AU25" i="1"/>
  <c r="AG35" i="1"/>
  <c r="AU35" i="1"/>
  <c r="AG5" i="1"/>
  <c r="AU5" i="1"/>
  <c r="AG18" i="1"/>
  <c r="AU18" i="1"/>
  <c r="AG37" i="1"/>
  <c r="AU37" i="1"/>
  <c r="AG95" i="1"/>
  <c r="AU95" i="1"/>
  <c r="AG8" i="1"/>
  <c r="AU8" i="1"/>
  <c r="AG21" i="1"/>
  <c r="AU21" i="1"/>
  <c r="AG30" i="1"/>
  <c r="AU30" i="1"/>
  <c r="AG45" i="1"/>
  <c r="AU45" i="1"/>
  <c r="AG97" i="1"/>
  <c r="AU97" i="1"/>
  <c r="AG14" i="1"/>
  <c r="AU14" i="1"/>
  <c r="AG23" i="1"/>
  <c r="AU23" i="1"/>
  <c r="AG32" i="1"/>
  <c r="AU32" i="1"/>
  <c r="AG53" i="1"/>
  <c r="AU53" i="1"/>
  <c r="Z397" i="1"/>
  <c r="AA397" i="1" s="1"/>
  <c r="Z396" i="1"/>
  <c r="AA396" i="1" s="1"/>
  <c r="X223" i="1"/>
  <c r="Y223" i="1" s="1"/>
  <c r="Z223" i="1" s="1"/>
  <c r="AA223" i="1" s="1"/>
  <c r="Z321" i="1"/>
  <c r="AA321" i="1" s="1"/>
  <c r="AD118" i="1"/>
  <c r="AG118" i="1"/>
  <c r="AD28" i="1"/>
  <c r="AG28" i="1"/>
  <c r="AD65" i="1"/>
  <c r="AG65" i="1"/>
  <c r="AD79" i="1"/>
  <c r="AG79" i="1"/>
  <c r="AD83" i="1"/>
  <c r="AG83" i="1"/>
  <c r="AD89" i="1"/>
  <c r="AG89" i="1"/>
  <c r="AD58" i="1"/>
  <c r="AG58" i="1"/>
  <c r="AD72" i="1"/>
  <c r="AG72" i="1"/>
  <c r="AD81" i="1"/>
  <c r="AG81" i="1"/>
  <c r="AD85" i="1"/>
  <c r="AG85" i="1"/>
  <c r="AD91" i="1"/>
  <c r="AG91" i="1"/>
  <c r="AD14" i="1"/>
  <c r="AC5" i="1"/>
  <c r="AD5" i="1"/>
  <c r="AC18" i="1"/>
  <c r="AD18" i="1"/>
  <c r="AC23" i="1"/>
  <c r="AD23" i="1"/>
  <c r="AC32" i="1"/>
  <c r="AD32" i="1"/>
  <c r="AC37" i="1"/>
  <c r="AD37" i="1"/>
  <c r="AC53" i="1"/>
  <c r="AD53" i="1"/>
  <c r="AC95" i="1"/>
  <c r="AD95" i="1"/>
  <c r="AC8" i="1"/>
  <c r="AD8" i="1"/>
  <c r="AC16" i="1"/>
  <c r="AD16" i="1"/>
  <c r="AC21" i="1"/>
  <c r="AD21" i="1"/>
  <c r="AC25" i="1"/>
  <c r="AD25" i="1"/>
  <c r="AC30" i="1"/>
  <c r="AD30" i="1"/>
  <c r="AC35" i="1"/>
  <c r="AD35" i="1"/>
  <c r="AC45" i="1"/>
  <c r="AD45" i="1"/>
  <c r="AC97" i="1"/>
  <c r="AD97" i="1"/>
  <c r="AC14" i="1"/>
  <c r="AC28" i="1"/>
  <c r="AC65" i="1"/>
  <c r="AC79" i="1"/>
  <c r="AC83" i="1"/>
  <c r="AC89" i="1"/>
  <c r="AC118" i="1"/>
  <c r="AC58" i="1"/>
  <c r="AC72" i="1"/>
  <c r="AC81" i="1"/>
  <c r="AC85" i="1"/>
  <c r="AC91" i="1"/>
  <c r="AM118" i="1"/>
  <c r="AO119" i="1"/>
  <c r="AP119" i="1" s="1"/>
  <c r="AM8" i="1"/>
  <c r="AM16" i="1"/>
  <c r="AM21" i="1"/>
  <c r="AM25" i="1"/>
  <c r="AM30" i="1"/>
  <c r="AM35" i="1"/>
  <c r="AM45" i="1"/>
  <c r="AM58" i="1"/>
  <c r="AM72" i="1"/>
  <c r="AM81" i="1"/>
  <c r="AM85" i="1"/>
  <c r="AM91" i="1"/>
  <c r="AM97" i="1"/>
  <c r="AM5" i="1"/>
  <c r="AM14" i="1"/>
  <c r="AM18" i="1"/>
  <c r="AM23" i="1"/>
  <c r="AM28" i="1"/>
  <c r="AM32" i="1"/>
  <c r="AM37" i="1"/>
  <c r="AM53" i="1"/>
  <c r="AM65" i="1"/>
  <c r="AM79" i="1"/>
  <c r="AM83" i="1"/>
  <c r="AM89" i="1"/>
  <c r="AM95" i="1"/>
  <c r="AM119" i="1"/>
  <c r="AN122" i="1"/>
  <c r="AN97" i="1"/>
  <c r="AN124" i="1"/>
  <c r="AN5" i="1"/>
  <c r="AN14" i="1"/>
  <c r="AN18" i="1"/>
  <c r="AN23" i="1"/>
  <c r="AN28" i="1"/>
  <c r="AN32" i="1"/>
  <c r="AN37" i="1"/>
  <c r="AN53" i="1"/>
  <c r="AN65" i="1"/>
  <c r="AN79" i="1"/>
  <c r="AN83" i="1"/>
  <c r="AN89" i="1"/>
  <c r="AN95" i="1"/>
  <c r="AM173" i="1"/>
  <c r="AN8" i="1"/>
  <c r="AN16" i="1"/>
  <c r="AN21" i="1"/>
  <c r="AN25" i="1"/>
  <c r="AN30" i="1"/>
  <c r="AN35" i="1"/>
  <c r="AN45" i="1"/>
  <c r="AN58" i="1"/>
  <c r="AN72" i="1"/>
  <c r="AN81" i="1"/>
  <c r="AN85" i="1"/>
  <c r="AN91" i="1"/>
  <c r="AI95" i="1"/>
  <c r="AI97" i="1"/>
  <c r="AM121" i="1"/>
  <c r="AM122" i="1"/>
  <c r="AM123" i="1"/>
  <c r="AI91" i="1"/>
  <c r="AI89" i="1"/>
  <c r="AI85" i="1"/>
  <c r="AI83" i="1"/>
  <c r="AI81" i="1"/>
  <c r="AI79" i="1"/>
  <c r="AI72" i="1"/>
  <c r="AI65" i="1"/>
  <c r="AI58" i="1"/>
  <c r="AI53" i="1"/>
  <c r="AI45" i="1"/>
  <c r="AI37" i="1"/>
  <c r="AI35" i="1"/>
  <c r="AI32" i="1"/>
  <c r="AI30" i="1"/>
  <c r="AI28" i="1"/>
  <c r="AI25" i="1"/>
  <c r="AI23" i="1"/>
  <c r="AI21" i="1"/>
  <c r="AI18" i="1"/>
  <c r="AI16" i="1"/>
  <c r="AI14" i="1"/>
  <c r="AI8" i="1"/>
  <c r="AI5" i="1"/>
  <c r="AN118" i="1"/>
  <c r="AI118" i="1"/>
  <c r="AN119" i="1" l="1"/>
  <c r="AM124" i="1"/>
  <c r="AT85" i="1"/>
  <c r="AV85" i="1" s="1"/>
  <c r="AT81" i="1"/>
  <c r="AV81" i="1" s="1"/>
  <c r="AT72" i="1"/>
  <c r="AV72" i="1" s="1"/>
  <c r="AT58" i="1"/>
  <c r="AV58" i="1" s="1"/>
  <c r="AT91" i="1"/>
  <c r="AV91" i="1" s="1"/>
  <c r="AT89" i="1"/>
  <c r="AV89" i="1" s="1"/>
  <c r="AT83" i="1"/>
  <c r="AV83" i="1" s="1"/>
  <c r="AT79" i="1"/>
  <c r="AV79" i="1" s="1"/>
  <c r="AT28" i="1"/>
  <c r="AV28" i="1" s="1"/>
  <c r="AT14" i="1"/>
  <c r="AV14" i="1" s="1"/>
  <c r="AT118" i="1"/>
  <c r="AV118" i="1" s="1"/>
  <c r="AT65" i="1"/>
  <c r="AV65" i="1" s="1"/>
  <c r="AT95" i="1"/>
  <c r="AV95" i="1" s="1"/>
  <c r="AT53" i="1"/>
  <c r="AV53" i="1" s="1"/>
  <c r="AT37" i="1"/>
  <c r="AV37" i="1" s="1"/>
  <c r="AT32" i="1"/>
  <c r="AV32" i="1" s="1"/>
  <c r="AT23" i="1"/>
  <c r="AV23" i="1" s="1"/>
  <c r="AT18" i="1"/>
  <c r="AV18" i="1" s="1"/>
  <c r="AT5" i="1"/>
  <c r="AT97" i="1"/>
  <c r="AV97" i="1" s="1"/>
  <c r="AT45" i="1"/>
  <c r="AV45" i="1" s="1"/>
  <c r="AT35" i="1"/>
  <c r="AV35" i="1" s="1"/>
  <c r="AT30" i="1"/>
  <c r="AV30" i="1" s="1"/>
  <c r="AT25" i="1"/>
  <c r="AV25" i="1" s="1"/>
  <c r="AT21" i="1"/>
  <c r="AV21" i="1" s="1"/>
  <c r="AT16" i="1"/>
  <c r="AV16" i="1" s="1"/>
  <c r="AT8" i="1"/>
  <c r="AV8" i="1" s="1"/>
  <c r="AN123" i="1"/>
  <c r="AN121" i="1"/>
  <c r="B115" i="1"/>
  <c r="C115" i="1" s="1"/>
  <c r="D115" i="1"/>
  <c r="AS115" i="1" s="1"/>
  <c r="AL115" i="1"/>
  <c r="AQ115" i="1" s="1"/>
  <c r="AO115" i="1"/>
  <c r="AP115" i="1" s="1"/>
  <c r="B113" i="1"/>
  <c r="C113" i="1" s="1"/>
  <c r="AL113" i="1"/>
  <c r="AO113" i="1"/>
  <c r="AP113" i="1" s="1"/>
  <c r="B112" i="1"/>
  <c r="C112" i="1" s="1"/>
  <c r="AL112" i="1"/>
  <c r="AO112" i="1"/>
  <c r="AP112" i="1" s="1"/>
  <c r="B111" i="1"/>
  <c r="C111" i="1" s="1"/>
  <c r="AL111" i="1"/>
  <c r="AO111" i="1"/>
  <c r="AP111" i="1" s="1"/>
  <c r="B109" i="1"/>
  <c r="C109" i="1" s="1"/>
  <c r="AL109" i="1"/>
  <c r="AO109" i="1"/>
  <c r="AP109" i="1" s="1"/>
  <c r="B110" i="1"/>
  <c r="C110" i="1" s="1"/>
  <c r="AL110" i="1"/>
  <c r="AO110" i="1"/>
  <c r="AP110" i="1" s="1"/>
  <c r="AL108" i="1"/>
  <c r="B107" i="1"/>
  <c r="C107" i="1" s="1"/>
  <c r="D107" i="1"/>
  <c r="AS107" i="1" s="1"/>
  <c r="AL107" i="1"/>
  <c r="AQ107" i="1" s="1"/>
  <c r="AO107" i="1"/>
  <c r="AP107" i="1" s="1"/>
  <c r="AL106" i="1"/>
  <c r="B105" i="1"/>
  <c r="C105" i="1" s="1"/>
  <c r="D105" i="1"/>
  <c r="AS105" i="1" s="1"/>
  <c r="AL105" i="1"/>
  <c r="AQ105" i="1" s="1"/>
  <c r="AO105" i="1"/>
  <c r="AP105" i="1" s="1"/>
  <c r="B103" i="1"/>
  <c r="C103" i="1" s="1"/>
  <c r="D103" i="1"/>
  <c r="AS103" i="1" s="1"/>
  <c r="AL103" i="1"/>
  <c r="AQ103" i="1" s="1"/>
  <c r="AO103" i="1"/>
  <c r="AP103" i="1" s="1"/>
  <c r="B101" i="1"/>
  <c r="C101" i="1" s="1"/>
  <c r="AL101" i="1"/>
  <c r="AO101" i="1"/>
  <c r="AP101" i="1" s="1"/>
  <c r="AL100" i="1"/>
  <c r="B99" i="1"/>
  <c r="C99" i="1" s="1"/>
  <c r="D99" i="1"/>
  <c r="AS99" i="1" s="1"/>
  <c r="AL99" i="1"/>
  <c r="AQ99" i="1" s="1"/>
  <c r="AO99" i="1"/>
  <c r="AP99" i="1" s="1"/>
  <c r="AU103" i="1" l="1"/>
  <c r="AU115" i="1"/>
  <c r="AG105" i="1"/>
  <c r="AU105" i="1"/>
  <c r="AG99" i="1"/>
  <c r="AU99" i="1"/>
  <c r="AG107" i="1"/>
  <c r="AU107" i="1"/>
  <c r="AV5" i="1"/>
  <c r="AD103" i="1"/>
  <c r="AG103" i="1"/>
  <c r="AD115" i="1"/>
  <c r="AG115" i="1"/>
  <c r="AC99" i="1"/>
  <c r="AD99" i="1"/>
  <c r="AC105" i="1"/>
  <c r="AD105" i="1"/>
  <c r="AC107" i="1"/>
  <c r="AD107" i="1"/>
  <c r="AC115" i="1"/>
  <c r="AC103" i="1"/>
  <c r="AM105" i="1"/>
  <c r="AM115" i="1"/>
  <c r="AM99" i="1"/>
  <c r="AM103" i="1"/>
  <c r="AM107" i="1"/>
  <c r="AM111" i="1"/>
  <c r="AM101" i="1"/>
  <c r="AM110" i="1"/>
  <c r="AM113" i="1"/>
  <c r="AO100" i="1"/>
  <c r="AP100" i="1" s="1"/>
  <c r="AM100" i="1"/>
  <c r="AO106" i="1"/>
  <c r="AP106" i="1" s="1"/>
  <c r="AM106" i="1"/>
  <c r="AO108" i="1"/>
  <c r="AP108" i="1" s="1"/>
  <c r="AM108" i="1"/>
  <c r="AM109" i="1"/>
  <c r="AM112" i="1"/>
  <c r="AN115" i="1"/>
  <c r="AN105" i="1"/>
  <c r="AN107" i="1"/>
  <c r="AN113" i="1"/>
  <c r="AI115" i="1"/>
  <c r="AN99" i="1"/>
  <c r="AN106" i="1"/>
  <c r="AI107" i="1"/>
  <c r="AN103" i="1"/>
  <c r="AN101" i="1"/>
  <c r="AI105" i="1"/>
  <c r="AN100" i="1"/>
  <c r="AI103" i="1"/>
  <c r="AI99" i="1"/>
  <c r="AL880" i="1"/>
  <c r="AO880" i="1" l="1"/>
  <c r="AP880" i="1" s="1"/>
  <c r="AT103" i="1"/>
  <c r="AV103" i="1" s="1"/>
  <c r="AT107" i="1"/>
  <c r="AV107" i="1" s="1"/>
  <c r="AT105" i="1"/>
  <c r="AV105" i="1" s="1"/>
  <c r="AT99" i="1"/>
  <c r="AV99" i="1" s="1"/>
  <c r="AT115" i="1"/>
  <c r="AV115" i="1" s="1"/>
  <c r="AN111" i="1"/>
  <c r="AM880" i="1"/>
  <c r="AN110" i="1"/>
  <c r="AN109" i="1"/>
  <c r="AN112" i="1"/>
  <c r="AN108" i="1"/>
  <c r="AN880" i="1"/>
  <c r="AL438" i="1" l="1"/>
  <c r="B408" i="1"/>
  <c r="C408" i="1" s="1"/>
  <c r="B409" i="1"/>
  <c r="C409" i="1" s="1"/>
  <c r="B410" i="1"/>
  <c r="C410" i="1" s="1"/>
  <c r="B411" i="1"/>
  <c r="C411" i="1" s="1"/>
  <c r="B412" i="1"/>
  <c r="C412" i="1" s="1"/>
  <c r="B414" i="1"/>
  <c r="C414" i="1" s="1"/>
  <c r="B415" i="1"/>
  <c r="C415" i="1" s="1"/>
  <c r="B416" i="1"/>
  <c r="C416" i="1" s="1"/>
  <c r="B419" i="1"/>
  <c r="C419" i="1" s="1"/>
  <c r="B421" i="1"/>
  <c r="C421" i="1" s="1"/>
  <c r="B423" i="1"/>
  <c r="C423" i="1" s="1"/>
  <c r="B425" i="1"/>
  <c r="C425" i="1" s="1"/>
  <c r="B427" i="1"/>
  <c r="C427" i="1" s="1"/>
  <c r="B429" i="1"/>
  <c r="C429" i="1" s="1"/>
  <c r="B431" i="1"/>
  <c r="C431" i="1" s="1"/>
  <c r="B433" i="1"/>
  <c r="C433" i="1" s="1"/>
  <c r="B435" i="1"/>
  <c r="C435" i="1" s="1"/>
  <c r="B437" i="1"/>
  <c r="C437" i="1" s="1"/>
  <c r="B442" i="1"/>
  <c r="C442" i="1" s="1"/>
  <c r="B444" i="1"/>
  <c r="C444" i="1" s="1"/>
  <c r="B446" i="1"/>
  <c r="C446" i="1" s="1"/>
  <c r="B447" i="1"/>
  <c r="B449" i="1"/>
  <c r="C449" i="1" s="1"/>
  <c r="B453" i="1"/>
  <c r="C453" i="1" s="1"/>
  <c r="B454" i="1"/>
  <c r="C454" i="1" s="1"/>
  <c r="B455" i="1"/>
  <c r="C455" i="1" s="1"/>
  <c r="B457" i="1"/>
  <c r="C457" i="1" s="1"/>
  <c r="B458" i="1"/>
  <c r="C458" i="1" s="1"/>
  <c r="B460" i="1"/>
  <c r="C460" i="1" s="1"/>
  <c r="B463" i="1"/>
  <c r="C463" i="1" s="1"/>
  <c r="B465" i="1"/>
  <c r="C465" i="1" s="1"/>
  <c r="B467" i="1"/>
  <c r="C467" i="1" s="1"/>
  <c r="B469" i="1"/>
  <c r="C469" i="1" s="1"/>
  <c r="B470" i="1"/>
  <c r="C470" i="1" s="1"/>
  <c r="B472" i="1"/>
  <c r="C472" i="1" s="1"/>
  <c r="B474" i="1"/>
  <c r="C474" i="1" s="1"/>
  <c r="B476" i="1"/>
  <c r="C476" i="1" s="1"/>
  <c r="B478" i="1"/>
  <c r="C478" i="1" s="1"/>
  <c r="B479" i="1"/>
  <c r="C479" i="1" s="1"/>
  <c r="B480" i="1"/>
  <c r="C480" i="1" s="1"/>
  <c r="B481" i="1"/>
  <c r="C481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4" i="1"/>
  <c r="C494" i="1" s="1"/>
  <c r="B496" i="1"/>
  <c r="C496" i="1" s="1"/>
  <c r="B497" i="1"/>
  <c r="C497" i="1" s="1"/>
  <c r="B498" i="1"/>
  <c r="C498" i="1" s="1"/>
  <c r="B499" i="1"/>
  <c r="C499" i="1" s="1"/>
  <c r="B501" i="1"/>
  <c r="C501" i="1" s="1"/>
  <c r="B502" i="1"/>
  <c r="C502" i="1" s="1"/>
  <c r="B503" i="1"/>
  <c r="C503" i="1" s="1"/>
  <c r="B504" i="1"/>
  <c r="C504" i="1" s="1"/>
  <c r="B506" i="1"/>
  <c r="C506" i="1" s="1"/>
  <c r="B507" i="1"/>
  <c r="C507" i="1" s="1"/>
  <c r="B508" i="1"/>
  <c r="C508" i="1" s="1"/>
  <c r="B509" i="1"/>
  <c r="C509" i="1" s="1"/>
  <c r="B511" i="1"/>
  <c r="C511" i="1" s="1"/>
  <c r="B513" i="1"/>
  <c r="C513" i="1" s="1"/>
  <c r="B514" i="1"/>
  <c r="C514" i="1" s="1"/>
  <c r="B515" i="1"/>
  <c r="C515" i="1" s="1"/>
  <c r="B517" i="1"/>
  <c r="C517" i="1" s="1"/>
  <c r="B519" i="1"/>
  <c r="C519" i="1" s="1"/>
  <c r="B522" i="1"/>
  <c r="C522" i="1" s="1"/>
  <c r="B523" i="1"/>
  <c r="C523" i="1" s="1"/>
  <c r="B525" i="1"/>
  <c r="C525" i="1" s="1"/>
  <c r="B527" i="1"/>
  <c r="C527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2" i="1"/>
  <c r="C552" i="1" s="1"/>
  <c r="B553" i="1"/>
  <c r="C553" i="1" s="1"/>
  <c r="B554" i="1"/>
  <c r="C554" i="1" s="1"/>
  <c r="B555" i="1"/>
  <c r="C555" i="1" s="1"/>
  <c r="B556" i="1"/>
  <c r="C556" i="1" s="1"/>
  <c r="B558" i="1"/>
  <c r="C558" i="1" s="1"/>
  <c r="B559" i="1"/>
  <c r="C559" i="1" s="1"/>
  <c r="B560" i="1"/>
  <c r="C560" i="1" s="1"/>
  <c r="B561" i="1"/>
  <c r="C561" i="1" s="1"/>
  <c r="B562" i="1"/>
  <c r="C562" i="1" s="1"/>
  <c r="B564" i="1"/>
  <c r="C564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8" i="1"/>
  <c r="C578" i="1" s="1"/>
  <c r="B580" i="1"/>
  <c r="C580" i="1" s="1"/>
  <c r="B582" i="1"/>
  <c r="C582" i="1" s="1"/>
  <c r="B584" i="1"/>
  <c r="C584" i="1" s="1"/>
  <c r="B586" i="1"/>
  <c r="C586" i="1" s="1"/>
  <c r="B587" i="1"/>
  <c r="C587" i="1" s="1"/>
  <c r="B588" i="1"/>
  <c r="C588" i="1" s="1"/>
  <c r="B589" i="1"/>
  <c r="C589" i="1" s="1"/>
  <c r="B591" i="1"/>
  <c r="C591" i="1" s="1"/>
  <c r="B592" i="1"/>
  <c r="C592" i="1" s="1"/>
  <c r="B593" i="1"/>
  <c r="C593" i="1" s="1"/>
  <c r="B594" i="1"/>
  <c r="C594" i="1" s="1"/>
  <c r="B595" i="1"/>
  <c r="C595" i="1" s="1"/>
  <c r="B597" i="1"/>
  <c r="C597" i="1" s="1"/>
  <c r="B598" i="1"/>
  <c r="C598" i="1" s="1"/>
  <c r="B600" i="1"/>
  <c r="C600" i="1" s="1"/>
  <c r="B601" i="1"/>
  <c r="C601" i="1" s="1"/>
  <c r="B603" i="1"/>
  <c r="C603" i="1" s="1"/>
  <c r="B605" i="1"/>
  <c r="C605" i="1" s="1"/>
  <c r="B606" i="1"/>
  <c r="C606" i="1" s="1"/>
  <c r="B608" i="1"/>
  <c r="C608" i="1" s="1"/>
  <c r="B612" i="1"/>
  <c r="C612" i="1" s="1"/>
  <c r="B614" i="1"/>
  <c r="C614" i="1" s="1"/>
  <c r="B615" i="1"/>
  <c r="C615" i="1" s="1"/>
  <c r="B619" i="1"/>
  <c r="C619" i="1" s="1"/>
  <c r="B621" i="1"/>
  <c r="C621" i="1" s="1"/>
  <c r="B623" i="1"/>
  <c r="C623" i="1" s="1"/>
  <c r="B624" i="1"/>
  <c r="C624" i="1" s="1"/>
  <c r="B627" i="1"/>
  <c r="C627" i="1" s="1"/>
  <c r="B629" i="1"/>
  <c r="C629" i="1" s="1"/>
  <c r="B631" i="1"/>
  <c r="C631" i="1" s="1"/>
  <c r="B633" i="1"/>
  <c r="C633" i="1" s="1"/>
  <c r="B636" i="1"/>
  <c r="C636" i="1" s="1"/>
  <c r="B638" i="1"/>
  <c r="C638" i="1" s="1"/>
  <c r="B639" i="1"/>
  <c r="C639" i="1" s="1"/>
  <c r="B640" i="1"/>
  <c r="C640" i="1" s="1"/>
  <c r="B641" i="1"/>
  <c r="C641" i="1" s="1"/>
  <c r="B643" i="1"/>
  <c r="C643" i="1" s="1"/>
  <c r="B644" i="1"/>
  <c r="C644" i="1" s="1"/>
  <c r="B645" i="1"/>
  <c r="C645" i="1" s="1"/>
  <c r="B646" i="1"/>
  <c r="C646" i="1" s="1"/>
  <c r="B647" i="1"/>
  <c r="C647" i="1" s="1"/>
  <c r="B649" i="1"/>
  <c r="C649" i="1" s="1"/>
  <c r="B652" i="1"/>
  <c r="C652" i="1" s="1"/>
  <c r="B653" i="1"/>
  <c r="C653" i="1" s="1"/>
  <c r="B655" i="1"/>
  <c r="C655" i="1" s="1"/>
  <c r="B657" i="1"/>
  <c r="C657" i="1" s="1"/>
  <c r="B658" i="1"/>
  <c r="C658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3" i="1"/>
  <c r="C673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5" i="1"/>
  <c r="C685" i="1" s="1"/>
  <c r="B686" i="1"/>
  <c r="C686" i="1" s="1"/>
  <c r="B687" i="1"/>
  <c r="C687" i="1" s="1"/>
  <c r="B689" i="1"/>
  <c r="C689" i="1" s="1"/>
  <c r="B690" i="1"/>
  <c r="C690" i="1" s="1"/>
  <c r="B691" i="1"/>
  <c r="C691" i="1" s="1"/>
  <c r="B693" i="1"/>
  <c r="C693" i="1" s="1"/>
  <c r="B694" i="1"/>
  <c r="C694" i="1" s="1"/>
  <c r="B696" i="1"/>
  <c r="C696" i="1" s="1"/>
  <c r="B697" i="1"/>
  <c r="C697" i="1" s="1"/>
  <c r="B699" i="1"/>
  <c r="C699" i="1" s="1"/>
  <c r="B701" i="1"/>
  <c r="C701" i="1" s="1"/>
  <c r="B702" i="1"/>
  <c r="C702" i="1" s="1"/>
  <c r="B704" i="1"/>
  <c r="C704" i="1" s="1"/>
  <c r="B707" i="1"/>
  <c r="C707" i="1" s="1"/>
  <c r="B709" i="1"/>
  <c r="C709" i="1" s="1"/>
  <c r="B711" i="1"/>
  <c r="C711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3" i="1"/>
  <c r="C723" i="1" s="1"/>
  <c r="B725" i="1"/>
  <c r="C725" i="1" s="1"/>
  <c r="B726" i="1"/>
  <c r="C726" i="1" s="1"/>
  <c r="B727" i="1"/>
  <c r="C727" i="1" s="1"/>
  <c r="B729" i="1"/>
  <c r="C729" i="1" s="1"/>
  <c r="B730" i="1"/>
  <c r="C730" i="1" s="1"/>
  <c r="B731" i="1"/>
  <c r="C731" i="1" s="1"/>
  <c r="B732" i="1"/>
  <c r="C732" i="1" s="1"/>
  <c r="B734" i="1"/>
  <c r="C734" i="1" s="1"/>
  <c r="B737" i="1"/>
  <c r="C737" i="1" s="1"/>
  <c r="B738" i="1"/>
  <c r="C738" i="1" s="1"/>
  <c r="B739" i="1"/>
  <c r="C739" i="1" s="1"/>
  <c r="B741" i="1"/>
  <c r="C741" i="1" s="1"/>
  <c r="B742" i="1"/>
  <c r="C742" i="1" s="1"/>
  <c r="B743" i="1"/>
  <c r="C743" i="1" s="1"/>
  <c r="B746" i="1"/>
  <c r="C746" i="1" s="1"/>
  <c r="B750" i="1"/>
  <c r="C750" i="1" s="1"/>
  <c r="B752" i="1"/>
  <c r="C752" i="1" s="1"/>
  <c r="B753" i="1"/>
  <c r="C753" i="1" s="1"/>
  <c r="B755" i="1"/>
  <c r="C755" i="1" s="1"/>
  <c r="B757" i="1"/>
  <c r="C757" i="1" s="1"/>
  <c r="B759" i="1"/>
  <c r="C759" i="1" s="1"/>
  <c r="B761" i="1"/>
  <c r="C761" i="1" s="1"/>
  <c r="B762" i="1"/>
  <c r="C762" i="1" s="1"/>
  <c r="B765" i="1"/>
  <c r="C765" i="1" s="1"/>
  <c r="B766" i="1"/>
  <c r="C766" i="1" s="1"/>
  <c r="B767" i="1"/>
  <c r="C767" i="1" s="1"/>
  <c r="B768" i="1"/>
  <c r="C768" i="1" s="1"/>
  <c r="B769" i="1"/>
  <c r="C769" i="1" s="1"/>
  <c r="B773" i="1"/>
  <c r="C773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3" i="1"/>
  <c r="C783" i="1" s="1"/>
  <c r="B785" i="1"/>
  <c r="C785" i="1" s="1"/>
  <c r="B786" i="1"/>
  <c r="C786" i="1" s="1"/>
  <c r="B787" i="1"/>
  <c r="C787" i="1" s="1"/>
  <c r="B788" i="1"/>
  <c r="C788" i="1" s="1"/>
  <c r="B791" i="1"/>
  <c r="C791" i="1" s="1"/>
  <c r="B792" i="1"/>
  <c r="C792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1" i="1"/>
  <c r="C801" i="1" s="1"/>
  <c r="B802" i="1"/>
  <c r="C802" i="1" s="1"/>
  <c r="B803" i="1"/>
  <c r="C803" i="1" s="1"/>
  <c r="B805" i="1"/>
  <c r="C805" i="1" s="1"/>
  <c r="B807" i="1"/>
  <c r="C807" i="1" s="1"/>
  <c r="B808" i="1"/>
  <c r="C808" i="1" s="1"/>
  <c r="B811" i="1"/>
  <c r="C811" i="1" s="1"/>
  <c r="B813" i="1"/>
  <c r="C813" i="1" s="1"/>
  <c r="B814" i="1"/>
  <c r="C814" i="1" s="1"/>
  <c r="B815" i="1"/>
  <c r="C815" i="1" s="1"/>
  <c r="B816" i="1"/>
  <c r="C816" i="1" s="1"/>
  <c r="B818" i="1"/>
  <c r="C818" i="1" s="1"/>
  <c r="B820" i="1"/>
  <c r="C820" i="1" s="1"/>
  <c r="B821" i="1"/>
  <c r="C821" i="1" s="1"/>
  <c r="B823" i="1"/>
  <c r="C823" i="1" s="1"/>
  <c r="B825" i="1"/>
  <c r="C825" i="1" s="1"/>
  <c r="B826" i="1"/>
  <c r="C826" i="1" s="1"/>
  <c r="B828" i="1"/>
  <c r="C828" i="1" s="1"/>
  <c r="B829" i="1"/>
  <c r="C829" i="1" s="1"/>
  <c r="B831" i="1"/>
  <c r="C831" i="1" s="1"/>
  <c r="B833" i="1"/>
  <c r="C833" i="1" s="1"/>
  <c r="B835" i="1"/>
  <c r="C835" i="1" s="1"/>
  <c r="B837" i="1"/>
  <c r="C837" i="1" s="1"/>
  <c r="B838" i="1"/>
  <c r="C838" i="1" s="1"/>
  <c r="B840" i="1"/>
  <c r="C840" i="1" s="1"/>
  <c r="B842" i="1"/>
  <c r="C842" i="1" s="1"/>
  <c r="B844" i="1"/>
  <c r="C844" i="1" s="1"/>
  <c r="B846" i="1"/>
  <c r="C846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9" i="1"/>
  <c r="C859" i="1" s="1"/>
  <c r="B860" i="1"/>
  <c r="C860" i="1" s="1"/>
  <c r="B861" i="1"/>
  <c r="C861" i="1" s="1"/>
  <c r="B862" i="1"/>
  <c r="C862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2" i="1"/>
  <c r="C872" i="1" s="1"/>
  <c r="B873" i="1"/>
  <c r="C873" i="1" s="1"/>
  <c r="B874" i="1"/>
  <c r="C874" i="1" s="1"/>
  <c r="B875" i="1"/>
  <c r="C875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4" i="1"/>
  <c r="C894" i="1" s="1"/>
  <c r="B895" i="1"/>
  <c r="C895" i="1" s="1"/>
  <c r="B897" i="1"/>
  <c r="C897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8" i="1"/>
  <c r="C918" i="1" s="1"/>
  <c r="C447" i="1"/>
  <c r="D429" i="1"/>
  <c r="AS429" i="1" s="1"/>
  <c r="D435" i="1"/>
  <c r="AS435" i="1" s="1"/>
  <c r="D444" i="1"/>
  <c r="AS444" i="1" s="1"/>
  <c r="D447" i="1"/>
  <c r="AS447" i="1" s="1"/>
  <c r="D472" i="1"/>
  <c r="AS472" i="1" s="1"/>
  <c r="D484" i="1"/>
  <c r="AS484" i="1" s="1"/>
  <c r="D517" i="1"/>
  <c r="AS517" i="1" s="1"/>
  <c r="D578" i="1"/>
  <c r="AS578" i="1" s="1"/>
  <c r="D606" i="1"/>
  <c r="AS606" i="1" s="1"/>
  <c r="D647" i="1"/>
  <c r="AS647" i="1" s="1"/>
  <c r="D702" i="1"/>
  <c r="AS702" i="1" s="1"/>
  <c r="D773" i="1"/>
  <c r="AS773" i="1" s="1"/>
  <c r="D792" i="1"/>
  <c r="AS792" i="1" s="1"/>
  <c r="D799" i="1"/>
  <c r="AS799" i="1" s="1"/>
  <c r="D803" i="1"/>
  <c r="AS803" i="1" s="1"/>
  <c r="D823" i="1"/>
  <c r="AS823" i="1" s="1"/>
  <c r="D833" i="1"/>
  <c r="AS833" i="1" s="1"/>
  <c r="D862" i="1"/>
  <c r="AS862" i="1" s="1"/>
  <c r="D892" i="1"/>
  <c r="AS892" i="1" s="1"/>
  <c r="D895" i="1"/>
  <c r="AS895" i="1" s="1"/>
  <c r="D897" i="1"/>
  <c r="AS897" i="1" s="1"/>
  <c r="D909" i="1"/>
  <c r="AS909" i="1" s="1"/>
  <c r="D916" i="1"/>
  <c r="AS916" i="1" s="1"/>
  <c r="AL408" i="1"/>
  <c r="AL409" i="1"/>
  <c r="AL410" i="1"/>
  <c r="AL411" i="1"/>
  <c r="AL412" i="1"/>
  <c r="AQ412" i="1" s="1"/>
  <c r="AL413" i="1"/>
  <c r="AL414" i="1"/>
  <c r="AL415" i="1"/>
  <c r="AL416" i="1"/>
  <c r="AL417" i="1"/>
  <c r="AQ417" i="1" s="1"/>
  <c r="AL418" i="1"/>
  <c r="AL419" i="1"/>
  <c r="AQ419" i="1" s="1"/>
  <c r="AL420" i="1"/>
  <c r="AL421" i="1"/>
  <c r="AQ421" i="1" s="1"/>
  <c r="AL422" i="1"/>
  <c r="AL423" i="1"/>
  <c r="AL424" i="1"/>
  <c r="AL425" i="1"/>
  <c r="AL426" i="1"/>
  <c r="AL427" i="1"/>
  <c r="AL428" i="1"/>
  <c r="AL429" i="1"/>
  <c r="AQ429" i="1" s="1"/>
  <c r="AL430" i="1"/>
  <c r="AL431" i="1"/>
  <c r="AL432" i="1"/>
  <c r="AL433" i="1"/>
  <c r="AL434" i="1"/>
  <c r="AL435" i="1"/>
  <c r="AQ435" i="1" s="1"/>
  <c r="AL436" i="1"/>
  <c r="AL437" i="1"/>
  <c r="AQ437" i="1" s="1"/>
  <c r="AL439" i="1"/>
  <c r="AQ439" i="1" s="1"/>
  <c r="AL440" i="1"/>
  <c r="AL441" i="1"/>
  <c r="AL442" i="1"/>
  <c r="AL443" i="1"/>
  <c r="AL444" i="1"/>
  <c r="AQ444" i="1" s="1"/>
  <c r="AL445" i="1"/>
  <c r="AL446" i="1"/>
  <c r="AL447" i="1"/>
  <c r="AQ447" i="1" s="1"/>
  <c r="AL448" i="1"/>
  <c r="AL449" i="1"/>
  <c r="AQ449" i="1" s="1"/>
  <c r="AL450" i="1"/>
  <c r="AL451" i="1"/>
  <c r="AQ451" i="1" s="1"/>
  <c r="AL452" i="1"/>
  <c r="AL453" i="1"/>
  <c r="AL454" i="1"/>
  <c r="AL455" i="1"/>
  <c r="AL456" i="1"/>
  <c r="AL457" i="1"/>
  <c r="AL458" i="1"/>
  <c r="AL459" i="1"/>
  <c r="AL460" i="1"/>
  <c r="AL461" i="1"/>
  <c r="AQ461" i="1" s="1"/>
  <c r="AL462" i="1"/>
  <c r="AL463" i="1"/>
  <c r="AL464" i="1"/>
  <c r="AL465" i="1"/>
  <c r="AQ465" i="1" s="1"/>
  <c r="AL466" i="1"/>
  <c r="AL467" i="1"/>
  <c r="AQ467" i="1" s="1"/>
  <c r="AL468" i="1"/>
  <c r="AL469" i="1"/>
  <c r="AL470" i="1"/>
  <c r="AQ470" i="1" s="1"/>
  <c r="AL471" i="1"/>
  <c r="AL472" i="1"/>
  <c r="AQ472" i="1" s="1"/>
  <c r="AL473" i="1"/>
  <c r="AL474" i="1"/>
  <c r="AQ474" i="1" s="1"/>
  <c r="AL475" i="1"/>
  <c r="AL476" i="1"/>
  <c r="AQ476" i="1" s="1"/>
  <c r="AL477" i="1"/>
  <c r="AL478" i="1"/>
  <c r="AL479" i="1"/>
  <c r="AL480" i="1"/>
  <c r="AL481" i="1"/>
  <c r="AL482" i="1"/>
  <c r="AL483" i="1"/>
  <c r="AL484" i="1"/>
  <c r="AQ484" i="1" s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Q499" i="1" s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Q515" i="1" s="1"/>
  <c r="AL516" i="1"/>
  <c r="AL517" i="1"/>
  <c r="AQ517" i="1" s="1"/>
  <c r="AL518" i="1"/>
  <c r="AL519" i="1"/>
  <c r="AL521" i="1"/>
  <c r="AL522" i="1"/>
  <c r="AL523" i="1"/>
  <c r="AQ523" i="1" s="1"/>
  <c r="AL524" i="1"/>
  <c r="AL525" i="1"/>
  <c r="AQ525" i="1" s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Q537" i="1" s="1"/>
  <c r="AL538" i="1"/>
  <c r="AO538" i="1" s="1"/>
  <c r="AP538" i="1" s="1"/>
  <c r="AL539" i="1"/>
  <c r="AL540" i="1"/>
  <c r="AL541" i="1"/>
  <c r="AL542" i="1"/>
  <c r="AL543" i="1"/>
  <c r="AL544" i="1"/>
  <c r="AL545" i="1"/>
  <c r="AL546" i="1"/>
  <c r="AL547" i="1"/>
  <c r="AL548" i="1"/>
  <c r="AL549" i="1"/>
  <c r="AQ549" i="1" s="1"/>
  <c r="AL550" i="1"/>
  <c r="AL551" i="1"/>
  <c r="AL552" i="1"/>
  <c r="AL553" i="1"/>
  <c r="AL554" i="1"/>
  <c r="AL555" i="1"/>
  <c r="AL556" i="1"/>
  <c r="AQ556" i="1" s="1"/>
  <c r="AL557" i="1"/>
  <c r="AL558" i="1"/>
  <c r="AL559" i="1"/>
  <c r="AL560" i="1"/>
  <c r="AL561" i="1"/>
  <c r="AL562" i="1"/>
  <c r="AL563" i="1"/>
  <c r="AL564" i="1"/>
  <c r="AQ564" i="1" s="1"/>
  <c r="AL565" i="1"/>
  <c r="AL566" i="1"/>
  <c r="AL567" i="1"/>
  <c r="AL568" i="1"/>
  <c r="AL569" i="1"/>
  <c r="AL570" i="1"/>
  <c r="AL571" i="1"/>
  <c r="AL572" i="1"/>
  <c r="AL573" i="1"/>
  <c r="AL574" i="1"/>
  <c r="AL575" i="1"/>
  <c r="AQ575" i="1" s="1"/>
  <c r="AL576" i="1"/>
  <c r="AL577" i="1"/>
  <c r="AL578" i="1"/>
  <c r="AQ578" i="1" s="1"/>
  <c r="AL579" i="1"/>
  <c r="AL580" i="1"/>
  <c r="AL581" i="1"/>
  <c r="AL582" i="1"/>
  <c r="AL583" i="1"/>
  <c r="AL584" i="1"/>
  <c r="AL585" i="1"/>
  <c r="AL586" i="1"/>
  <c r="AL587" i="1"/>
  <c r="AL588" i="1"/>
  <c r="AL589" i="1"/>
  <c r="AQ589" i="1" s="1"/>
  <c r="AL590" i="1"/>
  <c r="AO590" i="1" s="1"/>
  <c r="AP590" i="1" s="1"/>
  <c r="AL591" i="1"/>
  <c r="AL592" i="1"/>
  <c r="AL593" i="1"/>
  <c r="AL594" i="1"/>
  <c r="AL595" i="1"/>
  <c r="AL596" i="1"/>
  <c r="AL597" i="1"/>
  <c r="AL598" i="1"/>
  <c r="AQ598" i="1" s="1"/>
  <c r="AL599" i="1"/>
  <c r="AL600" i="1"/>
  <c r="AL601" i="1"/>
  <c r="AQ601" i="1" s="1"/>
  <c r="AL602" i="1"/>
  <c r="AL603" i="1"/>
  <c r="AL604" i="1"/>
  <c r="AL605" i="1"/>
  <c r="AL606" i="1"/>
  <c r="AQ606" i="1" s="1"/>
  <c r="AL607" i="1"/>
  <c r="AL608" i="1"/>
  <c r="AL609" i="1"/>
  <c r="AQ609" i="1" s="1"/>
  <c r="AL610" i="1"/>
  <c r="AL611" i="1"/>
  <c r="AL612" i="1"/>
  <c r="AQ612" i="1" s="1"/>
  <c r="AL613" i="1"/>
  <c r="AL614" i="1"/>
  <c r="AL615" i="1"/>
  <c r="AQ615" i="1" s="1"/>
  <c r="AL616" i="1"/>
  <c r="AL618" i="1"/>
  <c r="AL619" i="1"/>
  <c r="AQ619" i="1" s="1"/>
  <c r="AL620" i="1"/>
  <c r="AL621" i="1"/>
  <c r="AQ621" i="1" s="1"/>
  <c r="AL622" i="1"/>
  <c r="AL623" i="1"/>
  <c r="AL624" i="1"/>
  <c r="AQ624" i="1" s="1"/>
  <c r="AL625" i="1"/>
  <c r="AL626" i="1"/>
  <c r="AL627" i="1"/>
  <c r="AL628" i="1"/>
  <c r="AL629" i="1"/>
  <c r="AL630" i="1"/>
  <c r="AL631" i="1"/>
  <c r="AL632" i="1"/>
  <c r="AL633" i="1"/>
  <c r="AQ633" i="1" s="1"/>
  <c r="AL634" i="1"/>
  <c r="AL635" i="1"/>
  <c r="AL636" i="1"/>
  <c r="AL637" i="1"/>
  <c r="AL638" i="1"/>
  <c r="AL639" i="1"/>
  <c r="AL640" i="1"/>
  <c r="AL641" i="1"/>
  <c r="AQ641" i="1" s="1"/>
  <c r="AL642" i="1"/>
  <c r="AO642" i="1" s="1"/>
  <c r="AP642" i="1" s="1"/>
  <c r="AL643" i="1"/>
  <c r="AL644" i="1"/>
  <c r="AL645" i="1"/>
  <c r="AL646" i="1"/>
  <c r="AL647" i="1"/>
  <c r="AQ647" i="1" s="1"/>
  <c r="AL648" i="1"/>
  <c r="AL649" i="1"/>
  <c r="AQ649" i="1" s="1"/>
  <c r="AL650" i="1"/>
  <c r="AL651" i="1"/>
  <c r="AL652" i="1"/>
  <c r="AL653" i="1"/>
  <c r="AL654" i="1"/>
  <c r="AL655" i="1"/>
  <c r="AL656" i="1"/>
  <c r="AL657" i="1"/>
  <c r="AL658" i="1"/>
  <c r="AL659" i="1"/>
  <c r="AQ659" i="1" s="1"/>
  <c r="AL660" i="1"/>
  <c r="AO660" i="1" s="1"/>
  <c r="AP660" i="1" s="1"/>
  <c r="AL661" i="1"/>
  <c r="AL662" i="1"/>
  <c r="AL663" i="1"/>
  <c r="AL664" i="1"/>
  <c r="AL665" i="1"/>
  <c r="AL666" i="1"/>
  <c r="AL667" i="1"/>
  <c r="AL668" i="1"/>
  <c r="AL669" i="1"/>
  <c r="AL670" i="1"/>
  <c r="AL671" i="1"/>
  <c r="AQ671" i="1" s="1"/>
  <c r="AL672" i="1"/>
  <c r="AL673" i="1"/>
  <c r="AL674" i="1"/>
  <c r="AL675" i="1"/>
  <c r="AL676" i="1"/>
  <c r="AL677" i="1"/>
  <c r="AL678" i="1"/>
  <c r="AL679" i="1"/>
  <c r="AL680" i="1"/>
  <c r="AL681" i="1"/>
  <c r="AL682" i="1"/>
  <c r="AQ682" i="1" s="1"/>
  <c r="AL683" i="1"/>
  <c r="AL684" i="1"/>
  <c r="AL685" i="1"/>
  <c r="AL686" i="1"/>
  <c r="AL687" i="1"/>
  <c r="AL688" i="1"/>
  <c r="AL689" i="1"/>
  <c r="AL690" i="1"/>
  <c r="AL691" i="1"/>
  <c r="AQ691" i="1" s="1"/>
  <c r="AL692" i="1"/>
  <c r="AO692" i="1" s="1"/>
  <c r="AP692" i="1" s="1"/>
  <c r="AL693" i="1"/>
  <c r="AL694" i="1"/>
  <c r="AQ694" i="1" s="1"/>
  <c r="AL695" i="1"/>
  <c r="AL696" i="1"/>
  <c r="AL697" i="1"/>
  <c r="AQ697" i="1" s="1"/>
  <c r="AL698" i="1"/>
  <c r="AO698" i="1" s="1"/>
  <c r="AP698" i="1" s="1"/>
  <c r="AL699" i="1"/>
  <c r="AQ699" i="1" s="1"/>
  <c r="AL700" i="1"/>
  <c r="AO700" i="1" s="1"/>
  <c r="AP700" i="1" s="1"/>
  <c r="AL701" i="1"/>
  <c r="AL702" i="1"/>
  <c r="AQ702" i="1" s="1"/>
  <c r="AL703" i="1"/>
  <c r="AL704" i="1"/>
  <c r="AQ704" i="1" s="1"/>
  <c r="AL705" i="1"/>
  <c r="AL706" i="1"/>
  <c r="AL707" i="1"/>
  <c r="AL708" i="1"/>
  <c r="AL709" i="1"/>
  <c r="AL710" i="1"/>
  <c r="AL711" i="1"/>
  <c r="AL712" i="1"/>
  <c r="AQ712" i="1" s="1"/>
  <c r="AL713" i="1"/>
  <c r="AL714" i="1"/>
  <c r="AL715" i="1"/>
  <c r="AL716" i="1"/>
  <c r="AL717" i="1"/>
  <c r="AL718" i="1"/>
  <c r="AL719" i="1"/>
  <c r="AL720" i="1"/>
  <c r="AL721" i="1"/>
  <c r="AQ721" i="1" s="1"/>
  <c r="AL722" i="1"/>
  <c r="AO722" i="1" s="1"/>
  <c r="AP722" i="1" s="1"/>
  <c r="AL723" i="1"/>
  <c r="AL724" i="1"/>
  <c r="AL725" i="1"/>
  <c r="AL726" i="1"/>
  <c r="AL727" i="1"/>
  <c r="AQ727" i="1" s="1"/>
  <c r="AL728" i="1"/>
  <c r="AO728" i="1" s="1"/>
  <c r="AP728" i="1" s="1"/>
  <c r="AL729" i="1"/>
  <c r="AL730" i="1"/>
  <c r="AL731" i="1"/>
  <c r="AL732" i="1"/>
  <c r="AQ732" i="1" s="1"/>
  <c r="AL733" i="1"/>
  <c r="AL734" i="1"/>
  <c r="AQ734" i="1" s="1"/>
  <c r="AL735" i="1"/>
  <c r="AO735" i="1" s="1"/>
  <c r="AP735" i="1" s="1"/>
  <c r="AL736" i="1"/>
  <c r="AL737" i="1"/>
  <c r="AL738" i="1"/>
  <c r="AL739" i="1"/>
  <c r="AQ739" i="1" s="1"/>
  <c r="AL740" i="1"/>
  <c r="AO740" i="1" s="1"/>
  <c r="AP740" i="1" s="1"/>
  <c r="AL741" i="1"/>
  <c r="AL742" i="1"/>
  <c r="AL743" i="1"/>
  <c r="AQ743" i="1" s="1"/>
  <c r="AL744" i="1"/>
  <c r="AO744" i="1" s="1"/>
  <c r="AP744" i="1" s="1"/>
  <c r="AL746" i="1"/>
  <c r="AL749" i="1"/>
  <c r="AL750" i="1"/>
  <c r="AL752" i="1"/>
  <c r="AL753" i="1"/>
  <c r="AL755" i="1"/>
  <c r="AL756" i="1"/>
  <c r="AL757" i="1"/>
  <c r="AQ757" i="1" s="1"/>
  <c r="AL758" i="1"/>
  <c r="AL759" i="1"/>
  <c r="AQ759" i="1" s="1"/>
  <c r="AL760" i="1"/>
  <c r="AL761" i="1"/>
  <c r="AL762" i="1"/>
  <c r="AL763" i="1"/>
  <c r="AL764" i="1"/>
  <c r="AL765" i="1"/>
  <c r="AL766" i="1"/>
  <c r="AL767" i="1"/>
  <c r="AL768" i="1"/>
  <c r="AL769" i="1"/>
  <c r="AL770" i="1"/>
  <c r="AQ770" i="1" s="1"/>
  <c r="AL771" i="1"/>
  <c r="AL772" i="1"/>
  <c r="AL773" i="1"/>
  <c r="AQ773" i="1" s="1"/>
  <c r="AL774" i="1"/>
  <c r="AL775" i="1"/>
  <c r="AL776" i="1"/>
  <c r="AL777" i="1"/>
  <c r="AL778" i="1"/>
  <c r="AL779" i="1"/>
  <c r="AL780" i="1"/>
  <c r="AL781" i="1"/>
  <c r="AL782" i="1"/>
  <c r="AL783" i="1"/>
  <c r="AQ783" i="1" s="1"/>
  <c r="AL784" i="1"/>
  <c r="AL785" i="1"/>
  <c r="AL786" i="1"/>
  <c r="AL787" i="1"/>
  <c r="AL788" i="1"/>
  <c r="AL790" i="1"/>
  <c r="AL791" i="1"/>
  <c r="AL792" i="1"/>
  <c r="AQ792" i="1" s="1"/>
  <c r="AL793" i="1"/>
  <c r="AL794" i="1"/>
  <c r="AL795" i="1"/>
  <c r="AL796" i="1"/>
  <c r="AL797" i="1"/>
  <c r="AL798" i="1"/>
  <c r="AL799" i="1"/>
  <c r="AQ799" i="1" s="1"/>
  <c r="AL800" i="1"/>
  <c r="AL801" i="1"/>
  <c r="AL802" i="1"/>
  <c r="AL803" i="1"/>
  <c r="AQ803" i="1" s="1"/>
  <c r="AL804" i="1"/>
  <c r="AL805" i="1"/>
  <c r="AQ805" i="1" s="1"/>
  <c r="AL806" i="1"/>
  <c r="AO806" i="1" s="1"/>
  <c r="AP806" i="1" s="1"/>
  <c r="AL807" i="1"/>
  <c r="AL808" i="1"/>
  <c r="AL809" i="1"/>
  <c r="AQ809" i="1" s="1"/>
  <c r="AL810" i="1"/>
  <c r="AL811" i="1"/>
  <c r="AL812" i="1"/>
  <c r="AL813" i="1"/>
  <c r="AL814" i="1"/>
  <c r="AL815" i="1"/>
  <c r="AL816" i="1"/>
  <c r="AQ816" i="1" s="1"/>
  <c r="AL817" i="1"/>
  <c r="AO817" i="1" s="1"/>
  <c r="AP817" i="1" s="1"/>
  <c r="AL818" i="1"/>
  <c r="AL819" i="1"/>
  <c r="AL820" i="1"/>
  <c r="AL821" i="1"/>
  <c r="AL822" i="1"/>
  <c r="AL823" i="1"/>
  <c r="AQ823" i="1" s="1"/>
  <c r="AL824" i="1"/>
  <c r="AL825" i="1"/>
  <c r="AL826" i="1"/>
  <c r="AL827" i="1"/>
  <c r="AL828" i="1"/>
  <c r="AL829" i="1"/>
  <c r="AL830" i="1"/>
  <c r="AL831" i="1"/>
  <c r="AQ831" i="1" s="1"/>
  <c r="AL832" i="1"/>
  <c r="AO832" i="1" s="1"/>
  <c r="AP832" i="1" s="1"/>
  <c r="AL833" i="1"/>
  <c r="AQ833" i="1" s="1"/>
  <c r="AL834" i="1"/>
  <c r="AL835" i="1"/>
  <c r="AQ835" i="1" s="1"/>
  <c r="AL836" i="1"/>
  <c r="AO836" i="1" s="1"/>
  <c r="AP836" i="1" s="1"/>
  <c r="AL837" i="1"/>
  <c r="AL838" i="1"/>
  <c r="AQ838" i="1" s="1"/>
  <c r="AL839" i="1"/>
  <c r="AO839" i="1" s="1"/>
  <c r="AP839" i="1" s="1"/>
  <c r="AL840" i="1"/>
  <c r="AQ840" i="1" s="1"/>
  <c r="AL841" i="1"/>
  <c r="AO841" i="1" s="1"/>
  <c r="AP841" i="1" s="1"/>
  <c r="AL842" i="1"/>
  <c r="AQ842" i="1" s="1"/>
  <c r="AL843" i="1"/>
  <c r="AO843" i="1" s="1"/>
  <c r="AP843" i="1" s="1"/>
  <c r="AL844" i="1"/>
  <c r="AQ844" i="1" s="1"/>
  <c r="AL845" i="1"/>
  <c r="AO845" i="1" s="1"/>
  <c r="AP845" i="1" s="1"/>
  <c r="AL846" i="1"/>
  <c r="AL847" i="1"/>
  <c r="AL848" i="1"/>
  <c r="AL849" i="1"/>
  <c r="AL850" i="1"/>
  <c r="AL851" i="1"/>
  <c r="AL852" i="1"/>
  <c r="AL853" i="1"/>
  <c r="AL854" i="1"/>
  <c r="AQ854" i="1" s="1"/>
  <c r="AL855" i="1"/>
  <c r="AO855" i="1" s="1"/>
  <c r="AP855" i="1" s="1"/>
  <c r="AL856" i="1"/>
  <c r="AL857" i="1"/>
  <c r="AQ857" i="1" s="1"/>
  <c r="AL858" i="1"/>
  <c r="AL859" i="1"/>
  <c r="AL860" i="1"/>
  <c r="AL861" i="1"/>
  <c r="AL862" i="1"/>
  <c r="AQ862" i="1" s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Q879" i="1" s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Q892" i="1" s="1"/>
  <c r="AL893" i="1"/>
  <c r="AL894" i="1"/>
  <c r="AL895" i="1"/>
  <c r="AQ895" i="1" s="1"/>
  <c r="AL896" i="1"/>
  <c r="AO896" i="1" s="1"/>
  <c r="AP896" i="1" s="1"/>
  <c r="AL897" i="1"/>
  <c r="AQ897" i="1" s="1"/>
  <c r="AL898" i="1"/>
  <c r="AO898" i="1" s="1"/>
  <c r="AP898" i="1" s="1"/>
  <c r="AL899" i="1"/>
  <c r="AL900" i="1"/>
  <c r="AL901" i="1"/>
  <c r="AL902" i="1"/>
  <c r="AL903" i="1"/>
  <c r="AL904" i="1"/>
  <c r="AL905" i="1"/>
  <c r="AL906" i="1"/>
  <c r="AL907" i="1"/>
  <c r="AL908" i="1"/>
  <c r="AL909" i="1"/>
  <c r="AQ909" i="1" s="1"/>
  <c r="AL910" i="1"/>
  <c r="AO910" i="1" s="1"/>
  <c r="AP910" i="1" s="1"/>
  <c r="AL911" i="1"/>
  <c r="AL912" i="1"/>
  <c r="AL913" i="1"/>
  <c r="AL914" i="1"/>
  <c r="AL915" i="1"/>
  <c r="AL916" i="1"/>
  <c r="AQ916" i="1" s="1"/>
  <c r="AL917" i="1"/>
  <c r="AL918" i="1"/>
  <c r="AM616" i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5" i="1"/>
  <c r="AP415" i="1" s="1"/>
  <c r="AO416" i="1"/>
  <c r="AP416" i="1" s="1"/>
  <c r="AO419" i="1"/>
  <c r="AP419" i="1" s="1"/>
  <c r="AO421" i="1"/>
  <c r="AP421" i="1" s="1"/>
  <c r="AO423" i="1"/>
  <c r="AP423" i="1" s="1"/>
  <c r="AO425" i="1"/>
  <c r="AP425" i="1" s="1"/>
  <c r="AO427" i="1"/>
  <c r="AP427" i="1" s="1"/>
  <c r="AO429" i="1"/>
  <c r="AP429" i="1" s="1"/>
  <c r="AO431" i="1"/>
  <c r="AP431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4" i="1"/>
  <c r="AP484" i="1" s="1"/>
  <c r="AO486" i="1"/>
  <c r="AP486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1" i="1"/>
  <c r="AP511" i="1" s="1"/>
  <c r="AO513" i="1"/>
  <c r="AP513" i="1" s="1"/>
  <c r="AO514" i="1"/>
  <c r="AP514" i="1" s="1"/>
  <c r="AO515" i="1"/>
  <c r="AP515" i="1" s="1"/>
  <c r="AO517" i="1"/>
  <c r="AP517" i="1" s="1"/>
  <c r="AO518" i="1"/>
  <c r="AP518" i="1" s="1"/>
  <c r="AO519" i="1"/>
  <c r="AP519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5" i="1"/>
  <c r="AP605" i="1" s="1"/>
  <c r="AO606" i="1"/>
  <c r="AP606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7" i="1"/>
  <c r="AP627" i="1" s="1"/>
  <c r="AO629" i="1"/>
  <c r="AP629" i="1" s="1"/>
  <c r="AO631" i="1"/>
  <c r="AP631" i="1" s="1"/>
  <c r="AO633" i="1"/>
  <c r="AP633" i="1" s="1"/>
  <c r="AO634" i="1"/>
  <c r="AP634" i="1" s="1"/>
  <c r="AO635" i="1"/>
  <c r="AP635" i="1" s="1"/>
  <c r="AO636" i="1"/>
  <c r="AP636" i="1" s="1"/>
  <c r="AO638" i="1"/>
  <c r="AP638" i="1" s="1"/>
  <c r="AO639" i="1"/>
  <c r="AP639" i="1" s="1"/>
  <c r="AO640" i="1"/>
  <c r="AP640" i="1" s="1"/>
  <c r="AO641" i="1"/>
  <c r="AP641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5" i="1"/>
  <c r="AP655" i="1" s="1"/>
  <c r="AO657" i="1"/>
  <c r="AP657" i="1" s="1"/>
  <c r="AO658" i="1"/>
  <c r="AP658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P680" i="1" s="1"/>
  <c r="AO681" i="1"/>
  <c r="AP681" i="1" s="1"/>
  <c r="AO682" i="1"/>
  <c r="AP682" i="1" s="1"/>
  <c r="AO683" i="1"/>
  <c r="AP683" i="1" s="1"/>
  <c r="AO685" i="1"/>
  <c r="AP685" i="1" s="1"/>
  <c r="AO686" i="1"/>
  <c r="AP686" i="1" s="1"/>
  <c r="AO687" i="1"/>
  <c r="AP687" i="1" s="1"/>
  <c r="AO689" i="1"/>
  <c r="AP689" i="1" s="1"/>
  <c r="AO690" i="1"/>
  <c r="AP690" i="1" s="1"/>
  <c r="AO691" i="1"/>
  <c r="AP691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7" i="1"/>
  <c r="AP707" i="1" s="1"/>
  <c r="AO709" i="1"/>
  <c r="AP709" i="1" s="1"/>
  <c r="AO711" i="1"/>
  <c r="AP711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3" i="1"/>
  <c r="AP723" i="1" s="1"/>
  <c r="AO725" i="1"/>
  <c r="AP725" i="1" s="1"/>
  <c r="AO726" i="1"/>
  <c r="AP726" i="1" s="1"/>
  <c r="AO727" i="1"/>
  <c r="AP727" i="1" s="1"/>
  <c r="AO729" i="1"/>
  <c r="AP729" i="1" s="1"/>
  <c r="AO730" i="1"/>
  <c r="AP730" i="1" s="1"/>
  <c r="AO731" i="1"/>
  <c r="AP731" i="1" s="1"/>
  <c r="AO732" i="1"/>
  <c r="AP732" i="1" s="1"/>
  <c r="AO734" i="1"/>
  <c r="AP734" i="1" s="1"/>
  <c r="AO737" i="1"/>
  <c r="AP737" i="1" s="1"/>
  <c r="AO738" i="1"/>
  <c r="AP738" i="1" s="1"/>
  <c r="AO739" i="1"/>
  <c r="AP739" i="1" s="1"/>
  <c r="AO741" i="1"/>
  <c r="AP741" i="1" s="1"/>
  <c r="AO742" i="1"/>
  <c r="AP742" i="1" s="1"/>
  <c r="AO743" i="1"/>
  <c r="AP743" i="1" s="1"/>
  <c r="AO746" i="1"/>
  <c r="AP746" i="1" s="1"/>
  <c r="AO750" i="1"/>
  <c r="AP750" i="1" s="1"/>
  <c r="AO752" i="1"/>
  <c r="AP752" i="1" s="1"/>
  <c r="AO753" i="1"/>
  <c r="AP753" i="1" s="1"/>
  <c r="AO755" i="1"/>
  <c r="AP755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91" i="1"/>
  <c r="AP791" i="1" s="1"/>
  <c r="AO792" i="1"/>
  <c r="AP792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1" i="1"/>
  <c r="AP801" i="1" s="1"/>
  <c r="AO802" i="1"/>
  <c r="AP802" i="1" s="1"/>
  <c r="AO803" i="1"/>
  <c r="AP803" i="1" s="1"/>
  <c r="AO805" i="1"/>
  <c r="AP805" i="1" s="1"/>
  <c r="AO807" i="1"/>
  <c r="AP807" i="1" s="1"/>
  <c r="AO808" i="1"/>
  <c r="AP808" i="1" s="1"/>
  <c r="AO809" i="1"/>
  <c r="AP809" i="1" s="1"/>
  <c r="AO811" i="1"/>
  <c r="AP811" i="1" s="1"/>
  <c r="AO813" i="1"/>
  <c r="AP813" i="1" s="1"/>
  <c r="AO814" i="1"/>
  <c r="AP814" i="1" s="1"/>
  <c r="AO815" i="1"/>
  <c r="AP815" i="1" s="1"/>
  <c r="AO816" i="1"/>
  <c r="AP816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5" i="1"/>
  <c r="AP835" i="1" s="1"/>
  <c r="AO837" i="1"/>
  <c r="AP837" i="1" s="1"/>
  <c r="AO838" i="1"/>
  <c r="AP838" i="1" s="1"/>
  <c r="AO840" i="1"/>
  <c r="AP840" i="1" s="1"/>
  <c r="AO842" i="1"/>
  <c r="AP842" i="1" s="1"/>
  <c r="AO844" i="1"/>
  <c r="AP844" i="1" s="1"/>
  <c r="AO846" i="1"/>
  <c r="AP846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1" i="1"/>
  <c r="AP861" i="1" s="1"/>
  <c r="AO862" i="1"/>
  <c r="AP862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7" i="1"/>
  <c r="AP877" i="1" s="1"/>
  <c r="AO878" i="1"/>
  <c r="AP878" i="1" s="1"/>
  <c r="AO879" i="1"/>
  <c r="AP879" i="1" s="1"/>
  <c r="AO881" i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7" i="1"/>
  <c r="AP897" i="1" s="1"/>
  <c r="AO899" i="1"/>
  <c r="AP899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810" i="1" l="1"/>
  <c r="AP810" i="1" s="1"/>
  <c r="AO793" i="1"/>
  <c r="AP793" i="1" s="1"/>
  <c r="AO771" i="1"/>
  <c r="AP771" i="1" s="1"/>
  <c r="AO733" i="1"/>
  <c r="AP733" i="1" s="1"/>
  <c r="AO438" i="1"/>
  <c r="AP438" i="1" s="1"/>
  <c r="AO521" i="1"/>
  <c r="AP521" i="1" s="1"/>
  <c r="AO516" i="1"/>
  <c r="AP516" i="1" s="1"/>
  <c r="AO500" i="1"/>
  <c r="AP500" i="1" s="1"/>
  <c r="AO579" i="1"/>
  <c r="AP579" i="1" s="1"/>
  <c r="AO565" i="1"/>
  <c r="AP565" i="1" s="1"/>
  <c r="AO557" i="1"/>
  <c r="AP557" i="1" s="1"/>
  <c r="AO413" i="1"/>
  <c r="AP413" i="1" s="1"/>
  <c r="AU909" i="1"/>
  <c r="AU897" i="1"/>
  <c r="AU823" i="1"/>
  <c r="AU792" i="1"/>
  <c r="AU916" i="1"/>
  <c r="AU892" i="1"/>
  <c r="AU862" i="1"/>
  <c r="AU833" i="1"/>
  <c r="AU803" i="1"/>
  <c r="AU895" i="1"/>
  <c r="AU799" i="1"/>
  <c r="AG773" i="1"/>
  <c r="AU773" i="1"/>
  <c r="AG702" i="1"/>
  <c r="AU702" i="1"/>
  <c r="AG517" i="1"/>
  <c r="AU517" i="1"/>
  <c r="AG444" i="1"/>
  <c r="AU444" i="1"/>
  <c r="AG647" i="1"/>
  <c r="AU647" i="1"/>
  <c r="AG484" i="1"/>
  <c r="AU484" i="1"/>
  <c r="AG435" i="1"/>
  <c r="AU435" i="1"/>
  <c r="AG606" i="1"/>
  <c r="AU606" i="1"/>
  <c r="AG472" i="1"/>
  <c r="AU472" i="1"/>
  <c r="AG429" i="1"/>
  <c r="AU429" i="1"/>
  <c r="AG578" i="1"/>
  <c r="AU578" i="1"/>
  <c r="AG447" i="1"/>
  <c r="AU447" i="1"/>
  <c r="AO550" i="1"/>
  <c r="AP550" i="1" s="1"/>
  <c r="AO471" i="1"/>
  <c r="AP471" i="1" s="1"/>
  <c r="AO422" i="1"/>
  <c r="AP422" i="1" s="1"/>
  <c r="AO420" i="1"/>
  <c r="AP420" i="1" s="1"/>
  <c r="AO418" i="1"/>
  <c r="AP418" i="1" s="1"/>
  <c r="AD909" i="1"/>
  <c r="AG909" i="1"/>
  <c r="AD897" i="1"/>
  <c r="AG897" i="1"/>
  <c r="AD895" i="1"/>
  <c r="AG895" i="1"/>
  <c r="AD823" i="1"/>
  <c r="AG823" i="1"/>
  <c r="AD799" i="1"/>
  <c r="AG799" i="1"/>
  <c r="AD792" i="1"/>
  <c r="AG792" i="1"/>
  <c r="AD916" i="1"/>
  <c r="AG916" i="1"/>
  <c r="AD892" i="1"/>
  <c r="AG892" i="1"/>
  <c r="AD862" i="1"/>
  <c r="AG862" i="1"/>
  <c r="AD833" i="1"/>
  <c r="AG833" i="1"/>
  <c r="AD803" i="1"/>
  <c r="AG803" i="1"/>
  <c r="AC647" i="1"/>
  <c r="AD647" i="1"/>
  <c r="AC606" i="1"/>
  <c r="AD606" i="1"/>
  <c r="AC578" i="1"/>
  <c r="AD578" i="1"/>
  <c r="AC444" i="1"/>
  <c r="AD444" i="1"/>
  <c r="AC429" i="1"/>
  <c r="AD429" i="1"/>
  <c r="AC773" i="1"/>
  <c r="AD773" i="1"/>
  <c r="AC702" i="1"/>
  <c r="AD702" i="1"/>
  <c r="AC517" i="1"/>
  <c r="AD517" i="1"/>
  <c r="AC484" i="1"/>
  <c r="AD484" i="1"/>
  <c r="AC472" i="1"/>
  <c r="AD472" i="1"/>
  <c r="AC447" i="1"/>
  <c r="AD447" i="1"/>
  <c r="AC435" i="1"/>
  <c r="AD435" i="1"/>
  <c r="AC909" i="1"/>
  <c r="AC897" i="1"/>
  <c r="AC895" i="1"/>
  <c r="AC823" i="1"/>
  <c r="AC799" i="1"/>
  <c r="AC792" i="1"/>
  <c r="AC916" i="1"/>
  <c r="AC892" i="1"/>
  <c r="AC862" i="1"/>
  <c r="AC833" i="1"/>
  <c r="AC803" i="1"/>
  <c r="AI833" i="1"/>
  <c r="AI803" i="1"/>
  <c r="AI909" i="1"/>
  <c r="AI897" i="1"/>
  <c r="AI895" i="1"/>
  <c r="AI823" i="1"/>
  <c r="AI799" i="1"/>
  <c r="AI792" i="1"/>
  <c r="AM909" i="1"/>
  <c r="AN905" i="1"/>
  <c r="AM893" i="1"/>
  <c r="AN889" i="1"/>
  <c r="AO876" i="1"/>
  <c r="AP876" i="1" s="1"/>
  <c r="AN870" i="1"/>
  <c r="AN862" i="1"/>
  <c r="AO847" i="1"/>
  <c r="AP847" i="1" s="1"/>
  <c r="AO834" i="1"/>
  <c r="AP834" i="1" s="1"/>
  <c r="AO830" i="1"/>
  <c r="AP830" i="1" s="1"/>
  <c r="AN826" i="1"/>
  <c r="AO822" i="1"/>
  <c r="AP822" i="1" s="1"/>
  <c r="AN818" i="1"/>
  <c r="AO812" i="1"/>
  <c r="AP812" i="1" s="1"/>
  <c r="AN808" i="1"/>
  <c r="AO804" i="1"/>
  <c r="AP804" i="1" s="1"/>
  <c r="AO800" i="1"/>
  <c r="AP800" i="1" s="1"/>
  <c r="AN798" i="1"/>
  <c r="AN792" i="1"/>
  <c r="AO790" i="1"/>
  <c r="AP790" i="1" s="1"/>
  <c r="AM773" i="1"/>
  <c r="AM769" i="1"/>
  <c r="AO763" i="1"/>
  <c r="AP763" i="1" s="1"/>
  <c r="AN755" i="1"/>
  <c r="AO749" i="1"/>
  <c r="AP749" i="1" s="1"/>
  <c r="AO736" i="1"/>
  <c r="AP736" i="1" s="1"/>
  <c r="AM732" i="1"/>
  <c r="AM714" i="1"/>
  <c r="AO708" i="1"/>
  <c r="AP708" i="1" s="1"/>
  <c r="AO706" i="1"/>
  <c r="AP706" i="1" s="1"/>
  <c r="AN702" i="1"/>
  <c r="AO688" i="1"/>
  <c r="AP688" i="1" s="1"/>
  <c r="AO684" i="1"/>
  <c r="AP684" i="1" s="1"/>
  <c r="AM666" i="1"/>
  <c r="AN658" i="1"/>
  <c r="AO654" i="1"/>
  <c r="AP654" i="1" s="1"/>
  <c r="AN650" i="1"/>
  <c r="AO630" i="1"/>
  <c r="AP630" i="1" s="1"/>
  <c r="AO628" i="1"/>
  <c r="AP628" i="1" s="1"/>
  <c r="AO626" i="1"/>
  <c r="AP626" i="1" s="1"/>
  <c r="AN616" i="1"/>
  <c r="AN610" i="1"/>
  <c r="AN608" i="1"/>
  <c r="AN606" i="1"/>
  <c r="AO604" i="1"/>
  <c r="AP604" i="1" s="1"/>
  <c r="AO596" i="1"/>
  <c r="AP596" i="1" s="1"/>
  <c r="AO528" i="1"/>
  <c r="AP528" i="1" s="1"/>
  <c r="AO512" i="1"/>
  <c r="AP512" i="1" s="1"/>
  <c r="AN442" i="1"/>
  <c r="AM435" i="1"/>
  <c r="AM431" i="1"/>
  <c r="AM427" i="1"/>
  <c r="AM423" i="1"/>
  <c r="AM438" i="1"/>
  <c r="AN918" i="1"/>
  <c r="AN916" i="1"/>
  <c r="AN914" i="1"/>
  <c r="AN912" i="1"/>
  <c r="AN910" i="1"/>
  <c r="AN908" i="1"/>
  <c r="AN906" i="1"/>
  <c r="AN904" i="1"/>
  <c r="AN902" i="1"/>
  <c r="AN900" i="1"/>
  <c r="AN898" i="1"/>
  <c r="AN896" i="1"/>
  <c r="AN894" i="1"/>
  <c r="AN892" i="1"/>
  <c r="AN890" i="1"/>
  <c r="AN888" i="1"/>
  <c r="AN875" i="1"/>
  <c r="AO863" i="1"/>
  <c r="AP863" i="1" s="1"/>
  <c r="AM846" i="1"/>
  <c r="AM833" i="1"/>
  <c r="AM829" i="1"/>
  <c r="AM821" i="1"/>
  <c r="AM811" i="1"/>
  <c r="AM803" i="1"/>
  <c r="AN799" i="1"/>
  <c r="AN788" i="1"/>
  <c r="AN762" i="1"/>
  <c r="AN746" i="1"/>
  <c r="AN735" i="1"/>
  <c r="AN723" i="1"/>
  <c r="AN711" i="1"/>
  <c r="AN709" i="1"/>
  <c r="AN707" i="1"/>
  <c r="AN705" i="1"/>
  <c r="AN687" i="1"/>
  <c r="AN683" i="1"/>
  <c r="AM677" i="1"/>
  <c r="AN673" i="1"/>
  <c r="AN663" i="1"/>
  <c r="AN655" i="1"/>
  <c r="AM653" i="1"/>
  <c r="AM647" i="1"/>
  <c r="AN631" i="1"/>
  <c r="AM629" i="1"/>
  <c r="AM627" i="1"/>
  <c r="AM625" i="1"/>
  <c r="AM603" i="1"/>
  <c r="AM595" i="1"/>
  <c r="AN527" i="1"/>
  <c r="AM511" i="1"/>
  <c r="AN509" i="1"/>
  <c r="AM489" i="1"/>
  <c r="AO487" i="1"/>
  <c r="AP487" i="1" s="1"/>
  <c r="AN463" i="1"/>
  <c r="AM455" i="1"/>
  <c r="AN447" i="1"/>
  <c r="AO432" i="1"/>
  <c r="AP432" i="1" s="1"/>
  <c r="AO430" i="1"/>
  <c r="AP430" i="1" s="1"/>
  <c r="AO428" i="1"/>
  <c r="AP428" i="1" s="1"/>
  <c r="AO424" i="1"/>
  <c r="AP424" i="1" s="1"/>
  <c r="AM416" i="1"/>
  <c r="AI429" i="1"/>
  <c r="AN431" i="1"/>
  <c r="AN489" i="1"/>
  <c r="AM631" i="1"/>
  <c r="AM527" i="1"/>
  <c r="AN603" i="1"/>
  <c r="AM463" i="1"/>
  <c r="AN823" i="1"/>
  <c r="AN511" i="1"/>
  <c r="AN455" i="1"/>
  <c r="AM823" i="1"/>
  <c r="AM509" i="1"/>
  <c r="AM447" i="1"/>
  <c r="AN833" i="1"/>
  <c r="AN811" i="1"/>
  <c r="AN627" i="1"/>
  <c r="AN416" i="1"/>
  <c r="AM655" i="1"/>
  <c r="AN769" i="1"/>
  <c r="AM442" i="1"/>
  <c r="AN423" i="1"/>
  <c r="AM792" i="1"/>
  <c r="AM658" i="1"/>
  <c r="AM650" i="1"/>
  <c r="AM608" i="1"/>
  <c r="AN909" i="1"/>
  <c r="AM889" i="1"/>
  <c r="AM702" i="1"/>
  <c r="AN846" i="1"/>
  <c r="AN829" i="1"/>
  <c r="AN821" i="1"/>
  <c r="AN803" i="1"/>
  <c r="AN653" i="1"/>
  <c r="AN629" i="1"/>
  <c r="AN625" i="1"/>
  <c r="AN595" i="1"/>
  <c r="AM917" i="1"/>
  <c r="AN917" i="1"/>
  <c r="AN913" i="1"/>
  <c r="AM913" i="1"/>
  <c r="AM901" i="1"/>
  <c r="AN901" i="1"/>
  <c r="AN897" i="1"/>
  <c r="AM897" i="1"/>
  <c r="AN893" i="1"/>
  <c r="AM905" i="1"/>
  <c r="AM599" i="1"/>
  <c r="AM597" i="1"/>
  <c r="AM591" i="1"/>
  <c r="AM587" i="1"/>
  <c r="AN884" i="1"/>
  <c r="AN882" i="1"/>
  <c r="AN877" i="1"/>
  <c r="AN885" i="1"/>
  <c r="AN876" i="1"/>
  <c r="AN886" i="1"/>
  <c r="AM885" i="1"/>
  <c r="AM881" i="1"/>
  <c r="AN879" i="1"/>
  <c r="AM876" i="1"/>
  <c r="AM915" i="1"/>
  <c r="AN915" i="1"/>
  <c r="AM911" i="1"/>
  <c r="AN911" i="1"/>
  <c r="AM907" i="1"/>
  <c r="AN907" i="1"/>
  <c r="AM903" i="1"/>
  <c r="AN903" i="1"/>
  <c r="AM899" i="1"/>
  <c r="AN899" i="1"/>
  <c r="AM895" i="1"/>
  <c r="AN895" i="1"/>
  <c r="AM891" i="1"/>
  <c r="AN891" i="1"/>
  <c r="AM887" i="1"/>
  <c r="AN887" i="1"/>
  <c r="AM883" i="1"/>
  <c r="AN883" i="1"/>
  <c r="AM878" i="1"/>
  <c r="AN878" i="1"/>
  <c r="AO824" i="1"/>
  <c r="AP824" i="1" s="1"/>
  <c r="AM825" i="1"/>
  <c r="AN824" i="1"/>
  <c r="AM807" i="1"/>
  <c r="AN874" i="1"/>
  <c r="AM873" i="1"/>
  <c r="AN872" i="1"/>
  <c r="AN873" i="1"/>
  <c r="AN868" i="1"/>
  <c r="AM866" i="1"/>
  <c r="AM867" i="1"/>
  <c r="AN864" i="1"/>
  <c r="AM863" i="1"/>
  <c r="AN863" i="1"/>
  <c r="AN861" i="1"/>
  <c r="AM859" i="1"/>
  <c r="AN857" i="1"/>
  <c r="AN860" i="1"/>
  <c r="AM858" i="1"/>
  <c r="AN859" i="1"/>
  <c r="AM861" i="1"/>
  <c r="AN855" i="1"/>
  <c r="AN854" i="1"/>
  <c r="AN853" i="1"/>
  <c r="AM852" i="1"/>
  <c r="AN851" i="1"/>
  <c r="AN850" i="1"/>
  <c r="AN849" i="1"/>
  <c r="AM848" i="1"/>
  <c r="AN847" i="1"/>
  <c r="AN845" i="1"/>
  <c r="AM844" i="1"/>
  <c r="AN843" i="1"/>
  <c r="AN841" i="1"/>
  <c r="AM840" i="1"/>
  <c r="AN839" i="1"/>
  <c r="AN837" i="1"/>
  <c r="AN838" i="1"/>
  <c r="AM836" i="1"/>
  <c r="AN834" i="1"/>
  <c r="AN832" i="1"/>
  <c r="AM831" i="1"/>
  <c r="AN830" i="1"/>
  <c r="AN828" i="1"/>
  <c r="AM827" i="1"/>
  <c r="AN825" i="1"/>
  <c r="AN822" i="1"/>
  <c r="AN820" i="1"/>
  <c r="AM819" i="1"/>
  <c r="AM817" i="1"/>
  <c r="AN816" i="1"/>
  <c r="AM815" i="1"/>
  <c r="AN814" i="1"/>
  <c r="AN812" i="1"/>
  <c r="AN810" i="1"/>
  <c r="AN809" i="1"/>
  <c r="AN807" i="1"/>
  <c r="AN806" i="1"/>
  <c r="AN804" i="1"/>
  <c r="AO724" i="1"/>
  <c r="AP724" i="1" s="1"/>
  <c r="AN773" i="1"/>
  <c r="AN666" i="1"/>
  <c r="AM798" i="1"/>
  <c r="AM755" i="1"/>
  <c r="AM718" i="1"/>
  <c r="AN714" i="1"/>
  <c r="AM781" i="1"/>
  <c r="AN781" i="1"/>
  <c r="AM771" i="1"/>
  <c r="AN771" i="1"/>
  <c r="AN752" i="1"/>
  <c r="AM752" i="1"/>
  <c r="AM710" i="1"/>
  <c r="AN710" i="1"/>
  <c r="AO710" i="1"/>
  <c r="AP710" i="1" s="1"/>
  <c r="AN636" i="1"/>
  <c r="AM636" i="1"/>
  <c r="AN634" i="1"/>
  <c r="AM634" i="1"/>
  <c r="AM801" i="1"/>
  <c r="AM779" i="1"/>
  <c r="AM775" i="1"/>
  <c r="AN770" i="1"/>
  <c r="AN760" i="1"/>
  <c r="AM744" i="1"/>
  <c r="AN732" i="1"/>
  <c r="AM726" i="1"/>
  <c r="AM716" i="1"/>
  <c r="AM708" i="1"/>
  <c r="AM610" i="1"/>
  <c r="AM606" i="1"/>
  <c r="AN778" i="1"/>
  <c r="AN776" i="1"/>
  <c r="AN756" i="1"/>
  <c r="AN743" i="1"/>
  <c r="AN717" i="1"/>
  <c r="AN713" i="1"/>
  <c r="AN679" i="1"/>
  <c r="AN665" i="1"/>
  <c r="AN783" i="1"/>
  <c r="AN763" i="1"/>
  <c r="AM761" i="1"/>
  <c r="AM759" i="1"/>
  <c r="AM757" i="1"/>
  <c r="AM700" i="1"/>
  <c r="AN698" i="1"/>
  <c r="AM684" i="1"/>
  <c r="AN678" i="1"/>
  <c r="AM674" i="1"/>
  <c r="AN672" i="1"/>
  <c r="AN668" i="1"/>
  <c r="AM664" i="1"/>
  <c r="AN662" i="1"/>
  <c r="AM660" i="1"/>
  <c r="AM628" i="1"/>
  <c r="AM626" i="1"/>
  <c r="AM602" i="1"/>
  <c r="AN802" i="1"/>
  <c r="AN794" i="1"/>
  <c r="AN791" i="1"/>
  <c r="AN784" i="1"/>
  <c r="AM777" i="1"/>
  <c r="AN758" i="1"/>
  <c r="AM734" i="1"/>
  <c r="AN728" i="1"/>
  <c r="AM724" i="1"/>
  <c r="AN688" i="1"/>
  <c r="AN797" i="1"/>
  <c r="AM796" i="1"/>
  <c r="AN795" i="1"/>
  <c r="AN793" i="1"/>
  <c r="AN790" i="1"/>
  <c r="AM787" i="1"/>
  <c r="AN786" i="1"/>
  <c r="AN785" i="1"/>
  <c r="AN782" i="1"/>
  <c r="AN780" i="1"/>
  <c r="AN779" i="1"/>
  <c r="AN775" i="1"/>
  <c r="AN774" i="1"/>
  <c r="AN772" i="1"/>
  <c r="AN768" i="1"/>
  <c r="AN767" i="1"/>
  <c r="AN766" i="1"/>
  <c r="AN764" i="1"/>
  <c r="AN761" i="1"/>
  <c r="AN759" i="1"/>
  <c r="AN757" i="1"/>
  <c r="AO756" i="1"/>
  <c r="AP756" i="1" s="1"/>
  <c r="AN753" i="1"/>
  <c r="AN750" i="1"/>
  <c r="AN744" i="1"/>
  <c r="AN741" i="1"/>
  <c r="AM740" i="1"/>
  <c r="AN739" i="1"/>
  <c r="AN737" i="1"/>
  <c r="AN734" i="1"/>
  <c r="AN733" i="1"/>
  <c r="AN731" i="1"/>
  <c r="AM730" i="1"/>
  <c r="AN729" i="1"/>
  <c r="AN727" i="1"/>
  <c r="AN726" i="1"/>
  <c r="AN725" i="1"/>
  <c r="AN721" i="1"/>
  <c r="AN719" i="1"/>
  <c r="AN718" i="1"/>
  <c r="AN716" i="1"/>
  <c r="AN715" i="1"/>
  <c r="AM712" i="1"/>
  <c r="AO712" i="1"/>
  <c r="AP712" i="1" s="1"/>
  <c r="AN712" i="1"/>
  <c r="AN708" i="1"/>
  <c r="AM706" i="1"/>
  <c r="AM704" i="1"/>
  <c r="AN704" i="1"/>
  <c r="AN703" i="1"/>
  <c r="AN701" i="1"/>
  <c r="AN700" i="1"/>
  <c r="AN699" i="1"/>
  <c r="AN697" i="1"/>
  <c r="AN695" i="1"/>
  <c r="AM694" i="1"/>
  <c r="AN693" i="1"/>
  <c r="AN691" i="1"/>
  <c r="AN689" i="1"/>
  <c r="AM692" i="1"/>
  <c r="AN692" i="1"/>
  <c r="AM688" i="1"/>
  <c r="AM686" i="1"/>
  <c r="AN685" i="1"/>
  <c r="AN684" i="1"/>
  <c r="AM601" i="1"/>
  <c r="AN601" i="1"/>
  <c r="AN682" i="1"/>
  <c r="AM682" i="1"/>
  <c r="AN676" i="1"/>
  <c r="AM676" i="1"/>
  <c r="AM593" i="1"/>
  <c r="AM589" i="1"/>
  <c r="AN587" i="1"/>
  <c r="AN585" i="1"/>
  <c r="AM461" i="1"/>
  <c r="AM681" i="1"/>
  <c r="AM675" i="1"/>
  <c r="AM671" i="1"/>
  <c r="AM669" i="1"/>
  <c r="AM667" i="1"/>
  <c r="AM661" i="1"/>
  <c r="AM609" i="1"/>
  <c r="AN647" i="1"/>
  <c r="AM918" i="1"/>
  <c r="AM916" i="1"/>
  <c r="AM914" i="1"/>
  <c r="AM912" i="1"/>
  <c r="AM910" i="1"/>
  <c r="AM908" i="1"/>
  <c r="AM906" i="1"/>
  <c r="AM904" i="1"/>
  <c r="AM902" i="1"/>
  <c r="AM900" i="1"/>
  <c r="AM898" i="1"/>
  <c r="AM896" i="1"/>
  <c r="AM894" i="1"/>
  <c r="AM892" i="1"/>
  <c r="AM890" i="1"/>
  <c r="AM888" i="1"/>
  <c r="AM884" i="1"/>
  <c r="AM882" i="1"/>
  <c r="AM879" i="1"/>
  <c r="AM877" i="1"/>
  <c r="AM875" i="1"/>
  <c r="AM872" i="1"/>
  <c r="AM870" i="1"/>
  <c r="AM862" i="1"/>
  <c r="AM860" i="1"/>
  <c r="AM855" i="1"/>
  <c r="AM853" i="1"/>
  <c r="AM845" i="1"/>
  <c r="AM841" i="1"/>
  <c r="AM839" i="1"/>
  <c r="AM837" i="1"/>
  <c r="AM834" i="1"/>
  <c r="AM832" i="1"/>
  <c r="AM830" i="1"/>
  <c r="AM828" i="1"/>
  <c r="AM826" i="1"/>
  <c r="AM824" i="1"/>
  <c r="AM822" i="1"/>
  <c r="AM820" i="1"/>
  <c r="AM818" i="1"/>
  <c r="AM814" i="1"/>
  <c r="AM812" i="1"/>
  <c r="AM808" i="1"/>
  <c r="AM806" i="1"/>
  <c r="AM804" i="1"/>
  <c r="AM802" i="1"/>
  <c r="AM799" i="1"/>
  <c r="AM795" i="1"/>
  <c r="AM793" i="1"/>
  <c r="AM791" i="1"/>
  <c r="AM788" i="1"/>
  <c r="AM784" i="1"/>
  <c r="AM782" i="1"/>
  <c r="AM778" i="1"/>
  <c r="AM776" i="1"/>
  <c r="AM772" i="1"/>
  <c r="AM770" i="1"/>
  <c r="AM768" i="1"/>
  <c r="AM766" i="1"/>
  <c r="AM764" i="1"/>
  <c r="AM762" i="1"/>
  <c r="AM760" i="1"/>
  <c r="AM758" i="1"/>
  <c r="AM756" i="1"/>
  <c r="AM753" i="1"/>
  <c r="AM750" i="1"/>
  <c r="AM746" i="1"/>
  <c r="AM743" i="1"/>
  <c r="AM739" i="1"/>
  <c r="AM735" i="1"/>
  <c r="AM733" i="1"/>
  <c r="AM731" i="1"/>
  <c r="AM729" i="1"/>
  <c r="AM727" i="1"/>
  <c r="AM725" i="1"/>
  <c r="AM723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79" i="1"/>
  <c r="AM673" i="1"/>
  <c r="AM663" i="1"/>
  <c r="AM678" i="1"/>
  <c r="AN674" i="1"/>
  <c r="AM672" i="1"/>
  <c r="AM670" i="1"/>
  <c r="AM668" i="1"/>
  <c r="AM662" i="1"/>
  <c r="AN660" i="1"/>
  <c r="AN438" i="1"/>
  <c r="AM680" i="1"/>
  <c r="AN681" i="1"/>
  <c r="AN680" i="1"/>
  <c r="AN677" i="1"/>
  <c r="AN675" i="1"/>
  <c r="AO674" i="1"/>
  <c r="AP674" i="1" s="1"/>
  <c r="AN670" i="1"/>
  <c r="AN671" i="1"/>
  <c r="AN669" i="1"/>
  <c r="AN667" i="1"/>
  <c r="AO667" i="1"/>
  <c r="AP667" i="1" s="1"/>
  <c r="AM665" i="1"/>
  <c r="AN664" i="1"/>
  <c r="AN661" i="1"/>
  <c r="AN659" i="1"/>
  <c r="AO659" i="1"/>
  <c r="AP659" i="1" s="1"/>
  <c r="AM659" i="1"/>
  <c r="AN656" i="1"/>
  <c r="AO656" i="1"/>
  <c r="AP656" i="1" s="1"/>
  <c r="AM656" i="1"/>
  <c r="AM654" i="1"/>
  <c r="AN652" i="1"/>
  <c r="AM652" i="1"/>
  <c r="AM649" i="1"/>
  <c r="AN649" i="1"/>
  <c r="AM648" i="1"/>
  <c r="AO648" i="1"/>
  <c r="AP648" i="1" s="1"/>
  <c r="AM646" i="1"/>
  <c r="AM645" i="1"/>
  <c r="AN644" i="1"/>
  <c r="AM643" i="1"/>
  <c r="AM642" i="1"/>
  <c r="AN640" i="1"/>
  <c r="AM639" i="1"/>
  <c r="AM637" i="1"/>
  <c r="AN646" i="1"/>
  <c r="AN645" i="1"/>
  <c r="AM638" i="1"/>
  <c r="AM640" i="1"/>
  <c r="AN638" i="1"/>
  <c r="AO637" i="1"/>
  <c r="AP637" i="1" s="1"/>
  <c r="AM633" i="1"/>
  <c r="AN633" i="1"/>
  <c r="AM632" i="1"/>
  <c r="AO632" i="1"/>
  <c r="AP632" i="1" s="1"/>
  <c r="AM630" i="1"/>
  <c r="AN628" i="1"/>
  <c r="AN626" i="1"/>
  <c r="AN624" i="1"/>
  <c r="AN622" i="1"/>
  <c r="AM620" i="1"/>
  <c r="AM618" i="1"/>
  <c r="AM614" i="1"/>
  <c r="AM612" i="1"/>
  <c r="AN609" i="1"/>
  <c r="AM607" i="1"/>
  <c r="AO607" i="1"/>
  <c r="AP607" i="1" s="1"/>
  <c r="AM605" i="1"/>
  <c r="AM604" i="1"/>
  <c r="AN602" i="1"/>
  <c r="AN599" i="1"/>
  <c r="AN597" i="1"/>
  <c r="AM585" i="1"/>
  <c r="AN593" i="1"/>
  <c r="AN591" i="1"/>
  <c r="AN589" i="1"/>
  <c r="AM579" i="1"/>
  <c r="AM573" i="1"/>
  <c r="AM572" i="1"/>
  <c r="AM570" i="1"/>
  <c r="AN568" i="1"/>
  <c r="AN566" i="1"/>
  <c r="AN564" i="1"/>
  <c r="AM563" i="1"/>
  <c r="AM561" i="1"/>
  <c r="AM560" i="1"/>
  <c r="AN558" i="1"/>
  <c r="AM557" i="1"/>
  <c r="AN556" i="1"/>
  <c r="AN554" i="1"/>
  <c r="AN552" i="1"/>
  <c r="AM549" i="1"/>
  <c r="AN548" i="1"/>
  <c r="AN546" i="1"/>
  <c r="AM544" i="1"/>
  <c r="AN542" i="1"/>
  <c r="AM541" i="1"/>
  <c r="AM540" i="1"/>
  <c r="AM539" i="1"/>
  <c r="AM536" i="1"/>
  <c r="AN534" i="1"/>
  <c r="AN532" i="1"/>
  <c r="AM531" i="1"/>
  <c r="AN530" i="1"/>
  <c r="AN528" i="1"/>
  <c r="AM526" i="1"/>
  <c r="AM524" i="1"/>
  <c r="AN522" i="1"/>
  <c r="AM521" i="1"/>
  <c r="AN519" i="1"/>
  <c r="AN515" i="1"/>
  <c r="AM514" i="1"/>
  <c r="AM512" i="1"/>
  <c r="AM510" i="1"/>
  <c r="AN508" i="1"/>
  <c r="AN507" i="1"/>
  <c r="AN506" i="1"/>
  <c r="AM505" i="1"/>
  <c r="AN502" i="1"/>
  <c r="AN500" i="1"/>
  <c r="AM498" i="1"/>
  <c r="AN496" i="1"/>
  <c r="AM493" i="1"/>
  <c r="AN493" i="1"/>
  <c r="AN490" i="1"/>
  <c r="AM488" i="1"/>
  <c r="AM487" i="1"/>
  <c r="AN485" i="1"/>
  <c r="AO485" i="1"/>
  <c r="AP485" i="1" s="1"/>
  <c r="AM483" i="1"/>
  <c r="AO483" i="1"/>
  <c r="AP483" i="1" s="1"/>
  <c r="AN483" i="1"/>
  <c r="AM481" i="1"/>
  <c r="AN480" i="1"/>
  <c r="AM478" i="1"/>
  <c r="AM477" i="1"/>
  <c r="AN476" i="1"/>
  <c r="AM474" i="1"/>
  <c r="AM473" i="1"/>
  <c r="AO473" i="1"/>
  <c r="AP473" i="1" s="1"/>
  <c r="AN471" i="1"/>
  <c r="AM469" i="1"/>
  <c r="AN467" i="1"/>
  <c r="AM465" i="1"/>
  <c r="AM467" i="1"/>
  <c r="AM468" i="1"/>
  <c r="AN464" i="1"/>
  <c r="AN461" i="1"/>
  <c r="AN459" i="1"/>
  <c r="AM456" i="1"/>
  <c r="AM453" i="1"/>
  <c r="AM452" i="1"/>
  <c r="AM451" i="1"/>
  <c r="AM449" i="1"/>
  <c r="AM448" i="1"/>
  <c r="AN446" i="1"/>
  <c r="AM445" i="1"/>
  <c r="AM600" i="1"/>
  <c r="AN600" i="1"/>
  <c r="AM598" i="1"/>
  <c r="AN598" i="1"/>
  <c r="AM596" i="1"/>
  <c r="AN596" i="1"/>
  <c r="AM594" i="1"/>
  <c r="AN594" i="1"/>
  <c r="AM592" i="1"/>
  <c r="AN592" i="1"/>
  <c r="AM590" i="1"/>
  <c r="AN590" i="1"/>
  <c r="AM588" i="1"/>
  <c r="AN588" i="1"/>
  <c r="AM586" i="1"/>
  <c r="AN586" i="1"/>
  <c r="AM584" i="1"/>
  <c r="AN584" i="1"/>
  <c r="AM582" i="1"/>
  <c r="AN582" i="1"/>
  <c r="AM580" i="1"/>
  <c r="AN580" i="1"/>
  <c r="AM578" i="1"/>
  <c r="AN578" i="1"/>
  <c r="AM576" i="1"/>
  <c r="AN576" i="1"/>
  <c r="AM574" i="1"/>
  <c r="AN574" i="1"/>
  <c r="AN572" i="1"/>
  <c r="AN570" i="1"/>
  <c r="AM564" i="1"/>
  <c r="AM562" i="1"/>
  <c r="AN562" i="1"/>
  <c r="AM558" i="1"/>
  <c r="AM556" i="1"/>
  <c r="AM554" i="1"/>
  <c r="AM552" i="1"/>
  <c r="AM550" i="1"/>
  <c r="AN550" i="1"/>
  <c r="AM548" i="1"/>
  <c r="AM546" i="1"/>
  <c r="AM542" i="1"/>
  <c r="AN540" i="1"/>
  <c r="AM538" i="1"/>
  <c r="AN538" i="1"/>
  <c r="AM534" i="1"/>
  <c r="AM532" i="1"/>
  <c r="AM530" i="1"/>
  <c r="AM528" i="1"/>
  <c r="AN526" i="1"/>
  <c r="AM522" i="1"/>
  <c r="AM519" i="1"/>
  <c r="AM517" i="1"/>
  <c r="AN517" i="1"/>
  <c r="AM515" i="1"/>
  <c r="AN514" i="1"/>
  <c r="AN512" i="1"/>
  <c r="AN510" i="1"/>
  <c r="AM508" i="1"/>
  <c r="AM506" i="1"/>
  <c r="AM504" i="1"/>
  <c r="AN504" i="1"/>
  <c r="AM500" i="1"/>
  <c r="AN498" i="1"/>
  <c r="AM494" i="1"/>
  <c r="AN494" i="1"/>
  <c r="AM492" i="1"/>
  <c r="AN492" i="1"/>
  <c r="AM490" i="1"/>
  <c r="AN488" i="1"/>
  <c r="AM486" i="1"/>
  <c r="AN486" i="1"/>
  <c r="AM484" i="1"/>
  <c r="AN484" i="1"/>
  <c r="AM482" i="1"/>
  <c r="AN482" i="1"/>
  <c r="AN478" i="1"/>
  <c r="AN474" i="1"/>
  <c r="AM472" i="1"/>
  <c r="AN472" i="1"/>
  <c r="AM470" i="1"/>
  <c r="AN470" i="1"/>
  <c r="AM466" i="1"/>
  <c r="AN466" i="1"/>
  <c r="AM462" i="1"/>
  <c r="AN462" i="1"/>
  <c r="AM460" i="1"/>
  <c r="AN460" i="1"/>
  <c r="AM458" i="1"/>
  <c r="AN458" i="1"/>
  <c r="AN456" i="1"/>
  <c r="AM454" i="1"/>
  <c r="AN454" i="1"/>
  <c r="AN452" i="1"/>
  <c r="AM450" i="1"/>
  <c r="AN450" i="1"/>
  <c r="AN448" i="1"/>
  <c r="AM444" i="1"/>
  <c r="AN444" i="1"/>
  <c r="AM440" i="1"/>
  <c r="AN440" i="1"/>
  <c r="AM433" i="1"/>
  <c r="AN433" i="1"/>
  <c r="AM429" i="1"/>
  <c r="AN429" i="1"/>
  <c r="AM425" i="1"/>
  <c r="AN425" i="1"/>
  <c r="AN435" i="1"/>
  <c r="AN427" i="1"/>
  <c r="AM436" i="1"/>
  <c r="AN434" i="1"/>
  <c r="AM428" i="1"/>
  <c r="AM426" i="1"/>
  <c r="AO426" i="1"/>
  <c r="AP426" i="1" s="1"/>
  <c r="AI916" i="1"/>
  <c r="AI892" i="1"/>
  <c r="AI862" i="1"/>
  <c r="AM422" i="1"/>
  <c r="AN420" i="1"/>
  <c r="AM418" i="1"/>
  <c r="AM421" i="1"/>
  <c r="AM419" i="1"/>
  <c r="AI606" i="1"/>
  <c r="AI773" i="1"/>
  <c r="AI447" i="1"/>
  <c r="AI702" i="1"/>
  <c r="AI647" i="1"/>
  <c r="AI578" i="1"/>
  <c r="AI517" i="1"/>
  <c r="AI484" i="1"/>
  <c r="AI472" i="1"/>
  <c r="AI444" i="1"/>
  <c r="AI435" i="1"/>
  <c r="AM417" i="1"/>
  <c r="AO417" i="1"/>
  <c r="AP417" i="1" s="1"/>
  <c r="AN417" i="1"/>
  <c r="AT792" i="1" l="1"/>
  <c r="AT799" i="1"/>
  <c r="AT909" i="1"/>
  <c r="AV909" i="1" s="1"/>
  <c r="AT803" i="1"/>
  <c r="AT833" i="1"/>
  <c r="AV833" i="1" s="1"/>
  <c r="AT823" i="1"/>
  <c r="AV823" i="1" s="1"/>
  <c r="AT895" i="1"/>
  <c r="AV895" i="1" s="1"/>
  <c r="AT897" i="1"/>
  <c r="AV897" i="1" s="1"/>
  <c r="AT862" i="1"/>
  <c r="AV862" i="1" s="1"/>
  <c r="AT892" i="1"/>
  <c r="AV892" i="1" s="1"/>
  <c r="AT916" i="1"/>
  <c r="AV916" i="1" s="1"/>
  <c r="AT435" i="1"/>
  <c r="AV435" i="1" s="1"/>
  <c r="AT447" i="1"/>
  <c r="AV447" i="1" s="1"/>
  <c r="AT472" i="1"/>
  <c r="AV472" i="1" s="1"/>
  <c r="AT484" i="1"/>
  <c r="AV484" i="1" s="1"/>
  <c r="AT517" i="1"/>
  <c r="AV517" i="1" s="1"/>
  <c r="AT702" i="1"/>
  <c r="AT773" i="1"/>
  <c r="AT429" i="1"/>
  <c r="AV429" i="1" s="1"/>
  <c r="AT444" i="1"/>
  <c r="AV444" i="1" s="1"/>
  <c r="AT578" i="1"/>
  <c r="AV578" i="1" s="1"/>
  <c r="AT606" i="1"/>
  <c r="AT647" i="1"/>
  <c r="AM797" i="1"/>
  <c r="AN881" i="1"/>
  <c r="AM464" i="1"/>
  <c r="AN524" i="1"/>
  <c r="AN544" i="1"/>
  <c r="AM568" i="1"/>
  <c r="AN777" i="1"/>
  <c r="AN801" i="1"/>
  <c r="AN852" i="1"/>
  <c r="AM886" i="1"/>
  <c r="AN643" i="1"/>
  <c r="AN686" i="1"/>
  <c r="AM850" i="1"/>
  <c r="AM805" i="1"/>
  <c r="AN805" i="1"/>
  <c r="AM874" i="1"/>
  <c r="AM871" i="1"/>
  <c r="AN871" i="1"/>
  <c r="AM868" i="1"/>
  <c r="AM864" i="1"/>
  <c r="AN866" i="1"/>
  <c r="AN867" i="1"/>
  <c r="AM865" i="1"/>
  <c r="AN865" i="1"/>
  <c r="AM869" i="1"/>
  <c r="AN869" i="1"/>
  <c r="AN858" i="1"/>
  <c r="AM857" i="1"/>
  <c r="AM856" i="1"/>
  <c r="AN856" i="1"/>
  <c r="AM854" i="1"/>
  <c r="AM851" i="1"/>
  <c r="AM849" i="1"/>
  <c r="AN848" i="1"/>
  <c r="AM847" i="1"/>
  <c r="AN844" i="1"/>
  <c r="AM843" i="1"/>
  <c r="AM842" i="1"/>
  <c r="AN842" i="1"/>
  <c r="AN840" i="1"/>
  <c r="AN836" i="1"/>
  <c r="AM838" i="1"/>
  <c r="AN835" i="1"/>
  <c r="AM835" i="1"/>
  <c r="AN831" i="1"/>
  <c r="AN827" i="1"/>
  <c r="AN819" i="1"/>
  <c r="AN817" i="1"/>
  <c r="AM816" i="1"/>
  <c r="AN815" i="1"/>
  <c r="AM813" i="1"/>
  <c r="AN813" i="1"/>
  <c r="AM810" i="1"/>
  <c r="AM809" i="1"/>
  <c r="AN419" i="1"/>
  <c r="AM446" i="1"/>
  <c r="AN468" i="1"/>
  <c r="AM476" i="1"/>
  <c r="AM480" i="1"/>
  <c r="AM496" i="1"/>
  <c r="AM502" i="1"/>
  <c r="AN536" i="1"/>
  <c r="AN560" i="1"/>
  <c r="AN451" i="1"/>
  <c r="AN487" i="1"/>
  <c r="AN561" i="1"/>
  <c r="AN563" i="1"/>
  <c r="AN579" i="1"/>
  <c r="AN736" i="1"/>
  <c r="AM736" i="1"/>
  <c r="AM800" i="1"/>
  <c r="AN800" i="1"/>
  <c r="AM698" i="1"/>
  <c r="AM728" i="1"/>
  <c r="AM763" i="1"/>
  <c r="AM783" i="1"/>
  <c r="AN724" i="1"/>
  <c r="AN694" i="1"/>
  <c r="AM635" i="1"/>
  <c r="AN635" i="1"/>
  <c r="AM794" i="1"/>
  <c r="AN796" i="1"/>
  <c r="AM790" i="1"/>
  <c r="AN787" i="1"/>
  <c r="AM786" i="1"/>
  <c r="AM785" i="1"/>
  <c r="AM780" i="1"/>
  <c r="AM774" i="1"/>
  <c r="AM767" i="1"/>
  <c r="AM765" i="1"/>
  <c r="AN765" i="1"/>
  <c r="AM749" i="1"/>
  <c r="AN749" i="1"/>
  <c r="AM742" i="1"/>
  <c r="AN742" i="1"/>
  <c r="AM741" i="1"/>
  <c r="AN740" i="1"/>
  <c r="AM738" i="1"/>
  <c r="AN738" i="1"/>
  <c r="AM737" i="1"/>
  <c r="AN730" i="1"/>
  <c r="AN722" i="1"/>
  <c r="AM722" i="1"/>
  <c r="AM721" i="1"/>
  <c r="AM720" i="1"/>
  <c r="AN720" i="1"/>
  <c r="AN706" i="1"/>
  <c r="AM696" i="1"/>
  <c r="AN696" i="1"/>
  <c r="AM690" i="1"/>
  <c r="AN690" i="1"/>
  <c r="AN422" i="1"/>
  <c r="AN531" i="1"/>
  <c r="AN612" i="1"/>
  <c r="AM622" i="1"/>
  <c r="AN639" i="1"/>
  <c r="AM644" i="1"/>
  <c r="AN654" i="1"/>
  <c r="AN453" i="1"/>
  <c r="AN469" i="1"/>
  <c r="AN481" i="1"/>
  <c r="AM657" i="1"/>
  <c r="AN657" i="1"/>
  <c r="AM651" i="1"/>
  <c r="AN651" i="1"/>
  <c r="AN648" i="1"/>
  <c r="AN642" i="1"/>
  <c r="AM641" i="1"/>
  <c r="AN641" i="1"/>
  <c r="AN637" i="1"/>
  <c r="AN632" i="1"/>
  <c r="AN630" i="1"/>
  <c r="AM624" i="1"/>
  <c r="AM623" i="1"/>
  <c r="AN623" i="1"/>
  <c r="AM621" i="1"/>
  <c r="AN621" i="1"/>
  <c r="AN620" i="1"/>
  <c r="AM619" i="1"/>
  <c r="AN619" i="1"/>
  <c r="AN618" i="1"/>
  <c r="AM615" i="1"/>
  <c r="AN615" i="1"/>
  <c r="AN614" i="1"/>
  <c r="AM613" i="1"/>
  <c r="AN613" i="1"/>
  <c r="AM611" i="1"/>
  <c r="AN611" i="1"/>
  <c r="AN607" i="1"/>
  <c r="AN605" i="1"/>
  <c r="AN604" i="1"/>
  <c r="AM583" i="1"/>
  <c r="AN583" i="1"/>
  <c r="AM581" i="1"/>
  <c r="AN581" i="1"/>
  <c r="AM577" i="1"/>
  <c r="AN577" i="1"/>
  <c r="AM575" i="1"/>
  <c r="AN575" i="1"/>
  <c r="AM566" i="1"/>
  <c r="AN573" i="1"/>
  <c r="AM571" i="1"/>
  <c r="AN571" i="1"/>
  <c r="AM569" i="1"/>
  <c r="AN569" i="1"/>
  <c r="AM567" i="1"/>
  <c r="AN567" i="1"/>
  <c r="AM565" i="1"/>
  <c r="AN565" i="1"/>
  <c r="AM559" i="1"/>
  <c r="AN559" i="1"/>
  <c r="AN557" i="1"/>
  <c r="AM555" i="1"/>
  <c r="AN555" i="1"/>
  <c r="AN553" i="1"/>
  <c r="AM553" i="1"/>
  <c r="AM551" i="1"/>
  <c r="AN551" i="1"/>
  <c r="AN549" i="1"/>
  <c r="AM547" i="1"/>
  <c r="AN547" i="1"/>
  <c r="AM545" i="1"/>
  <c r="AN545" i="1"/>
  <c r="AM543" i="1"/>
  <c r="AN543" i="1"/>
  <c r="AN541" i="1"/>
  <c r="AN539" i="1"/>
  <c r="AM537" i="1"/>
  <c r="AN537" i="1"/>
  <c r="AM535" i="1"/>
  <c r="AN535" i="1"/>
  <c r="AN533" i="1"/>
  <c r="AM533" i="1"/>
  <c r="AM529" i="1"/>
  <c r="AN529" i="1"/>
  <c r="AM525" i="1"/>
  <c r="AN525" i="1"/>
  <c r="AN523" i="1"/>
  <c r="AM523" i="1"/>
  <c r="AN521" i="1"/>
  <c r="AN518" i="1"/>
  <c r="AM518" i="1"/>
  <c r="AM516" i="1"/>
  <c r="AN516" i="1"/>
  <c r="AM513" i="1"/>
  <c r="AN513" i="1"/>
  <c r="AM507" i="1"/>
  <c r="AN505" i="1"/>
  <c r="AN503" i="1"/>
  <c r="AM503" i="1"/>
  <c r="AM501" i="1"/>
  <c r="AN501" i="1"/>
  <c r="AN499" i="1"/>
  <c r="AM499" i="1"/>
  <c r="AM497" i="1"/>
  <c r="AN497" i="1"/>
  <c r="AN495" i="1"/>
  <c r="AM495" i="1"/>
  <c r="AN491" i="1"/>
  <c r="AM491" i="1"/>
  <c r="AM485" i="1"/>
  <c r="AM479" i="1"/>
  <c r="AN479" i="1"/>
  <c r="AN477" i="1"/>
  <c r="AM475" i="1"/>
  <c r="AN475" i="1"/>
  <c r="AN473" i="1"/>
  <c r="AM471" i="1"/>
  <c r="AN465" i="1"/>
  <c r="AM459" i="1"/>
  <c r="AM457" i="1"/>
  <c r="AN457" i="1"/>
  <c r="AN449" i="1"/>
  <c r="AN445" i="1"/>
  <c r="AM443" i="1"/>
  <c r="AN443" i="1"/>
  <c r="AN441" i="1"/>
  <c r="AM441" i="1"/>
  <c r="AM439" i="1"/>
  <c r="AN439" i="1"/>
  <c r="AN428" i="1"/>
  <c r="AN436" i="1"/>
  <c r="AN437" i="1"/>
  <c r="AM437" i="1"/>
  <c r="AM434" i="1"/>
  <c r="AM432" i="1"/>
  <c r="AN432" i="1"/>
  <c r="AN430" i="1"/>
  <c r="AM430" i="1"/>
  <c r="AN426" i="1"/>
  <c r="AM424" i="1"/>
  <c r="AN424" i="1"/>
  <c r="AN418" i="1"/>
  <c r="AN421" i="1"/>
  <c r="AM420" i="1"/>
  <c r="AM408" i="1"/>
  <c r="AN408" i="1"/>
  <c r="AM409" i="1"/>
  <c r="AN409" i="1"/>
  <c r="AM410" i="1"/>
  <c r="AN410" i="1"/>
  <c r="AM414" i="1"/>
  <c r="AN414" i="1"/>
  <c r="AM413" i="1"/>
  <c r="AN413" i="1"/>
  <c r="AM412" i="1"/>
  <c r="AN412" i="1"/>
  <c r="AM411" i="1"/>
  <c r="AN411" i="1"/>
  <c r="AM415" i="1"/>
  <c r="AN415" i="1"/>
  <c r="AV702" i="1" l="1"/>
  <c r="AV799" i="1"/>
  <c r="AV647" i="1"/>
  <c r="AV773" i="1"/>
  <c r="AV803" i="1"/>
  <c r="AV792" i="1"/>
  <c r="AV606" i="1"/>
  <c r="B11" i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1" i="1"/>
  <c r="C171" i="1" s="1"/>
  <c r="B172" i="1"/>
  <c r="C172" i="1" s="1"/>
  <c r="B174" i="1"/>
  <c r="C174" i="1" s="1"/>
  <c r="B175" i="1"/>
  <c r="C175" i="1" s="1"/>
  <c r="B177" i="1"/>
  <c r="C177" i="1" s="1"/>
  <c r="B178" i="1"/>
  <c r="C178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90" i="1"/>
  <c r="C190" i="1" s="1"/>
  <c r="B191" i="1"/>
  <c r="C191" i="1" s="1"/>
  <c r="B192" i="1"/>
  <c r="C192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5" i="1"/>
  <c r="C215" i="1" s="1"/>
  <c r="B218" i="1"/>
  <c r="C218" i="1" s="1"/>
  <c r="B222" i="1"/>
  <c r="C222" i="1" s="1"/>
  <c r="B224" i="1"/>
  <c r="C224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1" i="1"/>
  <c r="C241" i="1" s="1"/>
  <c r="B243" i="1"/>
  <c r="C243" i="1" s="1"/>
  <c r="B245" i="1"/>
  <c r="C245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7" i="1"/>
  <c r="C257" i="1" s="1"/>
  <c r="B258" i="1"/>
  <c r="C258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2" i="1"/>
  <c r="C272" i="1" s="1"/>
  <c r="B274" i="1"/>
  <c r="C274" i="1" s="1"/>
  <c r="B275" i="1"/>
  <c r="C275" i="1" s="1"/>
  <c r="B276" i="1"/>
  <c r="C276" i="1" s="1"/>
  <c r="B277" i="1"/>
  <c r="C277" i="1" s="1"/>
  <c r="B279" i="1"/>
  <c r="C279" i="1" s="1"/>
  <c r="B280" i="1"/>
  <c r="C280" i="1" s="1"/>
  <c r="B281" i="1"/>
  <c r="C281" i="1" s="1"/>
  <c r="B283" i="1"/>
  <c r="C283" i="1" s="1"/>
  <c r="B284" i="1"/>
  <c r="C284" i="1" s="1"/>
  <c r="B286" i="1"/>
  <c r="C286" i="1" s="1"/>
  <c r="B288" i="1"/>
  <c r="C288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3" i="1"/>
  <c r="C303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6" i="1"/>
  <c r="C316" i="1" s="1"/>
  <c r="B318" i="1"/>
  <c r="C318" i="1" s="1"/>
  <c r="B320" i="1"/>
  <c r="C320" i="1" s="1"/>
  <c r="B323" i="1"/>
  <c r="C323" i="1" s="1"/>
  <c r="B325" i="1"/>
  <c r="C325" i="1" s="1"/>
  <c r="B327" i="1"/>
  <c r="C327" i="1" s="1"/>
  <c r="B328" i="1"/>
  <c r="C328" i="1" s="1"/>
  <c r="B329" i="1"/>
  <c r="C329" i="1" s="1"/>
  <c r="B330" i="1"/>
  <c r="C330" i="1" s="1"/>
  <c r="B331" i="1"/>
  <c r="C331" i="1" s="1"/>
  <c r="B334" i="1"/>
  <c r="C334" i="1" s="1"/>
  <c r="B336" i="1"/>
  <c r="C336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7" i="1"/>
  <c r="C347" i="1" s="1"/>
  <c r="B348" i="1"/>
  <c r="C348" i="1" s="1"/>
  <c r="B349" i="1"/>
  <c r="C349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9" i="1"/>
  <c r="C359" i="1" s="1"/>
  <c r="B361" i="1"/>
  <c r="C361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2" i="1"/>
  <c r="C372" i="1" s="1"/>
  <c r="B374" i="1"/>
  <c r="C374" i="1" s="1"/>
  <c r="B375" i="1"/>
  <c r="C375" i="1" s="1"/>
  <c r="B378" i="1"/>
  <c r="C378" i="1" s="1"/>
  <c r="B379" i="1"/>
  <c r="C379" i="1" s="1"/>
  <c r="B381" i="1"/>
  <c r="C381" i="1" s="1"/>
  <c r="B382" i="1"/>
  <c r="C382" i="1" s="1"/>
  <c r="B385" i="1"/>
  <c r="C385" i="1" s="1"/>
  <c r="B386" i="1"/>
  <c r="C386" i="1" s="1"/>
  <c r="B387" i="1"/>
  <c r="C387" i="1" s="1"/>
  <c r="B388" i="1"/>
  <c r="C388" i="1" s="1"/>
  <c r="B390" i="1"/>
  <c r="C390" i="1" s="1"/>
  <c r="B391" i="1"/>
  <c r="C391" i="1" s="1"/>
  <c r="B392" i="1"/>
  <c r="C392" i="1" s="1"/>
  <c r="B393" i="1"/>
  <c r="C393" i="1" s="1"/>
  <c r="B397" i="1"/>
  <c r="C397" i="1" s="1"/>
  <c r="B398" i="1"/>
  <c r="C398" i="1" s="1"/>
  <c r="B400" i="1"/>
  <c r="C400" i="1" s="1"/>
  <c r="B402" i="1"/>
  <c r="C402" i="1" s="1"/>
  <c r="B403" i="1"/>
  <c r="C403" i="1" s="1"/>
  <c r="B406" i="1"/>
  <c r="C406" i="1" s="1"/>
  <c r="B407" i="1"/>
  <c r="C407" i="1" s="1"/>
  <c r="C12" i="1"/>
  <c r="C120" i="1"/>
  <c r="C125" i="1"/>
  <c r="D128" i="1"/>
  <c r="AS128" i="1" s="1"/>
  <c r="D203" i="1"/>
  <c r="AS203" i="1" s="1"/>
  <c r="D228" i="1"/>
  <c r="AS228" i="1" s="1"/>
  <c r="D292" i="1"/>
  <c r="AS292" i="1" s="1"/>
  <c r="D338" i="1"/>
  <c r="AS338" i="1" s="1"/>
  <c r="AL98" i="1"/>
  <c r="AL117" i="1"/>
  <c r="AL3" i="1"/>
  <c r="AL4" i="1"/>
  <c r="AL6" i="1"/>
  <c r="AL7" i="1"/>
  <c r="AL9" i="1"/>
  <c r="AL10" i="1"/>
  <c r="AL11" i="1"/>
  <c r="AL12" i="1"/>
  <c r="AL13" i="1"/>
  <c r="AL120" i="1"/>
  <c r="AL15" i="1"/>
  <c r="AL73" i="1"/>
  <c r="AL74" i="1"/>
  <c r="AL75" i="1"/>
  <c r="AL76" i="1"/>
  <c r="AL77" i="1"/>
  <c r="AL78" i="1"/>
  <c r="AL80" i="1"/>
  <c r="AL82" i="1"/>
  <c r="AL84" i="1"/>
  <c r="AL125" i="1"/>
  <c r="AQ125" i="1" s="1"/>
  <c r="AL126" i="1"/>
  <c r="AL127" i="1"/>
  <c r="AL128" i="1"/>
  <c r="AQ128" i="1" s="1"/>
  <c r="AL129" i="1"/>
  <c r="AL130" i="1"/>
  <c r="AL131" i="1"/>
  <c r="AL132" i="1"/>
  <c r="AL133" i="1"/>
  <c r="AL134" i="1"/>
  <c r="AL135" i="1"/>
  <c r="AQ135" i="1" s="1"/>
  <c r="AL136" i="1"/>
  <c r="AL137" i="1"/>
  <c r="AL138" i="1"/>
  <c r="AL139" i="1"/>
  <c r="AL140" i="1"/>
  <c r="AL141" i="1"/>
  <c r="AL142" i="1"/>
  <c r="AL143" i="1"/>
  <c r="AL144" i="1"/>
  <c r="AL145" i="1"/>
  <c r="AQ145" i="1" s="1"/>
  <c r="AL146" i="1"/>
  <c r="AL147" i="1"/>
  <c r="AL148" i="1"/>
  <c r="AL149" i="1"/>
  <c r="AL150" i="1"/>
  <c r="AQ150" i="1" s="1"/>
  <c r="AL151" i="1"/>
  <c r="AL152" i="1"/>
  <c r="AL153" i="1"/>
  <c r="AL154" i="1"/>
  <c r="AL155" i="1"/>
  <c r="AL156" i="1"/>
  <c r="AL157" i="1"/>
  <c r="AL158" i="1"/>
  <c r="AL159" i="1"/>
  <c r="AL160" i="1"/>
  <c r="AL161" i="1"/>
  <c r="AQ161" i="1" s="1"/>
  <c r="AL162" i="1"/>
  <c r="AO162" i="1" s="1"/>
  <c r="AP162" i="1" s="1"/>
  <c r="AL163" i="1"/>
  <c r="AL164" i="1"/>
  <c r="AL165" i="1"/>
  <c r="AL166" i="1"/>
  <c r="AL167" i="1"/>
  <c r="AL168" i="1"/>
  <c r="AL169" i="1"/>
  <c r="AQ169" i="1" s="1"/>
  <c r="AL170" i="1"/>
  <c r="AL171" i="1"/>
  <c r="AL172" i="1"/>
  <c r="AL174" i="1"/>
  <c r="AL175" i="1"/>
  <c r="AL176" i="1"/>
  <c r="AL177" i="1"/>
  <c r="AL178" i="1"/>
  <c r="AL179" i="1"/>
  <c r="AQ179" i="1" s="1"/>
  <c r="AL180" i="1"/>
  <c r="AL181" i="1"/>
  <c r="AL182" i="1"/>
  <c r="AL183" i="1"/>
  <c r="AL184" i="1"/>
  <c r="AL185" i="1"/>
  <c r="AL186" i="1"/>
  <c r="AL187" i="1"/>
  <c r="AL188" i="1"/>
  <c r="AQ188" i="1" s="1"/>
  <c r="AL189" i="1"/>
  <c r="AL190" i="1"/>
  <c r="AL191" i="1"/>
  <c r="AL192" i="1"/>
  <c r="AL193" i="1"/>
  <c r="AL194" i="1"/>
  <c r="AQ194" i="1" s="1"/>
  <c r="AL195" i="1"/>
  <c r="AL196" i="1"/>
  <c r="AL197" i="1"/>
  <c r="AL198" i="1"/>
  <c r="AL199" i="1"/>
  <c r="AL200" i="1"/>
  <c r="AL201" i="1"/>
  <c r="AL202" i="1"/>
  <c r="AL203" i="1"/>
  <c r="AQ203" i="1" s="1"/>
  <c r="AL204" i="1"/>
  <c r="AL205" i="1"/>
  <c r="AL206" i="1"/>
  <c r="AL207" i="1"/>
  <c r="AL208" i="1"/>
  <c r="AL209" i="1"/>
  <c r="AL210" i="1"/>
  <c r="AL211" i="1"/>
  <c r="AL212" i="1"/>
  <c r="AL213" i="1"/>
  <c r="AQ213" i="1" s="1"/>
  <c r="AL214" i="1"/>
  <c r="AL215" i="1"/>
  <c r="AQ215" i="1" s="1"/>
  <c r="AL216" i="1"/>
  <c r="AL218" i="1"/>
  <c r="AQ218" i="1" s="1"/>
  <c r="AL219" i="1"/>
  <c r="AL220" i="1"/>
  <c r="AQ220" i="1" s="1"/>
  <c r="AL221" i="1"/>
  <c r="AL222" i="1"/>
  <c r="AQ222" i="1" s="1"/>
  <c r="AL223" i="1"/>
  <c r="AL224" i="1"/>
  <c r="AQ224" i="1" s="1"/>
  <c r="AL225" i="1"/>
  <c r="AL226" i="1"/>
  <c r="AL227" i="1"/>
  <c r="AL228" i="1"/>
  <c r="AQ228" i="1" s="1"/>
  <c r="AL229" i="1"/>
  <c r="AL230" i="1"/>
  <c r="AL231" i="1"/>
  <c r="AL232" i="1"/>
  <c r="AL233" i="1"/>
  <c r="AL234" i="1"/>
  <c r="AL235" i="1"/>
  <c r="AQ235" i="1" s="1"/>
  <c r="AL236" i="1"/>
  <c r="AO236" i="1" s="1"/>
  <c r="AP236" i="1" s="1"/>
  <c r="AL237" i="1"/>
  <c r="AL238" i="1"/>
  <c r="AL239" i="1"/>
  <c r="AL240" i="1"/>
  <c r="AL241" i="1"/>
  <c r="AL242" i="1"/>
  <c r="AL243" i="1"/>
  <c r="AQ243" i="1" s="1"/>
  <c r="AL244" i="1"/>
  <c r="AL245" i="1"/>
  <c r="AL246" i="1"/>
  <c r="AQ246" i="1" s="1"/>
  <c r="AL247" i="1"/>
  <c r="AL248" i="1"/>
  <c r="AL249" i="1"/>
  <c r="AL250" i="1"/>
  <c r="AL251" i="1"/>
  <c r="AL252" i="1"/>
  <c r="AL253" i="1"/>
  <c r="AL254" i="1"/>
  <c r="AQ254" i="1" s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Q267" i="1" s="1"/>
  <c r="AL268" i="1"/>
  <c r="AL269" i="1"/>
  <c r="AL270" i="1"/>
  <c r="AL271" i="1"/>
  <c r="AL272" i="1"/>
  <c r="AL273" i="1"/>
  <c r="AL274" i="1"/>
  <c r="AL275" i="1"/>
  <c r="AL276" i="1"/>
  <c r="AL277" i="1"/>
  <c r="AQ277" i="1" s="1"/>
  <c r="AL278" i="1"/>
  <c r="AO278" i="1" s="1"/>
  <c r="AP278" i="1" s="1"/>
  <c r="AL279" i="1"/>
  <c r="AL280" i="1"/>
  <c r="AL281" i="1"/>
  <c r="AL282" i="1"/>
  <c r="AL283" i="1"/>
  <c r="AL284" i="1"/>
  <c r="AL285" i="1"/>
  <c r="AL286" i="1"/>
  <c r="AL287" i="1"/>
  <c r="AL288" i="1"/>
  <c r="AL289" i="1"/>
  <c r="AQ289" i="1" s="1"/>
  <c r="AL290" i="1"/>
  <c r="AO290" i="1" s="1"/>
  <c r="AP290" i="1" s="1"/>
  <c r="AL291" i="1"/>
  <c r="AL292" i="1"/>
  <c r="AQ292" i="1" s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Q304" i="1" s="1"/>
  <c r="AL305" i="1"/>
  <c r="AL306" i="1"/>
  <c r="AL307" i="1"/>
  <c r="AL308" i="1"/>
  <c r="AL309" i="1"/>
  <c r="AL310" i="1"/>
  <c r="AQ310" i="1" s="1"/>
  <c r="AL311" i="1"/>
  <c r="AL312" i="1"/>
  <c r="AL313" i="1"/>
  <c r="AL314" i="1"/>
  <c r="AQ314" i="1" s="1"/>
  <c r="AL315" i="1"/>
  <c r="AL316" i="1"/>
  <c r="AQ316" i="1" s="1"/>
  <c r="AL317" i="1"/>
  <c r="AL318" i="1"/>
  <c r="AQ318" i="1" s="1"/>
  <c r="AL319" i="1"/>
  <c r="AL320" i="1"/>
  <c r="AQ320" i="1" s="1"/>
  <c r="AL321" i="1"/>
  <c r="AL322" i="1"/>
  <c r="AL323" i="1"/>
  <c r="AQ323" i="1" s="1"/>
  <c r="AL324" i="1"/>
  <c r="AL325" i="1"/>
  <c r="AL326" i="1"/>
  <c r="AL327" i="1"/>
  <c r="AL328" i="1"/>
  <c r="AL329" i="1"/>
  <c r="AL330" i="1"/>
  <c r="AL331" i="1"/>
  <c r="AQ331" i="1" s="1"/>
  <c r="AL332" i="1"/>
  <c r="AL333" i="1"/>
  <c r="AL334" i="1"/>
  <c r="AL335" i="1"/>
  <c r="AL336" i="1"/>
  <c r="AL337" i="1"/>
  <c r="AL338" i="1"/>
  <c r="AQ338" i="1" s="1"/>
  <c r="AL339" i="1"/>
  <c r="AL340" i="1"/>
  <c r="AL341" i="1"/>
  <c r="AL342" i="1"/>
  <c r="AL343" i="1"/>
  <c r="AL344" i="1"/>
  <c r="AL345" i="1"/>
  <c r="AQ345" i="1" s="1"/>
  <c r="AL346" i="1"/>
  <c r="AO346" i="1" s="1"/>
  <c r="AP346" i="1" s="1"/>
  <c r="AL347" i="1"/>
  <c r="AL348" i="1"/>
  <c r="AL349" i="1"/>
  <c r="AL350" i="1"/>
  <c r="AL351" i="1"/>
  <c r="AQ351" i="1" s="1"/>
  <c r="AL352" i="1"/>
  <c r="AO352" i="1" s="1"/>
  <c r="AP352" i="1" s="1"/>
  <c r="AL353" i="1"/>
  <c r="AL354" i="1"/>
  <c r="AL355" i="1"/>
  <c r="AL356" i="1"/>
  <c r="AL357" i="1"/>
  <c r="AL358" i="1"/>
  <c r="AL359" i="1"/>
  <c r="AQ359" i="1" s="1"/>
  <c r="AL360" i="1"/>
  <c r="AL361" i="1"/>
  <c r="AL363" i="1"/>
  <c r="AL364" i="1"/>
  <c r="AL365" i="1"/>
  <c r="AL366" i="1"/>
  <c r="AL367" i="1"/>
  <c r="AL368" i="1"/>
  <c r="AL369" i="1"/>
  <c r="AL370" i="1"/>
  <c r="AL371" i="1"/>
  <c r="AL372" i="1"/>
  <c r="AQ372" i="1" s="1"/>
  <c r="AL373" i="1"/>
  <c r="AL374" i="1"/>
  <c r="AL375" i="1"/>
  <c r="AQ375" i="1" s="1"/>
  <c r="AL376" i="1"/>
  <c r="AL377" i="1"/>
  <c r="AL378" i="1"/>
  <c r="AL379" i="1"/>
  <c r="AQ379" i="1" s="1"/>
  <c r="AL380" i="1"/>
  <c r="AL381" i="1"/>
  <c r="AL382" i="1"/>
  <c r="AQ382" i="1" s="1"/>
  <c r="AL383" i="1"/>
  <c r="AO383" i="1" s="1"/>
  <c r="AP383" i="1" s="1"/>
  <c r="AL384" i="1"/>
  <c r="AL385" i="1"/>
  <c r="AL386" i="1"/>
  <c r="AL387" i="1"/>
  <c r="AL388" i="1"/>
  <c r="AQ388" i="1" s="1"/>
  <c r="AL389" i="1"/>
  <c r="AL390" i="1"/>
  <c r="AL391" i="1"/>
  <c r="AL392" i="1"/>
  <c r="AL393" i="1"/>
  <c r="AQ393" i="1" s="1"/>
  <c r="AL394" i="1"/>
  <c r="AL395" i="1"/>
  <c r="AQ395" i="1" s="1"/>
  <c r="AL396" i="1"/>
  <c r="AL397" i="1"/>
  <c r="AL398" i="1"/>
  <c r="AQ398" i="1" s="1"/>
  <c r="AL399" i="1"/>
  <c r="AO399" i="1" s="1"/>
  <c r="AP399" i="1" s="1"/>
  <c r="AL400" i="1"/>
  <c r="AQ400" i="1" s="1"/>
  <c r="AL401" i="1"/>
  <c r="AO401" i="1" s="1"/>
  <c r="AP401" i="1" s="1"/>
  <c r="AL402" i="1"/>
  <c r="AL403" i="1"/>
  <c r="AQ403" i="1" s="1"/>
  <c r="AL404" i="1"/>
  <c r="AL405" i="1"/>
  <c r="AL406" i="1"/>
  <c r="AL407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1" i="1"/>
  <c r="AP171" i="1" s="1"/>
  <c r="AO172" i="1"/>
  <c r="AP172" i="1" s="1"/>
  <c r="AO174" i="1"/>
  <c r="AP174" i="1" s="1"/>
  <c r="AO175" i="1"/>
  <c r="AP175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5" i="1"/>
  <c r="AP215" i="1" s="1"/>
  <c r="AO218" i="1"/>
  <c r="AP218" i="1" s="1"/>
  <c r="AO220" i="1"/>
  <c r="AP220" i="1" s="1"/>
  <c r="AO221" i="1"/>
  <c r="AP221" i="1" s="1"/>
  <c r="AO222" i="1"/>
  <c r="AP222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5" i="1"/>
  <c r="AP245" i="1" s="1"/>
  <c r="AO246" i="1"/>
  <c r="AP246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2" i="1"/>
  <c r="AP312" i="1" s="1"/>
  <c r="AO313" i="1"/>
  <c r="AP313" i="1" s="1"/>
  <c r="AO314" i="1"/>
  <c r="AP314" i="1" s="1"/>
  <c r="AO316" i="1"/>
  <c r="AP316" i="1" s="1"/>
  <c r="AO317" i="1"/>
  <c r="AP317" i="1" s="1"/>
  <c r="AO318" i="1"/>
  <c r="AP318" i="1" s="1"/>
  <c r="AO320" i="1"/>
  <c r="AP320" i="1" s="1"/>
  <c r="AO323" i="1"/>
  <c r="AP323" i="1" s="1"/>
  <c r="AO325" i="1"/>
  <c r="AP325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7" i="1"/>
  <c r="AP347" i="1" s="1"/>
  <c r="AO348" i="1"/>
  <c r="AP348" i="1" s="1"/>
  <c r="AO349" i="1"/>
  <c r="AP349" i="1" s="1"/>
  <c r="AO350" i="1"/>
  <c r="AP350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2" i="1"/>
  <c r="AP372" i="1" s="1"/>
  <c r="AO374" i="1"/>
  <c r="AP374" i="1" s="1"/>
  <c r="AO375" i="1"/>
  <c r="AP375" i="1" s="1"/>
  <c r="AO378" i="1"/>
  <c r="AP378" i="1" s="1"/>
  <c r="AO379" i="1"/>
  <c r="AP379" i="1" s="1"/>
  <c r="AO381" i="1"/>
  <c r="AP381" i="1" s="1"/>
  <c r="AO382" i="1"/>
  <c r="AP382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7" i="1"/>
  <c r="AP397" i="1" s="1"/>
  <c r="AO398" i="1"/>
  <c r="AP398" i="1" s="1"/>
  <c r="AO400" i="1"/>
  <c r="AP400" i="1" s="1"/>
  <c r="AO402" i="1"/>
  <c r="AP402" i="1" s="1"/>
  <c r="AO403" i="1"/>
  <c r="AP403" i="1" s="1"/>
  <c r="AO406" i="1"/>
  <c r="AP406" i="1" s="1"/>
  <c r="AO407" i="1"/>
  <c r="AP407" i="1" s="1"/>
  <c r="AO319" i="1" l="1"/>
  <c r="AP319" i="1" s="1"/>
  <c r="AO315" i="1"/>
  <c r="AP315" i="1" s="1"/>
  <c r="AO311" i="1"/>
  <c r="AP311" i="1" s="1"/>
  <c r="AO255" i="1"/>
  <c r="AP255" i="1" s="1"/>
  <c r="AO247" i="1"/>
  <c r="AP247" i="1" s="1"/>
  <c r="AO223" i="1"/>
  <c r="AP223" i="1" s="1"/>
  <c r="AO219" i="1"/>
  <c r="AP219" i="1" s="1"/>
  <c r="AO214" i="1"/>
  <c r="AP214" i="1" s="1"/>
  <c r="AO404" i="1"/>
  <c r="AP404" i="1" s="1"/>
  <c r="AO376" i="1"/>
  <c r="AP376" i="1" s="1"/>
  <c r="AO389" i="1"/>
  <c r="AP389" i="1" s="1"/>
  <c r="AO373" i="1"/>
  <c r="AP373" i="1" s="1"/>
  <c r="AO332" i="1"/>
  <c r="AP332" i="1" s="1"/>
  <c r="AO268" i="1"/>
  <c r="AP268" i="1" s="1"/>
  <c r="AO244" i="1"/>
  <c r="AP244" i="1" s="1"/>
  <c r="AU228" i="1"/>
  <c r="AG203" i="1"/>
  <c r="AU203" i="1"/>
  <c r="AG338" i="1"/>
  <c r="AU338" i="1"/>
  <c r="AG128" i="1"/>
  <c r="AU128" i="1"/>
  <c r="AG292" i="1"/>
  <c r="AU292" i="1"/>
  <c r="AD228" i="1"/>
  <c r="AG228" i="1"/>
  <c r="AC338" i="1"/>
  <c r="AD338" i="1"/>
  <c r="AC128" i="1"/>
  <c r="AD128" i="1"/>
  <c r="AC292" i="1"/>
  <c r="AD292" i="1"/>
  <c r="AC203" i="1"/>
  <c r="AD203" i="1"/>
  <c r="AC228" i="1"/>
  <c r="AO396" i="1"/>
  <c r="AP396" i="1" s="1"/>
  <c r="AO394" i="1"/>
  <c r="AP394" i="1" s="1"/>
  <c r="AO405" i="1"/>
  <c r="AP405" i="1" s="1"/>
  <c r="AO377" i="1"/>
  <c r="AP377" i="1" s="1"/>
  <c r="AO371" i="1"/>
  <c r="AP371" i="1" s="1"/>
  <c r="AO358" i="1"/>
  <c r="AP358" i="1" s="1"/>
  <c r="AM338" i="1"/>
  <c r="AO326" i="1"/>
  <c r="AP326" i="1" s="1"/>
  <c r="AO324" i="1"/>
  <c r="AP324" i="1" s="1"/>
  <c r="AO322" i="1"/>
  <c r="AP322" i="1" s="1"/>
  <c r="AM292" i="1"/>
  <c r="AN228" i="1"/>
  <c r="AM203" i="1"/>
  <c r="AO170" i="1"/>
  <c r="AP170" i="1" s="1"/>
  <c r="AM128" i="1"/>
  <c r="AO84" i="1"/>
  <c r="AP84" i="1" s="1"/>
  <c r="AO80" i="1"/>
  <c r="AP80" i="1" s="1"/>
  <c r="AO73" i="1"/>
  <c r="AP73" i="1" s="1"/>
  <c r="AM404" i="1"/>
  <c r="AO384" i="1"/>
  <c r="AP384" i="1" s="1"/>
  <c r="AO380" i="1"/>
  <c r="AP380" i="1" s="1"/>
  <c r="AO216" i="1"/>
  <c r="AP216" i="1" s="1"/>
  <c r="AO180" i="1"/>
  <c r="AP180" i="1" s="1"/>
  <c r="AO176" i="1"/>
  <c r="AP176" i="1" s="1"/>
  <c r="AO129" i="1"/>
  <c r="AP129" i="1" s="1"/>
  <c r="AO15" i="1"/>
  <c r="AP15" i="1" s="1"/>
  <c r="AO9" i="1"/>
  <c r="AP9" i="1" s="1"/>
  <c r="AO6" i="1"/>
  <c r="AP6" i="1" s="1"/>
  <c r="AO3" i="1"/>
  <c r="AP3" i="1" s="1"/>
  <c r="AN253" i="1"/>
  <c r="AM325" i="1"/>
  <c r="AM303" i="1"/>
  <c r="AM241" i="1"/>
  <c r="AM394" i="1"/>
  <c r="AM383" i="1"/>
  <c r="AM376" i="1"/>
  <c r="AN370" i="1"/>
  <c r="AM336" i="1"/>
  <c r="AM332" i="1"/>
  <c r="AM245" i="1"/>
  <c r="AM299" i="1"/>
  <c r="AN245" i="1"/>
  <c r="AN334" i="1"/>
  <c r="AM357" i="1"/>
  <c r="AM350" i="1"/>
  <c r="AM321" i="1"/>
  <c r="AO321" i="1"/>
  <c r="AP321" i="1" s="1"/>
  <c r="AM305" i="1"/>
  <c r="AM295" i="1"/>
  <c r="AM290" i="1"/>
  <c r="AN288" i="1"/>
  <c r="AM286" i="1"/>
  <c r="AM284" i="1"/>
  <c r="AN281" i="1"/>
  <c r="AM272" i="1"/>
  <c r="AM270" i="1"/>
  <c r="AN258" i="1"/>
  <c r="AN255" i="1"/>
  <c r="AM253" i="1"/>
  <c r="AN233" i="1"/>
  <c r="AN219" i="1"/>
  <c r="AM211" i="1"/>
  <c r="AM185" i="1"/>
  <c r="AN201" i="1"/>
  <c r="AN178" i="1"/>
  <c r="AN175" i="1"/>
  <c r="AM165" i="1"/>
  <c r="AM160" i="1"/>
  <c r="AN163" i="1"/>
  <c r="AM149" i="1"/>
  <c r="AN165" i="1"/>
  <c r="AN139" i="1"/>
  <c r="AN136" i="1"/>
  <c r="AM126" i="1"/>
  <c r="AN203" i="1"/>
  <c r="AN149" i="1"/>
  <c r="AM228" i="1"/>
  <c r="AN128" i="1"/>
  <c r="AN394" i="1"/>
  <c r="AN292" i="1"/>
  <c r="AN295" i="1"/>
  <c r="AM281" i="1"/>
  <c r="AN321" i="1"/>
  <c r="AN338" i="1"/>
  <c r="AN303" i="1"/>
  <c r="AM370" i="1"/>
  <c r="AM75" i="1"/>
  <c r="AN82" i="1"/>
  <c r="AO82" i="1"/>
  <c r="AP82" i="1" s="1"/>
  <c r="AM82" i="1"/>
  <c r="AN78" i="1"/>
  <c r="AN12" i="1"/>
  <c r="AM9" i="1"/>
  <c r="AN6" i="1"/>
  <c r="AN3" i="1"/>
  <c r="AN98" i="1"/>
  <c r="AN376" i="1"/>
  <c r="AN357" i="1"/>
  <c r="AN325" i="1"/>
  <c r="AN305" i="1"/>
  <c r="AN299" i="1"/>
  <c r="AN336" i="1"/>
  <c r="AN290" i="1"/>
  <c r="AN286" i="1"/>
  <c r="AN270" i="1"/>
  <c r="AM407" i="1"/>
  <c r="AM406" i="1"/>
  <c r="AN401" i="1"/>
  <c r="AN398" i="1"/>
  <c r="AM396" i="1"/>
  <c r="AM385" i="1"/>
  <c r="AM381" i="1"/>
  <c r="AN377" i="1"/>
  <c r="AN375" i="1"/>
  <c r="AM369" i="1"/>
  <c r="AM365" i="1"/>
  <c r="AM355" i="1"/>
  <c r="AM343" i="1"/>
  <c r="AM331" i="1"/>
  <c r="AM327" i="1"/>
  <c r="AM322" i="1"/>
  <c r="AM317" i="1"/>
  <c r="AN311" i="1"/>
  <c r="AM279" i="1"/>
  <c r="AM275" i="1"/>
  <c r="AM266" i="1"/>
  <c r="AM264" i="1"/>
  <c r="AM261" i="1"/>
  <c r="AM251" i="1"/>
  <c r="AN249" i="1"/>
  <c r="AM247" i="1"/>
  <c r="AM243" i="1"/>
  <c r="AN240" i="1"/>
  <c r="AM232" i="1"/>
  <c r="AN226" i="1"/>
  <c r="AM224" i="1"/>
  <c r="AM222" i="1"/>
  <c r="AN218" i="1"/>
  <c r="AM215" i="1"/>
  <c r="AN213" i="1"/>
  <c r="AM197" i="1"/>
  <c r="AM170" i="1"/>
  <c r="AM162" i="1"/>
  <c r="AM159" i="1"/>
  <c r="AM157" i="1"/>
  <c r="AM155" i="1"/>
  <c r="AN151" i="1"/>
  <c r="AM148" i="1"/>
  <c r="AM146" i="1"/>
  <c r="AM77" i="1"/>
  <c r="AM74" i="1"/>
  <c r="AM15" i="1"/>
  <c r="AM4" i="1"/>
  <c r="AN117" i="1"/>
  <c r="AN406" i="1"/>
  <c r="AN404" i="1"/>
  <c r="AM401" i="1"/>
  <c r="AM213" i="1"/>
  <c r="AM399" i="1"/>
  <c r="AM395" i="1"/>
  <c r="AM393" i="1"/>
  <c r="AN390" i="1"/>
  <c r="AM388" i="1"/>
  <c r="AM382" i="1"/>
  <c r="AN380" i="1"/>
  <c r="AM378" i="1"/>
  <c r="AM366" i="1"/>
  <c r="AM364" i="1"/>
  <c r="AM358" i="1"/>
  <c r="AM356" i="1"/>
  <c r="AM354" i="1"/>
  <c r="AM346" i="1"/>
  <c r="AM340" i="1"/>
  <c r="AM328" i="1"/>
  <c r="AM312" i="1"/>
  <c r="AM294" i="1"/>
  <c r="AM283" i="1"/>
  <c r="AM280" i="1"/>
  <c r="AM276" i="1"/>
  <c r="AM274" i="1"/>
  <c r="AM265" i="1"/>
  <c r="AM263" i="1"/>
  <c r="AM260" i="1"/>
  <c r="AN254" i="1"/>
  <c r="AM252" i="1"/>
  <c r="AN244" i="1"/>
  <c r="AM227" i="1"/>
  <c r="AM223" i="1"/>
  <c r="AM216" i="1"/>
  <c r="AN198" i="1"/>
  <c r="AM180" i="1"/>
  <c r="AM158" i="1"/>
  <c r="AM156" i="1"/>
  <c r="AM153" i="1"/>
  <c r="AM147" i="1"/>
  <c r="AM141" i="1"/>
  <c r="AM137" i="1"/>
  <c r="AM132" i="1"/>
  <c r="AM127" i="1"/>
  <c r="AM125" i="1"/>
  <c r="AM73" i="1"/>
  <c r="AM120" i="1"/>
  <c r="AN396" i="1"/>
  <c r="AO395" i="1"/>
  <c r="AP395" i="1" s="1"/>
  <c r="AM391" i="1"/>
  <c r="AN382" i="1"/>
  <c r="AM374" i="1"/>
  <c r="AM372" i="1"/>
  <c r="AN374" i="1"/>
  <c r="AM367" i="1"/>
  <c r="AM360" i="1"/>
  <c r="AM353" i="1"/>
  <c r="AM352" i="1"/>
  <c r="AM351" i="1"/>
  <c r="AO351" i="1"/>
  <c r="AP351" i="1" s="1"/>
  <c r="AM349" i="1"/>
  <c r="AM347" i="1"/>
  <c r="AM345" i="1"/>
  <c r="AM344" i="1"/>
  <c r="AM342" i="1"/>
  <c r="AM341" i="1"/>
  <c r="AM339" i="1"/>
  <c r="AO339" i="1"/>
  <c r="AP339" i="1" s="1"/>
  <c r="AM337" i="1"/>
  <c r="AM335" i="1"/>
  <c r="AM333" i="1"/>
  <c r="AM330" i="1"/>
  <c r="AM329" i="1"/>
  <c r="AM326" i="1"/>
  <c r="AM324" i="1"/>
  <c r="AM320" i="1"/>
  <c r="AM319" i="1"/>
  <c r="AM318" i="1"/>
  <c r="AN313" i="1"/>
  <c r="AM307" i="1"/>
  <c r="AM309" i="1"/>
  <c r="AM302" i="1"/>
  <c r="AM301" i="1"/>
  <c r="AM300" i="1"/>
  <c r="AM297" i="1"/>
  <c r="AM296" i="1"/>
  <c r="AI128" i="1"/>
  <c r="AM287" i="1"/>
  <c r="AM285" i="1"/>
  <c r="AM282" i="1"/>
  <c r="AM277" i="1"/>
  <c r="AM273" i="1"/>
  <c r="AM271" i="1"/>
  <c r="AM262" i="1"/>
  <c r="AM269" i="1"/>
  <c r="AM268" i="1"/>
  <c r="AM259" i="1"/>
  <c r="AM256" i="1"/>
  <c r="AM242" i="1"/>
  <c r="AM234" i="1"/>
  <c r="AM239" i="1"/>
  <c r="AM238" i="1"/>
  <c r="AM236" i="1"/>
  <c r="AN223" i="1"/>
  <c r="AM210" i="1"/>
  <c r="AM209" i="1"/>
  <c r="AN208" i="1"/>
  <c r="AM207" i="1"/>
  <c r="AM206" i="1"/>
  <c r="AM204" i="1"/>
  <c r="AN207" i="1"/>
  <c r="AO204" i="1"/>
  <c r="AP204" i="1" s="1"/>
  <c r="AN200" i="1"/>
  <c r="AM199" i="1"/>
  <c r="AM193" i="1"/>
  <c r="AM191" i="1"/>
  <c r="AM196" i="1"/>
  <c r="AN194" i="1"/>
  <c r="AN192" i="1"/>
  <c r="AN190" i="1"/>
  <c r="AM188" i="1"/>
  <c r="AN188" i="1"/>
  <c r="AN186" i="1"/>
  <c r="AN193" i="1"/>
  <c r="AN183" i="1"/>
  <c r="AM182" i="1"/>
  <c r="AM179" i="1"/>
  <c r="AM177" i="1"/>
  <c r="AM171" i="1"/>
  <c r="AM174" i="1"/>
  <c r="AM168" i="1"/>
  <c r="AN169" i="1"/>
  <c r="AM167" i="1"/>
  <c r="AN170" i="1"/>
  <c r="AN167" i="1"/>
  <c r="AM164" i="1"/>
  <c r="AM161" i="1"/>
  <c r="AM154" i="1"/>
  <c r="AM152" i="1"/>
  <c r="AM150" i="1"/>
  <c r="AM145" i="1"/>
  <c r="AN144" i="1"/>
  <c r="AM143" i="1"/>
  <c r="AN142" i="1"/>
  <c r="AM135" i="1"/>
  <c r="AM134" i="1"/>
  <c r="AN135" i="1"/>
  <c r="AM130" i="1"/>
  <c r="AN125" i="1"/>
  <c r="AN80" i="1"/>
  <c r="AM76" i="1"/>
  <c r="AO4" i="1"/>
  <c r="AP4" i="1" s="1"/>
  <c r="AI203" i="1"/>
  <c r="AI338" i="1"/>
  <c r="AI292" i="1"/>
  <c r="AI228" i="1"/>
  <c r="AO117" i="1"/>
  <c r="AP117" i="1" s="1"/>
  <c r="AL116" i="1"/>
  <c r="AL96" i="1"/>
  <c r="B94" i="1"/>
  <c r="C94" i="1" s="1"/>
  <c r="AL94" i="1"/>
  <c r="AO94" i="1"/>
  <c r="AP94" i="1" s="1"/>
  <c r="B93" i="1"/>
  <c r="C93" i="1" s="1"/>
  <c r="AL93" i="1"/>
  <c r="AO93" i="1"/>
  <c r="AP93" i="1" s="1"/>
  <c r="AL92" i="1"/>
  <c r="B114" i="1"/>
  <c r="C114" i="1" s="1"/>
  <c r="AL114" i="1"/>
  <c r="AO114" i="1"/>
  <c r="AP114" i="1" s="1"/>
  <c r="B44" i="1"/>
  <c r="C44" i="1" s="1"/>
  <c r="AL44" i="1"/>
  <c r="AO44" i="1"/>
  <c r="AP44" i="1" s="1"/>
  <c r="AT228" i="1" l="1"/>
  <c r="AV228" i="1" s="1"/>
  <c r="AT203" i="1"/>
  <c r="AV203" i="1" s="1"/>
  <c r="AT292" i="1"/>
  <c r="AV292" i="1" s="1"/>
  <c r="AT128" i="1"/>
  <c r="AV128" i="1" s="1"/>
  <c r="AT338" i="1"/>
  <c r="AV338" i="1" s="1"/>
  <c r="AN134" i="1"/>
  <c r="AN127" i="1"/>
  <c r="AN146" i="1"/>
  <c r="AN157" i="1"/>
  <c r="AN162" i="1"/>
  <c r="AN137" i="1"/>
  <c r="AN266" i="1"/>
  <c r="AN241" i="1"/>
  <c r="AM136" i="1"/>
  <c r="AN185" i="1"/>
  <c r="AN332" i="1"/>
  <c r="AN383" i="1"/>
  <c r="AO92" i="1"/>
  <c r="AP92" i="1" s="1"/>
  <c r="AN350" i="1"/>
  <c r="AN284" i="1"/>
  <c r="AM334" i="1"/>
  <c r="AM201" i="1"/>
  <c r="AM233" i="1"/>
  <c r="AM288" i="1"/>
  <c r="AM163" i="1"/>
  <c r="AN141" i="1"/>
  <c r="AN148" i="1"/>
  <c r="AN227" i="1"/>
  <c r="AN265" i="1"/>
  <c r="AN275" i="1"/>
  <c r="AN317" i="1"/>
  <c r="AN369" i="1"/>
  <c r="AM377" i="1"/>
  <c r="AN381" i="1"/>
  <c r="AN239" i="1"/>
  <c r="AN272" i="1"/>
  <c r="AM258" i="1"/>
  <c r="AN160" i="1"/>
  <c r="AM219" i="1"/>
  <c r="AM175" i="1"/>
  <c r="AN343" i="1"/>
  <c r="AN328" i="1"/>
  <c r="AN260" i="1"/>
  <c r="AM255" i="1"/>
  <c r="AN252" i="1"/>
  <c r="AN247" i="1"/>
  <c r="AM240" i="1"/>
  <c r="AN211" i="1"/>
  <c r="AN152" i="1"/>
  <c r="AM198" i="1"/>
  <c r="AN197" i="1"/>
  <c r="AM186" i="1"/>
  <c r="AM178" i="1"/>
  <c r="AN15" i="1"/>
  <c r="AM139" i="1"/>
  <c r="AM3" i="1"/>
  <c r="AN158" i="1"/>
  <c r="AN155" i="1"/>
  <c r="AN126" i="1"/>
  <c r="AM96" i="1"/>
  <c r="AN9" i="1"/>
  <c r="AM12" i="1"/>
  <c r="AN75" i="1"/>
  <c r="AN74" i="1"/>
  <c r="AM78" i="1"/>
  <c r="AM6" i="1"/>
  <c r="AM98" i="1"/>
  <c r="AO96" i="1"/>
  <c r="AP96" i="1" s="1"/>
  <c r="AN94" i="1"/>
  <c r="AM92" i="1"/>
  <c r="AM117" i="1"/>
  <c r="AN120" i="1"/>
  <c r="AN77" i="1"/>
  <c r="AN132" i="1"/>
  <c r="AN153" i="1"/>
  <c r="AN159" i="1"/>
  <c r="AN168" i="1"/>
  <c r="AN180" i="1"/>
  <c r="AN216" i="1"/>
  <c r="AN224" i="1"/>
  <c r="AM254" i="1"/>
  <c r="AN264" i="1"/>
  <c r="AN276" i="1"/>
  <c r="AN283" i="1"/>
  <c r="AM311" i="1"/>
  <c r="AN312" i="1"/>
  <c r="AN327" i="1"/>
  <c r="AN346" i="1"/>
  <c r="AN356" i="1"/>
  <c r="AN364" i="1"/>
  <c r="AN378" i="1"/>
  <c r="AN407" i="1"/>
  <c r="AN4" i="1"/>
  <c r="AM190" i="1"/>
  <c r="AM194" i="1"/>
  <c r="AN222" i="1"/>
  <c r="AN232" i="1"/>
  <c r="AM244" i="1"/>
  <c r="AN262" i="1"/>
  <c r="AN279" i="1"/>
  <c r="AN355" i="1"/>
  <c r="AN365" i="1"/>
  <c r="AM375" i="1"/>
  <c r="AM151" i="1"/>
  <c r="AN73" i="1"/>
  <c r="AN147" i="1"/>
  <c r="AN156" i="1"/>
  <c r="AM249" i="1"/>
  <c r="AN261" i="1"/>
  <c r="AN263" i="1"/>
  <c r="AN274" i="1"/>
  <c r="AN280" i="1"/>
  <c r="AN294" i="1"/>
  <c r="AN322" i="1"/>
  <c r="AN331" i="1"/>
  <c r="AN340" i="1"/>
  <c r="AN354" i="1"/>
  <c r="AN366" i="1"/>
  <c r="AN385" i="1"/>
  <c r="AM218" i="1"/>
  <c r="AM226" i="1"/>
  <c r="AN177" i="1"/>
  <c r="AN182" i="1"/>
  <c r="AM183" i="1"/>
  <c r="AN210" i="1"/>
  <c r="AN234" i="1"/>
  <c r="AN242" i="1"/>
  <c r="AN307" i="1"/>
  <c r="AN320" i="1"/>
  <c r="AN324" i="1"/>
  <c r="AN326" i="1"/>
  <c r="AN329" i="1"/>
  <c r="AN344" i="1"/>
  <c r="AN388" i="1"/>
  <c r="AN215" i="1"/>
  <c r="AM114" i="1"/>
  <c r="AM192" i="1"/>
  <c r="AN209" i="1"/>
  <c r="AN393" i="1"/>
  <c r="AN405" i="1"/>
  <c r="AM405" i="1"/>
  <c r="AM11" i="1"/>
  <c r="AN11" i="1"/>
  <c r="AN166" i="1"/>
  <c r="AM166" i="1"/>
  <c r="AM214" i="1"/>
  <c r="AN214" i="1"/>
  <c r="AN221" i="1"/>
  <c r="AM221" i="1"/>
  <c r="AM225" i="1"/>
  <c r="AN225" i="1"/>
  <c r="AN229" i="1"/>
  <c r="AM229" i="1"/>
  <c r="AM248" i="1"/>
  <c r="AN248" i="1"/>
  <c r="AN257" i="1"/>
  <c r="AM257" i="1"/>
  <c r="AM306" i="1"/>
  <c r="AN306" i="1"/>
  <c r="AN316" i="1"/>
  <c r="AM316" i="1"/>
  <c r="AN384" i="1"/>
  <c r="AM384" i="1"/>
  <c r="AN397" i="1"/>
  <c r="AM397" i="1"/>
  <c r="AM402" i="1"/>
  <c r="AN402" i="1"/>
  <c r="AN395" i="1"/>
  <c r="AN181" i="1"/>
  <c r="AM181" i="1"/>
  <c r="AM314" i="1"/>
  <c r="AN314" i="1"/>
  <c r="AM379" i="1"/>
  <c r="AN379" i="1"/>
  <c r="AM389" i="1"/>
  <c r="AN389" i="1"/>
  <c r="AN251" i="1"/>
  <c r="AM380" i="1"/>
  <c r="AM390" i="1"/>
  <c r="AM44" i="1"/>
  <c r="AN130" i="1"/>
  <c r="AN145" i="1"/>
  <c r="AN179" i="1"/>
  <c r="AN301" i="1"/>
  <c r="AN212" i="1"/>
  <c r="AM212" i="1"/>
  <c r="AM231" i="1"/>
  <c r="AN231" i="1"/>
  <c r="AN246" i="1"/>
  <c r="AM246" i="1"/>
  <c r="AM250" i="1"/>
  <c r="AN250" i="1"/>
  <c r="AM304" i="1"/>
  <c r="AN304" i="1"/>
  <c r="AM386" i="1"/>
  <c r="AN386" i="1"/>
  <c r="AN358" i="1"/>
  <c r="AN399" i="1"/>
  <c r="AM220" i="1"/>
  <c r="AN220" i="1"/>
  <c r="AM230" i="1"/>
  <c r="AN230" i="1"/>
  <c r="AN363" i="1"/>
  <c r="AM363" i="1"/>
  <c r="AN387" i="1"/>
  <c r="AM387" i="1"/>
  <c r="AM392" i="1"/>
  <c r="AN392" i="1"/>
  <c r="AN403" i="1"/>
  <c r="AM403" i="1"/>
  <c r="AN243" i="1"/>
  <c r="AM398" i="1"/>
  <c r="AM400" i="1"/>
  <c r="AN400" i="1"/>
  <c r="AN391" i="1"/>
  <c r="AN373" i="1"/>
  <c r="AM373" i="1"/>
  <c r="AN372" i="1"/>
  <c r="AM371" i="1"/>
  <c r="AN371" i="1"/>
  <c r="AM368" i="1"/>
  <c r="AN368" i="1"/>
  <c r="AN367" i="1"/>
  <c r="AM361" i="1"/>
  <c r="AN361" i="1"/>
  <c r="AN360" i="1"/>
  <c r="AM359" i="1"/>
  <c r="AN359" i="1"/>
  <c r="AN353" i="1"/>
  <c r="AN352" i="1"/>
  <c r="AN351" i="1"/>
  <c r="AN349" i="1"/>
  <c r="AN348" i="1"/>
  <c r="AM348" i="1"/>
  <c r="AN347" i="1"/>
  <c r="AN345" i="1"/>
  <c r="AN342" i="1"/>
  <c r="AN341" i="1"/>
  <c r="AN339" i="1"/>
  <c r="AN337" i="1"/>
  <c r="AN335" i="1"/>
  <c r="AN333" i="1"/>
  <c r="AN330" i="1"/>
  <c r="AN323" i="1"/>
  <c r="AM323" i="1"/>
  <c r="AN318" i="1"/>
  <c r="AN319" i="1"/>
  <c r="AM315" i="1"/>
  <c r="AN315" i="1"/>
  <c r="AM313" i="1"/>
  <c r="AM310" i="1"/>
  <c r="AN310" i="1"/>
  <c r="AN309" i="1"/>
  <c r="AM308" i="1"/>
  <c r="AN308" i="1"/>
  <c r="AN302" i="1"/>
  <c r="AN300" i="1"/>
  <c r="AM298" i="1"/>
  <c r="AN298" i="1"/>
  <c r="AN297" i="1"/>
  <c r="AN296" i="1"/>
  <c r="AM293" i="1"/>
  <c r="AN293" i="1"/>
  <c r="AN291" i="1"/>
  <c r="AM291" i="1"/>
  <c r="AM289" i="1"/>
  <c r="AN289" i="1"/>
  <c r="AN287" i="1"/>
  <c r="AN285" i="1"/>
  <c r="AN282" i="1"/>
  <c r="AM278" i="1"/>
  <c r="AN278" i="1"/>
  <c r="AN277" i="1"/>
  <c r="AN273" i="1"/>
  <c r="AN271" i="1"/>
  <c r="AN269" i="1"/>
  <c r="AN268" i="1"/>
  <c r="AM267" i="1"/>
  <c r="AN267" i="1"/>
  <c r="AN259" i="1"/>
  <c r="AN256" i="1"/>
  <c r="AN238" i="1"/>
  <c r="AM237" i="1"/>
  <c r="AN237" i="1"/>
  <c r="AN236" i="1"/>
  <c r="AM235" i="1"/>
  <c r="AN235" i="1"/>
  <c r="AN206" i="1"/>
  <c r="AN204" i="1"/>
  <c r="AM208" i="1"/>
  <c r="AM205" i="1"/>
  <c r="AN205" i="1"/>
  <c r="AN202" i="1"/>
  <c r="AM202" i="1"/>
  <c r="AN199" i="1"/>
  <c r="AM200" i="1"/>
  <c r="AN191" i="1"/>
  <c r="AM195" i="1"/>
  <c r="AN195" i="1"/>
  <c r="AN196" i="1"/>
  <c r="AM189" i="1"/>
  <c r="AN189" i="1"/>
  <c r="AM187" i="1"/>
  <c r="AN187" i="1"/>
  <c r="AM184" i="1"/>
  <c r="AN184" i="1"/>
  <c r="AM176" i="1"/>
  <c r="AN176" i="1"/>
  <c r="AN174" i="1"/>
  <c r="AN171" i="1"/>
  <c r="AM172" i="1"/>
  <c r="AN172" i="1"/>
  <c r="AM169" i="1"/>
  <c r="AN164" i="1"/>
  <c r="AN161" i="1"/>
  <c r="AN154" i="1"/>
  <c r="AN150" i="1"/>
  <c r="AM144" i="1"/>
  <c r="AN143" i="1"/>
  <c r="AM142" i="1"/>
  <c r="AM140" i="1"/>
  <c r="AN140" i="1"/>
  <c r="AM138" i="1"/>
  <c r="AN138" i="1"/>
  <c r="AM133" i="1"/>
  <c r="AN133" i="1"/>
  <c r="AM131" i="1"/>
  <c r="AN131" i="1"/>
  <c r="AM129" i="1"/>
  <c r="AN129" i="1"/>
  <c r="AM84" i="1"/>
  <c r="AN84" i="1"/>
  <c r="AM80" i="1"/>
  <c r="AN76" i="1"/>
  <c r="AM13" i="1"/>
  <c r="AN13" i="1"/>
  <c r="AM10" i="1"/>
  <c r="AN10" i="1"/>
  <c r="AM7" i="1"/>
  <c r="AN7" i="1"/>
  <c r="AN96" i="1"/>
  <c r="AN116" i="1"/>
  <c r="AO116" i="1"/>
  <c r="AP116" i="1" s="1"/>
  <c r="AN114" i="1"/>
  <c r="AN92" i="1"/>
  <c r="AM93" i="1"/>
  <c r="AN44" i="1" l="1"/>
  <c r="AM94" i="1"/>
  <c r="AM116" i="1"/>
  <c r="AN93" i="1"/>
  <c r="AL46" i="1"/>
  <c r="AM46" i="1" l="1"/>
  <c r="AN46" i="1"/>
  <c r="AO46" i="1"/>
  <c r="AP46" i="1" s="1"/>
  <c r="B47" i="1"/>
  <c r="C47" i="1" s="1"/>
  <c r="AL47" i="1" l="1"/>
  <c r="AO47" i="1"/>
  <c r="AP47" i="1" s="1"/>
  <c r="B48" i="1"/>
  <c r="C48" i="1" s="1"/>
  <c r="AM47" i="1" l="1"/>
  <c r="AN47" i="1" l="1"/>
  <c r="AL48" i="1"/>
  <c r="AO48" i="1"/>
  <c r="AP48" i="1" s="1"/>
  <c r="B49" i="1"/>
  <c r="C49" i="1" s="1"/>
  <c r="AM48" i="1" l="1"/>
  <c r="AN48" i="1" l="1"/>
  <c r="AL49" i="1"/>
  <c r="AO49" i="1"/>
  <c r="AP49" i="1" s="1"/>
  <c r="B50" i="1"/>
  <c r="C50" i="1" s="1"/>
  <c r="AM49" i="1" l="1"/>
  <c r="AN49" i="1" l="1"/>
  <c r="AL50" i="1"/>
  <c r="AO50" i="1"/>
  <c r="AP50" i="1" s="1"/>
  <c r="B51" i="1"/>
  <c r="C51" i="1" s="1"/>
  <c r="AM50" i="1" l="1"/>
  <c r="AN50" i="1" l="1"/>
  <c r="AL51" i="1"/>
  <c r="AO51" i="1"/>
  <c r="AP51" i="1" s="1"/>
  <c r="B52" i="1"/>
  <c r="C52" i="1" s="1"/>
  <c r="AL52" i="1"/>
  <c r="AO52" i="1"/>
  <c r="AP52" i="1" s="1"/>
  <c r="AL54" i="1"/>
  <c r="B55" i="1"/>
  <c r="C55" i="1" s="1"/>
  <c r="AL55" i="1"/>
  <c r="AO55" i="1"/>
  <c r="AP55" i="1" s="1"/>
  <c r="B56" i="1"/>
  <c r="C56" i="1" s="1"/>
  <c r="AO54" i="1" l="1"/>
  <c r="AP54" i="1" s="1"/>
  <c r="AN55" i="1"/>
  <c r="AM52" i="1"/>
  <c r="AM51" i="1"/>
  <c r="AM54" i="1"/>
  <c r="AL56" i="1"/>
  <c r="AO56" i="1"/>
  <c r="AP56" i="1" s="1"/>
  <c r="AN51" i="1" l="1"/>
  <c r="AN52" i="1"/>
  <c r="AN54" i="1"/>
  <c r="AM55" i="1"/>
  <c r="AM56" i="1"/>
  <c r="B57" i="1"/>
  <c r="C57" i="1" s="1"/>
  <c r="AN56" i="1" l="1"/>
  <c r="AL57" i="1"/>
  <c r="AO57" i="1"/>
  <c r="AP57" i="1" s="1"/>
  <c r="AM57" i="1" l="1"/>
  <c r="AL59" i="1"/>
  <c r="AO59" i="1" l="1"/>
  <c r="AP59" i="1" s="1"/>
  <c r="AN57" i="1"/>
  <c r="AM59" i="1"/>
  <c r="AN59" i="1" l="1"/>
  <c r="AL60" i="1"/>
  <c r="AN60" i="1" l="1"/>
  <c r="AO60" i="1"/>
  <c r="AP60" i="1" s="1"/>
  <c r="AM60" i="1"/>
  <c r="B61" i="1"/>
  <c r="C61" i="1" s="1"/>
  <c r="AL61" i="1" l="1"/>
  <c r="AO61" i="1"/>
  <c r="AP61" i="1" s="1"/>
  <c r="AM61" i="1" l="1"/>
  <c r="AN61" i="1"/>
  <c r="B62" i="1"/>
  <c r="C62" i="1" s="1"/>
  <c r="AL62" i="1"/>
  <c r="AO62" i="1"/>
  <c r="AP62" i="1" s="1"/>
  <c r="AM62" i="1" l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L63" i="1"/>
  <c r="AL64" i="1"/>
  <c r="AL66" i="1"/>
  <c r="AL67" i="1"/>
  <c r="AL68" i="1"/>
  <c r="AL69" i="1"/>
  <c r="AL70" i="1"/>
  <c r="AL71" i="1"/>
  <c r="AL102" i="1"/>
  <c r="AL86" i="1"/>
  <c r="AL87" i="1"/>
  <c r="AL88" i="1"/>
  <c r="AL90" i="1"/>
  <c r="AL104" i="1"/>
  <c r="AL17" i="1"/>
  <c r="AL20" i="1"/>
  <c r="AL22" i="1"/>
  <c r="AL24" i="1"/>
  <c r="AL26" i="1"/>
  <c r="AL27" i="1"/>
  <c r="AL29" i="1"/>
  <c r="AL31" i="1"/>
  <c r="AL33" i="1"/>
  <c r="AL34" i="1"/>
  <c r="AL36" i="1"/>
  <c r="AL38" i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20" i="1"/>
  <c r="AP20" i="1" s="1"/>
  <c r="AO27" i="1"/>
  <c r="AP27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17" i="1" l="1"/>
  <c r="AP17" i="1" s="1"/>
  <c r="AO33" i="1"/>
  <c r="AP33" i="1" s="1"/>
  <c r="AO26" i="1"/>
  <c r="AP26" i="1" s="1"/>
  <c r="AO29" i="1"/>
  <c r="AP29" i="1" s="1"/>
  <c r="AO22" i="1"/>
  <c r="AP22" i="1" s="1"/>
  <c r="AO88" i="1"/>
  <c r="AP88" i="1" s="1"/>
  <c r="AO38" i="1"/>
  <c r="AP38" i="1" s="1"/>
  <c r="AO31" i="1"/>
  <c r="AP31" i="1" s="1"/>
  <c r="AO24" i="1"/>
  <c r="AP24" i="1" s="1"/>
  <c r="AO90" i="1"/>
  <c r="AP90" i="1" s="1"/>
  <c r="AO66" i="1"/>
  <c r="AP66" i="1" s="1"/>
  <c r="AO63" i="1"/>
  <c r="AP63" i="1" s="1"/>
  <c r="AO36" i="1"/>
  <c r="AP36" i="1" s="1"/>
  <c r="AM36" i="1"/>
  <c r="AM20" i="1"/>
  <c r="AM87" i="1"/>
  <c r="AN62" i="1"/>
  <c r="AM43" i="1"/>
  <c r="AM41" i="1"/>
  <c r="AN39" i="1"/>
  <c r="AN42" i="1"/>
  <c r="AM40" i="1"/>
  <c r="AN38" i="1"/>
  <c r="AN43" i="1"/>
  <c r="AM22" i="1"/>
  <c r="AM104" i="1"/>
  <c r="AN88" i="1"/>
  <c r="AN86" i="1"/>
  <c r="AM71" i="1"/>
  <c r="AM69" i="1"/>
  <c r="AN67" i="1"/>
  <c r="AN64" i="1"/>
  <c r="AM24" i="1"/>
  <c r="AM17" i="1"/>
  <c r="AM90" i="1"/>
  <c r="AM102" i="1"/>
  <c r="AM70" i="1"/>
  <c r="AM68" i="1"/>
  <c r="AM66" i="1"/>
  <c r="AM63" i="1"/>
  <c r="AN34" i="1"/>
  <c r="AN31" i="1"/>
  <c r="AN27" i="1"/>
  <c r="AM29" i="1"/>
  <c r="AM26" i="1"/>
  <c r="AN40" i="1"/>
  <c r="AN102" i="1" l="1"/>
  <c r="AM42" i="1"/>
  <c r="AN104" i="1"/>
  <c r="AN20" i="1"/>
  <c r="AN68" i="1"/>
  <c r="AN17" i="1"/>
  <c r="AN69" i="1"/>
  <c r="AM39" i="1"/>
  <c r="AN87" i="1"/>
  <c r="AN63" i="1"/>
  <c r="AM31" i="1"/>
  <c r="AM86" i="1"/>
  <c r="AN36" i="1"/>
  <c r="AM64" i="1"/>
  <c r="AM38" i="1"/>
  <c r="AN22" i="1"/>
  <c r="AN41" i="1"/>
  <c r="AN70" i="1"/>
  <c r="AN24" i="1"/>
  <c r="AN66" i="1"/>
  <c r="AN90" i="1"/>
  <c r="AM27" i="1"/>
  <c r="AM34" i="1"/>
  <c r="AN29" i="1"/>
  <c r="AN71" i="1"/>
  <c r="AM88" i="1"/>
  <c r="AM67" i="1"/>
  <c r="AN26" i="1"/>
  <c r="AM33" i="1"/>
  <c r="AN33" i="1"/>
  <c r="G12" i="3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B49" i="13" l="1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F46" i="5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A3" i="1"/>
  <c r="AH3" i="1"/>
  <c r="C4" i="12" l="1"/>
  <c r="H4" i="12"/>
  <c r="F4" i="12"/>
  <c r="D4" i="12"/>
  <c r="C3" i="12"/>
  <c r="F3" i="12"/>
  <c r="H3" i="12"/>
  <c r="G4" i="12"/>
  <c r="E4" i="12"/>
  <c r="E3" i="12"/>
  <c r="G3" i="12"/>
  <c r="D3" i="12"/>
  <c r="D3" i="1"/>
  <c r="A4" i="1"/>
  <c r="A45" i="13" l="1"/>
  <c r="A40" i="13"/>
  <c r="A22" i="13"/>
  <c r="A19" i="13"/>
  <c r="A33" i="13"/>
  <c r="A9" i="13"/>
  <c r="A36" i="13"/>
  <c r="A20" i="13"/>
  <c r="A18" i="13"/>
  <c r="A46" i="13"/>
  <c r="A15" i="13"/>
  <c r="A48" i="13"/>
  <c r="A26" i="13"/>
  <c r="A27" i="13"/>
  <c r="A38" i="13"/>
  <c r="A13" i="13"/>
  <c r="A43" i="13"/>
  <c r="A32" i="13"/>
  <c r="A42" i="13"/>
  <c r="A10" i="13"/>
  <c r="A21" i="13"/>
  <c r="A41" i="13"/>
  <c r="A30" i="13"/>
  <c r="A35" i="13"/>
  <c r="A12" i="13"/>
  <c r="A17" i="13"/>
  <c r="A39" i="13"/>
  <c r="A28" i="13"/>
  <c r="A31" i="13"/>
  <c r="A14" i="13"/>
  <c r="A29" i="13"/>
  <c r="A49" i="13"/>
  <c r="A34" i="13"/>
  <c r="A50" i="13"/>
  <c r="A16" i="13"/>
  <c r="A25" i="13"/>
  <c r="A47" i="13"/>
  <c r="A44" i="13"/>
  <c r="A24" i="13"/>
  <c r="A23" i="13"/>
  <c r="A37" i="13"/>
  <c r="A11" i="13"/>
  <c r="AS3" i="1"/>
  <c r="AI3" i="1"/>
  <c r="A51" i="4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10" i="6"/>
  <c r="A5" i="12"/>
  <c r="A41" i="4"/>
  <c r="A13" i="6"/>
  <c r="A11" i="7"/>
  <c r="J4" i="12"/>
  <c r="J3" i="12"/>
  <c r="A3" i="12"/>
  <c r="A4" i="12"/>
  <c r="AH4" i="1"/>
  <c r="A5" i="1"/>
  <c r="AG3" i="1"/>
  <c r="D4" i="1"/>
  <c r="AK4" i="1" l="1"/>
  <c r="AS4" i="1"/>
  <c r="AT3" i="1"/>
  <c r="AJ5" i="1"/>
  <c r="I3" i="12"/>
  <c r="K3" i="12" s="1"/>
  <c r="L3" i="12" s="1"/>
  <c r="M3" i="12" s="1"/>
  <c r="I4" i="12"/>
  <c r="K4" i="12" s="1"/>
  <c r="AG4" i="1"/>
  <c r="A6" i="1"/>
  <c r="AI4" i="1"/>
  <c r="AU3" i="1" l="1"/>
  <c r="AV3" i="1"/>
  <c r="AT4" i="1"/>
  <c r="L4" i="12"/>
  <c r="M4" i="12" s="1"/>
  <c r="A7" i="1"/>
  <c r="AH6" i="1"/>
  <c r="AH7" i="1"/>
  <c r="A8" i="1"/>
  <c r="D7" i="1"/>
  <c r="D6" i="1"/>
  <c r="AK7" i="1" l="1"/>
  <c r="AS7" i="1"/>
  <c r="AS6" i="1"/>
  <c r="AI6" i="1"/>
  <c r="AU4" i="1"/>
  <c r="AV4" i="1"/>
  <c r="AJ8" i="1"/>
  <c r="AG7" i="1"/>
  <c r="AI7" i="1"/>
  <c r="A9" i="1"/>
  <c r="AG6" i="1"/>
  <c r="AH9" i="1"/>
  <c r="AT6" i="1" l="1"/>
  <c r="AT7" i="1"/>
  <c r="A10" i="1"/>
  <c r="AH10" i="1"/>
  <c r="D9" i="1"/>
  <c r="A11" i="1"/>
  <c r="D10" i="1"/>
  <c r="AI9" i="1" l="1"/>
  <c r="AK10" i="1"/>
  <c r="AV6" i="1"/>
  <c r="AU6" i="1"/>
  <c r="AU7" i="1"/>
  <c r="AV7" i="1"/>
  <c r="AJ11" i="1"/>
  <c r="AI10" i="1"/>
  <c r="AG9" i="1"/>
  <c r="D11" i="1"/>
  <c r="A12" i="1"/>
  <c r="AH11" i="1"/>
  <c r="AG10" i="1"/>
  <c r="AK11" i="1" l="1"/>
  <c r="AJ12" i="1"/>
  <c r="D12" i="1"/>
  <c r="AG11" i="1"/>
  <c r="AH12" i="1"/>
  <c r="AI11" i="1"/>
  <c r="A13" i="1"/>
  <c r="AK12" i="1" l="1"/>
  <c r="D13" i="1"/>
  <c r="AH13" i="1"/>
  <c r="AG12" i="1"/>
  <c r="AI12" i="1"/>
  <c r="A14" i="1"/>
  <c r="AJ14" i="1" l="1"/>
  <c r="AK13" i="1"/>
  <c r="AG13" i="1"/>
  <c r="AI13" i="1"/>
  <c r="A15" i="1"/>
  <c r="D15" i="1" s="1"/>
  <c r="A16" i="1"/>
  <c r="AH15" i="1"/>
  <c r="AS15" i="1" l="1"/>
  <c r="AI15" i="1"/>
  <c r="AJ16" i="1"/>
  <c r="B33" i="4"/>
  <c r="B34" i="4"/>
  <c r="AG15" i="1"/>
  <c r="A17" i="1"/>
  <c r="AT15" i="1" l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H17" i="1"/>
  <c r="D17" i="1"/>
  <c r="A18" i="1"/>
  <c r="AS17" i="1" l="1"/>
  <c r="AI17" i="1"/>
  <c r="AJ18" i="1"/>
  <c r="AV15" i="1"/>
  <c r="AU15" i="1"/>
  <c r="K33" i="4"/>
  <c r="L33" i="4" s="1"/>
  <c r="M33" i="4" s="1"/>
  <c r="A33" i="4"/>
  <c r="A34" i="4"/>
  <c r="K34" i="4"/>
  <c r="L34" i="4" s="1"/>
  <c r="M34" i="4" s="1"/>
  <c r="F35" i="4"/>
  <c r="I35" i="4"/>
  <c r="E35" i="4"/>
  <c r="C35" i="4"/>
  <c r="H35" i="4"/>
  <c r="J35" i="4"/>
  <c r="G35" i="4"/>
  <c r="D35" i="4"/>
  <c r="AG17" i="1"/>
  <c r="AT17" i="1" l="1"/>
  <c r="B4" i="6"/>
  <c r="G4" i="6" s="1"/>
  <c r="A35" i="4"/>
  <c r="K35" i="4"/>
  <c r="L35" i="4" s="1"/>
  <c r="M35" i="4" s="1"/>
  <c r="AU17" i="1" l="1"/>
  <c r="AV17" i="1"/>
  <c r="F4" i="6"/>
  <c r="D4" i="6"/>
  <c r="C4" i="6"/>
  <c r="A4" i="6" s="1"/>
  <c r="H4" i="6"/>
  <c r="E4" i="6"/>
  <c r="J4" i="6"/>
  <c r="D125" i="1" l="1"/>
  <c r="AS125" i="1" s="1"/>
  <c r="AG125" i="1" l="1"/>
  <c r="AU125" i="1"/>
  <c r="AC125" i="1"/>
  <c r="AD125" i="1"/>
  <c r="AI125" i="1"/>
  <c r="AT125" i="1" l="1"/>
  <c r="AV125" i="1" s="1"/>
  <c r="D135" i="1" l="1"/>
  <c r="AS135" i="1" s="1"/>
  <c r="AG135" i="1" l="1"/>
  <c r="AU135" i="1"/>
  <c r="AC135" i="1"/>
  <c r="AD135" i="1"/>
  <c r="AI135" i="1" l="1"/>
  <c r="AT135" i="1" s="1"/>
  <c r="AV135" i="1" s="1"/>
  <c r="D145" i="1" l="1"/>
  <c r="AS145" i="1" s="1"/>
  <c r="AG145" i="1" l="1"/>
  <c r="AU145" i="1"/>
  <c r="AC145" i="1"/>
  <c r="AD145" i="1"/>
  <c r="D150" i="1" l="1"/>
  <c r="AS150" i="1" s="1"/>
  <c r="AG150" i="1" l="1"/>
  <c r="AU150" i="1"/>
  <c r="AC150" i="1"/>
  <c r="AD150" i="1"/>
  <c r="AI150" i="1"/>
  <c r="AI145" i="1"/>
  <c r="AT145" i="1" s="1"/>
  <c r="AV145" i="1" s="1"/>
  <c r="AT150" i="1" l="1"/>
  <c r="AV150" i="1" s="1"/>
  <c r="D161" i="1" l="1"/>
  <c r="AS161" i="1" s="1"/>
  <c r="AG161" i="1" l="1"/>
  <c r="AU161" i="1"/>
  <c r="AC161" i="1"/>
  <c r="AD161" i="1"/>
  <c r="AI161" i="1"/>
  <c r="AT161" i="1" l="1"/>
  <c r="AV161" i="1" s="1"/>
  <c r="D169" i="1" l="1"/>
  <c r="AS169" i="1" s="1"/>
  <c r="AG169" i="1" l="1"/>
  <c r="AU169" i="1"/>
  <c r="AC169" i="1"/>
  <c r="AD169" i="1"/>
  <c r="AI169" i="1" l="1"/>
  <c r="AT169" i="1" s="1"/>
  <c r="AV169" i="1" s="1"/>
  <c r="D179" i="1" l="1"/>
  <c r="AS179" i="1" s="1"/>
  <c r="AG179" i="1" l="1"/>
  <c r="AU179" i="1"/>
  <c r="AC179" i="1"/>
  <c r="AD179" i="1"/>
  <c r="AI179" i="1"/>
  <c r="AT179" i="1" l="1"/>
  <c r="AV179" i="1" s="1"/>
  <c r="D188" i="1" l="1"/>
  <c r="AS188" i="1" s="1"/>
  <c r="AG188" i="1" l="1"/>
  <c r="AU188" i="1"/>
  <c r="AC188" i="1"/>
  <c r="AD188" i="1"/>
  <c r="AI188" i="1"/>
  <c r="AT188" i="1" l="1"/>
  <c r="AV188" i="1" s="1"/>
  <c r="D194" i="1"/>
  <c r="AS194" i="1" s="1"/>
  <c r="AG194" i="1" l="1"/>
  <c r="AU194" i="1"/>
  <c r="AC194" i="1"/>
  <c r="AD194" i="1"/>
  <c r="AI194" i="1" l="1"/>
  <c r="AT194" i="1" s="1"/>
  <c r="AV194" i="1" s="1"/>
  <c r="D213" i="1" l="1"/>
  <c r="AS213" i="1" s="1"/>
  <c r="AG213" i="1" l="1"/>
  <c r="AU213" i="1"/>
  <c r="AC213" i="1"/>
  <c r="AD213" i="1"/>
  <c r="AI213" i="1"/>
  <c r="D215" i="1"/>
  <c r="AS215" i="1" s="1"/>
  <c r="AG215" i="1" l="1"/>
  <c r="AU215" i="1"/>
  <c r="AC215" i="1"/>
  <c r="AD215" i="1"/>
  <c r="AT213" i="1"/>
  <c r="AV213" i="1" s="1"/>
  <c r="D218" i="1"/>
  <c r="AS218" i="1" s="1"/>
  <c r="AG218" i="1" l="1"/>
  <c r="AU218" i="1"/>
  <c r="AC218" i="1"/>
  <c r="AD218" i="1"/>
  <c r="AI215" i="1"/>
  <c r="AT215" i="1" s="1"/>
  <c r="AV215" i="1" s="1"/>
  <c r="D220" i="1"/>
  <c r="AS220" i="1" s="1"/>
  <c r="AG220" i="1" l="1"/>
  <c r="AU220" i="1"/>
  <c r="AC220" i="1"/>
  <c r="AD220" i="1"/>
  <c r="AI220" i="1"/>
  <c r="AI218" i="1"/>
  <c r="AT218" i="1" s="1"/>
  <c r="AV218" i="1" s="1"/>
  <c r="D222" i="1"/>
  <c r="AS222" i="1" s="1"/>
  <c r="AG222" i="1" l="1"/>
  <c r="AU222" i="1"/>
  <c r="AC222" i="1"/>
  <c r="AD222" i="1"/>
  <c r="AT220" i="1"/>
  <c r="AV220" i="1" s="1"/>
  <c r="D224" i="1" l="1"/>
  <c r="AS224" i="1" s="1"/>
  <c r="AI222" i="1"/>
  <c r="AT222" i="1" s="1"/>
  <c r="AV222" i="1" s="1"/>
  <c r="AG224" i="1" l="1"/>
  <c r="AU224" i="1"/>
  <c r="AC224" i="1"/>
  <c r="AD224" i="1"/>
  <c r="AI224" i="1"/>
  <c r="AT224" i="1" l="1"/>
  <c r="AV224" i="1" s="1"/>
  <c r="D235" i="1" l="1"/>
  <c r="AS235" i="1" s="1"/>
  <c r="AG235" i="1" l="1"/>
  <c r="AU235" i="1"/>
  <c r="AC235" i="1"/>
  <c r="AD235" i="1"/>
  <c r="AI235" i="1"/>
  <c r="AT235" i="1" l="1"/>
  <c r="AV235" i="1" s="1"/>
  <c r="D243" i="1" l="1"/>
  <c r="AS243" i="1" s="1"/>
  <c r="AG243" i="1" l="1"/>
  <c r="AU243" i="1"/>
  <c r="AC243" i="1"/>
  <c r="AD243" i="1"/>
  <c r="D246" i="1"/>
  <c r="AS246" i="1" s="1"/>
  <c r="AI243" i="1"/>
  <c r="AG246" i="1" l="1"/>
  <c r="AU246" i="1"/>
  <c r="AC246" i="1"/>
  <c r="AD246" i="1"/>
  <c r="AT243" i="1"/>
  <c r="AV243" i="1" s="1"/>
  <c r="AI246" i="1"/>
  <c r="AT246" i="1" l="1"/>
  <c r="AV246" i="1" s="1"/>
  <c r="D254" i="1"/>
  <c r="AS254" i="1" s="1"/>
  <c r="AG254" i="1" l="1"/>
  <c r="AU254" i="1"/>
  <c r="AC254" i="1"/>
  <c r="AD254" i="1"/>
  <c r="AI254" i="1"/>
  <c r="AT254" i="1" l="1"/>
  <c r="AV254" i="1" s="1"/>
  <c r="D267" i="1" l="1"/>
  <c r="AS267" i="1" s="1"/>
  <c r="AG267" i="1" l="1"/>
  <c r="AU267" i="1"/>
  <c r="AC267" i="1"/>
  <c r="AD267" i="1"/>
  <c r="AI267" i="1" l="1"/>
  <c r="AT267" i="1" s="1"/>
  <c r="AV267" i="1" s="1"/>
  <c r="D277" i="1"/>
  <c r="AS277" i="1" s="1"/>
  <c r="AG277" i="1" l="1"/>
  <c r="AU277" i="1"/>
  <c r="AC277" i="1"/>
  <c r="AD277" i="1"/>
  <c r="AI277" i="1" l="1"/>
  <c r="AT277" i="1" s="1"/>
  <c r="AV277" i="1" s="1"/>
  <c r="D289" i="1" l="1"/>
  <c r="AS289" i="1" s="1"/>
  <c r="AG289" i="1" l="1"/>
  <c r="AU289" i="1"/>
  <c r="AC289" i="1"/>
  <c r="AD289" i="1"/>
  <c r="AI289" i="1"/>
  <c r="AT289" i="1" l="1"/>
  <c r="AV289" i="1" s="1"/>
  <c r="D304" i="1" l="1"/>
  <c r="AS304" i="1" s="1"/>
  <c r="AG304" i="1" l="1"/>
  <c r="AU304" i="1"/>
  <c r="AC304" i="1"/>
  <c r="AD304" i="1"/>
  <c r="AI304" i="1"/>
  <c r="AT304" i="1" l="1"/>
  <c r="AV304" i="1" s="1"/>
  <c r="D310" i="1" l="1"/>
  <c r="AS310" i="1" s="1"/>
  <c r="AG310" i="1" l="1"/>
  <c r="AU310" i="1"/>
  <c r="AC310" i="1"/>
  <c r="AD310" i="1"/>
  <c r="AI310" i="1"/>
  <c r="D314" i="1"/>
  <c r="AS314" i="1" s="1"/>
  <c r="AG314" i="1" l="1"/>
  <c r="AU314" i="1"/>
  <c r="AC314" i="1"/>
  <c r="AD314" i="1"/>
  <c r="AT310" i="1"/>
  <c r="AV310" i="1" s="1"/>
  <c r="AI314" i="1"/>
  <c r="D316" i="1"/>
  <c r="AS316" i="1" s="1"/>
  <c r="AG316" i="1" l="1"/>
  <c r="AU316" i="1"/>
  <c r="AC316" i="1"/>
  <c r="AD316" i="1"/>
  <c r="AT314" i="1"/>
  <c r="AV314" i="1" s="1"/>
  <c r="D318" i="1"/>
  <c r="AS318" i="1" s="1"/>
  <c r="D320" i="1"/>
  <c r="AS320" i="1" s="1"/>
  <c r="D323" i="1"/>
  <c r="AS323" i="1" s="1"/>
  <c r="D331" i="1"/>
  <c r="AS331" i="1" s="1"/>
  <c r="AG320" i="1" l="1"/>
  <c r="AU320" i="1"/>
  <c r="AG318" i="1"/>
  <c r="AU318" i="1"/>
  <c r="AG331" i="1"/>
  <c r="AU331" i="1"/>
  <c r="AG323" i="1"/>
  <c r="AU323" i="1"/>
  <c r="AC331" i="1"/>
  <c r="AD331" i="1"/>
  <c r="AC318" i="1"/>
  <c r="AD318" i="1"/>
  <c r="AC323" i="1"/>
  <c r="AD323" i="1"/>
  <c r="AC320" i="1"/>
  <c r="AD320" i="1"/>
  <c r="AI323" i="1"/>
  <c r="AI318" i="1"/>
  <c r="AT323" i="1" l="1"/>
  <c r="AV323" i="1" s="1"/>
  <c r="AT318" i="1"/>
  <c r="AV318" i="1" s="1"/>
  <c r="D345" i="1" l="1"/>
  <c r="AS345" i="1" s="1"/>
  <c r="AG345" i="1" l="1"/>
  <c r="AU345" i="1"/>
  <c r="AC345" i="1"/>
  <c r="AD345" i="1"/>
  <c r="AI345" i="1"/>
  <c r="AT345" i="1" l="1"/>
  <c r="AV345" i="1" s="1"/>
  <c r="D351" i="1"/>
  <c r="AS351" i="1" s="1"/>
  <c r="AG351" i="1" l="1"/>
  <c r="AU351" i="1"/>
  <c r="AC351" i="1"/>
  <c r="AD351" i="1"/>
  <c r="AI351" i="1"/>
  <c r="AT351" i="1" l="1"/>
  <c r="AV351" i="1" s="1"/>
  <c r="D359" i="1" l="1"/>
  <c r="AS359" i="1" s="1"/>
  <c r="AG359" i="1" l="1"/>
  <c r="AU359" i="1"/>
  <c r="AC359" i="1"/>
  <c r="AD359" i="1"/>
  <c r="AI359" i="1"/>
  <c r="D372" i="1"/>
  <c r="AS372" i="1" s="1"/>
  <c r="D375" i="1"/>
  <c r="AS375" i="1" s="1"/>
  <c r="D379" i="1"/>
  <c r="AS379" i="1" s="1"/>
  <c r="D382" i="1"/>
  <c r="AS382" i="1" s="1"/>
  <c r="D388" i="1"/>
  <c r="AS388" i="1" s="1"/>
  <c r="D393" i="1"/>
  <c r="AS393" i="1" s="1"/>
  <c r="D395" i="1"/>
  <c r="AS395" i="1" s="1"/>
  <c r="AG393" i="1" l="1"/>
  <c r="AU393" i="1"/>
  <c r="AG388" i="1"/>
  <c r="AU388" i="1"/>
  <c r="AG372" i="1"/>
  <c r="AU372" i="1"/>
  <c r="AG382" i="1"/>
  <c r="AU382" i="1"/>
  <c r="AG395" i="1"/>
  <c r="AU395" i="1"/>
  <c r="AG379" i="1"/>
  <c r="AU379" i="1"/>
  <c r="AG375" i="1"/>
  <c r="AU375" i="1"/>
  <c r="AC375" i="1"/>
  <c r="AD375" i="1"/>
  <c r="AC395" i="1"/>
  <c r="AD395" i="1"/>
  <c r="AC393" i="1"/>
  <c r="AD393" i="1"/>
  <c r="AC388" i="1"/>
  <c r="AD388" i="1"/>
  <c r="AC382" i="1"/>
  <c r="AD382" i="1"/>
  <c r="AC379" i="1"/>
  <c r="AD379" i="1"/>
  <c r="AC372" i="1"/>
  <c r="AD372" i="1"/>
  <c r="AT359" i="1"/>
  <c r="AV359" i="1" s="1"/>
  <c r="AI395" i="1"/>
  <c r="D398" i="1"/>
  <c r="AS398" i="1" s="1"/>
  <c r="AI372" i="1"/>
  <c r="AG398" i="1" l="1"/>
  <c r="AU398" i="1"/>
  <c r="AC398" i="1"/>
  <c r="AD398" i="1"/>
  <c r="AT372" i="1"/>
  <c r="AV372" i="1" s="1"/>
  <c r="AT395" i="1"/>
  <c r="AV395" i="1" s="1"/>
  <c r="AI379" i="1"/>
  <c r="AT379" i="1" s="1"/>
  <c r="AV379" i="1" s="1"/>
  <c r="AI398" i="1"/>
  <c r="D400" i="1"/>
  <c r="AS400" i="1" s="1"/>
  <c r="AG400" i="1" l="1"/>
  <c r="AU400" i="1"/>
  <c r="AC400" i="1"/>
  <c r="AD400" i="1"/>
  <c r="AT398" i="1"/>
  <c r="AV398" i="1" s="1"/>
  <c r="AI331" i="1" l="1"/>
  <c r="AT331" i="1" s="1"/>
  <c r="AV331" i="1" s="1"/>
  <c r="AI388" i="1"/>
  <c r="AT388" i="1" s="1"/>
  <c r="AV388" i="1" s="1"/>
  <c r="AI375" i="1"/>
  <c r="AT375" i="1" s="1"/>
  <c r="AV375" i="1" s="1"/>
  <c r="AI400" i="1"/>
  <c r="AT400" i="1" s="1"/>
  <c r="AV400" i="1" s="1"/>
  <c r="AI382" i="1" l="1"/>
  <c r="AT382" i="1" s="1"/>
  <c r="AV382" i="1" s="1"/>
  <c r="D403" i="1" l="1"/>
  <c r="AS403" i="1" s="1"/>
  <c r="AG403" i="1" l="1"/>
  <c r="AU403" i="1"/>
  <c r="AC403" i="1"/>
  <c r="AD403" i="1"/>
  <c r="AI403" i="1"/>
  <c r="AT403" i="1" l="1"/>
  <c r="AV403" i="1" s="1"/>
  <c r="AI393" i="1" l="1"/>
  <c r="AT393" i="1" s="1"/>
  <c r="AV393" i="1" s="1"/>
  <c r="D412" i="1" l="1"/>
  <c r="AS412" i="1" s="1"/>
  <c r="AG412" i="1" l="1"/>
  <c r="AU412" i="1"/>
  <c r="AC412" i="1"/>
  <c r="AD412" i="1"/>
  <c r="D417" i="1"/>
  <c r="AS417" i="1" s="1"/>
  <c r="D419" i="1"/>
  <c r="AS419" i="1" s="1"/>
  <c r="AG419" i="1" l="1"/>
  <c r="AU419" i="1"/>
  <c r="AG417" i="1"/>
  <c r="AU417" i="1"/>
  <c r="AC419" i="1"/>
  <c r="AD419" i="1"/>
  <c r="AC417" i="1"/>
  <c r="AD417" i="1"/>
  <c r="AI417" i="1"/>
  <c r="AT417" i="1" l="1"/>
  <c r="AV417" i="1" s="1"/>
  <c r="AI419" i="1"/>
  <c r="AT419" i="1" s="1"/>
  <c r="AV419" i="1" s="1"/>
  <c r="D421" i="1" l="1"/>
  <c r="AS421" i="1" s="1"/>
  <c r="AI412" i="1"/>
  <c r="AT412" i="1" s="1"/>
  <c r="AV412" i="1" s="1"/>
  <c r="AG421" i="1" l="1"/>
  <c r="AU421" i="1"/>
  <c r="AC421" i="1"/>
  <c r="AD421" i="1"/>
  <c r="AI421" i="1"/>
  <c r="AT421" i="1" l="1"/>
  <c r="AV421" i="1" s="1"/>
  <c r="I4" i="6" l="1"/>
  <c r="K4" i="6" s="1"/>
  <c r="L4" i="6" s="1"/>
  <c r="M4" i="6" s="1"/>
  <c r="D437" i="1" l="1"/>
  <c r="AS437" i="1" s="1"/>
  <c r="AG437" i="1" l="1"/>
  <c r="AU437" i="1"/>
  <c r="AC437" i="1"/>
  <c r="AD437" i="1"/>
  <c r="D439" i="1"/>
  <c r="AS439" i="1" s="1"/>
  <c r="AG439" i="1" l="1"/>
  <c r="AU439" i="1"/>
  <c r="AC439" i="1"/>
  <c r="AD439" i="1"/>
  <c r="AI439" i="1"/>
  <c r="AI437" i="1"/>
  <c r="AT437" i="1" s="1"/>
  <c r="AV437" i="1" s="1"/>
  <c r="AT439" i="1" l="1"/>
  <c r="AV439" i="1" s="1"/>
  <c r="D449" i="1" l="1"/>
  <c r="AS449" i="1" s="1"/>
  <c r="AG449" i="1" l="1"/>
  <c r="AU449" i="1"/>
  <c r="AC449" i="1"/>
  <c r="AD449" i="1"/>
  <c r="AI449" i="1"/>
  <c r="D451" i="1"/>
  <c r="AS451" i="1" s="1"/>
  <c r="AG451" i="1" l="1"/>
  <c r="AU451" i="1"/>
  <c r="AC451" i="1"/>
  <c r="AD451" i="1"/>
  <c r="AT449" i="1"/>
  <c r="AV449" i="1" s="1"/>
  <c r="AI451" i="1"/>
  <c r="AT451" i="1" l="1"/>
  <c r="AV451" i="1" s="1"/>
  <c r="D461" i="1" l="1"/>
  <c r="AS461" i="1" s="1"/>
  <c r="AG461" i="1" l="1"/>
  <c r="AU461" i="1"/>
  <c r="AC461" i="1"/>
  <c r="AD461" i="1"/>
  <c r="AI461" i="1"/>
  <c r="AT461" i="1" l="1"/>
  <c r="AV461" i="1" s="1"/>
  <c r="D465" i="1" l="1"/>
  <c r="AS465" i="1" s="1"/>
  <c r="AG465" i="1" l="1"/>
  <c r="AU465" i="1"/>
  <c r="AC465" i="1"/>
  <c r="AD465" i="1"/>
  <c r="AI465" i="1"/>
  <c r="AT465" i="1" l="1"/>
  <c r="AV465" i="1" s="1"/>
  <c r="D467" i="1"/>
  <c r="AS467" i="1" s="1"/>
  <c r="AG467" i="1" l="1"/>
  <c r="AU467" i="1"/>
  <c r="AC467" i="1"/>
  <c r="AD467" i="1"/>
  <c r="AI467" i="1"/>
  <c r="AT467" i="1" l="1"/>
  <c r="AV467" i="1" s="1"/>
  <c r="D470" i="1" l="1"/>
  <c r="AS470" i="1" s="1"/>
  <c r="AG470" i="1" l="1"/>
  <c r="AU470" i="1"/>
  <c r="AC470" i="1"/>
  <c r="AD470" i="1"/>
  <c r="AI470" i="1"/>
  <c r="AT470" i="1" l="1"/>
  <c r="AV470" i="1" s="1"/>
  <c r="D474" i="1" l="1"/>
  <c r="AS474" i="1" s="1"/>
  <c r="AG474" i="1" l="1"/>
  <c r="AU474" i="1"/>
  <c r="AC474" i="1"/>
  <c r="AD474" i="1"/>
  <c r="AI474" i="1"/>
  <c r="AT474" i="1" l="1"/>
  <c r="AV474" i="1" s="1"/>
  <c r="D476" i="1"/>
  <c r="AS476" i="1" s="1"/>
  <c r="AG476" i="1" l="1"/>
  <c r="AU476" i="1"/>
  <c r="AC476" i="1"/>
  <c r="AD476" i="1"/>
  <c r="AI476" i="1"/>
  <c r="AT476" i="1" l="1"/>
  <c r="AV476" i="1" s="1"/>
  <c r="D499" i="1" l="1"/>
  <c r="AS499" i="1" s="1"/>
  <c r="AG499" i="1" l="1"/>
  <c r="AU499" i="1"/>
  <c r="AC499" i="1"/>
  <c r="AD499" i="1"/>
  <c r="AI499" i="1"/>
  <c r="AT499" i="1" l="1"/>
  <c r="AV499" i="1" s="1"/>
  <c r="D515" i="1" l="1"/>
  <c r="AS515" i="1" s="1"/>
  <c r="AG515" i="1" l="1"/>
  <c r="AU515" i="1"/>
  <c r="AC515" i="1"/>
  <c r="AD515" i="1"/>
  <c r="AI515" i="1"/>
  <c r="AT515" i="1" l="1"/>
  <c r="AV515" i="1" s="1"/>
  <c r="D523" i="1" l="1"/>
  <c r="AS523" i="1" s="1"/>
  <c r="AG523" i="1" l="1"/>
  <c r="AU523" i="1"/>
  <c r="AC523" i="1"/>
  <c r="AD523" i="1"/>
  <c r="AI523" i="1"/>
  <c r="AT523" i="1" l="1"/>
  <c r="AV523" i="1" s="1"/>
  <c r="D525" i="1"/>
  <c r="AS525" i="1" s="1"/>
  <c r="AG525" i="1" l="1"/>
  <c r="AU525" i="1"/>
  <c r="AC525" i="1"/>
  <c r="AD525" i="1"/>
  <c r="AI525" i="1"/>
  <c r="AT525" i="1" l="1"/>
  <c r="AV525" i="1" s="1"/>
  <c r="D537" i="1" l="1"/>
  <c r="AS537" i="1" s="1"/>
  <c r="AG537" i="1" l="1"/>
  <c r="AU537" i="1"/>
  <c r="AC537" i="1"/>
  <c r="AD537" i="1"/>
  <c r="D549" i="1" l="1"/>
  <c r="AS549" i="1" s="1"/>
  <c r="AG549" i="1" l="1"/>
  <c r="AU549" i="1"/>
  <c r="AC549" i="1"/>
  <c r="AD549" i="1"/>
  <c r="AI549" i="1"/>
  <c r="AT549" i="1" l="1"/>
  <c r="AV549" i="1" s="1"/>
  <c r="D556" i="1" l="1"/>
  <c r="AS556" i="1" s="1"/>
  <c r="AG556" i="1" l="1"/>
  <c r="AU556" i="1"/>
  <c r="AC556" i="1"/>
  <c r="AD556" i="1"/>
  <c r="AI556" i="1"/>
  <c r="AT556" i="1" l="1"/>
  <c r="AV556" i="1" s="1"/>
  <c r="D564" i="1" l="1"/>
  <c r="AS564" i="1" s="1"/>
  <c r="D575" i="1"/>
  <c r="AS575" i="1" s="1"/>
  <c r="D589" i="1"/>
  <c r="AS589" i="1" s="1"/>
  <c r="D598" i="1"/>
  <c r="AS598" i="1" s="1"/>
  <c r="D601" i="1"/>
  <c r="AS601" i="1" s="1"/>
  <c r="D609" i="1"/>
  <c r="AS609" i="1" s="1"/>
  <c r="D612" i="1"/>
  <c r="AS612" i="1" s="1"/>
  <c r="D615" i="1"/>
  <c r="AS615" i="1" s="1"/>
  <c r="D619" i="1"/>
  <c r="AS619" i="1" s="1"/>
  <c r="D621" i="1"/>
  <c r="AS621" i="1" s="1"/>
  <c r="D624" i="1"/>
  <c r="AS624" i="1" s="1"/>
  <c r="AG621" i="1" l="1"/>
  <c r="AU621" i="1"/>
  <c r="AG612" i="1"/>
  <c r="AU612" i="1"/>
  <c r="AG598" i="1"/>
  <c r="AU598" i="1"/>
  <c r="AG624" i="1"/>
  <c r="AU624" i="1"/>
  <c r="AG615" i="1"/>
  <c r="AU615" i="1"/>
  <c r="AG589" i="1"/>
  <c r="AU589" i="1"/>
  <c r="AG575" i="1"/>
  <c r="AU575" i="1"/>
  <c r="AG619" i="1"/>
  <c r="AU619" i="1"/>
  <c r="AG609" i="1"/>
  <c r="AU609" i="1"/>
  <c r="AG601" i="1"/>
  <c r="AU601" i="1"/>
  <c r="AG564" i="1"/>
  <c r="AU564" i="1"/>
  <c r="AC621" i="1"/>
  <c r="AD621" i="1"/>
  <c r="AC619" i="1"/>
  <c r="AD619" i="1"/>
  <c r="AC615" i="1"/>
  <c r="AD615" i="1"/>
  <c r="AC609" i="1"/>
  <c r="AD609" i="1"/>
  <c r="AC589" i="1"/>
  <c r="AD589" i="1"/>
  <c r="AC575" i="1"/>
  <c r="AD575" i="1"/>
  <c r="AC564" i="1"/>
  <c r="AD564" i="1"/>
  <c r="AC624" i="1"/>
  <c r="AD624" i="1"/>
  <c r="AC612" i="1"/>
  <c r="AD612" i="1"/>
  <c r="AC601" i="1"/>
  <c r="AD601" i="1"/>
  <c r="AC598" i="1"/>
  <c r="AD598" i="1"/>
  <c r="AI609" i="1"/>
  <c r="AI575" i="1"/>
  <c r="AI612" i="1"/>
  <c r="AI564" i="1"/>
  <c r="AT612" i="1" l="1"/>
  <c r="AT564" i="1"/>
  <c r="AV564" i="1" s="1"/>
  <c r="AT575" i="1"/>
  <c r="AV575" i="1" s="1"/>
  <c r="AT609" i="1"/>
  <c r="AI619" i="1"/>
  <c r="AT619" i="1" s="1"/>
  <c r="AV619" i="1" s="1"/>
  <c r="D633" i="1"/>
  <c r="AS633" i="1" s="1"/>
  <c r="AV609" i="1" l="1"/>
  <c r="AV612" i="1"/>
  <c r="AG633" i="1"/>
  <c r="AU633" i="1"/>
  <c r="AC633" i="1"/>
  <c r="AD633" i="1"/>
  <c r="AI633" i="1"/>
  <c r="AT633" i="1" l="1"/>
  <c r="AI621" i="1"/>
  <c r="AT621" i="1" s="1"/>
  <c r="AV621" i="1" s="1"/>
  <c r="AI615" i="1"/>
  <c r="AT615" i="1" s="1"/>
  <c r="AV615" i="1" s="1"/>
  <c r="AV633" i="1" l="1"/>
  <c r="D641" i="1"/>
  <c r="AS641" i="1" s="1"/>
  <c r="AG641" i="1" l="1"/>
  <c r="AU641" i="1"/>
  <c r="AC641" i="1"/>
  <c r="AD641" i="1"/>
  <c r="AI624" i="1"/>
  <c r="AT624" i="1" s="1"/>
  <c r="AI641" i="1"/>
  <c r="AV624" i="1" l="1"/>
  <c r="AT641" i="1"/>
  <c r="AV641" i="1" l="1"/>
  <c r="D649" i="1"/>
  <c r="AS649" i="1" s="1"/>
  <c r="AG649" i="1" l="1"/>
  <c r="AU649" i="1"/>
  <c r="AC649" i="1"/>
  <c r="AD649" i="1"/>
  <c r="AI649" i="1"/>
  <c r="D659" i="1"/>
  <c r="AS659" i="1" s="1"/>
  <c r="D671" i="1"/>
  <c r="AS671" i="1" s="1"/>
  <c r="D682" i="1"/>
  <c r="AS682" i="1" s="1"/>
  <c r="AG682" i="1" l="1"/>
  <c r="AU682" i="1"/>
  <c r="AG671" i="1"/>
  <c r="AU671" i="1"/>
  <c r="AG659" i="1"/>
  <c r="AU659" i="1"/>
  <c r="AC682" i="1"/>
  <c r="AD682" i="1"/>
  <c r="AC671" i="1"/>
  <c r="AD671" i="1"/>
  <c r="AC659" i="1"/>
  <c r="AD659" i="1"/>
  <c r="AT649" i="1"/>
  <c r="AV649" i="1" s="1"/>
  <c r="AI659" i="1"/>
  <c r="AT659" i="1" l="1"/>
  <c r="D691" i="1"/>
  <c r="AS691" i="1" s="1"/>
  <c r="AV659" i="1" l="1"/>
  <c r="AG691" i="1"/>
  <c r="AU691" i="1"/>
  <c r="AC691" i="1"/>
  <c r="AD691" i="1"/>
  <c r="AI691" i="1"/>
  <c r="AT691" i="1" l="1"/>
  <c r="AV691" i="1" l="1"/>
  <c r="D694" i="1"/>
  <c r="AS694" i="1" s="1"/>
  <c r="AG694" i="1" l="1"/>
  <c r="AU694" i="1"/>
  <c r="AC694" i="1"/>
  <c r="AD694" i="1"/>
  <c r="AI694" i="1"/>
  <c r="AT694" i="1" l="1"/>
  <c r="AV694" i="1" l="1"/>
  <c r="D697" i="1"/>
  <c r="AS697" i="1" s="1"/>
  <c r="AG697" i="1" l="1"/>
  <c r="AU697" i="1"/>
  <c r="AC697" i="1"/>
  <c r="AD697" i="1"/>
  <c r="AI697" i="1"/>
  <c r="AT697" i="1" l="1"/>
  <c r="D699" i="1"/>
  <c r="AS699" i="1" s="1"/>
  <c r="AV697" i="1" l="1"/>
  <c r="AG699" i="1"/>
  <c r="AU699" i="1"/>
  <c r="AC699" i="1"/>
  <c r="AD699" i="1"/>
  <c r="AI699" i="1"/>
  <c r="AT699" i="1" l="1"/>
  <c r="AV699" i="1" s="1"/>
  <c r="D704" i="1" l="1"/>
  <c r="AS704" i="1" s="1"/>
  <c r="AG704" i="1" l="1"/>
  <c r="AU704" i="1"/>
  <c r="AC704" i="1"/>
  <c r="AD704" i="1"/>
  <c r="AI704" i="1"/>
  <c r="AT704" i="1" l="1"/>
  <c r="AV704" i="1" s="1"/>
  <c r="D712" i="1" l="1"/>
  <c r="AS712" i="1" s="1"/>
  <c r="AG712" i="1" l="1"/>
  <c r="AU712" i="1"/>
  <c r="AC712" i="1"/>
  <c r="AD712" i="1"/>
  <c r="AI712" i="1"/>
  <c r="AT712" i="1" l="1"/>
  <c r="AV712" i="1" l="1"/>
  <c r="D721" i="1"/>
  <c r="AS721" i="1" s="1"/>
  <c r="AU721" i="1" l="1"/>
  <c r="AD721" i="1"/>
  <c r="AG721" i="1"/>
  <c r="AC721" i="1"/>
  <c r="AI721" i="1"/>
  <c r="AT721" i="1" l="1"/>
  <c r="AV721" i="1" l="1"/>
  <c r="D727" i="1"/>
  <c r="AS727" i="1" s="1"/>
  <c r="AG727" i="1" l="1"/>
  <c r="AU727" i="1"/>
  <c r="AC727" i="1"/>
  <c r="AD727" i="1"/>
  <c r="AI727" i="1"/>
  <c r="AT727" i="1" l="1"/>
  <c r="AV727" i="1" l="1"/>
  <c r="D732" i="1"/>
  <c r="AS732" i="1" s="1"/>
  <c r="AG732" i="1" l="1"/>
  <c r="AU732" i="1"/>
  <c r="AC732" i="1"/>
  <c r="AD732" i="1"/>
  <c r="AI732" i="1"/>
  <c r="AT732" i="1" l="1"/>
  <c r="D734" i="1"/>
  <c r="AS734" i="1" s="1"/>
  <c r="AV732" i="1" l="1"/>
  <c r="AG734" i="1"/>
  <c r="AU734" i="1"/>
  <c r="AC734" i="1"/>
  <c r="AD734" i="1"/>
  <c r="AI734" i="1"/>
  <c r="AT734" i="1" l="1"/>
  <c r="AV734" i="1" s="1"/>
  <c r="D739" i="1" l="1"/>
  <c r="AS739" i="1" s="1"/>
  <c r="AG739" i="1" l="1"/>
  <c r="AU739" i="1"/>
  <c r="AC739" i="1"/>
  <c r="AD739" i="1"/>
  <c r="AI739" i="1"/>
  <c r="AT739" i="1" l="1"/>
  <c r="AV739" i="1" l="1"/>
  <c r="D743" i="1"/>
  <c r="AS743" i="1" s="1"/>
  <c r="AG743" i="1" l="1"/>
  <c r="AU743" i="1"/>
  <c r="AC743" i="1"/>
  <c r="AD743" i="1"/>
  <c r="AI743" i="1"/>
  <c r="AT743" i="1" l="1"/>
  <c r="AV743" i="1" l="1"/>
  <c r="D757" i="1"/>
  <c r="AS757" i="1" s="1"/>
  <c r="AG757" i="1" l="1"/>
  <c r="AU757" i="1"/>
  <c r="AC757" i="1"/>
  <c r="AD757" i="1"/>
  <c r="AI757" i="1"/>
  <c r="AT757" i="1" l="1"/>
  <c r="D759" i="1"/>
  <c r="AS759" i="1" s="1"/>
  <c r="AV757" i="1" l="1"/>
  <c r="AG759" i="1"/>
  <c r="AU759" i="1"/>
  <c r="AC759" i="1"/>
  <c r="AD759" i="1"/>
  <c r="AI759" i="1"/>
  <c r="AT759" i="1" l="1"/>
  <c r="AV759" i="1" s="1"/>
  <c r="B764" i="1" l="1"/>
  <c r="C764" i="1" s="1"/>
  <c r="D770" i="1" l="1"/>
  <c r="AS770" i="1" s="1"/>
  <c r="AG770" i="1" l="1"/>
  <c r="AU770" i="1"/>
  <c r="AC770" i="1"/>
  <c r="AD770" i="1"/>
  <c r="AI770" i="1"/>
  <c r="AT770" i="1" l="1"/>
  <c r="AV770" i="1" l="1"/>
  <c r="D783" i="1"/>
  <c r="AS783" i="1" s="1"/>
  <c r="AG783" i="1" l="1"/>
  <c r="AU783" i="1"/>
  <c r="AC783" i="1"/>
  <c r="AD783" i="1"/>
  <c r="AI783" i="1"/>
  <c r="AT783" i="1" l="1"/>
  <c r="AV783" i="1" l="1"/>
  <c r="D805" i="1"/>
  <c r="AS805" i="1" s="1"/>
  <c r="AG805" i="1" l="1"/>
  <c r="AU805" i="1"/>
  <c r="AC805" i="1"/>
  <c r="AD805" i="1"/>
  <c r="AI805" i="1"/>
  <c r="AT805" i="1" l="1"/>
  <c r="AV805" i="1" s="1"/>
  <c r="D809" i="1" l="1"/>
  <c r="AS809" i="1" s="1"/>
  <c r="AG809" i="1" l="1"/>
  <c r="AU809" i="1"/>
  <c r="AC809" i="1"/>
  <c r="AD809" i="1"/>
  <c r="AI809" i="1"/>
  <c r="AT809" i="1" l="1"/>
  <c r="AV809" i="1" s="1"/>
  <c r="D816" i="1" l="1"/>
  <c r="AS816" i="1" s="1"/>
  <c r="AG816" i="1" l="1"/>
  <c r="AU816" i="1"/>
  <c r="AC816" i="1"/>
  <c r="AD816" i="1"/>
  <c r="AI816" i="1"/>
  <c r="AT816" i="1" l="1"/>
  <c r="AV816" i="1" s="1"/>
  <c r="D835" i="1" l="1"/>
  <c r="AS835" i="1" s="1"/>
  <c r="AG835" i="1" l="1"/>
  <c r="AU835" i="1"/>
  <c r="AC835" i="1"/>
  <c r="AD835" i="1"/>
  <c r="AI835" i="1"/>
  <c r="AT835" i="1" l="1"/>
  <c r="AV835" i="1" s="1"/>
  <c r="D838" i="1" l="1"/>
  <c r="AS838" i="1" s="1"/>
  <c r="AG838" i="1" l="1"/>
  <c r="AU838" i="1"/>
  <c r="AC838" i="1"/>
  <c r="AD838" i="1"/>
  <c r="AI838" i="1"/>
  <c r="AT838" i="1" l="1"/>
  <c r="AV838" i="1" s="1"/>
  <c r="D840" i="1"/>
  <c r="AS840" i="1" s="1"/>
  <c r="AG840" i="1" l="1"/>
  <c r="AU840" i="1"/>
  <c r="AC840" i="1"/>
  <c r="AD840" i="1"/>
  <c r="AI840" i="1"/>
  <c r="AT840" i="1" l="1"/>
  <c r="AV840" i="1" s="1"/>
  <c r="D842" i="1"/>
  <c r="AS842" i="1" s="1"/>
  <c r="AG842" i="1" l="1"/>
  <c r="AU842" i="1"/>
  <c r="AC842" i="1"/>
  <c r="AD842" i="1"/>
  <c r="AI842" i="1"/>
  <c r="AT842" i="1" l="1"/>
  <c r="AV842" i="1" s="1"/>
  <c r="D844" i="1"/>
  <c r="AS844" i="1" s="1"/>
  <c r="AG844" i="1" l="1"/>
  <c r="AU844" i="1"/>
  <c r="AC844" i="1"/>
  <c r="AD844" i="1"/>
  <c r="AI844" i="1"/>
  <c r="AT844" i="1" l="1"/>
  <c r="AV844" i="1" s="1"/>
  <c r="D854" i="1" l="1"/>
  <c r="AS854" i="1" s="1"/>
  <c r="AG854" i="1" l="1"/>
  <c r="AU854" i="1"/>
  <c r="AC854" i="1"/>
  <c r="AD854" i="1"/>
  <c r="AI854" i="1"/>
  <c r="AT854" i="1" l="1"/>
  <c r="AV854" i="1" s="1"/>
  <c r="D857" i="1" l="1"/>
  <c r="AS857" i="1" s="1"/>
  <c r="AG857" i="1" l="1"/>
  <c r="AU857" i="1"/>
  <c r="AC857" i="1"/>
  <c r="AD857" i="1"/>
  <c r="AI857" i="1"/>
  <c r="AT857" i="1" l="1"/>
  <c r="AV857" i="1" s="1"/>
  <c r="D879" i="1" l="1"/>
  <c r="AS879" i="1" s="1"/>
  <c r="AG879" i="1" l="1"/>
  <c r="AU879" i="1"/>
  <c r="AC879" i="1"/>
  <c r="AD879" i="1"/>
  <c r="AI879" i="1"/>
  <c r="AT879" i="1" l="1"/>
  <c r="AV879" i="1" s="1"/>
  <c r="AJ10" i="1" l="1"/>
  <c r="B10" i="1" s="1"/>
  <c r="C10" i="1" s="1"/>
  <c r="AJ4" i="1"/>
  <c r="B4" i="1" s="1"/>
  <c r="C4" i="1" s="1"/>
  <c r="AJ7" i="1"/>
  <c r="B7" i="1" s="1"/>
  <c r="C7" i="1" s="1"/>
  <c r="AJ13" i="1"/>
  <c r="B13" i="1" s="1"/>
  <c r="C13" i="1" s="1"/>
  <c r="B3" i="7" l="1"/>
  <c r="E3" i="7" l="1"/>
  <c r="F3" i="7"/>
  <c r="H3" i="7"/>
  <c r="C3" i="7"/>
  <c r="G3" i="7"/>
  <c r="D3" i="7"/>
  <c r="A3" i="7" l="1"/>
  <c r="J3" i="7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A4" i="7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A4" i="9"/>
  <c r="L4" i="9" l="1"/>
  <c r="M4" i="9" s="1"/>
  <c r="B5" i="7"/>
  <c r="C5" i="7" l="1"/>
  <c r="G5" i="7"/>
  <c r="D5" i="7"/>
  <c r="H5" i="7"/>
  <c r="E5" i="7"/>
  <c r="F5" i="7"/>
  <c r="J5" i="7" l="1"/>
  <c r="A5" i="7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A5" i="9" l="1"/>
  <c r="K5" i="9"/>
  <c r="L5" i="9" l="1"/>
  <c r="M5" i="9" s="1"/>
  <c r="B551" i="1" l="1"/>
  <c r="C551" i="1" s="1"/>
  <c r="B684" i="1"/>
  <c r="C684" i="1" s="1"/>
  <c r="B706" i="1"/>
  <c r="C706" i="1" s="1"/>
  <c r="B575" i="1"/>
  <c r="C575" i="1" s="1"/>
  <c r="B426" i="1"/>
  <c r="C426" i="1" s="1"/>
  <c r="B736" i="1"/>
  <c r="C736" i="1" s="1"/>
  <c r="B712" i="1"/>
  <c r="C712" i="1" s="1"/>
  <c r="B512" i="1"/>
  <c r="C512" i="1" s="1"/>
  <c r="B635" i="1"/>
  <c r="C635" i="1" s="1"/>
  <c r="B596" i="1"/>
  <c r="C596" i="1" s="1"/>
  <c r="B710" i="1"/>
  <c r="C710" i="1" s="1"/>
  <c r="B428" i="1"/>
  <c r="C428" i="1" s="1"/>
  <c r="B563" i="1"/>
  <c r="C563" i="1" s="1"/>
  <c r="B424" i="1"/>
  <c r="C424" i="1" s="1"/>
  <c r="B483" i="1"/>
  <c r="C483" i="1" s="1"/>
  <c r="B577" i="1"/>
  <c r="C577" i="1" s="1"/>
  <c r="B654" i="1"/>
  <c r="C654" i="1" s="1"/>
  <c r="B688" i="1"/>
  <c r="C688" i="1" s="1"/>
  <c r="B876" i="1"/>
  <c r="C876" i="1" s="1"/>
  <c r="B871" i="1"/>
  <c r="C871" i="1" s="1"/>
  <c r="B847" i="1"/>
  <c r="C847" i="1" s="1"/>
  <c r="B827" i="1"/>
  <c r="C827" i="1" s="1"/>
  <c r="B822" i="1"/>
  <c r="C822" i="1" s="1"/>
  <c r="B819" i="1"/>
  <c r="C819" i="1" s="1"/>
  <c r="B812" i="1"/>
  <c r="C812" i="1" s="1"/>
  <c r="B809" i="1"/>
  <c r="C809" i="1" s="1"/>
  <c r="B790" i="1"/>
  <c r="C790" i="1" s="1"/>
  <c r="B782" i="1"/>
  <c r="C782" i="1" s="1"/>
  <c r="B772" i="1"/>
  <c r="C772" i="1" s="1"/>
  <c r="B770" i="1"/>
  <c r="C770" i="1" s="1"/>
  <c r="B763" i="1"/>
  <c r="C763" i="1" s="1"/>
  <c r="B756" i="1"/>
  <c r="C756" i="1" s="1"/>
  <c r="B749" i="1"/>
  <c r="C749" i="1" s="1"/>
  <c r="B724" i="1"/>
  <c r="C724" i="1" s="1"/>
  <c r="B708" i="1"/>
  <c r="C708" i="1" s="1"/>
  <c r="B674" i="1"/>
  <c r="C674" i="1" s="1"/>
  <c r="B667" i="1"/>
  <c r="C667" i="1" s="1"/>
  <c r="B659" i="1"/>
  <c r="C659" i="1" s="1"/>
  <c r="B656" i="1"/>
  <c r="C656" i="1" s="1"/>
  <c r="B651" i="1"/>
  <c r="C651" i="1" s="1"/>
  <c r="B637" i="1"/>
  <c r="C637" i="1" s="1"/>
  <c r="B632" i="1"/>
  <c r="C632" i="1" s="1"/>
  <c r="B630" i="1"/>
  <c r="C630" i="1" s="1"/>
  <c r="B628" i="1"/>
  <c r="C628" i="1" s="1"/>
  <c r="B626" i="1"/>
  <c r="C626" i="1" s="1"/>
  <c r="B611" i="1"/>
  <c r="C611" i="1" s="1"/>
  <c r="B609" i="1"/>
  <c r="C609" i="1" s="1"/>
  <c r="B604" i="1"/>
  <c r="C604" i="1" s="1"/>
  <c r="B585" i="1"/>
  <c r="C585" i="1" s="1"/>
  <c r="B583" i="1"/>
  <c r="C583" i="1" s="1"/>
  <c r="B581" i="1"/>
  <c r="C581" i="1" s="1"/>
  <c r="B539" i="1"/>
  <c r="C539" i="1" s="1"/>
  <c r="B528" i="1"/>
  <c r="C528" i="1" s="1"/>
  <c r="B510" i="1"/>
  <c r="C510" i="1" s="1"/>
  <c r="B505" i="1"/>
  <c r="C505" i="1" s="1"/>
  <c r="B495" i="1"/>
  <c r="C495" i="1" s="1"/>
  <c r="B493" i="1"/>
  <c r="C493" i="1" s="1"/>
  <c r="B490" i="1"/>
  <c r="C490" i="1" s="1"/>
  <c r="B487" i="1"/>
  <c r="C487" i="1" s="1"/>
  <c r="B464" i="1"/>
  <c r="C464" i="1" s="1"/>
  <c r="B461" i="1"/>
  <c r="C461" i="1" s="1"/>
  <c r="B459" i="1"/>
  <c r="C459" i="1" s="1"/>
  <c r="B456" i="1"/>
  <c r="C456" i="1" s="1"/>
  <c r="B451" i="1"/>
  <c r="C451" i="1" s="1"/>
  <c r="B443" i="1"/>
  <c r="C443" i="1" s="1"/>
  <c r="B441" i="1"/>
  <c r="C441" i="1" s="1"/>
  <c r="B439" i="1"/>
  <c r="C439" i="1" s="1"/>
  <c r="B434" i="1"/>
  <c r="C434" i="1" s="1"/>
  <c r="B432" i="1"/>
  <c r="C432" i="1" s="1"/>
  <c r="B417" i="1"/>
  <c r="C417" i="1" s="1"/>
  <c r="B405" i="1"/>
  <c r="C405" i="1" s="1"/>
  <c r="B395" i="1"/>
  <c r="C395" i="1" s="1"/>
  <c r="B384" i="1"/>
  <c r="C384" i="1" s="1"/>
  <c r="B377" i="1"/>
  <c r="C377" i="1" s="1"/>
  <c r="B371" i="1"/>
  <c r="C371" i="1" s="1"/>
  <c r="B358" i="1"/>
  <c r="C358" i="1" s="1"/>
  <c r="B351" i="1"/>
  <c r="C351" i="1" s="1"/>
  <c r="B337" i="1"/>
  <c r="C337" i="1" s="1"/>
  <c r="B335" i="1"/>
  <c r="C335" i="1" s="1"/>
  <c r="B333" i="1"/>
  <c r="C333" i="1" s="1"/>
  <c r="B326" i="1"/>
  <c r="C326" i="1" s="1"/>
  <c r="B322" i="1"/>
  <c r="C322" i="1" s="1"/>
  <c r="AI316" i="1"/>
  <c r="AT316" i="1" s="1"/>
  <c r="AV316" i="1" s="1"/>
  <c r="AI320" i="1"/>
  <c r="AT320" i="1" s="1"/>
  <c r="AV320" i="1" s="1"/>
  <c r="B306" i="1"/>
  <c r="C306" i="1" s="1"/>
  <c r="B304" i="1"/>
  <c r="C304" i="1" s="1"/>
  <c r="B300" i="1"/>
  <c r="C300" i="1" s="1"/>
  <c r="B296" i="1"/>
  <c r="C296" i="1" s="1"/>
  <c r="B291" i="1"/>
  <c r="C291" i="1" s="1"/>
  <c r="B289" i="1"/>
  <c r="C289" i="1" s="1"/>
  <c r="B287" i="1"/>
  <c r="C287" i="1" s="1"/>
  <c r="B285" i="1"/>
  <c r="C285" i="1" s="1"/>
  <c r="B282" i="1"/>
  <c r="C282" i="1" s="1"/>
  <c r="B273" i="1"/>
  <c r="C273" i="1" s="1"/>
  <c r="B271" i="1"/>
  <c r="C271" i="1" s="1"/>
  <c r="B259" i="1"/>
  <c r="C259" i="1" s="1"/>
  <c r="B256" i="1"/>
  <c r="C256" i="1" s="1"/>
  <c r="B254" i="1"/>
  <c r="C254" i="1" s="1"/>
  <c r="B246" i="1"/>
  <c r="C246" i="1" s="1"/>
  <c r="B242" i="1"/>
  <c r="C242" i="1" s="1"/>
  <c r="B234" i="1"/>
  <c r="C234" i="1" s="1"/>
  <c r="B220" i="1"/>
  <c r="C220" i="1" s="1"/>
  <c r="B212" i="1"/>
  <c r="C212" i="1" s="1"/>
  <c r="B186" i="1"/>
  <c r="C186" i="1" s="1"/>
  <c r="B179" i="1"/>
  <c r="C179" i="1" s="1"/>
  <c r="B176" i="1"/>
  <c r="C176" i="1" s="1"/>
  <c r="B166" i="1"/>
  <c r="C166" i="1" s="1"/>
  <c r="B164" i="1"/>
  <c r="C164" i="1" s="1"/>
  <c r="B161" i="1"/>
  <c r="C161" i="1" s="1"/>
  <c r="B150" i="1"/>
  <c r="C150" i="1" s="1"/>
  <c r="B140" i="1"/>
  <c r="C140" i="1" s="1"/>
  <c r="B137" i="1"/>
  <c r="C137" i="1" s="1"/>
  <c r="B127" i="1"/>
  <c r="C127" i="1" s="1"/>
  <c r="B117" i="1"/>
  <c r="C117" i="1" s="1"/>
  <c r="B88" i="1"/>
  <c r="C88" i="1" s="1"/>
  <c r="B76" i="1"/>
  <c r="C76" i="1" s="1"/>
  <c r="B63" i="1"/>
  <c r="C63" i="1" s="1"/>
  <c r="B60" i="1"/>
  <c r="C60" i="1" s="1"/>
  <c r="AL19" i="1"/>
  <c r="B4" i="3" l="1"/>
  <c r="A2" i="2"/>
  <c r="R2" i="2" l="1"/>
  <c r="F2" i="2"/>
  <c r="I2" i="2"/>
  <c r="H2" i="2"/>
  <c r="J2" i="2"/>
  <c r="AO19" i="1" l="1"/>
  <c r="AP19" i="1" s="1"/>
  <c r="B3" i="5"/>
  <c r="AR19" i="1" l="1"/>
  <c r="D3" i="5"/>
  <c r="F3" i="5"/>
  <c r="H3" i="5"/>
  <c r="G3" i="5"/>
  <c r="AM19" i="1" l="1"/>
  <c r="AN19" i="1"/>
  <c r="AI537" i="1" l="1"/>
  <c r="AT537" i="1" s="1"/>
  <c r="AV537" i="1" s="1"/>
  <c r="AI589" i="1" l="1"/>
  <c r="AT589" i="1" l="1"/>
  <c r="AV589" i="1" s="1"/>
  <c r="AI598" i="1" l="1"/>
  <c r="AT598" i="1" l="1"/>
  <c r="AV598" i="1" l="1"/>
  <c r="AI601" i="1"/>
  <c r="AT601" i="1" l="1"/>
  <c r="A91" i="2"/>
  <c r="A93" i="2"/>
  <c r="A92" i="2"/>
  <c r="A86" i="2"/>
  <c r="A87" i="2"/>
  <c r="A89" i="2"/>
  <c r="A88" i="2"/>
  <c r="AV601" i="1" l="1"/>
  <c r="R89" i="2"/>
  <c r="G89" i="2"/>
  <c r="G87" i="2"/>
  <c r="R87" i="2"/>
  <c r="G86" i="2"/>
  <c r="R86" i="2"/>
  <c r="R92" i="2"/>
  <c r="G92" i="2"/>
  <c r="G93" i="2"/>
  <c r="R93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C92" i="2"/>
  <c r="I92" i="2"/>
  <c r="H92" i="2"/>
  <c r="I93" i="2"/>
  <c r="B93" i="2"/>
  <c r="H93" i="2"/>
  <c r="I91" i="2"/>
  <c r="B91" i="2"/>
  <c r="C91" i="2"/>
  <c r="F91" i="2"/>
  <c r="B88" i="2"/>
  <c r="H89" i="2"/>
  <c r="I89" i="2"/>
  <c r="C87" i="2"/>
  <c r="B86" i="2"/>
  <c r="H86" i="2"/>
  <c r="F92" i="2"/>
  <c r="B92" i="2"/>
  <c r="F93" i="2"/>
  <c r="C93" i="2"/>
  <c r="H91" i="2"/>
  <c r="H88" i="2"/>
  <c r="C88" i="2"/>
  <c r="I88" i="2"/>
  <c r="F88" i="2"/>
  <c r="D92" i="2" l="1"/>
  <c r="E92" i="2"/>
  <c r="K92" i="2"/>
  <c r="L92" i="2"/>
  <c r="E86" i="2"/>
  <c r="D86" i="2"/>
  <c r="K86" i="2"/>
  <c r="L86" i="2"/>
  <c r="E91" i="2"/>
  <c r="D91" i="2"/>
  <c r="K91" i="2"/>
  <c r="L91" i="2"/>
  <c r="D93" i="2"/>
  <c r="E93" i="2"/>
  <c r="K93" i="2"/>
  <c r="L93" i="2"/>
  <c r="D87" i="2"/>
  <c r="E87" i="2"/>
  <c r="K87" i="2"/>
  <c r="L87" i="2"/>
  <c r="D89" i="2"/>
  <c r="K89" i="2"/>
  <c r="E89" i="2"/>
  <c r="L89" i="2"/>
  <c r="D88" i="2"/>
  <c r="E88" i="2"/>
  <c r="L88" i="2"/>
  <c r="K88" i="2"/>
  <c r="N86" i="2"/>
  <c r="N91" i="2"/>
  <c r="N88" i="2"/>
  <c r="N92" i="2"/>
  <c r="N93" i="2"/>
  <c r="N87" i="2"/>
  <c r="N89" i="2"/>
  <c r="M89" i="2" l="1"/>
  <c r="O89" i="2" s="1"/>
  <c r="P89" i="2" s="1"/>
  <c r="Q89" i="2" s="1"/>
  <c r="M93" i="2"/>
  <c r="O93" i="2" s="1"/>
  <c r="P93" i="2" s="1"/>
  <c r="Q93" i="2" s="1"/>
  <c r="M87" i="2"/>
  <c r="O87" i="2" s="1"/>
  <c r="P87" i="2" s="1"/>
  <c r="Q87" i="2" s="1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8" i="2"/>
  <c r="O88" i="2" s="1"/>
  <c r="P88" i="2" s="1"/>
  <c r="Q88" i="2" s="1"/>
  <c r="A90" i="2"/>
  <c r="R90" i="2" l="1"/>
  <c r="G90" i="2"/>
  <c r="F90" i="2"/>
  <c r="B90" i="2"/>
  <c r="H90" i="2"/>
  <c r="C90" i="2"/>
  <c r="I90" i="2"/>
  <c r="E90" i="2" l="1"/>
  <c r="D90" i="2"/>
  <c r="L90" i="2"/>
  <c r="K90" i="2"/>
  <c r="N90" i="2"/>
  <c r="M90" i="2" l="1"/>
  <c r="O90" i="2" s="1"/>
  <c r="P90" i="2" s="1"/>
  <c r="Q90" i="2" s="1"/>
  <c r="AI671" i="1" l="1"/>
  <c r="AT671" i="1" l="1"/>
  <c r="AV671" i="1" l="1"/>
  <c r="AI682" i="1"/>
  <c r="AT682" i="1" s="1"/>
  <c r="AV682" i="1" l="1"/>
  <c r="AK817" i="1" l="1"/>
  <c r="AK810" i="1"/>
  <c r="AK806" i="1"/>
  <c r="AK804" i="1"/>
  <c r="AK824" i="1" l="1"/>
  <c r="D831" i="1" l="1"/>
  <c r="A19" i="1"/>
  <c r="J87" i="2"/>
  <c r="J91" i="2"/>
  <c r="AH19" i="1"/>
  <c r="J89" i="2"/>
  <c r="J92" i="2"/>
  <c r="J90" i="2"/>
  <c r="J93" i="2"/>
  <c r="A20" i="1"/>
  <c r="AH20" i="1" s="1"/>
  <c r="J88" i="2"/>
  <c r="D20" i="1"/>
  <c r="J86" i="2"/>
  <c r="D19" i="1"/>
  <c r="A21" i="1"/>
  <c r="AJ21" i="1" l="1"/>
  <c r="AK20" i="1"/>
  <c r="AS20" i="1"/>
  <c r="AJ20" i="1"/>
  <c r="AS19" i="1"/>
  <c r="AI19" i="1"/>
  <c r="AS831" i="1"/>
  <c r="AG19" i="1"/>
  <c r="A22" i="1"/>
  <c r="A23" i="1"/>
  <c r="AI20" i="1"/>
  <c r="AG20" i="1"/>
  <c r="D22" i="1"/>
  <c r="AJ23" i="1" l="1"/>
  <c r="AI22" i="1"/>
  <c r="AS22" i="1"/>
  <c r="AT19" i="1"/>
  <c r="AT20" i="1"/>
  <c r="AH22" i="1"/>
  <c r="A24" i="1"/>
  <c r="D24" i="1"/>
  <c r="AG22" i="1"/>
  <c r="AH24" i="1"/>
  <c r="A25" i="1"/>
  <c r="AT22" i="1" l="1"/>
  <c r="AU22" i="1" s="1"/>
  <c r="AJ25" i="1"/>
  <c r="AI24" i="1"/>
  <c r="AS24" i="1"/>
  <c r="AV19" i="1"/>
  <c r="AU19" i="1"/>
  <c r="AV20" i="1"/>
  <c r="AU20" i="1"/>
  <c r="AI831" i="1"/>
  <c r="AH831" i="1"/>
  <c r="AD831" i="1"/>
  <c r="AG831" i="1"/>
  <c r="AC831" i="1"/>
  <c r="A26" i="1"/>
  <c r="AG24" i="1"/>
  <c r="AH26" i="1"/>
  <c r="D26" i="1"/>
  <c r="A27" i="1"/>
  <c r="D27" i="1"/>
  <c r="AH27" i="1"/>
  <c r="AV22" i="1" l="1"/>
  <c r="AK27" i="1"/>
  <c r="AS27" i="1"/>
  <c r="AJ27" i="1"/>
  <c r="AS26" i="1"/>
  <c r="AI26" i="1"/>
  <c r="AT24" i="1"/>
  <c r="AK843" i="1"/>
  <c r="AK841" i="1"/>
  <c r="AK839" i="1"/>
  <c r="AK836" i="1"/>
  <c r="AK834" i="1"/>
  <c r="AK832" i="1"/>
  <c r="AK831" i="1"/>
  <c r="AT831" i="1"/>
  <c r="AG26" i="1"/>
  <c r="AI27" i="1"/>
  <c r="A28" i="1"/>
  <c r="A29" i="1" s="1"/>
  <c r="AG27" i="1"/>
  <c r="AH29" i="1"/>
  <c r="AJ28" i="1" l="1"/>
  <c r="AV24" i="1"/>
  <c r="AU24" i="1"/>
  <c r="AT26" i="1"/>
  <c r="AT27" i="1"/>
  <c r="AV831" i="1"/>
  <c r="AU831" i="1"/>
  <c r="A30" i="1"/>
  <c r="D29" i="1"/>
  <c r="A31" i="1"/>
  <c r="AH31" i="1"/>
  <c r="D31" i="1"/>
  <c r="AS29" i="1" l="1"/>
  <c r="AI29" i="1"/>
  <c r="AI31" i="1"/>
  <c r="AJ30" i="1"/>
  <c r="AV27" i="1"/>
  <c r="AU27" i="1"/>
  <c r="AV26" i="1"/>
  <c r="AU26" i="1"/>
  <c r="AG31" i="1"/>
  <c r="A32" i="1"/>
  <c r="AG29" i="1"/>
  <c r="AT29" i="1" l="1"/>
  <c r="AJ32" i="1"/>
  <c r="A33" i="1"/>
  <c r="D33" i="1" s="1"/>
  <c r="AH33" i="1"/>
  <c r="A34" i="1"/>
  <c r="AH34" i="1"/>
  <c r="D34" i="1"/>
  <c r="A35" i="1"/>
  <c r="AI33" i="1" l="1"/>
  <c r="AS33" i="1"/>
  <c r="AT33" i="1" s="1"/>
  <c r="AV33" i="1" s="1"/>
  <c r="AV29" i="1"/>
  <c r="AU29" i="1"/>
  <c r="AJ35" i="1"/>
  <c r="AS34" i="1"/>
  <c r="AK34" i="1"/>
  <c r="AJ34" i="1"/>
  <c r="A36" i="1"/>
  <c r="D36" i="1"/>
  <c r="AI34" i="1"/>
  <c r="AH36" i="1"/>
  <c r="A37" i="1"/>
  <c r="AG33" i="1"/>
  <c r="AG34" i="1"/>
  <c r="AU33" i="1" l="1"/>
  <c r="AJ37" i="1"/>
  <c r="AI36" i="1"/>
  <c r="AT34" i="1"/>
  <c r="A38" i="1"/>
  <c r="AH38" i="1"/>
  <c r="D38" i="1"/>
  <c r="AG36" i="1"/>
  <c r="A39" i="1"/>
  <c r="D39" i="1" s="1"/>
  <c r="AS39" i="1" l="1"/>
  <c r="AJ39" i="1"/>
  <c r="AI38" i="1"/>
  <c r="AS38" i="1"/>
  <c r="AV34" i="1"/>
  <c r="AU34" i="1"/>
  <c r="AH39" i="1"/>
  <c r="AI39" i="1"/>
  <c r="AG38" i="1"/>
  <c r="A40" i="1"/>
  <c r="AH40" i="1"/>
  <c r="D40" i="1"/>
  <c r="AG39" i="1"/>
  <c r="A41" i="1"/>
  <c r="D41" i="1" s="1"/>
  <c r="AT38" i="1" l="1"/>
  <c r="AV38" i="1" s="1"/>
  <c r="AK39" i="1"/>
  <c r="AK40" i="1" s="1"/>
  <c r="AS41" i="1"/>
  <c r="AJ41" i="1"/>
  <c r="AS40" i="1"/>
  <c r="AJ40" i="1"/>
  <c r="AT39" i="1"/>
  <c r="AG40" i="1"/>
  <c r="A42" i="1"/>
  <c r="AG41" i="1"/>
  <c r="AH41" i="1"/>
  <c r="AI40" i="1"/>
  <c r="AH42" i="1"/>
  <c r="A43" i="1"/>
  <c r="D43" i="1"/>
  <c r="AU38" i="1" l="1"/>
  <c r="AK41" i="1"/>
  <c r="AK42" i="1" s="1"/>
  <c r="AS43" i="1"/>
  <c r="AJ43" i="1"/>
  <c r="AJ42" i="1"/>
  <c r="AV39" i="1"/>
  <c r="AU39" i="1"/>
  <c r="AT40" i="1"/>
  <c r="D42" i="1"/>
  <c r="AH43" i="1"/>
  <c r="A44" i="1"/>
  <c r="AH44" i="1"/>
  <c r="D44" i="1"/>
  <c r="AG43" i="1"/>
  <c r="AI41" i="1"/>
  <c r="A45" i="1"/>
  <c r="AS42" i="1" l="1"/>
  <c r="AK43" i="1"/>
  <c r="AK44" i="1" s="1"/>
  <c r="AT41" i="1"/>
  <c r="AU41" i="1" s="1"/>
  <c r="AJ45" i="1"/>
  <c r="AS44" i="1"/>
  <c r="AJ44" i="1"/>
  <c r="AV40" i="1"/>
  <c r="AU40" i="1"/>
  <c r="AG42" i="1"/>
  <c r="AI42" i="1"/>
  <c r="AI43" i="1"/>
  <c r="AI44" i="1"/>
  <c r="A46" i="1"/>
  <c r="AG44" i="1"/>
  <c r="A47" i="1"/>
  <c r="A48" i="1" s="1"/>
  <c r="AH47" i="1"/>
  <c r="D47" i="1"/>
  <c r="D48" i="1"/>
  <c r="D46" i="1"/>
  <c r="AH48" i="1"/>
  <c r="AH46" i="1"/>
  <c r="AT42" i="1" l="1"/>
  <c r="AU42" i="1" s="1"/>
  <c r="AV41" i="1"/>
  <c r="AT43" i="1"/>
  <c r="AU43" i="1" s="1"/>
  <c r="AS48" i="1"/>
  <c r="AJ48" i="1"/>
  <c r="AK47" i="1"/>
  <c r="AK48" i="1" s="1"/>
  <c r="AJ47" i="1"/>
  <c r="AI46" i="1"/>
  <c r="AV42" i="1"/>
  <c r="AT44" i="1"/>
  <c r="AG46" i="1"/>
  <c r="AG48" i="1"/>
  <c r="AG47" i="1"/>
  <c r="AI47" i="1"/>
  <c r="A49" i="1"/>
  <c r="B2" i="2"/>
  <c r="A50" i="1"/>
  <c r="D49" i="1"/>
  <c r="D50" i="1"/>
  <c r="AH50" i="1"/>
  <c r="AV43" i="1" l="1"/>
  <c r="AJ50" i="1"/>
  <c r="G2" i="2"/>
  <c r="AJ49" i="1"/>
  <c r="AV44" i="1"/>
  <c r="AU44" i="1"/>
  <c r="AH49" i="1"/>
  <c r="AG49" i="1"/>
  <c r="E3" i="5"/>
  <c r="A51" i="1"/>
  <c r="D51" i="1"/>
  <c r="AG50" i="1"/>
  <c r="C3" i="5"/>
  <c r="AI48" i="1"/>
  <c r="A52" i="1"/>
  <c r="AH52" i="1" s="1"/>
  <c r="D52" i="1"/>
  <c r="AK49" i="1" l="1"/>
  <c r="AK50" i="1" s="1"/>
  <c r="AT48" i="1"/>
  <c r="AV48" i="1" s="1"/>
  <c r="A3" i="5"/>
  <c r="AJ52" i="1"/>
  <c r="AJ51" i="1"/>
  <c r="AI49" i="1"/>
  <c r="AH51" i="1"/>
  <c r="A53" i="1"/>
  <c r="AI50" i="1"/>
  <c r="AI51" i="1"/>
  <c r="AG52" i="1"/>
  <c r="A54" i="1"/>
  <c r="AG51" i="1"/>
  <c r="AH54" i="1"/>
  <c r="D54" i="1"/>
  <c r="A55" i="1"/>
  <c r="AH55" i="1"/>
  <c r="D55" i="1"/>
  <c r="A56" i="1"/>
  <c r="D56" i="1"/>
  <c r="AH56" i="1"/>
  <c r="A57" i="1"/>
  <c r="AH57" i="1"/>
  <c r="A58" i="1"/>
  <c r="AK51" i="1" l="1"/>
  <c r="AK52" i="1" s="1"/>
  <c r="AU48" i="1"/>
  <c r="AJ58" i="1"/>
  <c r="AJ57" i="1"/>
  <c r="AJ56" i="1"/>
  <c r="AK55" i="1"/>
  <c r="AK56" i="1" s="1"/>
  <c r="AK57" i="1" s="1"/>
  <c r="AJ55" i="1"/>
  <c r="AI54" i="1"/>
  <c r="AJ53" i="1"/>
  <c r="A59" i="1"/>
  <c r="AG56" i="1"/>
  <c r="AI52" i="1"/>
  <c r="AI55" i="1"/>
  <c r="AG55" i="1"/>
  <c r="AG54" i="1"/>
  <c r="D57" i="1"/>
  <c r="D59" i="1"/>
  <c r="AH59" i="1"/>
  <c r="A60" i="1"/>
  <c r="D60" i="1"/>
  <c r="AH60" i="1"/>
  <c r="AK60" i="1" l="1"/>
  <c r="AJ60" i="1"/>
  <c r="AI59" i="1"/>
  <c r="AG60" i="1"/>
  <c r="AG59" i="1"/>
  <c r="AI56" i="1"/>
  <c r="AI60" i="1"/>
  <c r="A61" i="1"/>
  <c r="AG57" i="1"/>
  <c r="AH61" i="1"/>
  <c r="D61" i="1"/>
  <c r="A62" i="1"/>
  <c r="AH62" i="1"/>
  <c r="D62" i="1"/>
  <c r="AJ62" i="1" l="1"/>
  <c r="AJ61" i="1"/>
  <c r="AK61" i="1"/>
  <c r="AK62" i="1" s="1"/>
  <c r="AG62" i="1"/>
  <c r="AI61" i="1"/>
  <c r="A63" i="1"/>
  <c r="AG61" i="1"/>
  <c r="AI62" i="1"/>
  <c r="AI57" i="1"/>
  <c r="D63" i="1"/>
  <c r="AH63" i="1"/>
  <c r="A64" i="1"/>
  <c r="D64" i="1"/>
  <c r="AH64" i="1"/>
  <c r="A65" i="1"/>
  <c r="A66" i="1"/>
  <c r="AH66" i="1"/>
  <c r="D66" i="1"/>
  <c r="A67" i="1"/>
  <c r="AH67" i="1"/>
  <c r="D67" i="1"/>
  <c r="A68" i="1"/>
  <c r="AH68" i="1"/>
  <c r="D68" i="1"/>
  <c r="AJ68" i="1" l="1"/>
  <c r="AK67" i="1"/>
  <c r="AK68" i="1" s="1"/>
  <c r="AJ67" i="1"/>
  <c r="AI66" i="1"/>
  <c r="AJ65" i="1"/>
  <c r="AJ64" i="1"/>
  <c r="AJ63" i="1"/>
  <c r="AK63" i="1"/>
  <c r="AK64" i="1" s="1"/>
  <c r="AG68" i="1"/>
  <c r="A69" i="1"/>
  <c r="AG67" i="1"/>
  <c r="AI63" i="1"/>
  <c r="AI67" i="1"/>
  <c r="AI68" i="1" s="1"/>
  <c r="AG66" i="1"/>
  <c r="AG64" i="1"/>
  <c r="AG63" i="1"/>
  <c r="D69" i="1"/>
  <c r="AH69" i="1"/>
  <c r="A70" i="1"/>
  <c r="AH70" i="1"/>
  <c r="D70" i="1"/>
  <c r="A71" i="1"/>
  <c r="AH71" i="1"/>
  <c r="D71" i="1"/>
  <c r="AJ71" i="1" l="1"/>
  <c r="AJ70" i="1"/>
  <c r="AJ69" i="1"/>
  <c r="AK69" i="1"/>
  <c r="AK70" i="1" s="1"/>
  <c r="AK71" i="1" s="1"/>
  <c r="AG71" i="1"/>
  <c r="AI69" i="1"/>
  <c r="AI70" i="1"/>
  <c r="AI64" i="1"/>
  <c r="A72" i="1"/>
  <c r="AG70" i="1"/>
  <c r="AG69" i="1"/>
  <c r="AI71" i="1"/>
  <c r="A73" i="1"/>
  <c r="AH73" i="1"/>
  <c r="D73" i="1"/>
  <c r="AI73" i="1" l="1"/>
  <c r="AS73" i="1"/>
  <c r="AJ72" i="1"/>
  <c r="AG73" i="1"/>
  <c r="A74" i="1"/>
  <c r="D74" i="1"/>
  <c r="AH74" i="1"/>
  <c r="A75" i="1"/>
  <c r="D75" i="1"/>
  <c r="AH75" i="1"/>
  <c r="AS75" i="1" l="1"/>
  <c r="AJ75" i="1"/>
  <c r="AK74" i="1"/>
  <c r="AK75" i="1" s="1"/>
  <c r="AS74" i="1"/>
  <c r="AJ74" i="1"/>
  <c r="AT73" i="1"/>
  <c r="AI74" i="1"/>
  <c r="AI75" i="1" s="1"/>
  <c r="AG75" i="1"/>
  <c r="A76" i="1"/>
  <c r="AG74" i="1"/>
  <c r="AH76" i="1"/>
  <c r="D76" i="1"/>
  <c r="A77" i="1"/>
  <c r="D77" i="1"/>
  <c r="AH77" i="1"/>
  <c r="AS77" i="1" l="1"/>
  <c r="AJ77" i="1"/>
  <c r="AS76" i="1"/>
  <c r="AJ76" i="1"/>
  <c r="AV73" i="1"/>
  <c r="AU73" i="1"/>
  <c r="AT74" i="1"/>
  <c r="AK76" i="1"/>
  <c r="AK77" i="1" s="1"/>
  <c r="AT75" i="1"/>
  <c r="A78" i="1"/>
  <c r="AG76" i="1"/>
  <c r="AI76" i="1"/>
  <c r="AI77" i="1" s="1"/>
  <c r="AG77" i="1"/>
  <c r="AH78" i="1"/>
  <c r="D78" i="1"/>
  <c r="A79" i="1"/>
  <c r="AJ79" i="1" l="1"/>
  <c r="AS78" i="1"/>
  <c r="AJ78" i="1"/>
  <c r="AU75" i="1"/>
  <c r="AV75" i="1"/>
  <c r="AV74" i="1"/>
  <c r="AU74" i="1"/>
  <c r="AT76" i="1"/>
  <c r="AK78" i="1"/>
  <c r="AT77" i="1"/>
  <c r="A80" i="1"/>
  <c r="AG78" i="1"/>
  <c r="AI78" i="1"/>
  <c r="AH80" i="1"/>
  <c r="D80" i="1"/>
  <c r="A81" i="1"/>
  <c r="AJ81" i="1" l="1"/>
  <c r="AI80" i="1"/>
  <c r="AS80" i="1"/>
  <c r="AV76" i="1"/>
  <c r="AU76" i="1"/>
  <c r="AT78" i="1"/>
  <c r="AV77" i="1"/>
  <c r="AU77" i="1"/>
  <c r="A82" i="1"/>
  <c r="AG80" i="1"/>
  <c r="D82" i="1"/>
  <c r="AH82" i="1"/>
  <c r="A83" i="1"/>
  <c r="A84" i="1"/>
  <c r="D84" i="1"/>
  <c r="AH84" i="1"/>
  <c r="A85" i="1"/>
  <c r="A86" i="1"/>
  <c r="AH86" i="1"/>
  <c r="D86" i="1"/>
  <c r="A87" i="1"/>
  <c r="D87" i="1"/>
  <c r="AH87" i="1"/>
  <c r="A88" i="1"/>
  <c r="AH88" i="1"/>
  <c r="D88" i="1"/>
  <c r="A89" i="1"/>
  <c r="A90" i="1"/>
  <c r="D90" i="1"/>
  <c r="AH90" i="1"/>
  <c r="A91" i="1"/>
  <c r="A92" i="1"/>
  <c r="AH92" i="1"/>
  <c r="D92" i="1"/>
  <c r="A93" i="1"/>
  <c r="D93" i="1"/>
  <c r="AH93" i="1"/>
  <c r="A94" i="1"/>
  <c r="D94" i="1"/>
  <c r="AH94" i="1"/>
  <c r="A95" i="1"/>
  <c r="A96" i="1"/>
  <c r="D96" i="1"/>
  <c r="AH96" i="1"/>
  <c r="A97" i="1"/>
  <c r="A98" i="1"/>
  <c r="AH98" i="1"/>
  <c r="D98" i="1"/>
  <c r="AT80" i="1" l="1"/>
  <c r="AV80" i="1" s="1"/>
  <c r="AI98" i="1"/>
  <c r="AS98" i="1"/>
  <c r="AJ97" i="1"/>
  <c r="AI96" i="1"/>
  <c r="AS96" i="1"/>
  <c r="AJ95" i="1"/>
  <c r="AJ94" i="1"/>
  <c r="AK93" i="1"/>
  <c r="AK94" i="1" s="1"/>
  <c r="AJ93" i="1"/>
  <c r="AI92" i="1"/>
  <c r="AJ91" i="1"/>
  <c r="AI90" i="1"/>
  <c r="AS90" i="1"/>
  <c r="AJ89" i="1"/>
  <c r="AS88" i="1"/>
  <c r="AJ88" i="1"/>
  <c r="AK87" i="1"/>
  <c r="AK88" i="1" s="1"/>
  <c r="AS87" i="1"/>
  <c r="AJ87" i="1"/>
  <c r="AS86" i="1"/>
  <c r="AI86" i="1"/>
  <c r="AJ85" i="1"/>
  <c r="AI84" i="1"/>
  <c r="AS84" i="1"/>
  <c r="AJ83" i="1"/>
  <c r="AI82" i="1"/>
  <c r="AS82" i="1"/>
  <c r="AU80" i="1"/>
  <c r="AV78" i="1"/>
  <c r="AU78" i="1"/>
  <c r="A99" i="1"/>
  <c r="AG96" i="1"/>
  <c r="AI93" i="1"/>
  <c r="AI94" i="1" s="1"/>
  <c r="AG87" i="1"/>
  <c r="AG98" i="1"/>
  <c r="AG94" i="1"/>
  <c r="AG93" i="1"/>
  <c r="AG92" i="1"/>
  <c r="AG90" i="1"/>
  <c r="AG88" i="1"/>
  <c r="AI87" i="1"/>
  <c r="AI88" i="1" s="1"/>
  <c r="AG84" i="1"/>
  <c r="AG82" i="1"/>
  <c r="AG86" i="1"/>
  <c r="A100" i="1"/>
  <c r="AH100" i="1"/>
  <c r="D100" i="1"/>
  <c r="A101" i="1"/>
  <c r="AH101" i="1"/>
  <c r="D101" i="1"/>
  <c r="A102" i="1"/>
  <c r="D102" i="1"/>
  <c r="AH102" i="1"/>
  <c r="A103" i="1"/>
  <c r="A104" i="1"/>
  <c r="D104" i="1"/>
  <c r="AH104" i="1"/>
  <c r="A105" i="1"/>
  <c r="A106" i="1"/>
  <c r="AH106" i="1"/>
  <c r="D106" i="1"/>
  <c r="A107" i="1"/>
  <c r="A108" i="1"/>
  <c r="AH108" i="1"/>
  <c r="D108" i="1"/>
  <c r="A109" i="1"/>
  <c r="AH109" i="1"/>
  <c r="D109" i="1"/>
  <c r="A110" i="1"/>
  <c r="AH110" i="1"/>
  <c r="D110" i="1"/>
  <c r="A111" i="1"/>
  <c r="D111" i="1"/>
  <c r="AH111" i="1"/>
  <c r="A112" i="1"/>
  <c r="AH112" i="1"/>
  <c r="D112" i="1"/>
  <c r="A113" i="1"/>
  <c r="AH113" i="1"/>
  <c r="D113" i="1"/>
  <c r="A114" i="1"/>
  <c r="AH114" i="1"/>
  <c r="D114" i="1"/>
  <c r="A115" i="1"/>
  <c r="A116" i="1"/>
  <c r="AH116" i="1"/>
  <c r="D116" i="1"/>
  <c r="A117" i="1"/>
  <c r="AH117" i="1"/>
  <c r="D117" i="1"/>
  <c r="A118" i="1"/>
  <c r="A119" i="1"/>
  <c r="AH119" i="1"/>
  <c r="D119" i="1"/>
  <c r="A120" i="1"/>
  <c r="AH120" i="1"/>
  <c r="D120" i="1"/>
  <c r="A121" i="1"/>
  <c r="D121" i="1"/>
  <c r="AH121" i="1"/>
  <c r="A122" i="1"/>
  <c r="D122" i="1"/>
  <c r="AH122" i="1"/>
  <c r="A123" i="1"/>
  <c r="D123" i="1"/>
  <c r="AH123" i="1"/>
  <c r="A124" i="1"/>
  <c r="D124" i="1"/>
  <c r="AH124" i="1"/>
  <c r="A125" i="1"/>
  <c r="A126" i="1"/>
  <c r="D126" i="1"/>
  <c r="AH126" i="1"/>
  <c r="A127" i="1"/>
  <c r="D127" i="1"/>
  <c r="AH127" i="1"/>
  <c r="AT90" i="1" l="1"/>
  <c r="AV90" i="1" s="1"/>
  <c r="AT84" i="1"/>
  <c r="AV84" i="1" s="1"/>
  <c r="AT86" i="1"/>
  <c r="AV86" i="1" s="1"/>
  <c r="AT82" i="1"/>
  <c r="AV82" i="1" s="1"/>
  <c r="AU90" i="1"/>
  <c r="AT98" i="1"/>
  <c r="AV98" i="1" s="1"/>
  <c r="AK127" i="1"/>
  <c r="AS127" i="1"/>
  <c r="AJ127" i="1"/>
  <c r="AI126" i="1"/>
  <c r="AS126" i="1"/>
  <c r="AJ125" i="1"/>
  <c r="AJ124" i="1"/>
  <c r="AS123" i="1"/>
  <c r="AJ123" i="1"/>
  <c r="AS122" i="1"/>
  <c r="AJ122" i="1"/>
  <c r="AS121" i="1"/>
  <c r="AJ121" i="1"/>
  <c r="AS120" i="1"/>
  <c r="AK120" i="1"/>
  <c r="AK121" i="1" s="1"/>
  <c r="AK122" i="1" s="1"/>
  <c r="AK123" i="1" s="1"/>
  <c r="AK124" i="1" s="1"/>
  <c r="AJ120" i="1"/>
  <c r="AI119" i="1"/>
  <c r="AS119" i="1"/>
  <c r="AJ118" i="1"/>
  <c r="AS117" i="1"/>
  <c r="AK117" i="1"/>
  <c r="AJ117" i="1"/>
  <c r="AI116" i="1"/>
  <c r="AS116" i="1"/>
  <c r="AJ115" i="1"/>
  <c r="AS114" i="1"/>
  <c r="AJ114" i="1"/>
  <c r="AS113" i="1"/>
  <c r="AJ113" i="1"/>
  <c r="AS112" i="1"/>
  <c r="AJ112" i="1"/>
  <c r="AS111" i="1"/>
  <c r="AJ111" i="1"/>
  <c r="AS110" i="1"/>
  <c r="AJ110" i="1"/>
  <c r="AS109" i="1"/>
  <c r="AK109" i="1"/>
  <c r="AK110" i="1" s="1"/>
  <c r="AK111" i="1" s="1"/>
  <c r="AK112" i="1" s="1"/>
  <c r="AK113" i="1" s="1"/>
  <c r="AK114" i="1" s="1"/>
  <c r="AJ109" i="1"/>
  <c r="AI108" i="1"/>
  <c r="AS108" i="1"/>
  <c r="AJ107" i="1"/>
  <c r="AS106" i="1"/>
  <c r="AI106" i="1"/>
  <c r="AJ105" i="1"/>
  <c r="AS104" i="1"/>
  <c r="AI104" i="1"/>
  <c r="AJ103" i="1"/>
  <c r="AS102" i="1"/>
  <c r="AJ102" i="1"/>
  <c r="AS101" i="1"/>
  <c r="AK101" i="1"/>
  <c r="AK102" i="1" s="1"/>
  <c r="AJ101" i="1"/>
  <c r="AI100" i="1"/>
  <c r="AS100" i="1"/>
  <c r="AJ99" i="1"/>
  <c r="AU82" i="1"/>
  <c r="AU86" i="1"/>
  <c r="AT87" i="1"/>
  <c r="AT96" i="1"/>
  <c r="AU98" i="1"/>
  <c r="AU84" i="1"/>
  <c r="AT88" i="1"/>
  <c r="AG124" i="1"/>
  <c r="AG123" i="1"/>
  <c r="AG122" i="1"/>
  <c r="AG121" i="1"/>
  <c r="AG120" i="1"/>
  <c r="AG117" i="1"/>
  <c r="AG116" i="1"/>
  <c r="AG114" i="1"/>
  <c r="AG112" i="1"/>
  <c r="AG111" i="1"/>
  <c r="AI109" i="1"/>
  <c r="AI110" i="1" s="1"/>
  <c r="AG106" i="1"/>
  <c r="AG104" i="1"/>
  <c r="AI127" i="1"/>
  <c r="AG127" i="1"/>
  <c r="A128" i="1"/>
  <c r="AG126" i="1"/>
  <c r="AI120" i="1"/>
  <c r="AI121" i="1" s="1"/>
  <c r="AI122" i="1" s="1"/>
  <c r="AI123" i="1" s="1"/>
  <c r="AI124" i="1" s="1"/>
  <c r="AG119" i="1"/>
  <c r="AI117" i="1"/>
  <c r="AG113" i="1"/>
  <c r="AI111" i="1"/>
  <c r="AG110" i="1"/>
  <c r="AG109" i="1"/>
  <c r="AG108" i="1"/>
  <c r="AG101" i="1"/>
  <c r="AG100" i="1"/>
  <c r="AG102" i="1"/>
  <c r="AI101" i="1"/>
  <c r="AI102" i="1" s="1"/>
  <c r="A129" i="1"/>
  <c r="AH129" i="1"/>
  <c r="D129" i="1"/>
  <c r="A130" i="1"/>
  <c r="D130" i="1"/>
  <c r="AH130" i="1"/>
  <c r="A131" i="1"/>
  <c r="D131" i="1"/>
  <c r="AH131" i="1"/>
  <c r="A132" i="1"/>
  <c r="D132" i="1"/>
  <c r="AH132" i="1"/>
  <c r="A133" i="1"/>
  <c r="AH133" i="1"/>
  <c r="D133" i="1"/>
  <c r="A134" i="1"/>
  <c r="D134" i="1"/>
  <c r="AH134" i="1"/>
  <c r="A135" i="1"/>
  <c r="A136" i="1"/>
  <c r="AH136" i="1"/>
  <c r="D136" i="1"/>
  <c r="A137" i="1"/>
  <c r="D137" i="1"/>
  <c r="AH137" i="1"/>
  <c r="A138" i="1"/>
  <c r="D138" i="1"/>
  <c r="AH138" i="1"/>
  <c r="A139" i="1"/>
  <c r="AH139" i="1"/>
  <c r="D139" i="1"/>
  <c r="A140" i="1"/>
  <c r="AH140" i="1"/>
  <c r="D140" i="1"/>
  <c r="A141" i="1"/>
  <c r="D141" i="1"/>
  <c r="AH141" i="1"/>
  <c r="A142" i="1"/>
  <c r="AH142" i="1"/>
  <c r="D142" i="1"/>
  <c r="A143" i="1"/>
  <c r="AH143" i="1"/>
  <c r="D143" i="1"/>
  <c r="A144" i="1"/>
  <c r="AH144" i="1"/>
  <c r="D144" i="1"/>
  <c r="A145" i="1"/>
  <c r="A146" i="1"/>
  <c r="D146" i="1"/>
  <c r="AH146" i="1"/>
  <c r="A147" i="1"/>
  <c r="D147" i="1"/>
  <c r="AH147" i="1"/>
  <c r="A148" i="1"/>
  <c r="D148" i="1"/>
  <c r="AH148" i="1"/>
  <c r="A149" i="1"/>
  <c r="D149" i="1"/>
  <c r="AH149" i="1"/>
  <c r="A150" i="1"/>
  <c r="A151" i="1"/>
  <c r="D151" i="1"/>
  <c r="AH151" i="1"/>
  <c r="A152" i="1"/>
  <c r="AH152" i="1"/>
  <c r="D152" i="1"/>
  <c r="A153" i="1"/>
  <c r="AH153" i="1"/>
  <c r="D153" i="1"/>
  <c r="A154" i="1"/>
  <c r="AH154" i="1"/>
  <c r="D154" i="1"/>
  <c r="A155" i="1"/>
  <c r="AH155" i="1"/>
  <c r="D155" i="1"/>
  <c r="A156" i="1"/>
  <c r="D156" i="1"/>
  <c r="AH156" i="1"/>
  <c r="A157" i="1"/>
  <c r="D157" i="1"/>
  <c r="AH157" i="1"/>
  <c r="A158" i="1"/>
  <c r="D158" i="1"/>
  <c r="AH158" i="1"/>
  <c r="A159" i="1"/>
  <c r="D159" i="1"/>
  <c r="AH159" i="1"/>
  <c r="A160" i="1"/>
  <c r="D160" i="1"/>
  <c r="AH160" i="1"/>
  <c r="A161" i="1"/>
  <c r="A162" i="1"/>
  <c r="AH162" i="1"/>
  <c r="D162" i="1"/>
  <c r="A163" i="1"/>
  <c r="D163" i="1"/>
  <c r="AH163" i="1"/>
  <c r="A164" i="1"/>
  <c r="AH164" i="1"/>
  <c r="D164" i="1"/>
  <c r="A165" i="1"/>
  <c r="AH165" i="1"/>
  <c r="D165" i="1"/>
  <c r="A166" i="1"/>
  <c r="AH166" i="1"/>
  <c r="D166" i="1"/>
  <c r="A167" i="1"/>
  <c r="AH167" i="1"/>
  <c r="D167" i="1"/>
  <c r="A168" i="1"/>
  <c r="AH168" i="1"/>
  <c r="D168" i="1"/>
  <c r="A169" i="1"/>
  <c r="A170" i="1"/>
  <c r="AH170" i="1"/>
  <c r="D170" i="1"/>
  <c r="A171" i="1"/>
  <c r="AH171" i="1"/>
  <c r="D171" i="1"/>
  <c r="A172" i="1"/>
  <c r="D172" i="1"/>
  <c r="AH172" i="1"/>
  <c r="A173" i="1"/>
  <c r="AH173" i="1"/>
  <c r="D173" i="1"/>
  <c r="A174" i="1"/>
  <c r="D174" i="1"/>
  <c r="AH174" i="1"/>
  <c r="A175" i="1"/>
  <c r="D175" i="1"/>
  <c r="AH175" i="1"/>
  <c r="A176" i="1"/>
  <c r="AH176" i="1"/>
  <c r="D176" i="1"/>
  <c r="A177" i="1"/>
  <c r="AH177" i="1"/>
  <c r="D177" i="1"/>
  <c r="A178" i="1"/>
  <c r="AH178" i="1"/>
  <c r="D178" i="1"/>
  <c r="A179" i="1"/>
  <c r="A180" i="1"/>
  <c r="AH180" i="1"/>
  <c r="D180" i="1"/>
  <c r="A181" i="1"/>
  <c r="D181" i="1"/>
  <c r="AH181" i="1"/>
  <c r="A182" i="1"/>
  <c r="AH182" i="1"/>
  <c r="D182" i="1"/>
  <c r="A183" i="1"/>
  <c r="D183" i="1"/>
  <c r="AH183" i="1"/>
  <c r="A184" i="1"/>
  <c r="AH184" i="1"/>
  <c r="D184" i="1"/>
  <c r="A185" i="1"/>
  <c r="AT108" i="1" l="1"/>
  <c r="AV108" i="1" s="1"/>
  <c r="AT100" i="1"/>
  <c r="AV100" i="1" s="1"/>
  <c r="AT106" i="1"/>
  <c r="AV106" i="1" s="1"/>
  <c r="AU108" i="1"/>
  <c r="AT119" i="1"/>
  <c r="AT126" i="1"/>
  <c r="AJ184" i="1"/>
  <c r="AJ183" i="1"/>
  <c r="AJ182" i="1"/>
  <c r="AK181" i="1"/>
  <c r="AK182" i="1" s="1"/>
  <c r="AK183" i="1" s="1"/>
  <c r="AK184" i="1" s="1"/>
  <c r="AJ181" i="1"/>
  <c r="AI180" i="1"/>
  <c r="AJ179" i="1"/>
  <c r="AS178" i="1"/>
  <c r="AJ178" i="1"/>
  <c r="AJ177" i="1"/>
  <c r="AJ176" i="1"/>
  <c r="AJ175" i="1"/>
  <c r="AJ174" i="1"/>
  <c r="AJ173" i="1"/>
  <c r="AJ172" i="1"/>
  <c r="AS171" i="1"/>
  <c r="AK171" i="1"/>
  <c r="AK172" i="1" s="1"/>
  <c r="AK173" i="1" s="1"/>
  <c r="AK174" i="1" s="1"/>
  <c r="AK175" i="1" s="1"/>
  <c r="AK176" i="1" s="1"/>
  <c r="AK177" i="1" s="1"/>
  <c r="AK178" i="1" s="1"/>
  <c r="AJ171" i="1"/>
  <c r="AS170" i="1"/>
  <c r="AI170" i="1"/>
  <c r="AJ169" i="1"/>
  <c r="AJ168" i="1"/>
  <c r="AS167" i="1"/>
  <c r="AJ167" i="1"/>
  <c r="AS166" i="1"/>
  <c r="AJ166" i="1"/>
  <c r="AJ165" i="1"/>
  <c r="AJ164" i="1"/>
  <c r="AK163" i="1"/>
  <c r="AK164" i="1" s="1"/>
  <c r="AK165" i="1" s="1"/>
  <c r="AK166" i="1" s="1"/>
  <c r="AK167" i="1" s="1"/>
  <c r="AK168" i="1" s="1"/>
  <c r="AJ163" i="1"/>
  <c r="AI162" i="1"/>
  <c r="AJ161" i="1"/>
  <c r="AS160" i="1"/>
  <c r="AJ160" i="1"/>
  <c r="AS159" i="1"/>
  <c r="AJ159" i="1"/>
  <c r="AJ158" i="1"/>
  <c r="AJ157" i="1"/>
  <c r="AJ156" i="1"/>
  <c r="AS155" i="1"/>
  <c r="AJ155" i="1"/>
  <c r="AS154" i="1"/>
  <c r="AJ154" i="1"/>
  <c r="AS153" i="1"/>
  <c r="AJ153" i="1"/>
  <c r="AK152" i="1"/>
  <c r="AK153" i="1" s="1"/>
  <c r="AK154" i="1" s="1"/>
  <c r="AK155" i="1" s="1"/>
  <c r="AK156" i="1" s="1"/>
  <c r="AK157" i="1" s="1"/>
  <c r="AK158" i="1" s="1"/>
  <c r="AK159" i="1" s="1"/>
  <c r="AK160" i="1" s="1"/>
  <c r="AJ152" i="1"/>
  <c r="AI151" i="1"/>
  <c r="AJ150" i="1"/>
  <c r="AJ149" i="1"/>
  <c r="AJ148" i="1"/>
  <c r="AK147" i="1"/>
  <c r="AK148" i="1" s="1"/>
  <c r="AK149" i="1" s="1"/>
  <c r="AJ147" i="1"/>
  <c r="AI146" i="1"/>
  <c r="AJ145" i="1"/>
  <c r="AJ144" i="1"/>
  <c r="AJ143" i="1"/>
  <c r="AJ142" i="1"/>
  <c r="AJ141" i="1"/>
  <c r="AJ140" i="1"/>
  <c r="AJ139" i="1"/>
  <c r="AJ138" i="1"/>
  <c r="AK137" i="1"/>
  <c r="AK138" i="1" s="1"/>
  <c r="AK139" i="1" s="1"/>
  <c r="AK140" i="1" s="1"/>
  <c r="AK141" i="1" s="1"/>
  <c r="AK142" i="1" s="1"/>
  <c r="AK143" i="1" s="1"/>
  <c r="AK144" i="1" s="1"/>
  <c r="AJ137" i="1"/>
  <c r="AI136" i="1"/>
  <c r="AJ135" i="1"/>
  <c r="AJ134" i="1"/>
  <c r="AJ133" i="1"/>
  <c r="AJ132" i="1"/>
  <c r="AJ131" i="1"/>
  <c r="AK130" i="1"/>
  <c r="AK131" i="1" s="1"/>
  <c r="AK132" i="1" s="1"/>
  <c r="AK133" i="1" s="1"/>
  <c r="AK134" i="1" s="1"/>
  <c r="AJ130" i="1"/>
  <c r="AI129" i="1"/>
  <c r="AJ128" i="1"/>
  <c r="AU88" i="1"/>
  <c r="AV88" i="1"/>
  <c r="AV87" i="1"/>
  <c r="AU87" i="1"/>
  <c r="AU100" i="1"/>
  <c r="AT102" i="1"/>
  <c r="AT104" i="1"/>
  <c r="AT109" i="1"/>
  <c r="AT111" i="1"/>
  <c r="AT116" i="1"/>
  <c r="AT120" i="1"/>
  <c r="AT121" i="1"/>
  <c r="AT122" i="1"/>
  <c r="AT123" i="1"/>
  <c r="AV96" i="1"/>
  <c r="AU96" i="1"/>
  <c r="AT101" i="1"/>
  <c r="AT110" i="1"/>
  <c r="AT117" i="1"/>
  <c r="AT127" i="1"/>
  <c r="AJ185" i="1"/>
  <c r="D185" i="1"/>
  <c r="AG183" i="1"/>
  <c r="AI181" i="1"/>
  <c r="AI182" i="1" s="1"/>
  <c r="AG180" i="1"/>
  <c r="AG172" i="1"/>
  <c r="AG171" i="1"/>
  <c r="AG170" i="1"/>
  <c r="AG168" i="1"/>
  <c r="AG166" i="1"/>
  <c r="AI163" i="1"/>
  <c r="AI164" i="1" s="1"/>
  <c r="AG160" i="1"/>
  <c r="AG159" i="1"/>
  <c r="AG152" i="1"/>
  <c r="AG147" i="1"/>
  <c r="AG146" i="1"/>
  <c r="AG144" i="1"/>
  <c r="AG143" i="1"/>
  <c r="AG142" i="1"/>
  <c r="AG141" i="1"/>
  <c r="AG140" i="1"/>
  <c r="AG139" i="1"/>
  <c r="AG137" i="1"/>
  <c r="AG136" i="1"/>
  <c r="AG134" i="1"/>
  <c r="AG133" i="1"/>
  <c r="AG130" i="1"/>
  <c r="AI112" i="1"/>
  <c r="AG184" i="1"/>
  <c r="AG182" i="1"/>
  <c r="AG181" i="1"/>
  <c r="AG178" i="1"/>
  <c r="AG177" i="1"/>
  <c r="AG176" i="1"/>
  <c r="AG175" i="1"/>
  <c r="AG174" i="1"/>
  <c r="AG173" i="1"/>
  <c r="AI171" i="1"/>
  <c r="AI172" i="1" s="1"/>
  <c r="AI173" i="1" s="1"/>
  <c r="AG167" i="1"/>
  <c r="AG165" i="1"/>
  <c r="AG164" i="1"/>
  <c r="AG163" i="1"/>
  <c r="AG162" i="1"/>
  <c r="AG158" i="1"/>
  <c r="AG157" i="1"/>
  <c r="AG156" i="1"/>
  <c r="AG155" i="1"/>
  <c r="AG154" i="1"/>
  <c r="AG153" i="1"/>
  <c r="AI152" i="1"/>
  <c r="AI153" i="1" s="1"/>
  <c r="AG151" i="1"/>
  <c r="AG149" i="1"/>
  <c r="AG148" i="1"/>
  <c r="AI147" i="1"/>
  <c r="AG138" i="1"/>
  <c r="AI137" i="1"/>
  <c r="AG132" i="1"/>
  <c r="AG131" i="1"/>
  <c r="AI130" i="1"/>
  <c r="AI131" i="1" s="1"/>
  <c r="AI132" i="1" s="1"/>
  <c r="AI133" i="1" s="1"/>
  <c r="AG129" i="1"/>
  <c r="AH185" i="1"/>
  <c r="A186" i="1"/>
  <c r="AH186" i="1" s="1"/>
  <c r="AI183" i="1"/>
  <c r="AI174" i="1"/>
  <c r="AI113" i="1"/>
  <c r="AI154" i="1"/>
  <c r="AI114" i="1"/>
  <c r="AI155" i="1"/>
  <c r="AI156" i="1"/>
  <c r="AT170" i="1" l="1"/>
  <c r="AV119" i="1"/>
  <c r="AU119" i="1"/>
  <c r="AU106" i="1"/>
  <c r="AV126" i="1"/>
  <c r="AU126" i="1"/>
  <c r="AT155" i="1"/>
  <c r="AV155" i="1" s="1"/>
  <c r="AT114" i="1"/>
  <c r="AT154" i="1"/>
  <c r="AV154" i="1" s="1"/>
  <c r="AT113" i="1"/>
  <c r="AT153" i="1"/>
  <c r="AU153" i="1" s="1"/>
  <c r="AT112" i="1"/>
  <c r="AV117" i="1"/>
  <c r="AU117" i="1"/>
  <c r="AV127" i="1"/>
  <c r="AU127" i="1"/>
  <c r="AV101" i="1"/>
  <c r="AU101" i="1"/>
  <c r="AU122" i="1"/>
  <c r="AV122" i="1"/>
  <c r="AV120" i="1"/>
  <c r="AU120" i="1"/>
  <c r="AV111" i="1"/>
  <c r="AU111" i="1"/>
  <c r="AU102" i="1"/>
  <c r="AV102" i="1"/>
  <c r="AT171" i="1"/>
  <c r="AV110" i="1"/>
  <c r="AU110" i="1"/>
  <c r="AV123" i="1"/>
  <c r="AU123" i="1"/>
  <c r="AV121" i="1"/>
  <c r="AU121" i="1"/>
  <c r="AV116" i="1"/>
  <c r="AU116" i="1"/>
  <c r="AV109" i="1"/>
  <c r="AU109" i="1"/>
  <c r="AV104" i="1"/>
  <c r="AU104" i="1"/>
  <c r="AK185" i="1"/>
  <c r="AK186" i="1" s="1"/>
  <c r="AJ186" i="1"/>
  <c r="AI157" i="1"/>
  <c r="AI158" i="1" s="1"/>
  <c r="AI138" i="1"/>
  <c r="AI139" i="1" s="1"/>
  <c r="AI140" i="1" s="1"/>
  <c r="AI165" i="1"/>
  <c r="AI166" i="1" s="1"/>
  <c r="A187" i="1"/>
  <c r="AI134" i="1"/>
  <c r="AI148" i="1"/>
  <c r="AG185" i="1"/>
  <c r="AI159" i="1"/>
  <c r="D186" i="1"/>
  <c r="AI184" i="1"/>
  <c r="AI175" i="1"/>
  <c r="AU155" i="1" l="1"/>
  <c r="AV153" i="1"/>
  <c r="AU170" i="1"/>
  <c r="AV170" i="1"/>
  <c r="AU154" i="1"/>
  <c r="AT166" i="1"/>
  <c r="AV112" i="1"/>
  <c r="AU112" i="1"/>
  <c r="AU171" i="1"/>
  <c r="AV171" i="1"/>
  <c r="AV113" i="1"/>
  <c r="AU113" i="1"/>
  <c r="AV114" i="1"/>
  <c r="AU114" i="1"/>
  <c r="AJ187" i="1"/>
  <c r="AT159" i="1"/>
  <c r="AI149" i="1"/>
  <c r="D187" i="1"/>
  <c r="AH187" i="1"/>
  <c r="AI167" i="1"/>
  <c r="AI141" i="1"/>
  <c r="AI142" i="1" s="1"/>
  <c r="AI143" i="1" s="1"/>
  <c r="AI160" i="1"/>
  <c r="AI144" i="1"/>
  <c r="AG186" i="1"/>
  <c r="AI185" i="1"/>
  <c r="A188" i="1"/>
  <c r="AI176" i="1"/>
  <c r="AT167" i="1" l="1"/>
  <c r="AU166" i="1"/>
  <c r="AV166" i="1"/>
  <c r="AK187" i="1"/>
  <c r="AJ188" i="1"/>
  <c r="AT160" i="1"/>
  <c r="AV159" i="1"/>
  <c r="AU159" i="1"/>
  <c r="AI168" i="1"/>
  <c r="AI177" i="1"/>
  <c r="AI186" i="1"/>
  <c r="AI187" i="1" s="1"/>
  <c r="AG187" i="1"/>
  <c r="A189" i="1"/>
  <c r="AH189" i="1"/>
  <c r="A190" i="1"/>
  <c r="D189" i="1"/>
  <c r="AH190" i="1"/>
  <c r="D190" i="1"/>
  <c r="AU167" i="1" l="1"/>
  <c r="AV167" i="1"/>
  <c r="AK190" i="1"/>
  <c r="AJ190" i="1"/>
  <c r="AI189" i="1"/>
  <c r="AV160" i="1"/>
  <c r="AU160" i="1"/>
  <c r="A191" i="1"/>
  <c r="AI190" i="1"/>
  <c r="AI178" i="1"/>
  <c r="AG190" i="1"/>
  <c r="AG189" i="1"/>
  <c r="AH191" i="1"/>
  <c r="AJ191" i="1" l="1"/>
  <c r="AK191" i="1"/>
  <c r="AT178" i="1"/>
  <c r="D191" i="1"/>
  <c r="A192" i="1"/>
  <c r="D192" i="1"/>
  <c r="AH192" i="1"/>
  <c r="A193" i="1"/>
  <c r="AH193" i="1"/>
  <c r="D193" i="1"/>
  <c r="A194" i="1"/>
  <c r="AS191" i="1" l="1"/>
  <c r="AJ194" i="1"/>
  <c r="AJ193" i="1"/>
  <c r="AS192" i="1"/>
  <c r="AJ192" i="1"/>
  <c r="AK192" i="1"/>
  <c r="AK193" i="1" s="1"/>
  <c r="AV178" i="1"/>
  <c r="AU178" i="1"/>
  <c r="AG191" i="1"/>
  <c r="AG193" i="1"/>
  <c r="AI191" i="1"/>
  <c r="A195" i="1"/>
  <c r="AH195" i="1" s="1"/>
  <c r="A196" i="1"/>
  <c r="AG192" i="1"/>
  <c r="AH196" i="1"/>
  <c r="D195" i="1"/>
  <c r="AI192" i="1"/>
  <c r="AT191" i="1" l="1"/>
  <c r="AU191" i="1" s="1"/>
  <c r="AK196" i="1"/>
  <c r="AJ196" i="1"/>
  <c r="AI195" i="1"/>
  <c r="AT192" i="1"/>
  <c r="AU192" i="1" s="1"/>
  <c r="AI193" i="1"/>
  <c r="D196" i="1"/>
  <c r="A197" i="1"/>
  <c r="AG195" i="1"/>
  <c r="D197" i="1"/>
  <c r="AH197" i="1"/>
  <c r="A198" i="1"/>
  <c r="AH198" i="1" s="1"/>
  <c r="AV191" i="1" l="1"/>
  <c r="AJ198" i="1"/>
  <c r="AJ197" i="1"/>
  <c r="AV192" i="1"/>
  <c r="AK197" i="1"/>
  <c r="AK198" i="1" s="1"/>
  <c r="D198" i="1"/>
  <c r="AG197" i="1"/>
  <c r="AG196" i="1"/>
  <c r="AI196" i="1"/>
  <c r="A199" i="1"/>
  <c r="AH199" i="1"/>
  <c r="D199" i="1"/>
  <c r="A200" i="1"/>
  <c r="AH200" i="1"/>
  <c r="D200" i="1"/>
  <c r="AS198" i="1" l="1"/>
  <c r="AJ200" i="1"/>
  <c r="AS199" i="1"/>
  <c r="AJ199" i="1"/>
  <c r="AK199" i="1"/>
  <c r="AK200" i="1" s="1"/>
  <c r="AI197" i="1"/>
  <c r="AG198" i="1"/>
  <c r="AG200" i="1"/>
  <c r="AI198" i="1"/>
  <c r="AI199" i="1" s="1"/>
  <c r="AI200" i="1" s="1"/>
  <c r="A201" i="1"/>
  <c r="D201" i="1"/>
  <c r="AG199" i="1"/>
  <c r="A202" i="1"/>
  <c r="AH201" i="1"/>
  <c r="AH202" i="1"/>
  <c r="AT198" i="1" l="1"/>
  <c r="AU198" i="1" s="1"/>
  <c r="AJ202" i="1"/>
  <c r="AJ201" i="1"/>
  <c r="AK201" i="1"/>
  <c r="AK202" i="1" s="1"/>
  <c r="AT199" i="1"/>
  <c r="D202" i="1"/>
  <c r="AI201" i="1"/>
  <c r="A203" i="1"/>
  <c r="AG201" i="1"/>
  <c r="A204" i="1"/>
  <c r="D204" i="1"/>
  <c r="AH204" i="1"/>
  <c r="A205" i="1"/>
  <c r="AH205" i="1"/>
  <c r="D205" i="1"/>
  <c r="A206" i="1"/>
  <c r="D206" i="1"/>
  <c r="AH206" i="1"/>
  <c r="AV198" i="1" l="1"/>
  <c r="AJ206" i="1"/>
  <c r="AK205" i="1"/>
  <c r="AK206" i="1" s="1"/>
  <c r="AJ205" i="1"/>
  <c r="AI204" i="1"/>
  <c r="AJ203" i="1"/>
  <c r="AV199" i="1"/>
  <c r="AU199" i="1"/>
  <c r="A207" i="1"/>
  <c r="AG202" i="1"/>
  <c r="AG205" i="1"/>
  <c r="AI202" i="1"/>
  <c r="AG204" i="1"/>
  <c r="AG206" i="1"/>
  <c r="AI205" i="1"/>
  <c r="AH207" i="1"/>
  <c r="D207" i="1"/>
  <c r="A208" i="1"/>
  <c r="D208" i="1"/>
  <c r="AH208" i="1"/>
  <c r="AJ208" i="1" l="1"/>
  <c r="AJ207" i="1"/>
  <c r="AK207" i="1"/>
  <c r="AK208" i="1" s="1"/>
  <c r="AG208" i="1"/>
  <c r="A209" i="1"/>
  <c r="AG207" i="1"/>
  <c r="AI206" i="1"/>
  <c r="D209" i="1"/>
  <c r="AH209" i="1"/>
  <c r="A210" i="1"/>
  <c r="D210" i="1"/>
  <c r="AH210" i="1"/>
  <c r="AJ210" i="1" l="1"/>
  <c r="AJ209" i="1"/>
  <c r="AK209" i="1"/>
  <c r="AK210" i="1" s="1"/>
  <c r="AG210" i="1"/>
  <c r="A211" i="1"/>
  <c r="AG209" i="1"/>
  <c r="AI207" i="1"/>
  <c r="D211" i="1"/>
  <c r="AH211" i="1"/>
  <c r="A212" i="1"/>
  <c r="AH212" i="1"/>
  <c r="D212" i="1"/>
  <c r="AJ212" i="1" l="1"/>
  <c r="AJ211" i="1"/>
  <c r="AK211" i="1"/>
  <c r="AK212" i="1" s="1"/>
  <c r="AG212" i="1"/>
  <c r="AI208" i="1"/>
  <c r="A213" i="1"/>
  <c r="AG211" i="1"/>
  <c r="A214" i="1"/>
  <c r="D214" i="1"/>
  <c r="AH214" i="1"/>
  <c r="AI214" i="1" l="1"/>
  <c r="AS214" i="1"/>
  <c r="AJ213" i="1"/>
  <c r="A215" i="1"/>
  <c r="AI209" i="1"/>
  <c r="AG214" i="1"/>
  <c r="A216" i="1"/>
  <c r="AH216" i="1"/>
  <c r="D216" i="1"/>
  <c r="AS216" i="1" l="1"/>
  <c r="AI216" i="1"/>
  <c r="AJ215" i="1"/>
  <c r="AT214" i="1"/>
  <c r="AI210" i="1"/>
  <c r="AG216" i="1"/>
  <c r="A217" i="1"/>
  <c r="A218" i="1"/>
  <c r="AT216" i="1" l="1"/>
  <c r="AV216" i="1" s="1"/>
  <c r="AJ218" i="1"/>
  <c r="AJ217" i="1"/>
  <c r="AV214" i="1"/>
  <c r="AU214" i="1"/>
  <c r="A219" i="1"/>
  <c r="AI211" i="1"/>
  <c r="AH219" i="1"/>
  <c r="D219" i="1"/>
  <c r="A220" i="1"/>
  <c r="AU216" i="1" l="1"/>
  <c r="AJ220" i="1"/>
  <c r="AI219" i="1"/>
  <c r="A221" i="1"/>
  <c r="AG219" i="1"/>
  <c r="AI212" i="1"/>
  <c r="D221" i="1"/>
  <c r="AH221" i="1"/>
  <c r="A222" i="1"/>
  <c r="AJ222" i="1" l="1"/>
  <c r="AI221" i="1"/>
  <c r="AS221" i="1"/>
  <c r="A223" i="1"/>
  <c r="AG221" i="1"/>
  <c r="D223" i="1"/>
  <c r="AH223" i="1"/>
  <c r="A224" i="1"/>
  <c r="AJ224" i="1" l="1"/>
  <c r="AI223" i="1"/>
  <c r="AS223" i="1"/>
  <c r="AT221" i="1"/>
  <c r="A225" i="1"/>
  <c r="AG223" i="1"/>
  <c r="AH225" i="1"/>
  <c r="D225" i="1"/>
  <c r="A226" i="1"/>
  <c r="D226" i="1"/>
  <c r="AH226" i="1"/>
  <c r="AK226" i="1" l="1"/>
  <c r="AS226" i="1"/>
  <c r="AJ226" i="1"/>
  <c r="AI225" i="1"/>
  <c r="AS225" i="1"/>
  <c r="AV221" i="1"/>
  <c r="AU221" i="1"/>
  <c r="AT223" i="1"/>
  <c r="AG226" i="1"/>
  <c r="AI226" i="1"/>
  <c r="A227" i="1"/>
  <c r="AG225" i="1"/>
  <c r="D227" i="1"/>
  <c r="AH227" i="1"/>
  <c r="A228" i="1"/>
  <c r="AT225" i="1" l="1"/>
  <c r="AV225" i="1" s="1"/>
  <c r="AJ228" i="1"/>
  <c r="AS227" i="1"/>
  <c r="AJ227" i="1"/>
  <c r="AU225" i="1"/>
  <c r="AV223" i="1"/>
  <c r="AU223" i="1"/>
  <c r="AT226" i="1"/>
  <c r="AK227" i="1"/>
  <c r="A229" i="1"/>
  <c r="AI227" i="1"/>
  <c r="AG227" i="1"/>
  <c r="D229" i="1"/>
  <c r="AH229" i="1"/>
  <c r="A230" i="1"/>
  <c r="AH230" i="1"/>
  <c r="D230" i="1"/>
  <c r="AS230" i="1" l="1"/>
  <c r="AK230" i="1"/>
  <c r="AJ230" i="1"/>
  <c r="AS229" i="1"/>
  <c r="AI229" i="1"/>
  <c r="AV226" i="1"/>
  <c r="AU226" i="1"/>
  <c r="AT227" i="1"/>
  <c r="AI230" i="1"/>
  <c r="AG230" i="1"/>
  <c r="A231" i="1"/>
  <c r="AG229" i="1"/>
  <c r="D231" i="1"/>
  <c r="AH231" i="1"/>
  <c r="A232" i="1"/>
  <c r="D232" i="1"/>
  <c r="AH232" i="1"/>
  <c r="AS232" i="1" l="1"/>
  <c r="AJ232" i="1"/>
  <c r="AS231" i="1"/>
  <c r="AJ231" i="1"/>
  <c r="AV227" i="1"/>
  <c r="AU227" i="1"/>
  <c r="AT229" i="1"/>
  <c r="AK231" i="1"/>
  <c r="AK232" i="1" s="1"/>
  <c r="AT230" i="1"/>
  <c r="A233" i="1"/>
  <c r="AI231" i="1"/>
  <c r="AI232" i="1" s="1"/>
  <c r="AG232" i="1"/>
  <c r="AG231" i="1"/>
  <c r="AH233" i="1"/>
  <c r="D233" i="1"/>
  <c r="A234" i="1"/>
  <c r="AH234" i="1"/>
  <c r="D234" i="1"/>
  <c r="A235" i="1"/>
  <c r="A236" i="1"/>
  <c r="D236" i="1"/>
  <c r="AH236" i="1"/>
  <c r="A237" i="1"/>
  <c r="AH237" i="1"/>
  <c r="D237" i="1"/>
  <c r="A238" i="1"/>
  <c r="D238" i="1"/>
  <c r="AH238" i="1"/>
  <c r="A239" i="1"/>
  <c r="D239" i="1"/>
  <c r="AH239" i="1"/>
  <c r="A240" i="1"/>
  <c r="AH240" i="1"/>
  <c r="D240" i="1"/>
  <c r="A241" i="1"/>
  <c r="D241" i="1"/>
  <c r="A242" i="1"/>
  <c r="AH242" i="1"/>
  <c r="D242" i="1"/>
  <c r="A243" i="1"/>
  <c r="A244" i="1"/>
  <c r="D244" i="1"/>
  <c r="AH244" i="1"/>
  <c r="A245" i="1"/>
  <c r="AH245" i="1"/>
  <c r="D245" i="1"/>
  <c r="A246" i="1"/>
  <c r="A247" i="1"/>
  <c r="AH247" i="1"/>
  <c r="D247" i="1"/>
  <c r="A248" i="1"/>
  <c r="D248" i="1"/>
  <c r="AH248" i="1"/>
  <c r="A249" i="1"/>
  <c r="D249" i="1"/>
  <c r="AH249" i="1"/>
  <c r="A250" i="1"/>
  <c r="D250" i="1"/>
  <c r="AH250" i="1"/>
  <c r="A251" i="1"/>
  <c r="AH251" i="1"/>
  <c r="D251" i="1"/>
  <c r="A252" i="1"/>
  <c r="D252" i="1"/>
  <c r="AH252" i="1"/>
  <c r="A253" i="1"/>
  <c r="D253" i="1"/>
  <c r="AH253" i="1"/>
  <c r="A254" i="1"/>
  <c r="A255" i="1"/>
  <c r="AH255" i="1"/>
  <c r="D255" i="1"/>
  <c r="A256" i="1"/>
  <c r="D256" i="1"/>
  <c r="AH256" i="1"/>
  <c r="A257" i="1"/>
  <c r="D257" i="1"/>
  <c r="AH257" i="1"/>
  <c r="A258" i="1"/>
  <c r="AH258" i="1"/>
  <c r="D258" i="1"/>
  <c r="A259" i="1"/>
  <c r="D259" i="1"/>
  <c r="AH259" i="1"/>
  <c r="A260" i="1"/>
  <c r="AH260" i="1"/>
  <c r="D260" i="1"/>
  <c r="A261" i="1"/>
  <c r="D261" i="1"/>
  <c r="AH261" i="1"/>
  <c r="A262" i="1"/>
  <c r="D262" i="1"/>
  <c r="AH262" i="1"/>
  <c r="A263" i="1"/>
  <c r="AH263" i="1"/>
  <c r="D263" i="1"/>
  <c r="A264" i="1"/>
  <c r="AH264" i="1"/>
  <c r="D264" i="1"/>
  <c r="A265" i="1"/>
  <c r="D265" i="1"/>
  <c r="A266" i="1"/>
  <c r="D266" i="1"/>
  <c r="AH266" i="1"/>
  <c r="A267" i="1"/>
  <c r="A268" i="1"/>
  <c r="D268" i="1"/>
  <c r="AH268" i="1"/>
  <c r="A269" i="1"/>
  <c r="D269" i="1"/>
  <c r="AH269" i="1"/>
  <c r="A270" i="1"/>
  <c r="AH270" i="1"/>
  <c r="D270" i="1"/>
  <c r="A271" i="1"/>
  <c r="AH271" i="1"/>
  <c r="D271" i="1"/>
  <c r="AK269" i="1" l="1"/>
  <c r="AK270" i="1" s="1"/>
  <c r="AK271" i="1" s="1"/>
  <c r="AS269" i="1"/>
  <c r="AJ269" i="1"/>
  <c r="AS268" i="1"/>
  <c r="AI268" i="1"/>
  <c r="AJ267" i="1"/>
  <c r="AJ266" i="1"/>
  <c r="AJ265" i="1"/>
  <c r="AJ264" i="1"/>
  <c r="AJ263" i="1"/>
  <c r="AJ262" i="1"/>
  <c r="AJ261" i="1"/>
  <c r="AJ260" i="1"/>
  <c r="AJ259" i="1"/>
  <c r="AJ258" i="1"/>
  <c r="AJ257" i="1"/>
  <c r="AK256" i="1"/>
  <c r="AK257" i="1" s="1"/>
  <c r="AK258" i="1" s="1"/>
  <c r="AK259" i="1" s="1"/>
  <c r="AK260" i="1" s="1"/>
  <c r="AK261" i="1" s="1"/>
  <c r="AK262" i="1" s="1"/>
  <c r="AK263" i="1" s="1"/>
  <c r="AK264" i="1" s="1"/>
  <c r="AJ256" i="1"/>
  <c r="AI255" i="1"/>
  <c r="AJ254" i="1"/>
  <c r="AJ253" i="1"/>
  <c r="AJ252" i="1"/>
  <c r="AJ251" i="1"/>
  <c r="AJ250" i="1"/>
  <c r="AJ249" i="1"/>
  <c r="AK248" i="1"/>
  <c r="AK249" i="1" s="1"/>
  <c r="AK250" i="1" s="1"/>
  <c r="AK251" i="1" s="1"/>
  <c r="AK252" i="1" s="1"/>
  <c r="AK253" i="1" s="1"/>
  <c r="AJ248" i="1"/>
  <c r="AS247" i="1"/>
  <c r="AI247" i="1"/>
  <c r="AJ246" i="1"/>
  <c r="AK245" i="1"/>
  <c r="AJ245" i="1"/>
  <c r="AI244" i="1"/>
  <c r="AJ243" i="1"/>
  <c r="AJ242" i="1"/>
  <c r="AJ241" i="1"/>
  <c r="AJ240" i="1"/>
  <c r="AJ239" i="1"/>
  <c r="AJ238" i="1"/>
  <c r="AK237" i="1"/>
  <c r="AK238" i="1" s="1"/>
  <c r="AK239" i="1" s="1"/>
  <c r="AK240" i="1" s="1"/>
  <c r="AJ237" i="1"/>
  <c r="AI236" i="1"/>
  <c r="AJ235" i="1"/>
  <c r="AS234" i="1"/>
  <c r="AJ234" i="1"/>
  <c r="AS233" i="1"/>
  <c r="AJ233" i="1"/>
  <c r="AV230" i="1"/>
  <c r="AU230" i="1"/>
  <c r="AV229" i="1"/>
  <c r="AU229" i="1"/>
  <c r="AK233" i="1"/>
  <c r="AK234" i="1" s="1"/>
  <c r="AT231" i="1"/>
  <c r="AT232" i="1"/>
  <c r="AJ271" i="1"/>
  <c r="AS270" i="1"/>
  <c r="AJ270" i="1"/>
  <c r="AG269" i="1"/>
  <c r="AG266" i="1"/>
  <c r="AG265" i="1"/>
  <c r="AH265" i="1"/>
  <c r="AG264" i="1"/>
  <c r="AG263" i="1"/>
  <c r="AG258" i="1"/>
  <c r="AI256" i="1"/>
  <c r="AI257" i="1" s="1"/>
  <c r="AG252" i="1"/>
  <c r="AG250" i="1"/>
  <c r="AG248" i="1"/>
  <c r="AG247" i="1"/>
  <c r="AG245" i="1"/>
  <c r="AG244" i="1"/>
  <c r="AG242" i="1"/>
  <c r="AG241" i="1"/>
  <c r="AH241" i="1"/>
  <c r="AG240" i="1"/>
  <c r="AG237" i="1"/>
  <c r="AG271" i="1"/>
  <c r="AG270" i="1"/>
  <c r="AI269" i="1"/>
  <c r="AG268" i="1"/>
  <c r="AG262" i="1"/>
  <c r="AG261" i="1"/>
  <c r="AG260" i="1"/>
  <c r="AG259" i="1"/>
  <c r="AI258" i="1"/>
  <c r="AI259" i="1" s="1"/>
  <c r="AG257" i="1"/>
  <c r="AG256" i="1"/>
  <c r="AG255" i="1"/>
  <c r="AG253" i="1"/>
  <c r="AG251" i="1"/>
  <c r="AG249" i="1"/>
  <c r="AI248" i="1"/>
  <c r="AI249" i="1" s="1"/>
  <c r="AI250" i="1" s="1"/>
  <c r="AI251" i="1" s="1"/>
  <c r="AI252" i="1" s="1"/>
  <c r="AI253" i="1" s="1"/>
  <c r="AI245" i="1"/>
  <c r="AG239" i="1"/>
  <c r="AG238" i="1"/>
  <c r="AI237" i="1"/>
  <c r="AI238" i="1" s="1"/>
  <c r="AI239" i="1" s="1"/>
  <c r="AI240" i="1" s="1"/>
  <c r="AI241" i="1" s="1"/>
  <c r="AI242" i="1" s="1"/>
  <c r="AG236" i="1"/>
  <c r="AG233" i="1"/>
  <c r="AI233" i="1"/>
  <c r="A272" i="1"/>
  <c r="AI270" i="1"/>
  <c r="A273" i="1"/>
  <c r="AG234" i="1"/>
  <c r="D272" i="1"/>
  <c r="D273" i="1"/>
  <c r="AH272" i="1"/>
  <c r="AT268" i="1" l="1"/>
  <c r="AV268" i="1" s="1"/>
  <c r="AT247" i="1"/>
  <c r="AV247" i="1" s="1"/>
  <c r="AT269" i="1"/>
  <c r="AV269" i="1" s="1"/>
  <c r="AK241" i="1"/>
  <c r="AK242" i="1" s="1"/>
  <c r="AK265" i="1"/>
  <c r="AK266" i="1" s="1"/>
  <c r="AV231" i="1"/>
  <c r="AU231" i="1"/>
  <c r="AV232" i="1"/>
  <c r="AU232" i="1"/>
  <c r="AU247" i="1"/>
  <c r="AT233" i="1"/>
  <c r="AJ273" i="1"/>
  <c r="AJ272" i="1"/>
  <c r="AU268" i="1"/>
  <c r="AK272" i="1"/>
  <c r="AT270" i="1"/>
  <c r="AI234" i="1"/>
  <c r="AH273" i="1"/>
  <c r="AG273" i="1"/>
  <c r="AI271" i="1"/>
  <c r="AG272" i="1"/>
  <c r="AI260" i="1"/>
  <c r="A274" i="1"/>
  <c r="A275" i="1"/>
  <c r="D275" i="1" s="1"/>
  <c r="AH274" i="1"/>
  <c r="AU269" i="1" l="1"/>
  <c r="AT234" i="1"/>
  <c r="AV233" i="1"/>
  <c r="AU233" i="1"/>
  <c r="AK273" i="1"/>
  <c r="AK274" i="1" s="1"/>
  <c r="AJ275" i="1"/>
  <c r="AJ274" i="1"/>
  <c r="AV270" i="1"/>
  <c r="AU270" i="1"/>
  <c r="D274" i="1"/>
  <c r="AH275" i="1"/>
  <c r="AI261" i="1"/>
  <c r="AI262" i="1" s="1"/>
  <c r="AI263" i="1" s="1"/>
  <c r="AI264" i="1" s="1"/>
  <c r="AI265" i="1" s="1"/>
  <c r="AI266" i="1" s="1"/>
  <c r="AG275" i="1"/>
  <c r="AI272" i="1"/>
  <c r="A276" i="1"/>
  <c r="D276" i="1" s="1"/>
  <c r="A277" i="1"/>
  <c r="AV234" i="1" l="1"/>
  <c r="AU234" i="1"/>
  <c r="AK275" i="1"/>
  <c r="AJ277" i="1"/>
  <c r="AJ276" i="1"/>
  <c r="AI273" i="1"/>
  <c r="A278" i="1"/>
  <c r="D278" i="1"/>
  <c r="A279" i="1"/>
  <c r="AH279" i="1"/>
  <c r="AG274" i="1"/>
  <c r="AH276" i="1"/>
  <c r="AH278" i="1"/>
  <c r="AG276" i="1"/>
  <c r="AK276" i="1" l="1"/>
  <c r="AK279" i="1"/>
  <c r="AJ279" i="1"/>
  <c r="AI278" i="1"/>
  <c r="D279" i="1"/>
  <c r="AG278" i="1"/>
  <c r="A280" i="1"/>
  <c r="AH280" i="1"/>
  <c r="AI274" i="1"/>
  <c r="AI275" i="1" s="1"/>
  <c r="AI276" i="1" s="1"/>
  <c r="A281" i="1"/>
  <c r="D281" i="1"/>
  <c r="D280" i="1"/>
  <c r="AJ281" i="1" l="1"/>
  <c r="AJ280" i="1"/>
  <c r="AK280" i="1"/>
  <c r="AI279" i="1"/>
  <c r="AG280" i="1"/>
  <c r="A282" i="1"/>
  <c r="AH282" i="1"/>
  <c r="D282" i="1"/>
  <c r="AG279" i="1"/>
  <c r="AH281" i="1"/>
  <c r="AI280" i="1"/>
  <c r="AG281" i="1"/>
  <c r="A283" i="1"/>
  <c r="AH283" i="1"/>
  <c r="A284" i="1"/>
  <c r="A285" i="1" s="1"/>
  <c r="AH284" i="1"/>
  <c r="D285" i="1"/>
  <c r="A286" i="1"/>
  <c r="A287" i="1" s="1"/>
  <c r="D286" i="1"/>
  <c r="AH287" i="1"/>
  <c r="A288" i="1"/>
  <c r="A289" i="1" s="1"/>
  <c r="AH288" i="1"/>
  <c r="A290" i="1"/>
  <c r="A291" i="1" s="1"/>
  <c r="D290" i="1"/>
  <c r="AH291" i="1"/>
  <c r="A292" i="1"/>
  <c r="A293" i="1" s="1"/>
  <c r="AH293" i="1"/>
  <c r="A294" i="1"/>
  <c r="A295" i="1" s="1"/>
  <c r="AH294" i="1"/>
  <c r="AH295" i="1"/>
  <c r="A296" i="1"/>
  <c r="A297" i="1" s="1"/>
  <c r="AH296" i="1"/>
  <c r="AH297" i="1"/>
  <c r="A298" i="1"/>
  <c r="A299" i="1" s="1"/>
  <c r="D298" i="1"/>
  <c r="D299" i="1"/>
  <c r="A300" i="1"/>
  <c r="A301" i="1" s="1"/>
  <c r="AH300" i="1"/>
  <c r="D301" i="1"/>
  <c r="A302" i="1"/>
  <c r="A303" i="1" s="1"/>
  <c r="D302" i="1"/>
  <c r="AH303" i="1"/>
  <c r="D303" i="1"/>
  <c r="AH302" i="1"/>
  <c r="AH301" i="1"/>
  <c r="D300" i="1"/>
  <c r="AH299" i="1"/>
  <c r="AH298" i="1"/>
  <c r="D297" i="1"/>
  <c r="D296" i="1"/>
  <c r="D295" i="1"/>
  <c r="D294" i="1"/>
  <c r="D293" i="1"/>
  <c r="D291" i="1"/>
  <c r="AH290" i="1"/>
  <c r="D288" i="1"/>
  <c r="D287" i="1"/>
  <c r="AH286" i="1"/>
  <c r="AH285" i="1"/>
  <c r="D284" i="1"/>
  <c r="D283" i="1"/>
  <c r="AK281" i="1" l="1"/>
  <c r="AK282" i="1" s="1"/>
  <c r="AK283" i="1" s="1"/>
  <c r="AK284" i="1" s="1"/>
  <c r="AK285" i="1" s="1"/>
  <c r="AK286" i="1" s="1"/>
  <c r="AK287" i="1" s="1"/>
  <c r="AK288" i="1" s="1"/>
  <c r="AJ303" i="1"/>
  <c r="AJ302" i="1"/>
  <c r="AJ301" i="1"/>
  <c r="AJ300" i="1"/>
  <c r="AJ299" i="1"/>
  <c r="AJ298" i="1"/>
  <c r="AJ297" i="1"/>
  <c r="AJ296" i="1"/>
  <c r="AJ295" i="1"/>
  <c r="AK294" i="1"/>
  <c r="AK295" i="1" s="1"/>
  <c r="AK296" i="1" s="1"/>
  <c r="AK297" i="1" s="1"/>
  <c r="AK298" i="1" s="1"/>
  <c r="AK299" i="1" s="1"/>
  <c r="AK300" i="1" s="1"/>
  <c r="AK301" i="1" s="1"/>
  <c r="AK302" i="1" s="1"/>
  <c r="AK303" i="1" s="1"/>
  <c r="AJ294" i="1"/>
  <c r="AI293" i="1"/>
  <c r="AJ292" i="1"/>
  <c r="AS291" i="1"/>
  <c r="AK291" i="1"/>
  <c r="AJ291" i="1"/>
  <c r="AI290" i="1"/>
  <c r="AS290" i="1"/>
  <c r="AJ289" i="1"/>
  <c r="AJ288" i="1"/>
  <c r="AS287" i="1"/>
  <c r="AJ287" i="1"/>
  <c r="AJ286" i="1"/>
  <c r="AS285" i="1"/>
  <c r="AJ285" i="1"/>
  <c r="AJ284" i="1"/>
  <c r="AJ283" i="1"/>
  <c r="AJ282" i="1"/>
  <c r="AG297" i="1"/>
  <c r="AG291" i="1"/>
  <c r="AG288" i="1"/>
  <c r="AG283" i="1"/>
  <c r="AG301" i="1"/>
  <c r="AG294" i="1"/>
  <c r="AG300" i="1"/>
  <c r="AG295" i="1"/>
  <c r="AG293" i="1"/>
  <c r="AI294" i="1"/>
  <c r="AG296" i="1"/>
  <c r="AI281" i="1"/>
  <c r="AI282" i="1" s="1"/>
  <c r="AG284" i="1"/>
  <c r="AG286" i="1"/>
  <c r="AG303" i="1"/>
  <c r="AI291" i="1"/>
  <c r="AG290" i="1"/>
  <c r="AG298" i="1"/>
  <c r="AG287" i="1"/>
  <c r="A304" i="1"/>
  <c r="AG282" i="1"/>
  <c r="AG285" i="1"/>
  <c r="AG302" i="1"/>
  <c r="AI283" i="1"/>
  <c r="A305" i="1"/>
  <c r="A306" i="1"/>
  <c r="D306" i="1"/>
  <c r="A307" i="1"/>
  <c r="AH307" i="1"/>
  <c r="AG299" i="1"/>
  <c r="AH305" i="1"/>
  <c r="AH306" i="1"/>
  <c r="A308" i="1"/>
  <c r="AH308" i="1"/>
  <c r="D307" i="1"/>
  <c r="D305" i="1"/>
  <c r="A309" i="1"/>
  <c r="D308" i="1"/>
  <c r="AH309" i="1"/>
  <c r="D309" i="1"/>
  <c r="A310" i="1"/>
  <c r="A311" i="1"/>
  <c r="D311" i="1"/>
  <c r="AH311" i="1"/>
  <c r="A312" i="1"/>
  <c r="D312" i="1"/>
  <c r="AH312" i="1"/>
  <c r="A313" i="1"/>
  <c r="AH313" i="1"/>
  <c r="D313" i="1"/>
  <c r="AT290" i="1" l="1"/>
  <c r="AV290" i="1" s="1"/>
  <c r="AS313" i="1"/>
  <c r="AJ313" i="1"/>
  <c r="AK312" i="1"/>
  <c r="AK313" i="1" s="1"/>
  <c r="AS312" i="1"/>
  <c r="AJ312" i="1"/>
  <c r="AI311" i="1"/>
  <c r="AS311" i="1"/>
  <c r="AJ310" i="1"/>
  <c r="AJ309" i="1"/>
  <c r="AJ308" i="1"/>
  <c r="AJ307" i="1"/>
  <c r="AK306" i="1"/>
  <c r="AK307" i="1" s="1"/>
  <c r="AK308" i="1" s="1"/>
  <c r="AK309" i="1" s="1"/>
  <c r="AJ306" i="1"/>
  <c r="AI305" i="1"/>
  <c r="AJ304" i="1"/>
  <c r="AT291" i="1"/>
  <c r="AG311" i="1"/>
  <c r="AI295" i="1"/>
  <c r="AI296" i="1" s="1"/>
  <c r="AG306" i="1"/>
  <c r="AG305" i="1"/>
  <c r="A314" i="1"/>
  <c r="AG309" i="1"/>
  <c r="AI306" i="1"/>
  <c r="AG312" i="1"/>
  <c r="AG313" i="1"/>
  <c r="AI312" i="1"/>
  <c r="AG307" i="1"/>
  <c r="AI284" i="1"/>
  <c r="AG308" i="1"/>
  <c r="AU290" i="1" l="1"/>
  <c r="AJ314" i="1"/>
  <c r="AV291" i="1"/>
  <c r="AU291" i="1"/>
  <c r="AT311" i="1"/>
  <c r="AT312" i="1"/>
  <c r="AI297" i="1"/>
  <c r="AI285" i="1"/>
  <c r="AI286" i="1"/>
  <c r="AI307" i="1"/>
  <c r="A315" i="1"/>
  <c r="AI313" i="1"/>
  <c r="D315" i="1"/>
  <c r="AH315" i="1"/>
  <c r="A316" i="1"/>
  <c r="AT313" i="1" l="1"/>
  <c r="AV313" i="1" s="1"/>
  <c r="AT285" i="1"/>
  <c r="AU285" i="1" s="1"/>
  <c r="AJ316" i="1"/>
  <c r="AI315" i="1"/>
  <c r="AS315" i="1"/>
  <c r="AV312" i="1"/>
  <c r="AU312" i="1"/>
  <c r="AV311" i="1"/>
  <c r="AU311" i="1"/>
  <c r="AI298" i="1"/>
  <c r="AI308" i="1"/>
  <c r="AI287" i="1"/>
  <c r="AI288" i="1" s="1"/>
  <c r="A317" i="1"/>
  <c r="D317" i="1" s="1"/>
  <c r="A318" i="1"/>
  <c r="AG315" i="1"/>
  <c r="AH317" i="1"/>
  <c r="AV285" i="1" l="1"/>
  <c r="AU313" i="1"/>
  <c r="AT287" i="1"/>
  <c r="AJ318" i="1"/>
  <c r="AI317" i="1"/>
  <c r="AS317" i="1"/>
  <c r="AT315" i="1"/>
  <c r="AI299" i="1"/>
  <c r="AG317" i="1"/>
  <c r="A319" i="1"/>
  <c r="D319" i="1"/>
  <c r="AI309" i="1"/>
  <c r="AI300" i="1"/>
  <c r="A320" i="1"/>
  <c r="AU287" i="1" l="1"/>
  <c r="AV287" i="1"/>
  <c r="AJ320" i="1"/>
  <c r="AS319" i="1"/>
  <c r="AI319" i="1"/>
  <c r="AT317" i="1"/>
  <c r="AV315" i="1"/>
  <c r="AU315" i="1"/>
  <c r="AH319" i="1"/>
  <c r="AI301" i="1"/>
  <c r="A321" i="1"/>
  <c r="D321" i="1"/>
  <c r="AG319" i="1"/>
  <c r="A322" i="1"/>
  <c r="D322" i="1"/>
  <c r="AH322" i="1"/>
  <c r="AT319" i="1" l="1"/>
  <c r="AV319" i="1" s="1"/>
  <c r="AS322" i="1"/>
  <c r="AK322" i="1"/>
  <c r="AJ322" i="1"/>
  <c r="AI321" i="1"/>
  <c r="AS321" i="1"/>
  <c r="AV317" i="1"/>
  <c r="AU317" i="1"/>
  <c r="A323" i="1"/>
  <c r="AH321" i="1"/>
  <c r="AG322" i="1"/>
  <c r="A324" i="1"/>
  <c r="D324" i="1"/>
  <c r="AG321" i="1"/>
  <c r="AI302" i="1"/>
  <c r="AI322" i="1"/>
  <c r="AH324" i="1"/>
  <c r="A325" i="1"/>
  <c r="A326" i="1" s="1"/>
  <c r="D325" i="1"/>
  <c r="AH326" i="1"/>
  <c r="AH325" i="1"/>
  <c r="AU319" i="1" l="1"/>
  <c r="AI324" i="1"/>
  <c r="AJ323" i="1"/>
  <c r="AT321" i="1"/>
  <c r="AV321" i="1" s="1"/>
  <c r="AJ326" i="1"/>
  <c r="AK325" i="1"/>
  <c r="AK326" i="1" s="1"/>
  <c r="AJ325" i="1"/>
  <c r="AT322" i="1"/>
  <c r="D326" i="1"/>
  <c r="AI303" i="1"/>
  <c r="A327" i="1"/>
  <c r="AH327" i="1"/>
  <c r="D327" i="1"/>
  <c r="AG324" i="1"/>
  <c r="AG325" i="1"/>
  <c r="AI325" i="1"/>
  <c r="A328" i="1"/>
  <c r="AH328" i="1"/>
  <c r="D328" i="1"/>
  <c r="AU321" i="1" l="1"/>
  <c r="AJ328" i="1"/>
  <c r="AJ327" i="1"/>
  <c r="AU322" i="1"/>
  <c r="AV322" i="1"/>
  <c r="AK327" i="1"/>
  <c r="AK328" i="1" s="1"/>
  <c r="AI326" i="1"/>
  <c r="AG328" i="1"/>
  <c r="A329" i="1"/>
  <c r="AG327" i="1"/>
  <c r="D329" i="1"/>
  <c r="AI327" i="1"/>
  <c r="AG326" i="1"/>
  <c r="AH329" i="1"/>
  <c r="A330" i="1"/>
  <c r="AH330" i="1" s="1"/>
  <c r="D330" i="1"/>
  <c r="AJ330" i="1" l="1"/>
  <c r="AJ329" i="1"/>
  <c r="AK329" i="1"/>
  <c r="AK330" i="1" s="1"/>
  <c r="A331" i="1"/>
  <c r="AI328" i="1"/>
  <c r="AI329" i="1"/>
  <c r="AG330" i="1"/>
  <c r="A332" i="1"/>
  <c r="AG329" i="1"/>
  <c r="D332" i="1"/>
  <c r="AH332" i="1"/>
  <c r="A333" i="1"/>
  <c r="AH333" i="1"/>
  <c r="D333" i="1"/>
  <c r="A334" i="1"/>
  <c r="AH334" i="1"/>
  <c r="D334" i="1"/>
  <c r="A335" i="1"/>
  <c r="AH335" i="1"/>
  <c r="D335" i="1"/>
  <c r="A336" i="1"/>
  <c r="AH336" i="1"/>
  <c r="A337" i="1"/>
  <c r="AH337" i="1"/>
  <c r="D337" i="1"/>
  <c r="A338" i="1"/>
  <c r="A339" i="1"/>
  <c r="D339" i="1"/>
  <c r="AH339" i="1"/>
  <c r="A340" i="1"/>
  <c r="AH340" i="1"/>
  <c r="D340" i="1"/>
  <c r="A341" i="1"/>
  <c r="D341" i="1"/>
  <c r="AH341" i="1"/>
  <c r="A342" i="1"/>
  <c r="D342" i="1"/>
  <c r="AH342" i="1"/>
  <c r="A343" i="1"/>
  <c r="D343" i="1"/>
  <c r="AH343" i="1"/>
  <c r="A344" i="1"/>
  <c r="D344" i="1"/>
  <c r="AH344" i="1"/>
  <c r="A345" i="1"/>
  <c r="A346" i="1"/>
  <c r="D346" i="1"/>
  <c r="AH346" i="1"/>
  <c r="A347" i="1"/>
  <c r="AH347" i="1"/>
  <c r="D347" i="1"/>
  <c r="A348" i="1"/>
  <c r="AH348" i="1"/>
  <c r="D348" i="1"/>
  <c r="A349" i="1"/>
  <c r="D349" i="1"/>
  <c r="AH349" i="1"/>
  <c r="A350" i="1"/>
  <c r="AH350" i="1"/>
  <c r="D350" i="1"/>
  <c r="A351" i="1"/>
  <c r="A352" i="1"/>
  <c r="D352" i="1"/>
  <c r="AH352" i="1"/>
  <c r="A353" i="1"/>
  <c r="AH353" i="1"/>
  <c r="D353" i="1"/>
  <c r="A354" i="1"/>
  <c r="AH354" i="1"/>
  <c r="D354" i="1"/>
  <c r="A355" i="1"/>
  <c r="D355" i="1"/>
  <c r="AH355" i="1"/>
  <c r="AJ355" i="1" l="1"/>
  <c r="AJ354" i="1"/>
  <c r="AK353" i="1"/>
  <c r="AK354" i="1" s="1"/>
  <c r="AK355" i="1" s="1"/>
  <c r="AJ353" i="1"/>
  <c r="AI352" i="1"/>
  <c r="AJ351" i="1"/>
  <c r="AJ350" i="1"/>
  <c r="AJ349" i="1"/>
  <c r="AJ348" i="1"/>
  <c r="AK347" i="1"/>
  <c r="AK348" i="1" s="1"/>
  <c r="AK349" i="1" s="1"/>
  <c r="AK350" i="1" s="1"/>
  <c r="AJ347" i="1"/>
  <c r="AI346" i="1"/>
  <c r="AJ345" i="1"/>
  <c r="AJ344" i="1"/>
  <c r="AJ343" i="1"/>
  <c r="AJ342" i="1"/>
  <c r="AJ341" i="1"/>
  <c r="AK340" i="1"/>
  <c r="AK341" i="1" s="1"/>
  <c r="AK342" i="1" s="1"/>
  <c r="AK343" i="1" s="1"/>
  <c r="AK344" i="1" s="1"/>
  <c r="AJ340" i="1"/>
  <c r="AI339" i="1"/>
  <c r="AJ338" i="1"/>
  <c r="AJ337" i="1"/>
  <c r="AJ336" i="1"/>
  <c r="AJ335" i="1"/>
  <c r="AJ334" i="1"/>
  <c r="AK333" i="1"/>
  <c r="AK334" i="1" s="1"/>
  <c r="AK335" i="1" s="1"/>
  <c r="AK336" i="1" s="1"/>
  <c r="AK337" i="1" s="1"/>
  <c r="AJ333" i="1"/>
  <c r="AI332" i="1"/>
  <c r="AJ331" i="1"/>
  <c r="AI333" i="1"/>
  <c r="AG333" i="1"/>
  <c r="AG353" i="1"/>
  <c r="AG347" i="1"/>
  <c r="AI347" i="1"/>
  <c r="AG340" i="1"/>
  <c r="AG349" i="1"/>
  <c r="AG348" i="1"/>
  <c r="AG339" i="1"/>
  <c r="D336" i="1"/>
  <c r="AG355" i="1"/>
  <c r="AG344" i="1"/>
  <c r="AG352" i="1"/>
  <c r="AG341" i="1"/>
  <c r="AI330" i="1"/>
  <c r="AG354" i="1"/>
  <c r="A356" i="1"/>
  <c r="AG335" i="1"/>
  <c r="AG343" i="1"/>
  <c r="AG332" i="1"/>
  <c r="AI353" i="1"/>
  <c r="AG342" i="1"/>
  <c r="AI340" i="1"/>
  <c r="AG334" i="1"/>
  <c r="AG350" i="1"/>
  <c r="D356" i="1"/>
  <c r="A357" i="1"/>
  <c r="AI334" i="1"/>
  <c r="AG346" i="1"/>
  <c r="AG337" i="1"/>
  <c r="AH356" i="1"/>
  <c r="D357" i="1"/>
  <c r="AJ357" i="1" l="1"/>
  <c r="AJ356" i="1"/>
  <c r="AK356" i="1"/>
  <c r="AG336" i="1"/>
  <c r="AH357" i="1"/>
  <c r="AI348" i="1"/>
  <c r="AI341" i="1"/>
  <c r="AI354" i="1"/>
  <c r="A358" i="1"/>
  <c r="A359" i="1" s="1"/>
  <c r="D358" i="1"/>
  <c r="AG356" i="1"/>
  <c r="AI335" i="1"/>
  <c r="AG357" i="1"/>
  <c r="AK357" i="1" l="1"/>
  <c r="AJ359" i="1"/>
  <c r="AJ358" i="1"/>
  <c r="AI336" i="1"/>
  <c r="AG358" i="1"/>
  <c r="AI349" i="1"/>
  <c r="AI342" i="1"/>
  <c r="AH358" i="1"/>
  <c r="AI337" i="1"/>
  <c r="AI355" i="1"/>
  <c r="A360" i="1"/>
  <c r="AH360" i="1"/>
  <c r="AI350" i="1"/>
  <c r="D360" i="1"/>
  <c r="AK358" i="1" l="1"/>
  <c r="AI360" i="1"/>
  <c r="A361" i="1"/>
  <c r="AI343" i="1"/>
  <c r="AI356" i="1"/>
  <c r="AI357" i="1" s="1"/>
  <c r="AI358" i="1" s="1"/>
  <c r="AG360" i="1"/>
  <c r="A362" i="1"/>
  <c r="A363" i="1"/>
  <c r="AH361" i="1"/>
  <c r="D361" i="1"/>
  <c r="D363" i="1"/>
  <c r="AK361" i="1" l="1"/>
  <c r="AJ361" i="1"/>
  <c r="AI363" i="1"/>
  <c r="AJ362" i="1"/>
  <c r="AG361" i="1"/>
  <c r="AI361" i="1"/>
  <c r="AH363" i="1"/>
  <c r="AI344" i="1"/>
  <c r="AG363" i="1"/>
  <c r="A364" i="1"/>
  <c r="A365" i="1"/>
  <c r="D364" i="1"/>
  <c r="AH365" i="1"/>
  <c r="D365" i="1"/>
  <c r="AJ365" i="1" l="1"/>
  <c r="AJ364" i="1"/>
  <c r="AH364" i="1"/>
  <c r="AI364" i="1"/>
  <c r="A366" i="1"/>
  <c r="AG365" i="1"/>
  <c r="AG364" i="1"/>
  <c r="AH366" i="1"/>
  <c r="D366" i="1"/>
  <c r="AK364" i="1" l="1"/>
  <c r="AK365" i="1" s="1"/>
  <c r="AJ366" i="1"/>
  <c r="AK366" i="1"/>
  <c r="A367" i="1"/>
  <c r="AI365" i="1"/>
  <c r="AI366" i="1"/>
  <c r="D367" i="1"/>
  <c r="AG366" i="1"/>
  <c r="A368" i="1"/>
  <c r="AH368" i="1"/>
  <c r="AH367" i="1"/>
  <c r="A369" i="1"/>
  <c r="D368" i="1"/>
  <c r="AH369" i="1"/>
  <c r="D369" i="1"/>
  <c r="AJ367" i="1" l="1"/>
  <c r="AK367" i="1"/>
  <c r="AK368" i="1" s="1"/>
  <c r="AK369" i="1" s="1"/>
  <c r="AJ369" i="1"/>
  <c r="AJ368" i="1"/>
  <c r="AI367" i="1"/>
  <c r="AI368" i="1"/>
  <c r="A370" i="1"/>
  <c r="AH370" i="1"/>
  <c r="AG367" i="1"/>
  <c r="AG368" i="1"/>
  <c r="AG369" i="1"/>
  <c r="D370" i="1"/>
  <c r="A371" i="1"/>
  <c r="AH371" i="1"/>
  <c r="D371" i="1"/>
  <c r="AJ371" i="1" l="1"/>
  <c r="AJ370" i="1"/>
  <c r="AK370" i="1"/>
  <c r="AK371" i="1" s="1"/>
  <c r="AG370" i="1"/>
  <c r="AG371" i="1"/>
  <c r="A372" i="1"/>
  <c r="A373" i="1" s="1"/>
  <c r="AI369" i="1"/>
  <c r="D373" i="1"/>
  <c r="AH373" i="1"/>
  <c r="AI373" i="1" l="1"/>
  <c r="AJ372" i="1"/>
  <c r="AI370" i="1"/>
  <c r="AI371" i="1" s="1"/>
  <c r="A374" i="1"/>
  <c r="AH374" i="1"/>
  <c r="AG373" i="1"/>
  <c r="D374" i="1"/>
  <c r="A375" i="1"/>
  <c r="AJ375" i="1" l="1"/>
  <c r="AK374" i="1"/>
  <c r="AJ374" i="1"/>
  <c r="AI374" i="1"/>
  <c r="A376" i="1"/>
  <c r="AG374" i="1"/>
  <c r="AH376" i="1"/>
  <c r="A377" i="1"/>
  <c r="D376" i="1"/>
  <c r="D377" i="1"/>
  <c r="AH377" i="1"/>
  <c r="AK377" i="1" l="1"/>
  <c r="AJ377" i="1"/>
  <c r="AI376" i="1"/>
  <c r="AG376" i="1"/>
  <c r="A378" i="1"/>
  <c r="AH378" i="1"/>
  <c r="AI377" i="1"/>
  <c r="AG377" i="1"/>
  <c r="D378" i="1"/>
  <c r="A379" i="1"/>
  <c r="AJ379" i="1" l="1"/>
  <c r="AJ378" i="1"/>
  <c r="AK378" i="1"/>
  <c r="AG378" i="1"/>
  <c r="A380" i="1"/>
  <c r="AI378" i="1"/>
  <c r="AH380" i="1"/>
  <c r="A381" i="1"/>
  <c r="D380" i="1"/>
  <c r="AH381" i="1"/>
  <c r="D381" i="1"/>
  <c r="AK381" i="1" l="1"/>
  <c r="AJ381" i="1"/>
  <c r="AI380" i="1"/>
  <c r="AG380" i="1"/>
  <c r="A382" i="1"/>
  <c r="AI381" i="1"/>
  <c r="AG381" i="1"/>
  <c r="A383" i="1"/>
  <c r="D383" i="1" s="1"/>
  <c r="AH383" i="1"/>
  <c r="AI383" i="1" l="1"/>
  <c r="AJ382" i="1"/>
  <c r="A384" i="1"/>
  <c r="AH384" i="1"/>
  <c r="A385" i="1"/>
  <c r="D385" i="1"/>
  <c r="AG383" i="1"/>
  <c r="D384" i="1"/>
  <c r="AH385" i="1"/>
  <c r="AJ385" i="1" l="1"/>
  <c r="AK384" i="1"/>
  <c r="AK385" i="1" s="1"/>
  <c r="AJ384" i="1"/>
  <c r="A386" i="1"/>
  <c r="AH386" i="1"/>
  <c r="A387" i="1"/>
  <c r="AH387" i="1"/>
  <c r="AG385" i="1"/>
  <c r="AI384" i="1"/>
  <c r="AI385" i="1" s="1"/>
  <c r="AG384" i="1"/>
  <c r="D386" i="1"/>
  <c r="D387" i="1"/>
  <c r="AJ387" i="1" l="1"/>
  <c r="AJ386" i="1"/>
  <c r="AK386" i="1"/>
  <c r="AK387" i="1" s="1"/>
  <c r="A388" i="1"/>
  <c r="AI386" i="1"/>
  <c r="AG387" i="1"/>
  <c r="AG386" i="1"/>
  <c r="A389" i="1"/>
  <c r="AH389" i="1" s="1"/>
  <c r="D389" i="1"/>
  <c r="AI389" i="1" l="1"/>
  <c r="AJ388" i="1"/>
  <c r="AI387" i="1"/>
  <c r="AG389" i="1"/>
  <c r="A390" i="1"/>
  <c r="D390" i="1"/>
  <c r="A391" i="1"/>
  <c r="A392" i="1" s="1"/>
  <c r="AH391" i="1"/>
  <c r="AH392" i="1"/>
  <c r="A393" i="1"/>
  <c r="A394" i="1" s="1"/>
  <c r="AH394" i="1"/>
  <c r="A395" i="1"/>
  <c r="A396" i="1" s="1"/>
  <c r="D396" i="1"/>
  <c r="A397" i="1"/>
  <c r="D397" i="1"/>
  <c r="AH397" i="1"/>
  <c r="AH396" i="1"/>
  <c r="D394" i="1"/>
  <c r="D392" i="1"/>
  <c r="D391" i="1"/>
  <c r="AH390" i="1"/>
  <c r="AS397" i="1" l="1"/>
  <c r="AK397" i="1"/>
  <c r="AJ397" i="1"/>
  <c r="AI396" i="1"/>
  <c r="AS396" i="1"/>
  <c r="AJ395" i="1"/>
  <c r="AI394" i="1"/>
  <c r="AJ393" i="1"/>
  <c r="AJ392" i="1"/>
  <c r="AJ391" i="1"/>
  <c r="AK390" i="1"/>
  <c r="AK391" i="1" s="1"/>
  <c r="AK392" i="1" s="1"/>
  <c r="AJ390" i="1"/>
  <c r="AG397" i="1"/>
  <c r="AI390" i="1"/>
  <c r="A398" i="1"/>
  <c r="AG394" i="1"/>
  <c r="A399" i="1"/>
  <c r="AH399" i="1"/>
  <c r="AG392" i="1"/>
  <c r="AI397" i="1"/>
  <c r="AG396" i="1"/>
  <c r="AG390" i="1"/>
  <c r="D399" i="1"/>
  <c r="AG391" i="1"/>
  <c r="AI399" i="1" l="1"/>
  <c r="AS399" i="1"/>
  <c r="AJ398" i="1"/>
  <c r="AT396" i="1"/>
  <c r="AT397" i="1"/>
  <c r="AI391" i="1"/>
  <c r="AI392" i="1" s="1"/>
  <c r="AG399" i="1"/>
  <c r="A400" i="1"/>
  <c r="A401" i="1"/>
  <c r="D401" i="1"/>
  <c r="AH401" i="1"/>
  <c r="AT399" i="1" l="1"/>
  <c r="AV399" i="1" s="1"/>
  <c r="AI401" i="1"/>
  <c r="AJ400" i="1"/>
  <c r="AV396" i="1"/>
  <c r="AU396" i="1"/>
  <c r="AV397" i="1"/>
  <c r="AU397" i="1"/>
  <c r="AG401" i="1"/>
  <c r="A402" i="1"/>
  <c r="D402" i="1"/>
  <c r="A403" i="1"/>
  <c r="AH402" i="1"/>
  <c r="AU399" i="1" l="1"/>
  <c r="AJ403" i="1"/>
  <c r="AK402" i="1"/>
  <c r="AJ402" i="1"/>
  <c r="A404" i="1"/>
  <c r="AG402" i="1"/>
  <c r="AH404" i="1"/>
  <c r="AI402" i="1"/>
  <c r="D404" i="1"/>
  <c r="A405" i="1"/>
  <c r="D405" i="1" s="1"/>
  <c r="AH405" i="1"/>
  <c r="AK405" i="1" l="1"/>
  <c r="AJ405" i="1"/>
  <c r="AI404" i="1"/>
  <c r="AI405" i="1"/>
  <c r="AG405" i="1"/>
  <c r="AG404" i="1"/>
  <c r="A406" i="1"/>
  <c r="D406" i="1"/>
  <c r="A407" i="1"/>
  <c r="AH407" i="1"/>
  <c r="D407" i="1"/>
  <c r="AH406" i="1"/>
  <c r="AJ407" i="1" l="1"/>
  <c r="AJ406" i="1"/>
  <c r="AK406" i="1"/>
  <c r="AK407" i="1" s="1"/>
  <c r="AI406" i="1"/>
  <c r="AG406" i="1"/>
  <c r="AG407" i="1"/>
  <c r="A408" i="1"/>
  <c r="D408" i="1"/>
  <c r="AI407" i="1"/>
  <c r="A409" i="1"/>
  <c r="AH408" i="1"/>
  <c r="AH409" i="1"/>
  <c r="D409" i="1"/>
  <c r="AJ409" i="1" l="1"/>
  <c r="AJ408" i="1"/>
  <c r="AK408" i="1"/>
  <c r="AK409" i="1" s="1"/>
  <c r="A410" i="1"/>
  <c r="AI408" i="1"/>
  <c r="D410" i="1"/>
  <c r="A411" i="1"/>
  <c r="AH411" i="1"/>
  <c r="AG409" i="1"/>
  <c r="AG408" i="1"/>
  <c r="AI409" i="1"/>
  <c r="AH410" i="1"/>
  <c r="D411" i="1"/>
  <c r="AJ411" i="1" l="1"/>
  <c r="AJ410" i="1"/>
  <c r="AK410" i="1"/>
  <c r="AK411" i="1" s="1"/>
  <c r="A412" i="1"/>
  <c r="AI410" i="1"/>
  <c r="AG411" i="1"/>
  <c r="AG410" i="1"/>
  <c r="A413" i="1"/>
  <c r="D413" i="1" s="1"/>
  <c r="AH413" i="1"/>
  <c r="AI413" i="1" l="1"/>
  <c r="AS413" i="1"/>
  <c r="AJ412" i="1"/>
  <c r="AI411" i="1"/>
  <c r="A414" i="1"/>
  <c r="AH414" i="1"/>
  <c r="A415" i="1"/>
  <c r="D415" i="1"/>
  <c r="AH415" i="1"/>
  <c r="AG413" i="1"/>
  <c r="D414" i="1"/>
  <c r="AT413" i="1" l="1"/>
  <c r="AV413" i="1" s="1"/>
  <c r="AS415" i="1"/>
  <c r="AJ415" i="1"/>
  <c r="AS414" i="1"/>
  <c r="AK414" i="1"/>
  <c r="AK415" i="1" s="1"/>
  <c r="AJ414" i="1"/>
  <c r="AG414" i="1"/>
  <c r="AI414" i="1"/>
  <c r="AI415" i="1" s="1"/>
  <c r="A416" i="1"/>
  <c r="AH416" i="1"/>
  <c r="A417" i="1"/>
  <c r="AG415" i="1"/>
  <c r="D416" i="1"/>
  <c r="AU413" i="1" l="1"/>
  <c r="AJ417" i="1"/>
  <c r="AS416" i="1"/>
  <c r="AJ416" i="1"/>
  <c r="AK416" i="1"/>
  <c r="AT414" i="1"/>
  <c r="AT415" i="1"/>
  <c r="AI416" i="1"/>
  <c r="A418" i="1"/>
  <c r="AG416" i="1"/>
  <c r="D418" i="1"/>
  <c r="A419" i="1"/>
  <c r="AH418" i="1"/>
  <c r="AJ419" i="1" l="1"/>
  <c r="AS418" i="1"/>
  <c r="AI418" i="1"/>
  <c r="AV415" i="1"/>
  <c r="AU415" i="1"/>
  <c r="AV414" i="1"/>
  <c r="AU414" i="1"/>
  <c r="AT416" i="1"/>
  <c r="A420" i="1"/>
  <c r="AH420" i="1"/>
  <c r="AG418" i="1"/>
  <c r="D420" i="1"/>
  <c r="AT418" i="1" l="1"/>
  <c r="AV418" i="1" s="1"/>
  <c r="AI420" i="1"/>
  <c r="AS420" i="1"/>
  <c r="AV416" i="1"/>
  <c r="AU416" i="1"/>
  <c r="A421" i="1"/>
  <c r="AG420" i="1"/>
  <c r="A422" i="1"/>
  <c r="D422" i="1"/>
  <c r="A423" i="1"/>
  <c r="AH422" i="1"/>
  <c r="D423" i="1"/>
  <c r="A424" i="1"/>
  <c r="AH423" i="1"/>
  <c r="D424" i="1"/>
  <c r="AH424" i="1"/>
  <c r="A425" i="1"/>
  <c r="D425" i="1"/>
  <c r="AH425" i="1"/>
  <c r="A426" i="1"/>
  <c r="AH426" i="1"/>
  <c r="D426" i="1"/>
  <c r="A427" i="1"/>
  <c r="D427" i="1"/>
  <c r="AH427" i="1"/>
  <c r="A428" i="1"/>
  <c r="D428" i="1"/>
  <c r="AH428" i="1"/>
  <c r="A429" i="1"/>
  <c r="A430" i="1"/>
  <c r="D430" i="1"/>
  <c r="AH430" i="1"/>
  <c r="A431" i="1"/>
  <c r="AH431" i="1"/>
  <c r="D431" i="1"/>
  <c r="A432" i="1"/>
  <c r="D432" i="1"/>
  <c r="AH432" i="1"/>
  <c r="A433" i="1"/>
  <c r="AH433" i="1"/>
  <c r="D433" i="1"/>
  <c r="A434" i="1"/>
  <c r="AH434" i="1"/>
  <c r="D434" i="1"/>
  <c r="A435" i="1"/>
  <c r="A436" i="1"/>
  <c r="D436" i="1"/>
  <c r="AH436" i="1"/>
  <c r="A437" i="1"/>
  <c r="A438" i="1"/>
  <c r="AH438" i="1"/>
  <c r="D438" i="1"/>
  <c r="A439" i="1"/>
  <c r="A440" i="1"/>
  <c r="AH440" i="1"/>
  <c r="D440" i="1"/>
  <c r="A441" i="1"/>
  <c r="D441" i="1"/>
  <c r="AH441" i="1"/>
  <c r="A442" i="1"/>
  <c r="AH442" i="1"/>
  <c r="D442" i="1"/>
  <c r="A443" i="1"/>
  <c r="D443" i="1"/>
  <c r="AH443" i="1"/>
  <c r="A444" i="1"/>
  <c r="A445" i="1"/>
  <c r="D445" i="1"/>
  <c r="AH445" i="1"/>
  <c r="A446" i="1"/>
  <c r="D446" i="1"/>
  <c r="AH446" i="1"/>
  <c r="A447" i="1"/>
  <c r="A448" i="1"/>
  <c r="AH448" i="1"/>
  <c r="D448" i="1"/>
  <c r="A449" i="1"/>
  <c r="A450" i="1"/>
  <c r="D450" i="1"/>
  <c r="AH450" i="1"/>
  <c r="A451" i="1"/>
  <c r="A452" i="1"/>
  <c r="D452" i="1"/>
  <c r="AH452" i="1"/>
  <c r="A453" i="1"/>
  <c r="AH453" i="1"/>
  <c r="D453" i="1"/>
  <c r="A454" i="1"/>
  <c r="AH454" i="1"/>
  <c r="D454" i="1"/>
  <c r="A455" i="1"/>
  <c r="D455" i="1"/>
  <c r="AH455" i="1"/>
  <c r="A456" i="1"/>
  <c r="AH456" i="1"/>
  <c r="D456" i="1"/>
  <c r="A457" i="1"/>
  <c r="D457" i="1"/>
  <c r="AH457" i="1"/>
  <c r="A458" i="1"/>
  <c r="AH458" i="1"/>
  <c r="D458" i="1"/>
  <c r="A459" i="1"/>
  <c r="D459" i="1"/>
  <c r="AH459" i="1"/>
  <c r="A460" i="1"/>
  <c r="AH460" i="1"/>
  <c r="D460" i="1"/>
  <c r="A461" i="1"/>
  <c r="A462" i="1"/>
  <c r="D462" i="1"/>
  <c r="AH462" i="1"/>
  <c r="A463" i="1"/>
  <c r="AH463" i="1"/>
  <c r="D463" i="1"/>
  <c r="A464" i="1"/>
  <c r="AH464" i="1"/>
  <c r="D464" i="1"/>
  <c r="A465" i="1"/>
  <c r="A466" i="1"/>
  <c r="AH466" i="1"/>
  <c r="D466" i="1"/>
  <c r="A467" i="1"/>
  <c r="A468" i="1"/>
  <c r="AH468" i="1"/>
  <c r="D468" i="1"/>
  <c r="A469" i="1"/>
  <c r="D469" i="1"/>
  <c r="AH469" i="1"/>
  <c r="A470" i="1"/>
  <c r="A471" i="1"/>
  <c r="D471" i="1"/>
  <c r="AH471" i="1"/>
  <c r="A472" i="1"/>
  <c r="A473" i="1"/>
  <c r="D473" i="1"/>
  <c r="AH473" i="1"/>
  <c r="A474" i="1"/>
  <c r="A475" i="1"/>
  <c r="AH475" i="1"/>
  <c r="A476" i="1"/>
  <c r="A477" i="1"/>
  <c r="D477" i="1"/>
  <c r="AH477" i="1"/>
  <c r="A478" i="1"/>
  <c r="D478" i="1"/>
  <c r="AH478" i="1"/>
  <c r="A479" i="1"/>
  <c r="AH479" i="1"/>
  <c r="D479" i="1"/>
  <c r="A480" i="1"/>
  <c r="D480" i="1"/>
  <c r="AH480" i="1"/>
  <c r="A481" i="1"/>
  <c r="AH481" i="1"/>
  <c r="D481" i="1"/>
  <c r="A482" i="1"/>
  <c r="D482" i="1"/>
  <c r="AH482" i="1"/>
  <c r="A483" i="1"/>
  <c r="AH483" i="1"/>
  <c r="D483" i="1"/>
  <c r="A484" i="1"/>
  <c r="A485" i="1"/>
  <c r="D485" i="1"/>
  <c r="AH485" i="1"/>
  <c r="A486" i="1"/>
  <c r="D486" i="1"/>
  <c r="AH486" i="1"/>
  <c r="A487" i="1"/>
  <c r="AH487" i="1"/>
  <c r="D487" i="1"/>
  <c r="A488" i="1"/>
  <c r="D488" i="1"/>
  <c r="AH488" i="1"/>
  <c r="A489" i="1"/>
  <c r="AH489" i="1"/>
  <c r="D489" i="1"/>
  <c r="A490" i="1"/>
  <c r="D490" i="1"/>
  <c r="AH490" i="1"/>
  <c r="A491" i="1"/>
  <c r="AH491" i="1"/>
  <c r="D491" i="1"/>
  <c r="A492" i="1"/>
  <c r="AH492" i="1"/>
  <c r="D492" i="1"/>
  <c r="A493" i="1"/>
  <c r="D493" i="1"/>
  <c r="AH493" i="1"/>
  <c r="A494" i="1"/>
  <c r="D494" i="1"/>
  <c r="AH494" i="1"/>
  <c r="A495" i="1"/>
  <c r="AH495" i="1"/>
  <c r="D495" i="1"/>
  <c r="A496" i="1"/>
  <c r="AH496" i="1"/>
  <c r="D496" i="1"/>
  <c r="A497" i="1"/>
  <c r="AH497" i="1"/>
  <c r="D497" i="1"/>
  <c r="A498" i="1"/>
  <c r="D498" i="1"/>
  <c r="AH498" i="1"/>
  <c r="A499" i="1"/>
  <c r="A500" i="1"/>
  <c r="D500" i="1"/>
  <c r="AH500" i="1"/>
  <c r="A501" i="1"/>
  <c r="AH501" i="1"/>
  <c r="D501" i="1"/>
  <c r="A502" i="1"/>
  <c r="D502" i="1"/>
  <c r="AH502" i="1"/>
  <c r="AT420" i="1" l="1"/>
  <c r="AV420" i="1" s="1"/>
  <c r="AU418" i="1"/>
  <c r="AS502" i="1"/>
  <c r="AJ502" i="1"/>
  <c r="AS501" i="1"/>
  <c r="AK501" i="1"/>
  <c r="AK502" i="1" s="1"/>
  <c r="AJ501" i="1"/>
  <c r="AS500" i="1"/>
  <c r="AI500" i="1"/>
  <c r="AJ499" i="1"/>
  <c r="AS498" i="1"/>
  <c r="AJ498" i="1"/>
  <c r="AS497" i="1"/>
  <c r="AJ497" i="1"/>
  <c r="AS496" i="1"/>
  <c r="AJ496" i="1"/>
  <c r="AS495" i="1"/>
  <c r="AJ495" i="1"/>
  <c r="AS494" i="1"/>
  <c r="AJ494" i="1"/>
  <c r="AS493" i="1"/>
  <c r="AJ493" i="1"/>
  <c r="AS492" i="1"/>
  <c r="AJ492" i="1"/>
  <c r="AS491" i="1"/>
  <c r="AJ491" i="1"/>
  <c r="AS490" i="1"/>
  <c r="AJ490" i="1"/>
  <c r="AS489" i="1"/>
  <c r="AJ489" i="1"/>
  <c r="AS488" i="1"/>
  <c r="AJ488" i="1"/>
  <c r="AS487" i="1"/>
  <c r="AJ487" i="1"/>
  <c r="AK486" i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S486" i="1"/>
  <c r="AJ486" i="1"/>
  <c r="AS485" i="1"/>
  <c r="AI485" i="1"/>
  <c r="AJ484" i="1"/>
  <c r="AJ483" i="1"/>
  <c r="AS482" i="1"/>
  <c r="AJ482" i="1"/>
  <c r="AS481" i="1"/>
  <c r="AJ481" i="1"/>
  <c r="AS480" i="1"/>
  <c r="AJ480" i="1"/>
  <c r="AS479" i="1"/>
  <c r="AJ479" i="1"/>
  <c r="AK478" i="1"/>
  <c r="AK479" i="1" s="1"/>
  <c r="AK480" i="1" s="1"/>
  <c r="AK481" i="1" s="1"/>
  <c r="AK482" i="1" s="1"/>
  <c r="AK483" i="1" s="1"/>
  <c r="AS478" i="1"/>
  <c r="AJ478" i="1"/>
  <c r="AI477" i="1"/>
  <c r="AS477" i="1"/>
  <c r="AJ476" i="1"/>
  <c r="AJ474" i="1"/>
  <c r="AS473" i="1"/>
  <c r="AI473" i="1"/>
  <c r="AJ472" i="1"/>
  <c r="AS471" i="1"/>
  <c r="AI471" i="1"/>
  <c r="AJ470" i="1"/>
  <c r="AS469" i="1"/>
  <c r="AK469" i="1"/>
  <c r="AJ469" i="1"/>
  <c r="AS468" i="1"/>
  <c r="AI468" i="1"/>
  <c r="AJ467" i="1"/>
  <c r="AI466" i="1"/>
  <c r="AS466" i="1"/>
  <c r="AJ465" i="1"/>
  <c r="AS464" i="1"/>
  <c r="AJ464" i="1"/>
  <c r="AK463" i="1"/>
  <c r="AK464" i="1" s="1"/>
  <c r="AS463" i="1"/>
  <c r="AJ463" i="1"/>
  <c r="AS462" i="1"/>
  <c r="AI462" i="1"/>
  <c r="AJ461" i="1"/>
  <c r="AS460" i="1"/>
  <c r="AJ460" i="1"/>
  <c r="AS459" i="1"/>
  <c r="AJ459" i="1"/>
  <c r="AS458" i="1"/>
  <c r="AJ458" i="1"/>
  <c r="AS457" i="1"/>
  <c r="AJ457" i="1"/>
  <c r="AS456" i="1"/>
  <c r="AJ456" i="1"/>
  <c r="AS455" i="1"/>
  <c r="AJ455" i="1"/>
  <c r="AS454" i="1"/>
  <c r="AJ454" i="1"/>
  <c r="AK453" i="1"/>
  <c r="AK454" i="1" s="1"/>
  <c r="AK455" i="1" s="1"/>
  <c r="AK456" i="1" s="1"/>
  <c r="AK457" i="1" s="1"/>
  <c r="AK458" i="1" s="1"/>
  <c r="AK459" i="1" s="1"/>
  <c r="AK460" i="1" s="1"/>
  <c r="AS453" i="1"/>
  <c r="AJ453" i="1"/>
  <c r="AI452" i="1"/>
  <c r="AS452" i="1"/>
  <c r="AJ451" i="1"/>
  <c r="AI450" i="1"/>
  <c r="AS450" i="1"/>
  <c r="AJ449" i="1"/>
  <c r="AI448" i="1"/>
  <c r="AS448" i="1"/>
  <c r="AJ447" i="1"/>
  <c r="AK446" i="1"/>
  <c r="AJ446" i="1"/>
  <c r="AI445" i="1"/>
  <c r="AS445" i="1"/>
  <c r="AJ444" i="1"/>
  <c r="AS443" i="1"/>
  <c r="AJ443" i="1"/>
  <c r="AS442" i="1"/>
  <c r="AJ442" i="1"/>
  <c r="AS441" i="1"/>
  <c r="AK441" i="1"/>
  <c r="AK442" i="1" s="1"/>
  <c r="AK443" i="1" s="1"/>
  <c r="AJ441" i="1"/>
  <c r="AI440" i="1"/>
  <c r="AS440" i="1"/>
  <c r="AJ439" i="1"/>
  <c r="AS438" i="1"/>
  <c r="AI438" i="1"/>
  <c r="AJ437" i="1"/>
  <c r="AI436" i="1"/>
  <c r="AS436" i="1"/>
  <c r="AJ435" i="1"/>
  <c r="AJ434" i="1"/>
  <c r="AJ433" i="1"/>
  <c r="AJ432" i="1"/>
  <c r="AK431" i="1"/>
  <c r="AK432" i="1" s="1"/>
  <c r="AK433" i="1" s="1"/>
  <c r="AK434" i="1" s="1"/>
  <c r="AJ431" i="1"/>
  <c r="AI430" i="1"/>
  <c r="AJ429" i="1"/>
  <c r="AJ428" i="1"/>
  <c r="AJ427" i="1"/>
  <c r="AJ426" i="1"/>
  <c r="AJ425" i="1"/>
  <c r="AJ424" i="1"/>
  <c r="AK423" i="1"/>
  <c r="AK424" i="1" s="1"/>
  <c r="AK425" i="1" s="1"/>
  <c r="AK426" i="1" s="1"/>
  <c r="AK427" i="1" s="1"/>
  <c r="AK428" i="1" s="1"/>
  <c r="AJ423" i="1"/>
  <c r="AS422" i="1"/>
  <c r="AI422" i="1"/>
  <c r="AJ421" i="1"/>
  <c r="AG498" i="1"/>
  <c r="AG492" i="1"/>
  <c r="AG490" i="1"/>
  <c r="AI486" i="1"/>
  <c r="AG482" i="1"/>
  <c r="AG479" i="1"/>
  <c r="AG469" i="1"/>
  <c r="AG464" i="1"/>
  <c r="AG460" i="1"/>
  <c r="AG456" i="1"/>
  <c r="AG450" i="1"/>
  <c r="AG445" i="1"/>
  <c r="AG441" i="1"/>
  <c r="AG434" i="1"/>
  <c r="AG431" i="1"/>
  <c r="AG428" i="1"/>
  <c r="AG425" i="1"/>
  <c r="AG422" i="1"/>
  <c r="A503" i="1"/>
  <c r="AG500" i="1"/>
  <c r="AG496" i="1"/>
  <c r="AG493" i="1"/>
  <c r="AG487" i="1"/>
  <c r="AG485" i="1"/>
  <c r="AG480" i="1"/>
  <c r="AG477" i="1"/>
  <c r="AG473" i="1"/>
  <c r="AI469" i="1"/>
  <c r="AI463" i="1"/>
  <c r="AG459" i="1"/>
  <c r="AI453" i="1"/>
  <c r="AG442" i="1"/>
  <c r="AG433" i="1"/>
  <c r="AG423" i="1"/>
  <c r="A504" i="1"/>
  <c r="AH504" i="1"/>
  <c r="AG501" i="1"/>
  <c r="AG494" i="1"/>
  <c r="AG491" i="1"/>
  <c r="AG488" i="1"/>
  <c r="AG483" i="1"/>
  <c r="AG481" i="1"/>
  <c r="AI478" i="1"/>
  <c r="AG466" i="1"/>
  <c r="AG462" i="1"/>
  <c r="AG458" i="1"/>
  <c r="AG453" i="1"/>
  <c r="AI446" i="1"/>
  <c r="AG443" i="1"/>
  <c r="AG438" i="1"/>
  <c r="AG432" i="1"/>
  <c r="AG430" i="1"/>
  <c r="AG426" i="1"/>
  <c r="AI423" i="1"/>
  <c r="AG502" i="1"/>
  <c r="AI501" i="1"/>
  <c r="AG497" i="1"/>
  <c r="AG495" i="1"/>
  <c r="AG489" i="1"/>
  <c r="AG486" i="1"/>
  <c r="AG478" i="1"/>
  <c r="D475" i="1"/>
  <c r="AG471" i="1"/>
  <c r="AG468" i="1"/>
  <c r="AG463" i="1"/>
  <c r="AG457" i="1"/>
  <c r="AG454" i="1"/>
  <c r="AG452" i="1"/>
  <c r="AG446" i="1"/>
  <c r="AI441" i="1"/>
  <c r="AG436" i="1"/>
  <c r="AI431" i="1"/>
  <c r="AG427" i="1"/>
  <c r="AG424" i="1"/>
  <c r="D503" i="1"/>
  <c r="D504" i="1"/>
  <c r="A505" i="1"/>
  <c r="AH505" i="1"/>
  <c r="AG455" i="1"/>
  <c r="AG448" i="1"/>
  <c r="AG440" i="1"/>
  <c r="AH503" i="1"/>
  <c r="D505" i="1"/>
  <c r="A506" i="1"/>
  <c r="D506" i="1"/>
  <c r="A507" i="1"/>
  <c r="AH506" i="1"/>
  <c r="D507" i="1"/>
  <c r="A508" i="1"/>
  <c r="AH507" i="1"/>
  <c r="AH508" i="1"/>
  <c r="D508" i="1"/>
  <c r="A509" i="1"/>
  <c r="AH509" i="1"/>
  <c r="D509" i="1"/>
  <c r="A510" i="1"/>
  <c r="AH510" i="1"/>
  <c r="D510" i="1"/>
  <c r="A511" i="1"/>
  <c r="D511" i="1"/>
  <c r="AH511" i="1"/>
  <c r="A512" i="1"/>
  <c r="D512" i="1"/>
  <c r="AH512" i="1"/>
  <c r="A513" i="1"/>
  <c r="AH513" i="1"/>
  <c r="D513" i="1"/>
  <c r="A514" i="1"/>
  <c r="AH514" i="1"/>
  <c r="D514" i="1"/>
  <c r="A515" i="1"/>
  <c r="A516" i="1"/>
  <c r="D516" i="1"/>
  <c r="AH516" i="1"/>
  <c r="A517" i="1"/>
  <c r="AU420" i="1" l="1"/>
  <c r="AT445" i="1"/>
  <c r="AV445" i="1" s="1"/>
  <c r="AT473" i="1"/>
  <c r="AV473" i="1" s="1"/>
  <c r="AU445" i="1"/>
  <c r="AT450" i="1"/>
  <c r="AT466" i="1"/>
  <c r="AT468" i="1"/>
  <c r="AV468" i="1" s="1"/>
  <c r="AT477" i="1"/>
  <c r="AU477" i="1" s="1"/>
  <c r="AT485" i="1"/>
  <c r="AV485" i="1" s="1"/>
  <c r="AT500" i="1"/>
  <c r="AV500" i="1" s="1"/>
  <c r="AJ515" i="1"/>
  <c r="AS514" i="1"/>
  <c r="AJ514" i="1"/>
  <c r="AS513" i="1"/>
  <c r="AJ513" i="1"/>
  <c r="AS512" i="1"/>
  <c r="AJ512" i="1"/>
  <c r="AS511" i="1"/>
  <c r="AJ511" i="1"/>
  <c r="AS510" i="1"/>
  <c r="AJ510" i="1"/>
  <c r="AS509" i="1"/>
  <c r="AJ509" i="1"/>
  <c r="AS508" i="1"/>
  <c r="AJ508" i="1"/>
  <c r="AS507" i="1"/>
  <c r="AJ507" i="1"/>
  <c r="AS506" i="1"/>
  <c r="AJ506" i="1"/>
  <c r="AS505" i="1"/>
  <c r="AJ505" i="1"/>
  <c r="AS504" i="1"/>
  <c r="AJ504" i="1"/>
  <c r="AS503" i="1"/>
  <c r="AS475" i="1"/>
  <c r="AI475" i="1"/>
  <c r="AJ503" i="1"/>
  <c r="AT441" i="1"/>
  <c r="AT469" i="1"/>
  <c r="AK503" i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T501" i="1"/>
  <c r="AT422" i="1"/>
  <c r="AT436" i="1"/>
  <c r="AT438" i="1"/>
  <c r="AT440" i="1"/>
  <c r="AT448" i="1"/>
  <c r="AT452" i="1"/>
  <c r="AT453" i="1"/>
  <c r="AT462" i="1"/>
  <c r="AT463" i="1"/>
  <c r="AU468" i="1"/>
  <c r="AT471" i="1"/>
  <c r="AU473" i="1"/>
  <c r="AT478" i="1"/>
  <c r="AU485" i="1"/>
  <c r="AT486" i="1"/>
  <c r="AJ517" i="1"/>
  <c r="AI516" i="1"/>
  <c r="AS516" i="1"/>
  <c r="AI432" i="1"/>
  <c r="AI502" i="1"/>
  <c r="AI479" i="1"/>
  <c r="AI464" i="1"/>
  <c r="AG511" i="1"/>
  <c r="AG503" i="1"/>
  <c r="A518" i="1"/>
  <c r="AG514" i="1"/>
  <c r="AG510" i="1"/>
  <c r="AG507" i="1"/>
  <c r="AG505" i="1"/>
  <c r="AG475" i="1"/>
  <c r="AH518" i="1"/>
  <c r="AI442" i="1"/>
  <c r="AI424" i="1"/>
  <c r="AI425" i="1" s="1"/>
  <c r="AI426" i="1" s="1"/>
  <c r="AI454" i="1"/>
  <c r="AG513" i="1"/>
  <c r="AG509" i="1"/>
  <c r="AI503" i="1"/>
  <c r="AI487" i="1"/>
  <c r="D518" i="1"/>
  <c r="AG512" i="1"/>
  <c r="AG508" i="1"/>
  <c r="AG506" i="1"/>
  <c r="AG504" i="1"/>
  <c r="AG516" i="1"/>
  <c r="A519" i="1"/>
  <c r="AI488" i="1"/>
  <c r="AI489" i="1" s="1"/>
  <c r="AI490" i="1"/>
  <c r="AI491" i="1" s="1"/>
  <c r="AI492" i="1"/>
  <c r="AI493" i="1" s="1"/>
  <c r="AI494" i="1"/>
  <c r="AI495" i="1" s="1"/>
  <c r="AI496" i="1"/>
  <c r="AI497" i="1" s="1"/>
  <c r="AI498" i="1"/>
  <c r="D519" i="1"/>
  <c r="AT454" i="1" l="1"/>
  <c r="AV454" i="1" s="1"/>
  <c r="AT442" i="1"/>
  <c r="AT464" i="1"/>
  <c r="AV464" i="1" s="1"/>
  <c r="AT479" i="1"/>
  <c r="AV479" i="1" s="1"/>
  <c r="AT502" i="1"/>
  <c r="AV477" i="1"/>
  <c r="AU500" i="1"/>
  <c r="AT475" i="1"/>
  <c r="AV475" i="1" s="1"/>
  <c r="AV450" i="1"/>
  <c r="AU450" i="1"/>
  <c r="AV466" i="1"/>
  <c r="AU466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U502" i="1"/>
  <c r="AV502" i="1"/>
  <c r="AV486" i="1"/>
  <c r="AU486" i="1"/>
  <c r="AV478" i="1"/>
  <c r="AU478" i="1"/>
  <c r="AV471" i="1"/>
  <c r="AU471" i="1"/>
  <c r="AV463" i="1"/>
  <c r="AU463" i="1"/>
  <c r="AV453" i="1"/>
  <c r="AU453" i="1"/>
  <c r="AV448" i="1"/>
  <c r="AU448" i="1"/>
  <c r="AV440" i="1"/>
  <c r="AU440" i="1"/>
  <c r="AV436" i="1"/>
  <c r="AU436" i="1"/>
  <c r="AV501" i="1"/>
  <c r="AU501" i="1"/>
  <c r="AV469" i="1"/>
  <c r="AU469" i="1"/>
  <c r="AV441" i="1"/>
  <c r="AU441" i="1"/>
  <c r="AT503" i="1"/>
  <c r="AV462" i="1"/>
  <c r="AU462" i="1"/>
  <c r="AU454" i="1"/>
  <c r="AV452" i="1"/>
  <c r="AU452" i="1"/>
  <c r="AV442" i="1"/>
  <c r="AU442" i="1"/>
  <c r="AV438" i="1"/>
  <c r="AU438" i="1"/>
  <c r="AV422" i="1"/>
  <c r="AU422" i="1"/>
  <c r="AU479" i="1"/>
  <c r="AU464" i="1"/>
  <c r="AT516" i="1"/>
  <c r="AS519" i="1"/>
  <c r="AJ519" i="1"/>
  <c r="AS518" i="1"/>
  <c r="AI518" i="1"/>
  <c r="AH519" i="1"/>
  <c r="AI455" i="1"/>
  <c r="AI427" i="1"/>
  <c r="AI480" i="1"/>
  <c r="AG518" i="1"/>
  <c r="A520" i="1"/>
  <c r="AI504" i="1"/>
  <c r="AI443" i="1"/>
  <c r="AI433" i="1"/>
  <c r="AG519" i="1"/>
  <c r="A521" i="1"/>
  <c r="AI519" i="1"/>
  <c r="AI481" i="1"/>
  <c r="D521" i="1"/>
  <c r="AH521" i="1"/>
  <c r="AU475" i="1" l="1"/>
  <c r="AT481" i="1"/>
  <c r="AT443" i="1"/>
  <c r="AT504" i="1"/>
  <c r="AU504" i="1" s="1"/>
  <c r="AT480" i="1"/>
  <c r="AT455" i="1"/>
  <c r="AK519" i="1"/>
  <c r="AV503" i="1"/>
  <c r="AU503" i="1"/>
  <c r="AU487" i="1"/>
  <c r="AV487" i="1"/>
  <c r="AV489" i="1"/>
  <c r="AU489" i="1"/>
  <c r="AV491" i="1"/>
  <c r="AU491" i="1"/>
  <c r="AV493" i="1"/>
  <c r="AU493" i="1"/>
  <c r="AV495" i="1"/>
  <c r="AU495" i="1"/>
  <c r="AV497" i="1"/>
  <c r="AU497" i="1"/>
  <c r="AV488" i="1"/>
  <c r="AU488" i="1"/>
  <c r="AV490" i="1"/>
  <c r="AU490" i="1"/>
  <c r="AV492" i="1"/>
  <c r="AU492" i="1"/>
  <c r="AV494" i="1"/>
  <c r="AU494" i="1"/>
  <c r="AV496" i="1"/>
  <c r="AU496" i="1"/>
  <c r="AV498" i="1"/>
  <c r="AU498" i="1"/>
  <c r="AV516" i="1"/>
  <c r="AU516" i="1"/>
  <c r="AI521" i="1"/>
  <c r="AS521" i="1"/>
  <c r="AJ520" i="1"/>
  <c r="AT518" i="1"/>
  <c r="AT519" i="1"/>
  <c r="AI482" i="1"/>
  <c r="AI434" i="1"/>
  <c r="AI505" i="1"/>
  <c r="AI456" i="1"/>
  <c r="AG521" i="1"/>
  <c r="AI428" i="1"/>
  <c r="A522" i="1"/>
  <c r="AH522" i="1"/>
  <c r="AI506" i="1"/>
  <c r="D522" i="1"/>
  <c r="A523" i="1"/>
  <c r="AI507" i="1"/>
  <c r="A524" i="1"/>
  <c r="AI508" i="1"/>
  <c r="AH524" i="1"/>
  <c r="D524" i="1"/>
  <c r="A525" i="1"/>
  <c r="AI509" i="1"/>
  <c r="A526" i="1"/>
  <c r="AI510" i="1"/>
  <c r="AH526" i="1"/>
  <c r="D526" i="1"/>
  <c r="A527" i="1"/>
  <c r="AI511" i="1"/>
  <c r="D527" i="1"/>
  <c r="AH527" i="1"/>
  <c r="A528" i="1"/>
  <c r="AH528" i="1"/>
  <c r="D528" i="1"/>
  <c r="A529" i="1"/>
  <c r="AH529" i="1"/>
  <c r="D529" i="1"/>
  <c r="A530" i="1"/>
  <c r="D530" i="1"/>
  <c r="AH530" i="1"/>
  <c r="A531" i="1"/>
  <c r="D531" i="1"/>
  <c r="AH531" i="1"/>
  <c r="A532" i="1"/>
  <c r="AH532" i="1"/>
  <c r="D532" i="1"/>
  <c r="A533" i="1"/>
  <c r="AH533" i="1"/>
  <c r="D533" i="1"/>
  <c r="A534" i="1"/>
  <c r="D534" i="1"/>
  <c r="AH534" i="1"/>
  <c r="A535" i="1"/>
  <c r="D535" i="1"/>
  <c r="AH535" i="1"/>
  <c r="A536" i="1"/>
  <c r="AH536" i="1"/>
  <c r="D536" i="1"/>
  <c r="A537" i="1"/>
  <c r="A538" i="1"/>
  <c r="AH538" i="1"/>
  <c r="D538" i="1"/>
  <c r="A539" i="1"/>
  <c r="D539" i="1"/>
  <c r="AH539" i="1"/>
  <c r="A540" i="1"/>
  <c r="AH540" i="1"/>
  <c r="D540" i="1"/>
  <c r="A541" i="1"/>
  <c r="D541" i="1"/>
  <c r="AH541" i="1"/>
  <c r="A542" i="1"/>
  <c r="D542" i="1"/>
  <c r="AH542" i="1"/>
  <c r="A543" i="1"/>
  <c r="AH543" i="1"/>
  <c r="D543" i="1"/>
  <c r="A544" i="1"/>
  <c r="D544" i="1"/>
  <c r="AH544" i="1"/>
  <c r="A545" i="1"/>
  <c r="AH545" i="1"/>
  <c r="D545" i="1"/>
  <c r="A546" i="1"/>
  <c r="AH546" i="1"/>
  <c r="D546" i="1"/>
  <c r="A547" i="1"/>
  <c r="D547" i="1"/>
  <c r="AH547" i="1"/>
  <c r="A548" i="1"/>
  <c r="D548" i="1"/>
  <c r="AH548" i="1"/>
  <c r="A549" i="1"/>
  <c r="A550" i="1"/>
  <c r="AH550" i="1"/>
  <c r="D550" i="1"/>
  <c r="A551" i="1"/>
  <c r="D551" i="1"/>
  <c r="AH551" i="1"/>
  <c r="AV504" i="1" l="1"/>
  <c r="AT510" i="1"/>
  <c r="AT509" i="1"/>
  <c r="AU509" i="1" s="1"/>
  <c r="AT508" i="1"/>
  <c r="AT507" i="1"/>
  <c r="AU507" i="1" s="1"/>
  <c r="AT506" i="1"/>
  <c r="AT456" i="1"/>
  <c r="AT505" i="1"/>
  <c r="AT482" i="1"/>
  <c r="AV455" i="1"/>
  <c r="AU455" i="1"/>
  <c r="AV443" i="1"/>
  <c r="AU443" i="1"/>
  <c r="AV481" i="1"/>
  <c r="AU481" i="1"/>
  <c r="AU480" i="1"/>
  <c r="AV480" i="1"/>
  <c r="AT521" i="1"/>
  <c r="AV521" i="1" s="1"/>
  <c r="AV507" i="1"/>
  <c r="AV509" i="1"/>
  <c r="AV506" i="1"/>
  <c r="AU506" i="1"/>
  <c r="AV508" i="1"/>
  <c r="AU508" i="1"/>
  <c r="AJ549" i="1"/>
  <c r="AS548" i="1"/>
  <c r="AJ548" i="1"/>
  <c r="AS547" i="1"/>
  <c r="AJ547" i="1"/>
  <c r="AS546" i="1"/>
  <c r="AJ546" i="1"/>
  <c r="AS545" i="1"/>
  <c r="AJ545" i="1"/>
  <c r="AS544" i="1"/>
  <c r="AJ544" i="1"/>
  <c r="AS543" i="1"/>
  <c r="AJ543" i="1"/>
  <c r="AS542" i="1"/>
  <c r="AJ542" i="1"/>
  <c r="AS541" i="1"/>
  <c r="AJ541" i="1"/>
  <c r="AS540" i="1"/>
  <c r="AJ540" i="1"/>
  <c r="AK539" i="1"/>
  <c r="AK540" i="1" s="1"/>
  <c r="AK541" i="1" s="1"/>
  <c r="AK542" i="1" s="1"/>
  <c r="AK543" i="1" s="1"/>
  <c r="AK544" i="1" s="1"/>
  <c r="AK545" i="1" s="1"/>
  <c r="AK546" i="1" s="1"/>
  <c r="AK547" i="1" s="1"/>
  <c r="AK548" i="1" s="1"/>
  <c r="AS539" i="1"/>
  <c r="AJ539" i="1"/>
  <c r="AS538" i="1"/>
  <c r="AI538" i="1"/>
  <c r="AJ537" i="1"/>
  <c r="AS536" i="1"/>
  <c r="AJ536" i="1"/>
  <c r="AS535" i="1"/>
  <c r="AJ535" i="1"/>
  <c r="AS534" i="1"/>
  <c r="AJ534" i="1"/>
  <c r="AS533" i="1"/>
  <c r="AJ533" i="1"/>
  <c r="AS532" i="1"/>
  <c r="AJ532" i="1"/>
  <c r="AS531" i="1"/>
  <c r="AJ531" i="1"/>
  <c r="AS530" i="1"/>
  <c r="AJ530" i="1"/>
  <c r="AS529" i="1"/>
  <c r="AJ529" i="1"/>
  <c r="AS528" i="1"/>
  <c r="AJ528" i="1"/>
  <c r="AK527" i="1"/>
  <c r="AK528" i="1" s="1"/>
  <c r="AK529" i="1" s="1"/>
  <c r="AK530" i="1" s="1"/>
  <c r="AK531" i="1" s="1"/>
  <c r="AK532" i="1" s="1"/>
  <c r="AK533" i="1" s="1"/>
  <c r="AK534" i="1" s="1"/>
  <c r="AK535" i="1" s="1"/>
  <c r="AK536" i="1" s="1"/>
  <c r="AS527" i="1"/>
  <c r="AJ527" i="1"/>
  <c r="AI526" i="1"/>
  <c r="AS526" i="1"/>
  <c r="AJ525" i="1"/>
  <c r="AI524" i="1"/>
  <c r="AS524" i="1"/>
  <c r="AJ523" i="1"/>
  <c r="AS522" i="1"/>
  <c r="AK522" i="1"/>
  <c r="AJ522" i="1"/>
  <c r="AV519" i="1"/>
  <c r="AU519" i="1"/>
  <c r="AV518" i="1"/>
  <c r="AU518" i="1"/>
  <c r="AS551" i="1"/>
  <c r="AK551" i="1"/>
  <c r="AJ551" i="1"/>
  <c r="AS550" i="1"/>
  <c r="AI550" i="1"/>
  <c r="AT511" i="1"/>
  <c r="AV510" i="1"/>
  <c r="AU510" i="1"/>
  <c r="AI483" i="1"/>
  <c r="AG539" i="1"/>
  <c r="AG532" i="1"/>
  <c r="AG545" i="1"/>
  <c r="AG530" i="1"/>
  <c r="AG538" i="1"/>
  <c r="AI551" i="1"/>
  <c r="AG544" i="1"/>
  <c r="AG522" i="1"/>
  <c r="AI457" i="1"/>
  <c r="AG547" i="1"/>
  <c r="AG534" i="1"/>
  <c r="AI527" i="1"/>
  <c r="AG548" i="1"/>
  <c r="AG543" i="1"/>
  <c r="AG536" i="1"/>
  <c r="AG526" i="1"/>
  <c r="AG542" i="1"/>
  <c r="AG533" i="1"/>
  <c r="AG527" i="1"/>
  <c r="AG546" i="1"/>
  <c r="AG541" i="1"/>
  <c r="AG535" i="1"/>
  <c r="AG528" i="1"/>
  <c r="AG550" i="1"/>
  <c r="A552" i="1"/>
  <c r="D552" i="1" s="1"/>
  <c r="AG551" i="1"/>
  <c r="AH552" i="1"/>
  <c r="AG524" i="1"/>
  <c r="AG540" i="1"/>
  <c r="AI512" i="1"/>
  <c r="AG531" i="1"/>
  <c r="AI539" i="1"/>
  <c r="AG529" i="1"/>
  <c r="AI513" i="1"/>
  <c r="AI522" i="1"/>
  <c r="A553" i="1"/>
  <c r="D553" i="1" s="1"/>
  <c r="AH553" i="1"/>
  <c r="AU521" i="1" l="1"/>
  <c r="AT457" i="1"/>
  <c r="AU482" i="1"/>
  <c r="AV482" i="1"/>
  <c r="AV505" i="1"/>
  <c r="AU505" i="1"/>
  <c r="AU456" i="1"/>
  <c r="AV456" i="1"/>
  <c r="AT524" i="1"/>
  <c r="AV524" i="1" s="1"/>
  <c r="AT550" i="1"/>
  <c r="AT522" i="1"/>
  <c r="AT526" i="1"/>
  <c r="AT527" i="1"/>
  <c r="AT538" i="1"/>
  <c r="AT539" i="1"/>
  <c r="AS553" i="1"/>
  <c r="AJ553" i="1"/>
  <c r="AS552" i="1"/>
  <c r="AT551" i="1"/>
  <c r="AJ552" i="1"/>
  <c r="AK552" i="1"/>
  <c r="AK553" i="1" s="1"/>
  <c r="AT513" i="1"/>
  <c r="AT512" i="1"/>
  <c r="AV511" i="1"/>
  <c r="AU511" i="1"/>
  <c r="AI458" i="1"/>
  <c r="A554" i="1"/>
  <c r="AG553" i="1"/>
  <c r="D554" i="1"/>
  <c r="AI552" i="1"/>
  <c r="A555" i="1"/>
  <c r="AI540" i="1"/>
  <c r="AI528" i="1"/>
  <c r="AI529" i="1" s="1"/>
  <c r="AG552" i="1"/>
  <c r="AI514" i="1"/>
  <c r="AH554" i="1"/>
  <c r="AH555" i="1"/>
  <c r="AT458" i="1" l="1"/>
  <c r="AV457" i="1"/>
  <c r="AU457" i="1"/>
  <c r="AU524" i="1"/>
  <c r="AT529" i="1"/>
  <c r="AU529" i="1" s="1"/>
  <c r="AT528" i="1"/>
  <c r="AV528" i="1" s="1"/>
  <c r="AT540" i="1"/>
  <c r="AU540" i="1" s="1"/>
  <c r="AT514" i="1"/>
  <c r="AU514" i="1" s="1"/>
  <c r="AV539" i="1"/>
  <c r="AU539" i="1"/>
  <c r="AV529" i="1"/>
  <c r="AV538" i="1"/>
  <c r="AU538" i="1"/>
  <c r="AV526" i="1"/>
  <c r="AU526" i="1"/>
  <c r="AV522" i="1"/>
  <c r="AU522" i="1"/>
  <c r="AV527" i="1"/>
  <c r="AU527" i="1"/>
  <c r="AV550" i="1"/>
  <c r="AU550" i="1"/>
  <c r="AJ555" i="1"/>
  <c r="AS554" i="1"/>
  <c r="AJ554" i="1"/>
  <c r="AT552" i="1"/>
  <c r="AU552" i="1" s="1"/>
  <c r="AK554" i="1"/>
  <c r="AK555" i="1" s="1"/>
  <c r="AV551" i="1"/>
  <c r="AU551" i="1"/>
  <c r="AU512" i="1"/>
  <c r="AV512" i="1"/>
  <c r="AV513" i="1"/>
  <c r="AU513" i="1"/>
  <c r="D555" i="1"/>
  <c r="AI530" i="1"/>
  <c r="AI553" i="1"/>
  <c r="AI459" i="1"/>
  <c r="A556" i="1"/>
  <c r="AI541" i="1"/>
  <c r="AG554" i="1"/>
  <c r="A557" i="1"/>
  <c r="AH557" i="1"/>
  <c r="D557" i="1"/>
  <c r="AV514" i="1" l="1"/>
  <c r="AT459" i="1"/>
  <c r="AS555" i="1"/>
  <c r="AV458" i="1"/>
  <c r="AU458" i="1"/>
  <c r="AV540" i="1"/>
  <c r="AU528" i="1"/>
  <c r="AT541" i="1"/>
  <c r="AT530" i="1"/>
  <c r="AV552" i="1"/>
  <c r="AT553" i="1"/>
  <c r="AU553" i="1" s="1"/>
  <c r="AI557" i="1"/>
  <c r="AS557" i="1"/>
  <c r="AJ556" i="1"/>
  <c r="AI460" i="1"/>
  <c r="AI554" i="1"/>
  <c r="A558" i="1"/>
  <c r="AI555" i="1"/>
  <c r="AG555" i="1"/>
  <c r="AI542" i="1"/>
  <c r="AI543" i="1" s="1"/>
  <c r="AI544" i="1" s="1"/>
  <c r="AI531" i="1"/>
  <c r="AG557" i="1"/>
  <c r="A559" i="1"/>
  <c r="AH558" i="1"/>
  <c r="D558" i="1"/>
  <c r="AI545" i="1"/>
  <c r="AI546" i="1" s="1"/>
  <c r="AI547" i="1" s="1"/>
  <c r="AI548" i="1" s="1"/>
  <c r="AH559" i="1"/>
  <c r="D559" i="1"/>
  <c r="AT554" i="1" l="1"/>
  <c r="AT460" i="1"/>
  <c r="AU459" i="1"/>
  <c r="AV459" i="1"/>
  <c r="AV553" i="1"/>
  <c r="AT548" i="1"/>
  <c r="AT547" i="1"/>
  <c r="AT546" i="1"/>
  <c r="AT545" i="1"/>
  <c r="AT544" i="1"/>
  <c r="AS558" i="1"/>
  <c r="AK558" i="1"/>
  <c r="AK559" i="1" s="1"/>
  <c r="AS559" i="1"/>
  <c r="AJ559" i="1"/>
  <c r="AT543" i="1"/>
  <c r="AT531" i="1"/>
  <c r="AJ558" i="1"/>
  <c r="AT542" i="1"/>
  <c r="AV541" i="1"/>
  <c r="AU541" i="1"/>
  <c r="AU530" i="1"/>
  <c r="AV530" i="1"/>
  <c r="AT557" i="1"/>
  <c r="AV557" i="1" s="1"/>
  <c r="AT555" i="1"/>
  <c r="AV555" i="1" s="1"/>
  <c r="AU554" i="1"/>
  <c r="AV554" i="1"/>
  <c r="AI558" i="1"/>
  <c r="A560" i="1"/>
  <c r="AI559" i="1"/>
  <c r="D560" i="1"/>
  <c r="A561" i="1"/>
  <c r="D561" i="1"/>
  <c r="AG559" i="1"/>
  <c r="AG558" i="1"/>
  <c r="AI532" i="1"/>
  <c r="AH560" i="1"/>
  <c r="AH561" i="1"/>
  <c r="AU460" i="1" l="1"/>
  <c r="AV460" i="1"/>
  <c r="AU557" i="1"/>
  <c r="AU555" i="1"/>
  <c r="AS561" i="1"/>
  <c r="AJ561" i="1"/>
  <c r="AS560" i="1"/>
  <c r="AT532" i="1"/>
  <c r="AT559" i="1"/>
  <c r="AV559" i="1" s="1"/>
  <c r="AJ560" i="1"/>
  <c r="AT558" i="1"/>
  <c r="AU558" i="1" s="1"/>
  <c r="AU545" i="1"/>
  <c r="AV545" i="1"/>
  <c r="AU547" i="1"/>
  <c r="AV547" i="1"/>
  <c r="AU542" i="1"/>
  <c r="AV542" i="1"/>
  <c r="AU531" i="1"/>
  <c r="AV531" i="1"/>
  <c r="AV543" i="1"/>
  <c r="AU543" i="1"/>
  <c r="AK560" i="1"/>
  <c r="AK561" i="1" s="1"/>
  <c r="AV544" i="1"/>
  <c r="AU544" i="1"/>
  <c r="AV546" i="1"/>
  <c r="AU546" i="1"/>
  <c r="AU548" i="1"/>
  <c r="AV548" i="1"/>
  <c r="AU559" i="1"/>
  <c r="AI533" i="1"/>
  <c r="A562" i="1"/>
  <c r="AH562" i="1"/>
  <c r="AI560" i="1"/>
  <c r="AG561" i="1"/>
  <c r="AG560" i="1"/>
  <c r="D562" i="1"/>
  <c r="A563" i="1"/>
  <c r="AH563" i="1" s="1"/>
  <c r="D563" i="1"/>
  <c r="AV558" i="1" l="1"/>
  <c r="AS563" i="1"/>
  <c r="AJ563" i="1"/>
  <c r="AS562" i="1"/>
  <c r="AJ562" i="1"/>
  <c r="AT533" i="1"/>
  <c r="AK562" i="1"/>
  <c r="AK563" i="1" s="1"/>
  <c r="AU532" i="1"/>
  <c r="AV532" i="1"/>
  <c r="AT560" i="1"/>
  <c r="AI561" i="1"/>
  <c r="AG563" i="1"/>
  <c r="AI534" i="1"/>
  <c r="AI562" i="1"/>
  <c r="AG562" i="1"/>
  <c r="A564" i="1"/>
  <c r="A565" i="1"/>
  <c r="AH565" i="1" s="1"/>
  <c r="D565" i="1"/>
  <c r="AT561" i="1" l="1"/>
  <c r="AV561" i="1" s="1"/>
  <c r="AI565" i="1"/>
  <c r="AS565" i="1"/>
  <c r="AJ564" i="1"/>
  <c r="AT534" i="1"/>
  <c r="AV533" i="1"/>
  <c r="AU533" i="1"/>
  <c r="AT562" i="1"/>
  <c r="AU560" i="1"/>
  <c r="AV560" i="1"/>
  <c r="AI563" i="1"/>
  <c r="AG565" i="1"/>
  <c r="AI535" i="1"/>
  <c r="AI536" i="1"/>
  <c r="A566" i="1"/>
  <c r="AH566" i="1"/>
  <c r="D566" i="1"/>
  <c r="A567" i="1"/>
  <c r="AH567" i="1"/>
  <c r="D567" i="1"/>
  <c r="AU561" i="1" l="1"/>
  <c r="AT563" i="1"/>
  <c r="AT565" i="1"/>
  <c r="AV565" i="1" s="1"/>
  <c r="AS567" i="1"/>
  <c r="AT536" i="1"/>
  <c r="AJ567" i="1"/>
  <c r="AS566" i="1"/>
  <c r="AK566" i="1"/>
  <c r="AK567" i="1" s="1"/>
  <c r="AT535" i="1"/>
  <c r="AJ566" i="1"/>
  <c r="AV563" i="1"/>
  <c r="AU563" i="1"/>
  <c r="AU534" i="1"/>
  <c r="AV534" i="1"/>
  <c r="AV562" i="1"/>
  <c r="AU562" i="1"/>
  <c r="AG566" i="1"/>
  <c r="AG567" i="1"/>
  <c r="AI566" i="1"/>
  <c r="A568" i="1"/>
  <c r="A569" i="1"/>
  <c r="D569" i="1"/>
  <c r="D568" i="1"/>
  <c r="AH569" i="1"/>
  <c r="AH568" i="1"/>
  <c r="AU565" i="1" l="1"/>
  <c r="AS569" i="1"/>
  <c r="AJ569" i="1"/>
  <c r="AS568" i="1"/>
  <c r="AJ568" i="1"/>
  <c r="AU535" i="1"/>
  <c r="AV535" i="1"/>
  <c r="AT566" i="1"/>
  <c r="AU536" i="1"/>
  <c r="AV536" i="1"/>
  <c r="AK568" i="1"/>
  <c r="AK569" i="1" s="1"/>
  <c r="AI567" i="1"/>
  <c r="AI568" i="1"/>
  <c r="A570" i="1"/>
  <c r="AH570" i="1" s="1"/>
  <c r="AG569" i="1"/>
  <c r="D570" i="1"/>
  <c r="A571" i="1"/>
  <c r="D571" i="1"/>
  <c r="AG568" i="1"/>
  <c r="AH571" i="1"/>
  <c r="AT567" i="1" l="1"/>
  <c r="AU567" i="1" s="1"/>
  <c r="AS571" i="1"/>
  <c r="AJ571" i="1"/>
  <c r="AS570" i="1"/>
  <c r="AJ570" i="1"/>
  <c r="AV566" i="1"/>
  <c r="AU566" i="1"/>
  <c r="AK570" i="1"/>
  <c r="AK571" i="1" s="1"/>
  <c r="AT568" i="1"/>
  <c r="AI569" i="1"/>
  <c r="AI570" i="1"/>
  <c r="AG570" i="1"/>
  <c r="A572" i="1"/>
  <c r="AG571" i="1"/>
  <c r="A573" i="1"/>
  <c r="D573" i="1"/>
  <c r="D572" i="1"/>
  <c r="AH573" i="1"/>
  <c r="AH572" i="1"/>
  <c r="AV567" i="1" l="1"/>
  <c r="AT569" i="1"/>
  <c r="AV569" i="1" s="1"/>
  <c r="AS573" i="1"/>
  <c r="AJ573" i="1"/>
  <c r="AS572" i="1"/>
  <c r="AJ572" i="1"/>
  <c r="AK572" i="1"/>
  <c r="AK573" i="1" s="1"/>
  <c r="AV568" i="1"/>
  <c r="AU568" i="1"/>
  <c r="AT570" i="1"/>
  <c r="AI571" i="1"/>
  <c r="AI572" i="1"/>
  <c r="AG572" i="1"/>
  <c r="A574" i="1"/>
  <c r="D574" i="1" s="1"/>
  <c r="AG573" i="1"/>
  <c r="AH574" i="1"/>
  <c r="A575" i="1"/>
  <c r="AU569" i="1" l="1"/>
  <c r="AT571" i="1"/>
  <c r="AU571" i="1" s="1"/>
  <c r="AJ575" i="1"/>
  <c r="AS574" i="1"/>
  <c r="AJ574" i="1"/>
  <c r="AK574" i="1"/>
  <c r="AV570" i="1"/>
  <c r="AU570" i="1"/>
  <c r="AT572" i="1"/>
  <c r="AI573" i="1"/>
  <c r="A576" i="1"/>
  <c r="AG574" i="1"/>
  <c r="D576" i="1"/>
  <c r="AI574" i="1"/>
  <c r="AH576" i="1"/>
  <c r="A577" i="1"/>
  <c r="AH577" i="1" s="1"/>
  <c r="D577" i="1"/>
  <c r="AV571" i="1" l="1"/>
  <c r="AT573" i="1"/>
  <c r="AU573" i="1" s="1"/>
  <c r="AS577" i="1"/>
  <c r="AK577" i="1"/>
  <c r="AJ577" i="1"/>
  <c r="AI576" i="1"/>
  <c r="AS576" i="1"/>
  <c r="AV572" i="1"/>
  <c r="AU572" i="1"/>
  <c r="AT574" i="1"/>
  <c r="AI577" i="1"/>
  <c r="AG577" i="1"/>
  <c r="AG576" i="1"/>
  <c r="A578" i="1"/>
  <c r="A579" i="1"/>
  <c r="AH579" i="1"/>
  <c r="D579" i="1"/>
  <c r="AV573" i="1" l="1"/>
  <c r="AT576" i="1"/>
  <c r="AV576" i="1" s="1"/>
  <c r="AI579" i="1"/>
  <c r="AJ578" i="1"/>
  <c r="AV574" i="1"/>
  <c r="AU574" i="1"/>
  <c r="AT577" i="1"/>
  <c r="A580" i="1"/>
  <c r="AH580" i="1"/>
  <c r="AG579" i="1"/>
  <c r="D580" i="1"/>
  <c r="A581" i="1"/>
  <c r="AH581" i="1" s="1"/>
  <c r="D581" i="1"/>
  <c r="AU576" i="1" l="1"/>
  <c r="AJ581" i="1"/>
  <c r="AK580" i="1"/>
  <c r="AK581" i="1" s="1"/>
  <c r="AJ580" i="1"/>
  <c r="AV577" i="1"/>
  <c r="AU577" i="1"/>
  <c r="A582" i="1"/>
  <c r="AG581" i="1"/>
  <c r="AH582" i="1"/>
  <c r="A583" i="1"/>
  <c r="AH583" i="1"/>
  <c r="AG580" i="1"/>
  <c r="AI580" i="1"/>
  <c r="D582" i="1"/>
  <c r="D583" i="1"/>
  <c r="AJ583" i="1" l="1"/>
  <c r="AJ582" i="1"/>
  <c r="AK582" i="1"/>
  <c r="AK583" i="1" s="1"/>
  <c r="AI581" i="1"/>
  <c r="AG583" i="1"/>
  <c r="AG582" i="1"/>
  <c r="A584" i="1"/>
  <c r="AI582" i="1"/>
  <c r="D584" i="1"/>
  <c r="A585" i="1"/>
  <c r="AH584" i="1"/>
  <c r="AH585" i="1"/>
  <c r="D585" i="1"/>
  <c r="AJ585" i="1" l="1"/>
  <c r="AJ584" i="1"/>
  <c r="AK584" i="1"/>
  <c r="AK585" i="1" s="1"/>
  <c r="AI583" i="1"/>
  <c r="AG585" i="1"/>
  <c r="A586" i="1"/>
  <c r="D586" i="1"/>
  <c r="A587" i="1"/>
  <c r="AH587" i="1"/>
  <c r="AI584" i="1"/>
  <c r="AG584" i="1"/>
  <c r="AH586" i="1"/>
  <c r="D587" i="1"/>
  <c r="AJ587" i="1" l="1"/>
  <c r="AJ586" i="1"/>
  <c r="AK586" i="1"/>
  <c r="AK587" i="1" s="1"/>
  <c r="A588" i="1"/>
  <c r="AG586" i="1"/>
  <c r="AH588" i="1"/>
  <c r="A589" i="1"/>
  <c r="AG587" i="1"/>
  <c r="AI585" i="1"/>
  <c r="D588" i="1"/>
  <c r="AJ589" i="1" l="1"/>
  <c r="AJ588" i="1"/>
  <c r="AK588" i="1"/>
  <c r="AI586" i="1"/>
  <c r="A590" i="1"/>
  <c r="D590" i="1"/>
  <c r="AG588" i="1"/>
  <c r="AH590" i="1"/>
  <c r="A591" i="1"/>
  <c r="D591" i="1" s="1"/>
  <c r="AH591" i="1"/>
  <c r="AK591" i="1" l="1"/>
  <c r="AJ591" i="1"/>
  <c r="AI590" i="1"/>
  <c r="AI587" i="1"/>
  <c r="AI588" i="1" s="1"/>
  <c r="AI591" i="1"/>
  <c r="A592" i="1"/>
  <c r="D592" i="1"/>
  <c r="A593" i="1"/>
  <c r="D593" i="1"/>
  <c r="AH593" i="1"/>
  <c r="AG591" i="1"/>
  <c r="AG590" i="1"/>
  <c r="AH592" i="1"/>
  <c r="AJ593" i="1" l="1"/>
  <c r="AJ592" i="1"/>
  <c r="AK592" i="1"/>
  <c r="AK593" i="1" s="1"/>
  <c r="A594" i="1"/>
  <c r="AI592" i="1"/>
  <c r="AH594" i="1"/>
  <c r="A595" i="1"/>
  <c r="D595" i="1" s="1"/>
  <c r="AG593" i="1"/>
  <c r="AG592" i="1"/>
  <c r="D594" i="1"/>
  <c r="AH595" i="1"/>
  <c r="AJ595" i="1" l="1"/>
  <c r="AJ594" i="1"/>
  <c r="AK594" i="1"/>
  <c r="AK595" i="1" s="1"/>
  <c r="AI593" i="1"/>
  <c r="AG595" i="1"/>
  <c r="AG594" i="1"/>
  <c r="A596" i="1"/>
  <c r="AI594" i="1"/>
  <c r="AH596" i="1"/>
  <c r="A597" i="1"/>
  <c r="D596" i="1"/>
  <c r="AH597" i="1"/>
  <c r="D597" i="1"/>
  <c r="AJ597" i="1" l="1"/>
  <c r="AJ596" i="1"/>
  <c r="AK596" i="1"/>
  <c r="AK597" i="1" s="1"/>
  <c r="AI595" i="1"/>
  <c r="AG597" i="1"/>
  <c r="A598" i="1"/>
  <c r="A599" i="1"/>
  <c r="D599" i="1"/>
  <c r="AI596" i="1"/>
  <c r="AG596" i="1"/>
  <c r="AH599" i="1"/>
  <c r="AI599" i="1" l="1"/>
  <c r="AJ598" i="1"/>
  <c r="A600" i="1"/>
  <c r="AH600" i="1"/>
  <c r="A601" i="1"/>
  <c r="AG599" i="1"/>
  <c r="AI597" i="1"/>
  <c r="D600" i="1"/>
  <c r="AJ601" i="1" l="1"/>
  <c r="AK600" i="1"/>
  <c r="AJ600" i="1"/>
  <c r="AG600" i="1"/>
  <c r="A602" i="1"/>
  <c r="A603" i="1" s="1"/>
  <c r="AI600" i="1"/>
  <c r="D602" i="1"/>
  <c r="AH603" i="1"/>
  <c r="AH602" i="1"/>
  <c r="D603" i="1"/>
  <c r="AS603" i="1" l="1"/>
  <c r="AK603" i="1"/>
  <c r="AJ603" i="1"/>
  <c r="AS602" i="1"/>
  <c r="AI602" i="1"/>
  <c r="AI603" i="1"/>
  <c r="AG602" i="1"/>
  <c r="AG603" i="1"/>
  <c r="A604" i="1"/>
  <c r="AH604" i="1"/>
  <c r="A605" i="1"/>
  <c r="AH605" i="1"/>
  <c r="D605" i="1"/>
  <c r="D604" i="1"/>
  <c r="AS605" i="1" l="1"/>
  <c r="AJ605" i="1"/>
  <c r="AS604" i="1"/>
  <c r="AJ604" i="1"/>
  <c r="AK604" i="1"/>
  <c r="AK605" i="1" s="1"/>
  <c r="AT602" i="1"/>
  <c r="AT603" i="1"/>
  <c r="A606" i="1"/>
  <c r="AG604" i="1"/>
  <c r="AG605" i="1"/>
  <c r="AI604" i="1"/>
  <c r="A607" i="1"/>
  <c r="AH607" i="1" s="1"/>
  <c r="D607" i="1"/>
  <c r="AI607" i="1" l="1"/>
  <c r="AS607" i="1"/>
  <c r="AJ606" i="1"/>
  <c r="AV603" i="1"/>
  <c r="AU603" i="1"/>
  <c r="AV602" i="1"/>
  <c r="AU602" i="1"/>
  <c r="AT604" i="1"/>
  <c r="AI605" i="1"/>
  <c r="AG607" i="1"/>
  <c r="A608" i="1"/>
  <c r="AH608" i="1"/>
  <c r="A609" i="1"/>
  <c r="D608" i="1"/>
  <c r="AT605" i="1" l="1"/>
  <c r="AU605" i="1" s="1"/>
  <c r="AJ609" i="1"/>
  <c r="AK608" i="1"/>
  <c r="AS608" i="1"/>
  <c r="AJ608" i="1"/>
  <c r="AV604" i="1"/>
  <c r="AU604" i="1"/>
  <c r="AT607" i="1"/>
  <c r="A610" i="1"/>
  <c r="AG608" i="1"/>
  <c r="AH610" i="1"/>
  <c r="A611" i="1"/>
  <c r="AH611" i="1" s="1"/>
  <c r="D611" i="1"/>
  <c r="AI608" i="1"/>
  <c r="D610" i="1"/>
  <c r="AV605" i="1" l="1"/>
  <c r="AS611" i="1"/>
  <c r="AK611" i="1"/>
  <c r="AJ611" i="1"/>
  <c r="AS610" i="1"/>
  <c r="AI610" i="1"/>
  <c r="AT608" i="1"/>
  <c r="AV607" i="1"/>
  <c r="AU607" i="1"/>
  <c r="AI611" i="1"/>
  <c r="AG611" i="1"/>
  <c r="AG610" i="1"/>
  <c r="A612" i="1"/>
  <c r="A613" i="1"/>
  <c r="AH613" i="1"/>
  <c r="D613" i="1"/>
  <c r="AI613" i="1" l="1"/>
  <c r="AJ612" i="1"/>
  <c r="AV608" i="1"/>
  <c r="AU608" i="1"/>
  <c r="AT610" i="1"/>
  <c r="AT611" i="1"/>
  <c r="A614" i="1"/>
  <c r="D614" i="1"/>
  <c r="A615" i="1"/>
  <c r="AG613" i="1"/>
  <c r="AH614" i="1"/>
  <c r="AJ615" i="1" l="1"/>
  <c r="AK614" i="1"/>
  <c r="AJ614" i="1"/>
  <c r="AV611" i="1"/>
  <c r="AU611" i="1"/>
  <c r="AV610" i="1"/>
  <c r="AU610" i="1"/>
  <c r="AG614" i="1"/>
  <c r="A616" i="1"/>
  <c r="AH616" i="1" s="1"/>
  <c r="AI614" i="1"/>
  <c r="D616" i="1"/>
  <c r="A617" i="1"/>
  <c r="AJ617" i="1" l="1"/>
  <c r="AS616" i="1"/>
  <c r="AI616" i="1"/>
  <c r="AG616" i="1"/>
  <c r="A618" i="1"/>
  <c r="D618" i="1" s="1"/>
  <c r="AH618" i="1"/>
  <c r="A619" i="1"/>
  <c r="AT616" i="1" l="1"/>
  <c r="AV616" i="1" s="1"/>
  <c r="AJ619" i="1"/>
  <c r="AI618" i="1"/>
  <c r="AS618" i="1"/>
  <c r="A620" i="1"/>
  <c r="AG618" i="1"/>
  <c r="D620" i="1"/>
  <c r="AH620" i="1"/>
  <c r="AU616" i="1" l="1"/>
  <c r="AI620" i="1"/>
  <c r="AS620" i="1"/>
  <c r="AT618" i="1"/>
  <c r="AG620" i="1"/>
  <c r="A621" i="1"/>
  <c r="A622" i="1"/>
  <c r="D622" i="1"/>
  <c r="AH622" i="1"/>
  <c r="A623" i="1"/>
  <c r="AH623" i="1"/>
  <c r="D623" i="1"/>
  <c r="AK623" i="1" l="1"/>
  <c r="AS623" i="1"/>
  <c r="AJ623" i="1"/>
  <c r="AI622" i="1"/>
  <c r="AS622" i="1"/>
  <c r="AJ621" i="1"/>
  <c r="AV618" i="1"/>
  <c r="AU618" i="1"/>
  <c r="AT620" i="1"/>
  <c r="AG622" i="1"/>
  <c r="AG623" i="1"/>
  <c r="AI623" i="1"/>
  <c r="A624" i="1"/>
  <c r="A625" i="1"/>
  <c r="AH625" i="1"/>
  <c r="D625" i="1"/>
  <c r="AI625" i="1" l="1"/>
  <c r="AS625" i="1"/>
  <c r="AJ624" i="1"/>
  <c r="AV620" i="1"/>
  <c r="AU620" i="1"/>
  <c r="AT622" i="1"/>
  <c r="AT623" i="1"/>
  <c r="A626" i="1"/>
  <c r="D626" i="1"/>
  <c r="A627" i="1"/>
  <c r="D627" i="1" s="1"/>
  <c r="AH627" i="1"/>
  <c r="AG625" i="1"/>
  <c r="AH626" i="1"/>
  <c r="AT625" i="1" l="1"/>
  <c r="AV625" i="1" s="1"/>
  <c r="AJ627" i="1"/>
  <c r="AK626" i="1"/>
  <c r="AK627" i="1" s="1"/>
  <c r="AJ626" i="1"/>
  <c r="AU622" i="1"/>
  <c r="AV622" i="1"/>
  <c r="AV623" i="1"/>
  <c r="AU623" i="1"/>
  <c r="AU625" i="1" l="1"/>
  <c r="AG627" i="1"/>
  <c r="AI626" i="1"/>
  <c r="AG626" i="1"/>
  <c r="A628" i="1"/>
  <c r="AI627" i="1"/>
  <c r="D628" i="1"/>
  <c r="A629" i="1"/>
  <c r="A630" i="1"/>
  <c r="D630" i="1"/>
  <c r="AH629" i="1"/>
  <c r="AH630" i="1"/>
  <c r="D629" i="1"/>
  <c r="AH628" i="1"/>
  <c r="A631" i="1"/>
  <c r="D631" i="1"/>
  <c r="AH631" i="1"/>
  <c r="A632" i="1"/>
  <c r="D632" i="1"/>
  <c r="AH632" i="1"/>
  <c r="A633" i="1"/>
  <c r="A634" i="1"/>
  <c r="AH634" i="1"/>
  <c r="D634" i="1"/>
  <c r="A635" i="1"/>
  <c r="AH635" i="1"/>
  <c r="D635" i="1"/>
  <c r="A636" i="1"/>
  <c r="D636" i="1"/>
  <c r="AH636" i="1"/>
  <c r="A637" i="1"/>
  <c r="D637" i="1"/>
  <c r="AH637" i="1"/>
  <c r="A638" i="1"/>
  <c r="D638" i="1"/>
  <c r="AH638" i="1"/>
  <c r="A639" i="1"/>
  <c r="AH639" i="1"/>
  <c r="D639" i="1"/>
  <c r="A640" i="1"/>
  <c r="AH640" i="1"/>
  <c r="D640" i="1"/>
  <c r="A641" i="1"/>
  <c r="A642" i="1"/>
  <c r="D642" i="1"/>
  <c r="AH642" i="1"/>
  <c r="A643" i="1"/>
  <c r="D643" i="1"/>
  <c r="AH643" i="1"/>
  <c r="A644" i="1"/>
  <c r="AH644" i="1"/>
  <c r="D644" i="1"/>
  <c r="A645" i="1"/>
  <c r="D645" i="1"/>
  <c r="AH645" i="1"/>
  <c r="A646" i="1"/>
  <c r="D646" i="1"/>
  <c r="AH646" i="1"/>
  <c r="A647" i="1"/>
  <c r="A648" i="1"/>
  <c r="AH648" i="1"/>
  <c r="D648" i="1"/>
  <c r="A649" i="1"/>
  <c r="A650" i="1"/>
  <c r="D650" i="1"/>
  <c r="AH650" i="1"/>
  <c r="A651" i="1"/>
  <c r="AH651" i="1"/>
  <c r="D651" i="1"/>
  <c r="A652" i="1"/>
  <c r="D652" i="1"/>
  <c r="AH652" i="1"/>
  <c r="A653" i="1"/>
  <c r="AH653" i="1"/>
  <c r="D653" i="1"/>
  <c r="A654" i="1"/>
  <c r="D654" i="1"/>
  <c r="AH654" i="1"/>
  <c r="A655" i="1"/>
  <c r="AH655" i="1"/>
  <c r="D655" i="1"/>
  <c r="A656" i="1"/>
  <c r="AH656" i="1"/>
  <c r="D656" i="1"/>
  <c r="A657" i="1"/>
  <c r="AH657" i="1"/>
  <c r="D657" i="1"/>
  <c r="A658" i="1"/>
  <c r="AH658" i="1"/>
  <c r="D658" i="1"/>
  <c r="A659" i="1"/>
  <c r="A660" i="1"/>
  <c r="AH660" i="1"/>
  <c r="D660" i="1"/>
  <c r="A661" i="1"/>
  <c r="AH661" i="1"/>
  <c r="D661" i="1"/>
  <c r="A662" i="1"/>
  <c r="D662" i="1"/>
  <c r="AH662" i="1"/>
  <c r="A663" i="1"/>
  <c r="AH663" i="1"/>
  <c r="D663" i="1"/>
  <c r="A664" i="1"/>
  <c r="AH664" i="1"/>
  <c r="D664" i="1"/>
  <c r="A665" i="1"/>
  <c r="D665" i="1"/>
  <c r="AH665" i="1"/>
  <c r="A666" i="1"/>
  <c r="D666" i="1"/>
  <c r="AH666" i="1"/>
  <c r="A667" i="1"/>
  <c r="AH667" i="1"/>
  <c r="D667" i="1"/>
  <c r="A668" i="1"/>
  <c r="D668" i="1"/>
  <c r="AH668" i="1"/>
  <c r="A669" i="1"/>
  <c r="AH669" i="1"/>
  <c r="D669" i="1"/>
  <c r="A670" i="1"/>
  <c r="D670" i="1"/>
  <c r="AH670" i="1"/>
  <c r="A671" i="1"/>
  <c r="A672" i="1"/>
  <c r="D672" i="1"/>
  <c r="AH672" i="1"/>
  <c r="A673" i="1"/>
  <c r="AH673" i="1"/>
  <c r="D673" i="1"/>
  <c r="A674" i="1"/>
  <c r="D674" i="1"/>
  <c r="AH674" i="1"/>
  <c r="A675" i="1"/>
  <c r="AH675" i="1"/>
  <c r="D675" i="1"/>
  <c r="A676" i="1"/>
  <c r="AH676" i="1"/>
  <c r="D676" i="1"/>
  <c r="A677" i="1"/>
  <c r="AH677" i="1"/>
  <c r="D677" i="1"/>
  <c r="A678" i="1"/>
  <c r="AH678" i="1"/>
  <c r="D678" i="1"/>
  <c r="A679" i="1"/>
  <c r="AH679" i="1"/>
  <c r="D679" i="1"/>
  <c r="A680" i="1"/>
  <c r="D680" i="1"/>
  <c r="AH680" i="1"/>
  <c r="A681" i="1"/>
  <c r="AH681" i="1"/>
  <c r="D681" i="1"/>
  <c r="A682" i="1"/>
  <c r="A683" i="1"/>
  <c r="D683" i="1"/>
  <c r="AH683" i="1"/>
  <c r="A684" i="1"/>
  <c r="AH684" i="1"/>
  <c r="D684" i="1"/>
  <c r="A685" i="1"/>
  <c r="D685" i="1"/>
  <c r="AH685" i="1"/>
  <c r="A686" i="1"/>
  <c r="AH686" i="1"/>
  <c r="D686" i="1"/>
  <c r="A687" i="1"/>
  <c r="D687" i="1"/>
  <c r="AH687" i="1"/>
  <c r="A688" i="1"/>
  <c r="D688" i="1"/>
  <c r="AH688" i="1"/>
  <c r="A689" i="1"/>
  <c r="D689" i="1"/>
  <c r="AH689" i="1"/>
  <c r="A690" i="1"/>
  <c r="D690" i="1"/>
  <c r="AH690" i="1"/>
  <c r="A691" i="1"/>
  <c r="A692" i="1"/>
  <c r="D692" i="1"/>
  <c r="AH692" i="1"/>
  <c r="A693" i="1"/>
  <c r="AH693" i="1"/>
  <c r="D693" i="1"/>
  <c r="A694" i="1"/>
  <c r="A695" i="1"/>
  <c r="D695" i="1"/>
  <c r="AH695" i="1"/>
  <c r="A696" i="1"/>
  <c r="D696" i="1"/>
  <c r="AH696" i="1"/>
  <c r="A697" i="1"/>
  <c r="A698" i="1"/>
  <c r="D698" i="1"/>
  <c r="AH698" i="1"/>
  <c r="A699" i="1"/>
  <c r="A700" i="1"/>
  <c r="AH700" i="1"/>
  <c r="D700" i="1"/>
  <c r="A701" i="1"/>
  <c r="D701" i="1"/>
  <c r="AH701" i="1"/>
  <c r="A702" i="1"/>
  <c r="A703" i="1"/>
  <c r="AH703" i="1"/>
  <c r="D703" i="1"/>
  <c r="A704" i="1"/>
  <c r="A705" i="1"/>
  <c r="AH705" i="1"/>
  <c r="D705" i="1"/>
  <c r="A706" i="1"/>
  <c r="D706" i="1"/>
  <c r="AH706" i="1"/>
  <c r="A707" i="1"/>
  <c r="D707" i="1"/>
  <c r="AH707" i="1"/>
  <c r="A708" i="1"/>
  <c r="AH708" i="1"/>
  <c r="D708" i="1"/>
  <c r="A709" i="1"/>
  <c r="D709" i="1"/>
  <c r="AH709" i="1"/>
  <c r="A710" i="1"/>
  <c r="AH710" i="1"/>
  <c r="D710" i="1"/>
  <c r="A711" i="1"/>
  <c r="AH711" i="1"/>
  <c r="D711" i="1"/>
  <c r="A712" i="1"/>
  <c r="A713" i="1"/>
  <c r="D713" i="1"/>
  <c r="AH713" i="1"/>
  <c r="A714" i="1"/>
  <c r="D714" i="1"/>
  <c r="AH714" i="1"/>
  <c r="A715" i="1"/>
  <c r="D715" i="1"/>
  <c r="AH715" i="1"/>
  <c r="A716" i="1"/>
  <c r="D716" i="1"/>
  <c r="AH716" i="1"/>
  <c r="A717" i="1"/>
  <c r="D717" i="1"/>
  <c r="AH717" i="1"/>
  <c r="A718" i="1"/>
  <c r="D718" i="1"/>
  <c r="AH718" i="1"/>
  <c r="A719" i="1"/>
  <c r="AH719" i="1"/>
  <c r="D719" i="1"/>
  <c r="A720" i="1"/>
  <c r="AH720" i="1"/>
  <c r="D720" i="1"/>
  <c r="A721" i="1"/>
  <c r="A722" i="1"/>
  <c r="D722" i="1"/>
  <c r="AH722" i="1"/>
  <c r="A723" i="1"/>
  <c r="AH723" i="1"/>
  <c r="D723" i="1"/>
  <c r="A724" i="1"/>
  <c r="AH724" i="1"/>
  <c r="D724" i="1"/>
  <c r="A725" i="1"/>
  <c r="AH725" i="1"/>
  <c r="D725" i="1"/>
  <c r="A726" i="1"/>
  <c r="AH726" i="1"/>
  <c r="D726" i="1"/>
  <c r="A727" i="1"/>
  <c r="A728" i="1"/>
  <c r="AH728" i="1"/>
  <c r="D728" i="1"/>
  <c r="A729" i="1"/>
  <c r="D729" i="1"/>
  <c r="AH729" i="1"/>
  <c r="A730" i="1"/>
  <c r="AH730" i="1"/>
  <c r="D730" i="1"/>
  <c r="A731" i="1"/>
  <c r="D731" i="1"/>
  <c r="AH731" i="1"/>
  <c r="A732" i="1"/>
  <c r="A733" i="1"/>
  <c r="D733" i="1"/>
  <c r="AH733" i="1"/>
  <c r="A734" i="1"/>
  <c r="A735" i="1"/>
  <c r="AH735" i="1"/>
  <c r="D735" i="1"/>
  <c r="A736" i="1"/>
  <c r="AH736" i="1"/>
  <c r="D736" i="1"/>
  <c r="A737" i="1"/>
  <c r="AH737" i="1"/>
  <c r="D737" i="1"/>
  <c r="A738" i="1"/>
  <c r="D738" i="1"/>
  <c r="AH738" i="1"/>
  <c r="A739" i="1"/>
  <c r="A740" i="1"/>
  <c r="D740" i="1"/>
  <c r="AH740" i="1"/>
  <c r="A741" i="1"/>
  <c r="AH741" i="1"/>
  <c r="D741" i="1"/>
  <c r="A742" i="1"/>
  <c r="D742" i="1"/>
  <c r="AH742" i="1"/>
  <c r="A743" i="1"/>
  <c r="A744" i="1"/>
  <c r="D744" i="1"/>
  <c r="AH744" i="1"/>
  <c r="A745" i="1"/>
  <c r="AH745" i="1"/>
  <c r="D745" i="1"/>
  <c r="A746" i="1"/>
  <c r="D746" i="1"/>
  <c r="AH746" i="1"/>
  <c r="A747" i="1"/>
  <c r="AH747" i="1"/>
  <c r="D747" i="1"/>
  <c r="A748" i="1"/>
  <c r="AH748" i="1"/>
  <c r="D748" i="1"/>
  <c r="A749" i="1"/>
  <c r="D749" i="1"/>
  <c r="AH749" i="1"/>
  <c r="A750" i="1"/>
  <c r="D750" i="1"/>
  <c r="AH750" i="1"/>
  <c r="A751" i="1"/>
  <c r="D751" i="1"/>
  <c r="AH751" i="1"/>
  <c r="A752" i="1"/>
  <c r="D752" i="1"/>
  <c r="AH752" i="1"/>
  <c r="A753" i="1"/>
  <c r="AH753" i="1"/>
  <c r="D753" i="1"/>
  <c r="A754" i="1"/>
  <c r="AH754" i="1"/>
  <c r="D754" i="1"/>
  <c r="A755" i="1"/>
  <c r="D755" i="1"/>
  <c r="AH755" i="1"/>
  <c r="AS753" i="1" l="1"/>
  <c r="AJ753" i="1"/>
  <c r="AS752" i="1"/>
  <c r="AJ752" i="1"/>
  <c r="AS751" i="1"/>
  <c r="AJ751" i="1"/>
  <c r="AS750" i="1"/>
  <c r="AJ750" i="1"/>
  <c r="AS749" i="1"/>
  <c r="AJ749" i="1"/>
  <c r="AJ748" i="1"/>
  <c r="AS747" i="1"/>
  <c r="AJ747" i="1"/>
  <c r="AS746" i="1"/>
  <c r="AJ746" i="1"/>
  <c r="AS745" i="1"/>
  <c r="AK745" i="1"/>
  <c r="AK746" i="1" s="1"/>
  <c r="AK747" i="1" s="1"/>
  <c r="AK748" i="1" s="1"/>
  <c r="AK749" i="1" s="1"/>
  <c r="AK750" i="1" s="1"/>
  <c r="AK751" i="1" s="1"/>
  <c r="AK752" i="1" s="1"/>
  <c r="AK753" i="1" s="1"/>
  <c r="AJ745" i="1"/>
  <c r="AI744" i="1"/>
  <c r="AS744" i="1"/>
  <c r="AJ743" i="1"/>
  <c r="AS742" i="1"/>
  <c r="AJ742" i="1"/>
  <c r="AS741" i="1"/>
  <c r="AK741" i="1"/>
  <c r="AK742" i="1" s="1"/>
  <c r="AJ741" i="1"/>
  <c r="AI740" i="1"/>
  <c r="AS740" i="1"/>
  <c r="AJ739" i="1"/>
  <c r="AS738" i="1"/>
  <c r="AJ738" i="1"/>
  <c r="AS737" i="1"/>
  <c r="AJ737" i="1"/>
  <c r="AS736" i="1"/>
  <c r="AK736" i="1"/>
  <c r="AK737" i="1" s="1"/>
  <c r="AK738" i="1" s="1"/>
  <c r="AJ736" i="1"/>
  <c r="AI735" i="1"/>
  <c r="AS735" i="1"/>
  <c r="AJ734" i="1"/>
  <c r="AS733" i="1"/>
  <c r="AI733" i="1"/>
  <c r="AJ732" i="1"/>
  <c r="AS731" i="1"/>
  <c r="AJ731" i="1"/>
  <c r="AS730" i="1"/>
  <c r="AJ730" i="1"/>
  <c r="AK729" i="1"/>
  <c r="AK730" i="1" s="1"/>
  <c r="AK731" i="1" s="1"/>
  <c r="AS729" i="1"/>
  <c r="AJ729" i="1"/>
  <c r="AI728" i="1"/>
  <c r="AS728" i="1"/>
  <c r="AJ727" i="1"/>
  <c r="AS726" i="1"/>
  <c r="AJ726" i="1"/>
  <c r="AS725" i="1"/>
  <c r="AJ725" i="1"/>
  <c r="AS724" i="1"/>
  <c r="AJ724" i="1"/>
  <c r="AS723" i="1"/>
  <c r="AK723" i="1"/>
  <c r="AK724" i="1" s="1"/>
  <c r="AK725" i="1" s="1"/>
  <c r="AK726" i="1" s="1"/>
  <c r="AJ723" i="1"/>
  <c r="AI722" i="1"/>
  <c r="AS722" i="1"/>
  <c r="AJ721" i="1"/>
  <c r="AS720" i="1"/>
  <c r="AJ720" i="1"/>
  <c r="AS719" i="1"/>
  <c r="AJ719" i="1"/>
  <c r="AS718" i="1"/>
  <c r="AJ718" i="1"/>
  <c r="AS717" i="1"/>
  <c r="AJ717" i="1"/>
  <c r="AS716" i="1"/>
  <c r="AJ716" i="1"/>
  <c r="AS715" i="1"/>
  <c r="AJ715" i="1"/>
  <c r="AK714" i="1"/>
  <c r="AK715" i="1" s="1"/>
  <c r="AK716" i="1" s="1"/>
  <c r="AK717" i="1" s="1"/>
  <c r="AK718" i="1" s="1"/>
  <c r="AK719" i="1" s="1"/>
  <c r="AK720" i="1" s="1"/>
  <c r="AS714" i="1"/>
  <c r="AJ714" i="1"/>
  <c r="AI713" i="1"/>
  <c r="AS713" i="1"/>
  <c r="AJ712" i="1"/>
  <c r="AS711" i="1"/>
  <c r="AJ711" i="1"/>
  <c r="AS710" i="1"/>
  <c r="AJ710" i="1"/>
  <c r="AS709" i="1"/>
  <c r="AJ709" i="1"/>
  <c r="AS708" i="1"/>
  <c r="AJ708" i="1"/>
  <c r="AS707" i="1"/>
  <c r="AJ707" i="1"/>
  <c r="AK706" i="1"/>
  <c r="AK707" i="1" s="1"/>
  <c r="AK708" i="1" s="1"/>
  <c r="AK709" i="1" s="1"/>
  <c r="AK710" i="1" s="1"/>
  <c r="AK711" i="1" s="1"/>
  <c r="AS706" i="1"/>
  <c r="AJ706" i="1"/>
  <c r="AI705" i="1"/>
  <c r="AS705" i="1"/>
  <c r="AJ704" i="1"/>
  <c r="AS703" i="1"/>
  <c r="AI703" i="1"/>
  <c r="AJ702" i="1"/>
  <c r="AK701" i="1"/>
  <c r="AJ701" i="1"/>
  <c r="AI700" i="1"/>
  <c r="AJ699" i="1"/>
  <c r="AI698" i="1"/>
  <c r="AS698" i="1"/>
  <c r="AJ697" i="1"/>
  <c r="AK696" i="1"/>
  <c r="AS696" i="1"/>
  <c r="AJ696" i="1"/>
  <c r="AI695" i="1"/>
  <c r="AS695" i="1"/>
  <c r="AJ694" i="1"/>
  <c r="AS693" i="1"/>
  <c r="AK693" i="1"/>
  <c r="AJ693" i="1"/>
  <c r="AS692" i="1"/>
  <c r="AI692" i="1"/>
  <c r="AJ691" i="1"/>
  <c r="AJ690" i="1"/>
  <c r="AJ689" i="1"/>
  <c r="AJ688" i="1"/>
  <c r="AJ687" i="1"/>
  <c r="AJ686" i="1"/>
  <c r="AJ685" i="1"/>
  <c r="AK684" i="1"/>
  <c r="AK685" i="1" s="1"/>
  <c r="AK686" i="1" s="1"/>
  <c r="AK687" i="1" s="1"/>
  <c r="AK688" i="1" s="1"/>
  <c r="AK689" i="1" s="1"/>
  <c r="AK690" i="1" s="1"/>
  <c r="AJ684" i="1"/>
  <c r="AI683" i="1"/>
  <c r="AJ682" i="1"/>
  <c r="AJ681" i="1"/>
  <c r="AJ680" i="1"/>
  <c r="AJ679" i="1"/>
  <c r="AJ678" i="1"/>
  <c r="AJ677" i="1"/>
  <c r="AJ676" i="1"/>
  <c r="AJ675" i="1"/>
  <c r="AJ674" i="1"/>
  <c r="AK673" i="1"/>
  <c r="AK674" i="1" s="1"/>
  <c r="AK675" i="1" s="1"/>
  <c r="AK676" i="1" s="1"/>
  <c r="AK677" i="1" s="1"/>
  <c r="AK678" i="1" s="1"/>
  <c r="AK679" i="1" s="1"/>
  <c r="AK680" i="1" s="1"/>
  <c r="AK681" i="1" s="1"/>
  <c r="AJ673" i="1"/>
  <c r="AI672" i="1"/>
  <c r="AJ671" i="1"/>
  <c r="AJ670" i="1"/>
  <c r="AJ669" i="1"/>
  <c r="AJ668" i="1"/>
  <c r="AJ667" i="1"/>
  <c r="AJ666" i="1"/>
  <c r="AJ665" i="1"/>
  <c r="AJ664" i="1"/>
  <c r="AJ663" i="1"/>
  <c r="AJ662" i="1"/>
  <c r="AK661" i="1"/>
  <c r="AK662" i="1" s="1"/>
  <c r="AK663" i="1" s="1"/>
  <c r="AK664" i="1" s="1"/>
  <c r="AK665" i="1" s="1"/>
  <c r="AK666" i="1" s="1"/>
  <c r="AK667" i="1" s="1"/>
  <c r="AK668" i="1" s="1"/>
  <c r="AK669" i="1" s="1"/>
  <c r="AK670" i="1" s="1"/>
  <c r="AJ661" i="1"/>
  <c r="AI660" i="1"/>
  <c r="AJ659" i="1"/>
  <c r="AJ658" i="1"/>
  <c r="AJ657" i="1"/>
  <c r="AJ656" i="1"/>
  <c r="AJ655" i="1"/>
  <c r="AJ654" i="1"/>
  <c r="AJ653" i="1"/>
  <c r="AJ652" i="1"/>
  <c r="AK651" i="1"/>
  <c r="AK652" i="1" s="1"/>
  <c r="AK653" i="1" s="1"/>
  <c r="AK654" i="1" s="1"/>
  <c r="AK655" i="1" s="1"/>
  <c r="AK656" i="1" s="1"/>
  <c r="AK657" i="1" s="1"/>
  <c r="AK658" i="1" s="1"/>
  <c r="AJ651" i="1"/>
  <c r="AI650" i="1"/>
  <c r="AJ649" i="1"/>
  <c r="AI648" i="1"/>
  <c r="AJ647" i="1"/>
  <c r="AJ646" i="1"/>
  <c r="AJ645" i="1"/>
  <c r="AJ644" i="1"/>
  <c r="AK643" i="1"/>
  <c r="AK644" i="1" s="1"/>
  <c r="AK645" i="1" s="1"/>
  <c r="AK646" i="1" s="1"/>
  <c r="AJ643" i="1"/>
  <c r="AI642" i="1"/>
  <c r="AJ641" i="1"/>
  <c r="AJ640" i="1"/>
  <c r="AJ639" i="1"/>
  <c r="AJ638" i="1"/>
  <c r="AJ637" i="1"/>
  <c r="AJ636" i="1"/>
  <c r="AK635" i="1"/>
  <c r="AK636" i="1" s="1"/>
  <c r="AK637" i="1" s="1"/>
  <c r="AK638" i="1" s="1"/>
  <c r="AK639" i="1" s="1"/>
  <c r="AK640" i="1" s="1"/>
  <c r="AJ635" i="1"/>
  <c r="AI634" i="1"/>
  <c r="AJ633" i="1"/>
  <c r="AS632" i="1"/>
  <c r="AJ632" i="1"/>
  <c r="AJ631" i="1"/>
  <c r="AK628" i="1"/>
  <c r="AJ630" i="1"/>
  <c r="AJ629" i="1"/>
  <c r="AJ628" i="1"/>
  <c r="AS755" i="1"/>
  <c r="AJ755" i="1"/>
  <c r="AS754" i="1"/>
  <c r="AK754" i="1"/>
  <c r="AK755" i="1" s="1"/>
  <c r="AS748" i="1"/>
  <c r="AJ754" i="1"/>
  <c r="AK629" i="1"/>
  <c r="AK630" i="1" s="1"/>
  <c r="AK631" i="1" s="1"/>
  <c r="AK632" i="1" s="1"/>
  <c r="AT722" i="1"/>
  <c r="AG749" i="1"/>
  <c r="AG746" i="1"/>
  <c r="AG744" i="1"/>
  <c r="AI741" i="1"/>
  <c r="AG740" i="1"/>
  <c r="AG737" i="1"/>
  <c r="AG736" i="1"/>
  <c r="AI736" i="1"/>
  <c r="AG733" i="1"/>
  <c r="AG731" i="1"/>
  <c r="AG730" i="1"/>
  <c r="AI729" i="1"/>
  <c r="AG726" i="1"/>
  <c r="AG725" i="1"/>
  <c r="AI723" i="1"/>
  <c r="AG722" i="1"/>
  <c r="AG718" i="1"/>
  <c r="AG716" i="1"/>
  <c r="AG715" i="1"/>
  <c r="AG714" i="1"/>
  <c r="AG710" i="1"/>
  <c r="AG709" i="1"/>
  <c r="AG707" i="1"/>
  <c r="AG706" i="1"/>
  <c r="AG703" i="1"/>
  <c r="AG701" i="1"/>
  <c r="AG700" i="1"/>
  <c r="AI696" i="1"/>
  <c r="AG695" i="1"/>
  <c r="AG692" i="1"/>
  <c r="AG690" i="1"/>
  <c r="AG689" i="1"/>
  <c r="AG688" i="1"/>
  <c r="AG687" i="1"/>
  <c r="AG686" i="1"/>
  <c r="AG685" i="1"/>
  <c r="AG684" i="1"/>
  <c r="AG683" i="1"/>
  <c r="AG678" i="1"/>
  <c r="AG677" i="1"/>
  <c r="AG676" i="1"/>
  <c r="AG675" i="1"/>
  <c r="AG674" i="1"/>
  <c r="AG673" i="1"/>
  <c r="AG672" i="1"/>
  <c r="AG670" i="1"/>
  <c r="AG669" i="1"/>
  <c r="AG668" i="1"/>
  <c r="AG667" i="1"/>
  <c r="AG666" i="1"/>
  <c r="AG665" i="1"/>
  <c r="AG664" i="1"/>
  <c r="AG663" i="1"/>
  <c r="AG662" i="1"/>
  <c r="AG661" i="1"/>
  <c r="AG652" i="1"/>
  <c r="AI651" i="1"/>
  <c r="AG646" i="1"/>
  <c r="AG643" i="1"/>
  <c r="AG642" i="1"/>
  <c r="AG640" i="1"/>
  <c r="AG639" i="1"/>
  <c r="AG638" i="1"/>
  <c r="AI635" i="1"/>
  <c r="AI636" i="1" s="1"/>
  <c r="AG632" i="1"/>
  <c r="AG629" i="1"/>
  <c r="AI628" i="1"/>
  <c r="AG753" i="1"/>
  <c r="AG752" i="1"/>
  <c r="AG751" i="1"/>
  <c r="AG750" i="1"/>
  <c r="AG747" i="1"/>
  <c r="AI745" i="1"/>
  <c r="AG745" i="1"/>
  <c r="AG742" i="1"/>
  <c r="AG741" i="1"/>
  <c r="AG738" i="1"/>
  <c r="AG735" i="1"/>
  <c r="AG729" i="1"/>
  <c r="AG728" i="1"/>
  <c r="AG724" i="1"/>
  <c r="AG723" i="1"/>
  <c r="AG720" i="1"/>
  <c r="AG719" i="1"/>
  <c r="AG717" i="1"/>
  <c r="AI714" i="1"/>
  <c r="AG713" i="1"/>
  <c r="AG711" i="1"/>
  <c r="AG708" i="1"/>
  <c r="AI706" i="1"/>
  <c r="AG705" i="1"/>
  <c r="AI701" i="1"/>
  <c r="AG698" i="1"/>
  <c r="AG696" i="1"/>
  <c r="AI693" i="1"/>
  <c r="AG693" i="1"/>
  <c r="AI684" i="1"/>
  <c r="AI685" i="1" s="1"/>
  <c r="AG681" i="1"/>
  <c r="AG680" i="1"/>
  <c r="AI673" i="1"/>
  <c r="AI674" i="1" s="1"/>
  <c r="AI661" i="1"/>
  <c r="AG660" i="1"/>
  <c r="AG658" i="1"/>
  <c r="AG657" i="1"/>
  <c r="AG656" i="1"/>
  <c r="AG655" i="1"/>
  <c r="AG654" i="1"/>
  <c r="AG653" i="1"/>
  <c r="AG651" i="1"/>
  <c r="AG650" i="1"/>
  <c r="AG648" i="1"/>
  <c r="AG645" i="1"/>
  <c r="AG644" i="1"/>
  <c r="AI643" i="1"/>
  <c r="AG637" i="1"/>
  <c r="AG636" i="1"/>
  <c r="AG635" i="1"/>
  <c r="AG634" i="1"/>
  <c r="AG630" i="1"/>
  <c r="AG628" i="1"/>
  <c r="A756" i="1"/>
  <c r="AG748" i="1"/>
  <c r="AG754" i="1"/>
  <c r="AG631" i="1"/>
  <c r="AH756" i="1"/>
  <c r="A757" i="1"/>
  <c r="A758" i="1"/>
  <c r="AH758" i="1"/>
  <c r="AG755" i="1"/>
  <c r="AI662" i="1"/>
  <c r="AG679" i="1"/>
  <c r="A759" i="1"/>
  <c r="A760" i="1"/>
  <c r="A761" i="1" s="1"/>
  <c r="A762" i="1" s="1"/>
  <c r="D761" i="1"/>
  <c r="A763" i="1"/>
  <c r="A764" i="1" s="1"/>
  <c r="D763" i="1"/>
  <c r="A765" i="1"/>
  <c r="A766" i="1" s="1"/>
  <c r="AH765" i="1"/>
  <c r="A767" i="1"/>
  <c r="A768" i="1" s="1"/>
  <c r="A769" i="1" s="1"/>
  <c r="D768" i="1"/>
  <c r="A770" i="1"/>
  <c r="A771" i="1" s="1"/>
  <c r="A772" i="1"/>
  <c r="A773" i="1" s="1"/>
  <c r="A774" i="1" s="1"/>
  <c r="A775" i="1" s="1"/>
  <c r="D772" i="1"/>
  <c r="AH774" i="1"/>
  <c r="AI730" i="1"/>
  <c r="AI746" i="1"/>
  <c r="D775" i="1"/>
  <c r="D771" i="1"/>
  <c r="D767" i="1"/>
  <c r="AH766" i="1"/>
  <c r="D764" i="1"/>
  <c r="D762" i="1"/>
  <c r="D760" i="1"/>
  <c r="D756" i="1"/>
  <c r="AH775" i="1"/>
  <c r="D774" i="1"/>
  <c r="AH772" i="1"/>
  <c r="AH771" i="1"/>
  <c r="D769" i="1"/>
  <c r="AH768" i="1"/>
  <c r="AH767" i="1"/>
  <c r="D766" i="1"/>
  <c r="D765" i="1"/>
  <c r="AH764" i="1"/>
  <c r="AH763" i="1"/>
  <c r="AH762" i="1"/>
  <c r="AH761" i="1"/>
  <c r="AT733" i="1" l="1"/>
  <c r="AT740" i="1"/>
  <c r="AT713" i="1"/>
  <c r="AU713" i="1" s="1"/>
  <c r="AT728" i="1"/>
  <c r="AT735" i="1"/>
  <c r="AU735" i="1" s="1"/>
  <c r="AT744" i="1"/>
  <c r="AT692" i="1"/>
  <c r="AV692" i="1" s="1"/>
  <c r="AT695" i="1"/>
  <c r="AT698" i="1"/>
  <c r="AU698" i="1" s="1"/>
  <c r="AT703" i="1"/>
  <c r="AT705" i="1"/>
  <c r="AV705" i="1" s="1"/>
  <c r="AT746" i="1"/>
  <c r="AT730" i="1"/>
  <c r="AV730" i="1" s="1"/>
  <c r="AT693" i="1"/>
  <c r="AT706" i="1"/>
  <c r="AU706" i="1" s="1"/>
  <c r="AT714" i="1"/>
  <c r="AV714" i="1" s="1"/>
  <c r="AT745" i="1"/>
  <c r="AU745" i="1" s="1"/>
  <c r="AT696" i="1"/>
  <c r="AV696" i="1" s="1"/>
  <c r="AT723" i="1"/>
  <c r="AU723" i="1" s="1"/>
  <c r="AT729" i="1"/>
  <c r="AV729" i="1" s="1"/>
  <c r="AT736" i="1"/>
  <c r="AU736" i="1" s="1"/>
  <c r="AT741" i="1"/>
  <c r="AU741" i="1" s="1"/>
  <c r="AV698" i="1"/>
  <c r="AV703" i="1"/>
  <c r="AU703" i="1"/>
  <c r="AK775" i="1"/>
  <c r="AJ775" i="1"/>
  <c r="AI774" i="1"/>
  <c r="AJ773" i="1"/>
  <c r="AK772" i="1"/>
  <c r="AJ772" i="1"/>
  <c r="AI771" i="1"/>
  <c r="AJ770" i="1"/>
  <c r="AJ769" i="1"/>
  <c r="AJ768" i="1"/>
  <c r="AJ767" i="1"/>
  <c r="AJ766" i="1"/>
  <c r="AJ765" i="1"/>
  <c r="AJ764" i="1"/>
  <c r="AJ763" i="1"/>
  <c r="AJ762" i="1"/>
  <c r="AK761" i="1"/>
  <c r="AK762" i="1" s="1"/>
  <c r="AK763" i="1" s="1"/>
  <c r="AK764" i="1" s="1"/>
  <c r="AK765" i="1" s="1"/>
  <c r="AK766" i="1" s="1"/>
  <c r="AK767" i="1" s="1"/>
  <c r="AK768" i="1" s="1"/>
  <c r="AJ761" i="1"/>
  <c r="AI760" i="1"/>
  <c r="AJ759" i="1"/>
  <c r="AJ757" i="1"/>
  <c r="AS756" i="1"/>
  <c r="AJ756" i="1"/>
  <c r="AK756" i="1"/>
  <c r="AU730" i="1"/>
  <c r="AV722" i="1"/>
  <c r="AU722" i="1"/>
  <c r="AV695" i="1"/>
  <c r="AU695" i="1"/>
  <c r="AU692" i="1"/>
  <c r="AV746" i="1"/>
  <c r="AU746" i="1"/>
  <c r="AV740" i="1"/>
  <c r="AU740" i="1"/>
  <c r="AU714" i="1"/>
  <c r="AV744" i="1"/>
  <c r="AU744" i="1"/>
  <c r="AV733" i="1"/>
  <c r="AU733" i="1"/>
  <c r="AV728" i="1"/>
  <c r="AU728" i="1"/>
  <c r="AV706" i="1"/>
  <c r="AU696" i="1"/>
  <c r="AV693" i="1"/>
  <c r="AU693" i="1"/>
  <c r="AV745" i="1"/>
  <c r="AV735" i="1"/>
  <c r="AU729" i="1"/>
  <c r="AI747" i="1"/>
  <c r="AI731" i="1"/>
  <c r="AI663" i="1"/>
  <c r="AI675" i="1"/>
  <c r="AI676" i="1" s="1"/>
  <c r="AI629" i="1"/>
  <c r="AI630" i="1" s="1"/>
  <c r="AI631" i="1" s="1"/>
  <c r="AI652" i="1"/>
  <c r="AI653" i="1" s="1"/>
  <c r="AI724" i="1"/>
  <c r="AG774" i="1"/>
  <c r="AG771" i="1"/>
  <c r="AG766" i="1"/>
  <c r="AG764" i="1"/>
  <c r="AG761" i="1"/>
  <c r="A776" i="1"/>
  <c r="AG769" i="1"/>
  <c r="AI761" i="1"/>
  <c r="D776" i="1"/>
  <c r="AI644" i="1"/>
  <c r="AI686" i="1"/>
  <c r="AI707" i="1"/>
  <c r="AI715" i="1"/>
  <c r="AI637" i="1"/>
  <c r="AI638" i="1" s="1"/>
  <c r="AI737" i="1"/>
  <c r="AI742" i="1"/>
  <c r="AG775" i="1"/>
  <c r="AI772" i="1"/>
  <c r="AG767" i="1"/>
  <c r="AG765" i="1"/>
  <c r="AG762" i="1"/>
  <c r="AI775" i="1"/>
  <c r="AG772" i="1"/>
  <c r="AH769" i="1"/>
  <c r="AG763" i="1"/>
  <c r="AG760" i="1"/>
  <c r="D758" i="1"/>
  <c r="AG756" i="1"/>
  <c r="AH776" i="1"/>
  <c r="AG768" i="1"/>
  <c r="AH760" i="1"/>
  <c r="AI748" i="1"/>
  <c r="AI725" i="1"/>
  <c r="AI738" i="1"/>
  <c r="AV723" i="1" l="1"/>
  <c r="AV736" i="1"/>
  <c r="AV741" i="1"/>
  <c r="AU705" i="1"/>
  <c r="AV713" i="1"/>
  <c r="AT738" i="1"/>
  <c r="AU738" i="1" s="1"/>
  <c r="AT725" i="1"/>
  <c r="AT748" i="1"/>
  <c r="AU748" i="1" s="1"/>
  <c r="AT742" i="1"/>
  <c r="AT737" i="1"/>
  <c r="AT715" i="1"/>
  <c r="AT707" i="1"/>
  <c r="AT724" i="1"/>
  <c r="AT731" i="1"/>
  <c r="AT747" i="1"/>
  <c r="AI758" i="1"/>
  <c r="AS758" i="1"/>
  <c r="AK769" i="1"/>
  <c r="AJ776" i="1"/>
  <c r="AV748" i="1"/>
  <c r="AV738" i="1"/>
  <c r="AK776" i="1"/>
  <c r="AI716" i="1"/>
  <c r="AI708" i="1"/>
  <c r="AI687" i="1"/>
  <c r="AI762" i="1"/>
  <c r="AI654" i="1"/>
  <c r="AI677" i="1"/>
  <c r="AG776" i="1"/>
  <c r="AI776" i="1"/>
  <c r="AI749" i="1"/>
  <c r="AI645" i="1"/>
  <c r="AI646" i="1" s="1"/>
  <c r="AI632" i="1"/>
  <c r="A777" i="1"/>
  <c r="AH777" i="1"/>
  <c r="AI726" i="1"/>
  <c r="AI639" i="1"/>
  <c r="AI664" i="1"/>
  <c r="AG758" i="1"/>
  <c r="A778" i="1"/>
  <c r="AH778" i="1" s="1"/>
  <c r="AI717" i="1"/>
  <c r="AI750" i="1"/>
  <c r="D778" i="1"/>
  <c r="D777" i="1"/>
  <c r="AI751" i="1"/>
  <c r="AI752" i="1"/>
  <c r="AI753" i="1"/>
  <c r="AI754" i="1"/>
  <c r="AT754" i="1" l="1"/>
  <c r="AT753" i="1"/>
  <c r="AT752" i="1"/>
  <c r="AT751" i="1"/>
  <c r="AT750" i="1"/>
  <c r="AT717" i="1"/>
  <c r="AT726" i="1"/>
  <c r="AT632" i="1"/>
  <c r="AT749" i="1"/>
  <c r="AT708" i="1"/>
  <c r="AT716" i="1"/>
  <c r="AU707" i="1"/>
  <c r="AV707" i="1"/>
  <c r="AV747" i="1"/>
  <c r="AU747" i="1"/>
  <c r="AU724" i="1"/>
  <c r="AV724" i="1"/>
  <c r="AV715" i="1"/>
  <c r="AU715" i="1"/>
  <c r="AU742" i="1"/>
  <c r="AV742" i="1"/>
  <c r="AV731" i="1"/>
  <c r="AU731" i="1"/>
  <c r="AU737" i="1"/>
  <c r="AV737" i="1"/>
  <c r="AV725" i="1"/>
  <c r="AU725" i="1"/>
  <c r="AJ778" i="1"/>
  <c r="AJ777" i="1"/>
  <c r="AK777" i="1"/>
  <c r="AK778" i="1" s="1"/>
  <c r="AT758" i="1"/>
  <c r="AI755" i="1"/>
  <c r="AI718" i="1"/>
  <c r="AI665" i="1"/>
  <c r="AI655" i="1"/>
  <c r="AI688" i="1"/>
  <c r="AG778" i="1"/>
  <c r="AG777" i="1"/>
  <c r="A779" i="1"/>
  <c r="AI777" i="1"/>
  <c r="AH779" i="1"/>
  <c r="AI640" i="1"/>
  <c r="AI678" i="1"/>
  <c r="AI679" i="1" s="1"/>
  <c r="AI680" i="1" s="1"/>
  <c r="AI763" i="1"/>
  <c r="AI709" i="1"/>
  <c r="AI756" i="1"/>
  <c r="AI719" i="1"/>
  <c r="A780" i="1"/>
  <c r="D779" i="1"/>
  <c r="AH780" i="1"/>
  <c r="D780" i="1"/>
  <c r="AT719" i="1" l="1"/>
  <c r="AT756" i="1"/>
  <c r="AT709" i="1"/>
  <c r="AT718" i="1"/>
  <c r="AT755" i="1"/>
  <c r="AV716" i="1"/>
  <c r="AU716" i="1"/>
  <c r="AU632" i="1"/>
  <c r="AV632" i="1"/>
  <c r="AU717" i="1"/>
  <c r="AV717" i="1"/>
  <c r="AU750" i="1"/>
  <c r="AV750" i="1"/>
  <c r="AU752" i="1"/>
  <c r="AV752" i="1"/>
  <c r="AV754" i="1"/>
  <c r="AU754" i="1"/>
  <c r="AV708" i="1"/>
  <c r="AU708" i="1"/>
  <c r="AV749" i="1"/>
  <c r="AU749" i="1"/>
  <c r="AV726" i="1"/>
  <c r="AU726" i="1"/>
  <c r="AV751" i="1"/>
  <c r="AU751" i="1"/>
  <c r="AU753" i="1"/>
  <c r="AV753" i="1"/>
  <c r="AJ780" i="1"/>
  <c r="AJ779" i="1"/>
  <c r="AK779" i="1"/>
  <c r="AK780" i="1" s="1"/>
  <c r="AV758" i="1"/>
  <c r="AU758" i="1"/>
  <c r="AI720" i="1"/>
  <c r="AI681" i="1"/>
  <c r="AI689" i="1"/>
  <c r="AI666" i="1"/>
  <c r="AG779" i="1"/>
  <c r="AI710" i="1"/>
  <c r="AI764" i="1"/>
  <c r="AI765" i="1" s="1"/>
  <c r="AI778" i="1"/>
  <c r="AI656" i="1"/>
  <c r="A781" i="1"/>
  <c r="AI779" i="1"/>
  <c r="D781" i="1"/>
  <c r="AG780" i="1"/>
  <c r="AH781" i="1"/>
  <c r="A782" i="1"/>
  <c r="D782" i="1"/>
  <c r="AH782" i="1"/>
  <c r="AT710" i="1" l="1"/>
  <c r="AT720" i="1"/>
  <c r="AV718" i="1"/>
  <c r="AU718" i="1"/>
  <c r="AV719" i="1"/>
  <c r="AU719" i="1"/>
  <c r="AV755" i="1"/>
  <c r="AU755" i="1"/>
  <c r="AU709" i="1"/>
  <c r="AV709" i="1"/>
  <c r="AV756" i="1"/>
  <c r="AU756" i="1"/>
  <c r="AJ782" i="1"/>
  <c r="AJ781" i="1"/>
  <c r="AK781" i="1"/>
  <c r="AK782" i="1" s="1"/>
  <c r="AI780" i="1"/>
  <c r="AI766" i="1"/>
  <c r="AI690" i="1"/>
  <c r="AG781" i="1"/>
  <c r="AI657" i="1"/>
  <c r="AI711" i="1"/>
  <c r="AI667" i="1"/>
  <c r="AG782" i="1"/>
  <c r="AI781" i="1"/>
  <c r="A783" i="1"/>
  <c r="A784" i="1"/>
  <c r="AH784" i="1" s="1"/>
  <c r="D784" i="1"/>
  <c r="AT711" i="1" l="1"/>
  <c r="AU720" i="1"/>
  <c r="AV720" i="1"/>
  <c r="AU710" i="1"/>
  <c r="AV710" i="1"/>
  <c r="AI784" i="1"/>
  <c r="AJ783" i="1"/>
  <c r="AI782" i="1"/>
  <c r="AI767" i="1"/>
  <c r="A785" i="1"/>
  <c r="AI668" i="1"/>
  <c r="AI658" i="1"/>
  <c r="AG784" i="1"/>
  <c r="D785" i="1"/>
  <c r="A786" i="1"/>
  <c r="D786" i="1" s="1"/>
  <c r="AH786" i="1"/>
  <c r="AH785" i="1"/>
  <c r="AV711" i="1" l="1"/>
  <c r="AU711" i="1"/>
  <c r="AJ786" i="1"/>
  <c r="AK785" i="1"/>
  <c r="AK786" i="1" s="1"/>
  <c r="AJ785" i="1"/>
  <c r="AI669" i="1"/>
  <c r="A787" i="1"/>
  <c r="AI785" i="1"/>
  <c r="AH787" i="1"/>
  <c r="AI768" i="1"/>
  <c r="AG786" i="1"/>
  <c r="AG785" i="1"/>
  <c r="D787" i="1"/>
  <c r="A788" i="1"/>
  <c r="AH788" i="1" s="1"/>
  <c r="D788" i="1"/>
  <c r="AJ788" i="1" l="1"/>
  <c r="AJ787" i="1"/>
  <c r="AK787" i="1"/>
  <c r="AK788" i="1" s="1"/>
  <c r="AI769" i="1"/>
  <c r="AI670" i="1"/>
  <c r="AG788" i="1"/>
  <c r="AI786" i="1"/>
  <c r="AI787" i="1" s="1"/>
  <c r="A789" i="1"/>
  <c r="AG787" i="1"/>
  <c r="D789" i="1"/>
  <c r="A790" i="1"/>
  <c r="AH789" i="1"/>
  <c r="AH790" i="1"/>
  <c r="D790" i="1"/>
  <c r="AJ790" i="1" l="1"/>
  <c r="AS789" i="1"/>
  <c r="AJ789" i="1"/>
  <c r="AK789" i="1"/>
  <c r="AK790" i="1" s="1"/>
  <c r="AI788" i="1"/>
  <c r="A791" i="1"/>
  <c r="AI789" i="1"/>
  <c r="AG790" i="1"/>
  <c r="AG789" i="1"/>
  <c r="D791" i="1"/>
  <c r="A792" i="1"/>
  <c r="AH791" i="1"/>
  <c r="AJ792" i="1" l="1"/>
  <c r="AS791" i="1"/>
  <c r="AJ791" i="1"/>
  <c r="AK791" i="1"/>
  <c r="AT789" i="1"/>
  <c r="AI790" i="1"/>
  <c r="A793" i="1"/>
  <c r="AI791" i="1"/>
  <c r="AH793" i="1"/>
  <c r="AG791" i="1"/>
  <c r="D793" i="1"/>
  <c r="A794" i="1"/>
  <c r="AH794" i="1"/>
  <c r="D794" i="1"/>
  <c r="AK794" i="1" l="1"/>
  <c r="AJ794" i="1"/>
  <c r="AI793" i="1"/>
  <c r="AV789" i="1"/>
  <c r="AU789" i="1"/>
  <c r="AT791" i="1"/>
  <c r="AI794" i="1"/>
  <c r="A795" i="1"/>
  <c r="D795" i="1"/>
  <c r="A796" i="1"/>
  <c r="AH796" i="1"/>
  <c r="AG793" i="1"/>
  <c r="D796" i="1"/>
  <c r="AG794" i="1"/>
  <c r="AH795" i="1"/>
  <c r="AJ796" i="1" l="1"/>
  <c r="AJ795" i="1"/>
  <c r="AV791" i="1"/>
  <c r="AU791" i="1"/>
  <c r="AK795" i="1"/>
  <c r="AK796" i="1" s="1"/>
  <c r="AK845" i="1"/>
  <c r="AG796" i="1"/>
  <c r="AG795" i="1"/>
  <c r="A797" i="1"/>
  <c r="AI795" i="1"/>
  <c r="D797" i="1"/>
  <c r="A798" i="1"/>
  <c r="AH798" i="1" s="1"/>
  <c r="D798" i="1"/>
  <c r="AH797" i="1"/>
  <c r="AJ798" i="1" l="1"/>
  <c r="AJ797" i="1"/>
  <c r="AK797" i="1"/>
  <c r="AK798" i="1" s="1"/>
  <c r="AI796" i="1"/>
  <c r="AG798" i="1"/>
  <c r="AI797" i="1"/>
  <c r="A799" i="1"/>
  <c r="A800" i="1" s="1"/>
  <c r="AG797" i="1"/>
  <c r="D800" i="1"/>
  <c r="AH800" i="1"/>
  <c r="AS800" i="1" l="1"/>
  <c r="AI800" i="1"/>
  <c r="AJ799" i="1"/>
  <c r="AI798" i="1"/>
  <c r="AG800" i="1"/>
  <c r="A801" i="1"/>
  <c r="AH801" i="1"/>
  <c r="A802" i="1"/>
  <c r="D802" i="1" s="1"/>
  <c r="AH802" i="1"/>
  <c r="D801" i="1"/>
  <c r="AS802" i="1" l="1"/>
  <c r="AJ802" i="1"/>
  <c r="AK801" i="1"/>
  <c r="AK802" i="1" s="1"/>
  <c r="AS801" i="1"/>
  <c r="AJ801" i="1"/>
  <c r="AT800" i="1"/>
  <c r="A803" i="1"/>
  <c r="AG802" i="1"/>
  <c r="A804" i="1"/>
  <c r="D804" i="1"/>
  <c r="AI801" i="1"/>
  <c r="AH804" i="1"/>
  <c r="AG801" i="1"/>
  <c r="AI804" i="1" l="1"/>
  <c r="AJ803" i="1"/>
  <c r="AT801" i="1"/>
  <c r="AV800" i="1"/>
  <c r="AU800" i="1"/>
  <c r="AK855" i="1"/>
  <c r="AI802" i="1"/>
  <c r="A805" i="1"/>
  <c r="A806" i="1"/>
  <c r="AH806" i="1"/>
  <c r="AG804" i="1"/>
  <c r="D806" i="1"/>
  <c r="AT802" i="1" l="1"/>
  <c r="AU802" i="1" s="1"/>
  <c r="AS806" i="1"/>
  <c r="AI806" i="1"/>
  <c r="AJ805" i="1"/>
  <c r="AV801" i="1"/>
  <c r="AU801" i="1"/>
  <c r="A807" i="1"/>
  <c r="AH807" i="1"/>
  <c r="A808" i="1"/>
  <c r="D808" i="1"/>
  <c r="AG806" i="1"/>
  <c r="D807" i="1"/>
  <c r="AH808" i="1"/>
  <c r="AV802" i="1" l="1"/>
  <c r="AS808" i="1"/>
  <c r="AJ808" i="1"/>
  <c r="AS807" i="1"/>
  <c r="AK807" i="1"/>
  <c r="AK808" i="1" s="1"/>
  <c r="AJ807" i="1"/>
  <c r="AT806" i="1"/>
  <c r="A809" i="1"/>
  <c r="AG807" i="1"/>
  <c r="AI807" i="1"/>
  <c r="AG808" i="1"/>
  <c r="AJ809" i="1" l="1"/>
  <c r="AT807" i="1"/>
  <c r="AV806" i="1"/>
  <c r="AU806" i="1"/>
  <c r="AI808" i="1"/>
  <c r="A810" i="1"/>
  <c r="D810" i="1"/>
  <c r="AH810" i="1"/>
  <c r="A811" i="1"/>
  <c r="D811" i="1"/>
  <c r="A812" i="1"/>
  <c r="AH811" i="1"/>
  <c r="AH812" i="1"/>
  <c r="A813" i="1"/>
  <c r="D812" i="1"/>
  <c r="AH813" i="1"/>
  <c r="D813" i="1"/>
  <c r="A814" i="1"/>
  <c r="AH814" i="1"/>
  <c r="D814" i="1"/>
  <c r="A815" i="1"/>
  <c r="D815" i="1"/>
  <c r="AH815" i="1"/>
  <c r="A816" i="1"/>
  <c r="A817" i="1"/>
  <c r="AH817" i="1"/>
  <c r="D817" i="1"/>
  <c r="A818" i="1"/>
  <c r="AH818" i="1"/>
  <c r="D818" i="1"/>
  <c r="A819" i="1"/>
  <c r="D819" i="1"/>
  <c r="AH819" i="1"/>
  <c r="A820" i="1"/>
  <c r="D820" i="1"/>
  <c r="AH820" i="1"/>
  <c r="A821" i="1"/>
  <c r="AH821" i="1"/>
  <c r="D821" i="1"/>
  <c r="A822" i="1"/>
  <c r="AH822" i="1"/>
  <c r="D822" i="1"/>
  <c r="A823" i="1"/>
  <c r="A824" i="1"/>
  <c r="D824" i="1"/>
  <c r="AH824" i="1"/>
  <c r="A825" i="1"/>
  <c r="D825" i="1"/>
  <c r="AH825" i="1"/>
  <c r="A826" i="1"/>
  <c r="AH826" i="1"/>
  <c r="D826" i="1"/>
  <c r="A827" i="1"/>
  <c r="D827" i="1"/>
  <c r="AH827" i="1"/>
  <c r="A828" i="1"/>
  <c r="D828" i="1"/>
  <c r="AH828" i="1"/>
  <c r="A829" i="1"/>
  <c r="D829" i="1"/>
  <c r="AH829" i="1"/>
  <c r="A830" i="1"/>
  <c r="D830" i="1"/>
  <c r="AH830" i="1"/>
  <c r="A831" i="1"/>
  <c r="A832" i="1"/>
  <c r="D832" i="1"/>
  <c r="AH832" i="1"/>
  <c r="A833" i="1"/>
  <c r="A834" i="1"/>
  <c r="AH834" i="1"/>
  <c r="D834" i="1"/>
  <c r="A835" i="1"/>
  <c r="A836" i="1"/>
  <c r="AH836" i="1"/>
  <c r="D836" i="1"/>
  <c r="A837" i="1"/>
  <c r="AH837" i="1"/>
  <c r="D837" i="1"/>
  <c r="A838" i="1"/>
  <c r="A839" i="1"/>
  <c r="D839" i="1"/>
  <c r="AH839" i="1"/>
  <c r="A840" i="1"/>
  <c r="A841" i="1"/>
  <c r="AH841" i="1"/>
  <c r="D841" i="1"/>
  <c r="A842" i="1"/>
  <c r="A843" i="1"/>
  <c r="D843" i="1"/>
  <c r="AH843" i="1"/>
  <c r="A844" i="1"/>
  <c r="A845" i="1"/>
  <c r="AH845" i="1"/>
  <c r="D845" i="1"/>
  <c r="A846" i="1"/>
  <c r="AH846" i="1"/>
  <c r="D846" i="1"/>
  <c r="A847" i="1"/>
  <c r="AH847" i="1"/>
  <c r="D847" i="1"/>
  <c r="A848" i="1"/>
  <c r="AH848" i="1"/>
  <c r="D848" i="1"/>
  <c r="A849" i="1"/>
  <c r="AH849" i="1"/>
  <c r="D849" i="1"/>
  <c r="A850" i="1"/>
  <c r="D850" i="1"/>
  <c r="AH850" i="1"/>
  <c r="A851" i="1"/>
  <c r="AH851" i="1"/>
  <c r="D851" i="1"/>
  <c r="A852" i="1"/>
  <c r="AH852" i="1"/>
  <c r="D852" i="1"/>
  <c r="A853" i="1"/>
  <c r="D853" i="1"/>
  <c r="AH853" i="1"/>
  <c r="AT808" i="1" l="1"/>
  <c r="AS853" i="1"/>
  <c r="AJ853" i="1"/>
  <c r="AS852" i="1"/>
  <c r="AJ852" i="1"/>
  <c r="AS851" i="1"/>
  <c r="AJ851" i="1"/>
  <c r="AS850" i="1"/>
  <c r="AJ850" i="1"/>
  <c r="AS849" i="1"/>
  <c r="AJ849" i="1"/>
  <c r="AS848" i="1"/>
  <c r="AJ848" i="1"/>
  <c r="AS847" i="1"/>
  <c r="AJ847" i="1"/>
  <c r="AK846" i="1"/>
  <c r="AK847" i="1" s="1"/>
  <c r="AK848" i="1" s="1"/>
  <c r="AK849" i="1" s="1"/>
  <c r="AK850" i="1" s="1"/>
  <c r="AK851" i="1" s="1"/>
  <c r="AK852" i="1" s="1"/>
  <c r="AK853" i="1" s="1"/>
  <c r="AS846" i="1"/>
  <c r="AJ846" i="1"/>
  <c r="AI845" i="1"/>
  <c r="AS845" i="1"/>
  <c r="AJ844" i="1"/>
  <c r="AI843" i="1"/>
  <c r="AJ842" i="1"/>
  <c r="AS841" i="1"/>
  <c r="AI841" i="1"/>
  <c r="AJ840" i="1"/>
  <c r="AI839" i="1"/>
  <c r="AJ838" i="1"/>
  <c r="AK837" i="1"/>
  <c r="AS837" i="1"/>
  <c r="AJ837" i="1"/>
  <c r="AS836" i="1"/>
  <c r="AI836" i="1"/>
  <c r="AJ835" i="1"/>
  <c r="AS834" i="1"/>
  <c r="AI834" i="1"/>
  <c r="AJ833" i="1"/>
  <c r="AI832" i="1"/>
  <c r="AS832" i="1"/>
  <c r="AJ831" i="1"/>
  <c r="AS830" i="1"/>
  <c r="AJ830" i="1"/>
  <c r="B830" i="1" s="1"/>
  <c r="C830" i="1" s="1"/>
  <c r="AS829" i="1"/>
  <c r="AJ829" i="1"/>
  <c r="AS828" i="1"/>
  <c r="AJ828" i="1"/>
  <c r="AJ827" i="1"/>
  <c r="AS826" i="1"/>
  <c r="AJ826" i="1"/>
  <c r="AS825" i="1"/>
  <c r="AK825" i="1"/>
  <c r="AK826" i="1" s="1"/>
  <c r="AK827" i="1" s="1"/>
  <c r="AK828" i="1" s="1"/>
  <c r="AK829" i="1" s="1"/>
  <c r="AK830" i="1" s="1"/>
  <c r="AJ825" i="1"/>
  <c r="AI824" i="1"/>
  <c r="AS824" i="1"/>
  <c r="AJ823" i="1"/>
  <c r="AS822" i="1"/>
  <c r="AJ822" i="1"/>
  <c r="AS821" i="1"/>
  <c r="AJ821" i="1"/>
  <c r="AS820" i="1"/>
  <c r="AJ820" i="1"/>
  <c r="AS819" i="1"/>
  <c r="AJ819" i="1"/>
  <c r="AK818" i="1"/>
  <c r="AK819" i="1" s="1"/>
  <c r="AK820" i="1" s="1"/>
  <c r="AK821" i="1" s="1"/>
  <c r="AK822" i="1" s="1"/>
  <c r="AS818" i="1"/>
  <c r="AJ818" i="1"/>
  <c r="AI817" i="1"/>
  <c r="AS817" i="1"/>
  <c r="AJ816" i="1"/>
  <c r="AS815" i="1"/>
  <c r="AJ815" i="1"/>
  <c r="AS814" i="1"/>
  <c r="AJ814" i="1"/>
  <c r="AS813" i="1"/>
  <c r="AJ813" i="1"/>
  <c r="AS812" i="1"/>
  <c r="AJ812" i="1"/>
  <c r="AS811" i="1"/>
  <c r="AK811" i="1"/>
  <c r="AK812" i="1" s="1"/>
  <c r="AK813" i="1" s="1"/>
  <c r="AK814" i="1" s="1"/>
  <c r="AK815" i="1" s="1"/>
  <c r="AJ811" i="1"/>
  <c r="AS810" i="1"/>
  <c r="AI810" i="1"/>
  <c r="AV808" i="1"/>
  <c r="AU808" i="1"/>
  <c r="AV807" i="1"/>
  <c r="AU807" i="1"/>
  <c r="AG853" i="1"/>
  <c r="AG852" i="1"/>
  <c r="AG847" i="1"/>
  <c r="AI846" i="1"/>
  <c r="AI837" i="1"/>
  <c r="AG832" i="1"/>
  <c r="AG826" i="1"/>
  <c r="AI818" i="1"/>
  <c r="AG812" i="1"/>
  <c r="AG851" i="1"/>
  <c r="AG843" i="1"/>
  <c r="AG836" i="1"/>
  <c r="AG819" i="1"/>
  <c r="A854" i="1"/>
  <c r="AG848" i="1"/>
  <c r="AG846" i="1"/>
  <c r="AG845" i="1"/>
  <c r="AG834" i="1"/>
  <c r="AG829" i="1"/>
  <c r="AG827" i="1"/>
  <c r="AG825" i="1"/>
  <c r="AG820" i="1"/>
  <c r="AG818" i="1"/>
  <c r="AG813" i="1"/>
  <c r="AG811" i="1"/>
  <c r="AG810" i="1"/>
  <c r="AG850" i="1"/>
  <c r="AI847" i="1"/>
  <c r="AG841" i="1"/>
  <c r="AG837" i="1"/>
  <c r="AG830" i="1"/>
  <c r="AG824" i="1"/>
  <c r="AG815" i="1"/>
  <c r="AG828" i="1"/>
  <c r="AG822" i="1"/>
  <c r="AG817" i="1"/>
  <c r="AI811" i="1"/>
  <c r="AI812" i="1" s="1"/>
  <c r="AG849" i="1"/>
  <c r="AG839" i="1"/>
  <c r="AI825" i="1"/>
  <c r="AG821" i="1"/>
  <c r="AG814" i="1"/>
  <c r="A855" i="1"/>
  <c r="AH855" i="1"/>
  <c r="A856" i="1"/>
  <c r="D855" i="1"/>
  <c r="AH856" i="1"/>
  <c r="A857" i="1"/>
  <c r="A858" i="1"/>
  <c r="D858" i="1"/>
  <c r="AH858" i="1"/>
  <c r="A859" i="1"/>
  <c r="D859" i="1" s="1"/>
  <c r="AT824" i="1" l="1"/>
  <c r="AV824" i="1" s="1"/>
  <c r="AT817" i="1"/>
  <c r="AV817" i="1" s="1"/>
  <c r="AT832" i="1"/>
  <c r="AV832" i="1" s="1"/>
  <c r="AT836" i="1"/>
  <c r="AV836" i="1" s="1"/>
  <c r="AT841" i="1"/>
  <c r="AV841" i="1" s="1"/>
  <c r="AT845" i="1"/>
  <c r="AV845" i="1" s="1"/>
  <c r="AJ857" i="1"/>
  <c r="AK856" i="1"/>
  <c r="AJ856" i="1"/>
  <c r="AS855" i="1"/>
  <c r="AI855" i="1"/>
  <c r="AJ854" i="1"/>
  <c r="AT811" i="1"/>
  <c r="AT812" i="1"/>
  <c r="AT818" i="1"/>
  <c r="AT846" i="1"/>
  <c r="AT847" i="1"/>
  <c r="AT810" i="1"/>
  <c r="AT825" i="1"/>
  <c r="AU832" i="1"/>
  <c r="AT834" i="1"/>
  <c r="AT837" i="1"/>
  <c r="AS859" i="1"/>
  <c r="AK858" i="1"/>
  <c r="AS858" i="1"/>
  <c r="AI858" i="1"/>
  <c r="AJ859" i="1"/>
  <c r="AI826" i="1"/>
  <c r="AI819" i="1"/>
  <c r="AH859" i="1"/>
  <c r="AI848" i="1"/>
  <c r="D856" i="1"/>
  <c r="AI813" i="1"/>
  <c r="AG858" i="1"/>
  <c r="AG859" i="1"/>
  <c r="AI814" i="1"/>
  <c r="AI815" i="1"/>
  <c r="AG855" i="1"/>
  <c r="A860" i="1"/>
  <c r="AH860" i="1" s="1"/>
  <c r="AI859" i="1"/>
  <c r="D860" i="1"/>
  <c r="AI820" i="1"/>
  <c r="AT820" i="1" l="1"/>
  <c r="AT848" i="1"/>
  <c r="AT819" i="1"/>
  <c r="AT826" i="1"/>
  <c r="AU845" i="1"/>
  <c r="AU817" i="1"/>
  <c r="AU824" i="1"/>
  <c r="AU841" i="1"/>
  <c r="AU836" i="1"/>
  <c r="AT855" i="1"/>
  <c r="AV855" i="1" s="1"/>
  <c r="AT815" i="1"/>
  <c r="AT814" i="1"/>
  <c r="AT813" i="1"/>
  <c r="AS856" i="1"/>
  <c r="AK859" i="1"/>
  <c r="AK860" i="1" s="1"/>
  <c r="AV819" i="1"/>
  <c r="AU819" i="1"/>
  <c r="AV837" i="1"/>
  <c r="AU837" i="1"/>
  <c r="AV834" i="1"/>
  <c r="AU834" i="1"/>
  <c r="AV848" i="1"/>
  <c r="AU848" i="1"/>
  <c r="AV846" i="1"/>
  <c r="AU846" i="1"/>
  <c r="AV818" i="1"/>
  <c r="AU818" i="1"/>
  <c r="AV812" i="1"/>
  <c r="AU812" i="1"/>
  <c r="AV825" i="1"/>
  <c r="AU825" i="1"/>
  <c r="AV810" i="1"/>
  <c r="AU810" i="1"/>
  <c r="AU847" i="1"/>
  <c r="AV847" i="1"/>
  <c r="AV826" i="1"/>
  <c r="AU826" i="1"/>
  <c r="AV820" i="1"/>
  <c r="AU820" i="1"/>
  <c r="AV811" i="1"/>
  <c r="AU811" i="1"/>
  <c r="AS860" i="1"/>
  <c r="AT859" i="1"/>
  <c r="AT858" i="1"/>
  <c r="AJ860" i="1"/>
  <c r="AI821" i="1"/>
  <c r="AI849" i="1"/>
  <c r="AI827" i="1"/>
  <c r="AI856" i="1"/>
  <c r="AG860" i="1"/>
  <c r="A861" i="1"/>
  <c r="AG856" i="1"/>
  <c r="AI860" i="1"/>
  <c r="A862" i="1"/>
  <c r="D861" i="1"/>
  <c r="AH861" i="1"/>
  <c r="AT849" i="1" l="1"/>
  <c r="AT821" i="1"/>
  <c r="AU855" i="1"/>
  <c r="AJ861" i="1"/>
  <c r="AV813" i="1"/>
  <c r="AU813" i="1"/>
  <c r="AU814" i="1"/>
  <c r="AV814" i="1"/>
  <c r="AT856" i="1"/>
  <c r="AU815" i="1"/>
  <c r="AV815" i="1"/>
  <c r="AS861" i="1"/>
  <c r="AK861" i="1"/>
  <c r="AK863" i="1"/>
  <c r="AT860" i="1"/>
  <c r="AV859" i="1"/>
  <c r="AU859" i="1"/>
  <c r="AV858" i="1"/>
  <c r="AU858" i="1"/>
  <c r="AJ862" i="1"/>
  <c r="A863" i="1"/>
  <c r="AH863" i="1" s="1"/>
  <c r="AI850" i="1"/>
  <c r="AI822" i="1"/>
  <c r="D863" i="1"/>
  <c r="AI861" i="1"/>
  <c r="AI828" i="1"/>
  <c r="A864" i="1"/>
  <c r="D864" i="1"/>
  <c r="AG861" i="1"/>
  <c r="AI829" i="1"/>
  <c r="A865" i="1"/>
  <c r="D865" i="1" s="1"/>
  <c r="AI830" i="1"/>
  <c r="AT830" i="1" l="1"/>
  <c r="AT829" i="1"/>
  <c r="AT828" i="1"/>
  <c r="AT822" i="1"/>
  <c r="AT850" i="1"/>
  <c r="AV821" i="1"/>
  <c r="AU821" i="1"/>
  <c r="AU849" i="1"/>
  <c r="AV849" i="1"/>
  <c r="AS863" i="1"/>
  <c r="AI863" i="1"/>
  <c r="AV856" i="1"/>
  <c r="AU856" i="1"/>
  <c r="AT861" i="1"/>
  <c r="AV861" i="1" s="1"/>
  <c r="AS865" i="1"/>
  <c r="AS864" i="1"/>
  <c r="AV860" i="1"/>
  <c r="AU860" i="1"/>
  <c r="AJ865" i="1"/>
  <c r="AJ864" i="1"/>
  <c r="AI851" i="1"/>
  <c r="AI864" i="1"/>
  <c r="AG865" i="1"/>
  <c r="AH864" i="1"/>
  <c r="AG864" i="1"/>
  <c r="A866" i="1"/>
  <c r="A867" i="1" s="1"/>
  <c r="D867" i="1"/>
  <c r="AH865" i="1"/>
  <c r="AG863" i="1"/>
  <c r="D866" i="1"/>
  <c r="AH866" i="1"/>
  <c r="AH867" i="1"/>
  <c r="AI852" i="1"/>
  <c r="AI853" i="1"/>
  <c r="AT853" i="1" l="1"/>
  <c r="AT852" i="1"/>
  <c r="AT851" i="1"/>
  <c r="AV850" i="1"/>
  <c r="AU850" i="1"/>
  <c r="AV822" i="1"/>
  <c r="AU822" i="1"/>
  <c r="AU829" i="1"/>
  <c r="AV829" i="1"/>
  <c r="AV828" i="1"/>
  <c r="AU828" i="1"/>
  <c r="AU830" i="1"/>
  <c r="AV830" i="1"/>
  <c r="AT863" i="1"/>
  <c r="AV863" i="1" s="1"/>
  <c r="AK864" i="1"/>
  <c r="AK865" i="1" s="1"/>
  <c r="AK866" i="1" s="1"/>
  <c r="AK867" i="1" s="1"/>
  <c r="AU861" i="1"/>
  <c r="AS867" i="1"/>
  <c r="AS866" i="1"/>
  <c r="AT864" i="1"/>
  <c r="AJ867" i="1"/>
  <c r="AJ866" i="1"/>
  <c r="AG866" i="1"/>
  <c r="AG867" i="1"/>
  <c r="AI865" i="1"/>
  <c r="A868" i="1"/>
  <c r="AH868" i="1"/>
  <c r="D868" i="1"/>
  <c r="AV852" i="1" l="1"/>
  <c r="AU852" i="1"/>
  <c r="AU851" i="1"/>
  <c r="AV851" i="1"/>
  <c r="AV853" i="1"/>
  <c r="AU853" i="1"/>
  <c r="AU863" i="1"/>
  <c r="AT865" i="1"/>
  <c r="AV865" i="1" s="1"/>
  <c r="AS868" i="1"/>
  <c r="AK868" i="1"/>
  <c r="AV864" i="1"/>
  <c r="AU864" i="1"/>
  <c r="AJ868" i="1"/>
  <c r="A869" i="1"/>
  <c r="AI866" i="1"/>
  <c r="AI867" i="1" s="1"/>
  <c r="A870" i="1"/>
  <c r="AG868" i="1"/>
  <c r="AI868" i="1"/>
  <c r="AH869" i="1"/>
  <c r="D869" i="1"/>
  <c r="A871" i="1"/>
  <c r="D870" i="1"/>
  <c r="AJ869" i="1" l="1"/>
  <c r="AS869" i="1"/>
  <c r="AT866" i="1"/>
  <c r="AU866" i="1" s="1"/>
  <c r="AK869" i="1"/>
  <c r="AU865" i="1"/>
  <c r="AT867" i="1"/>
  <c r="AV867" i="1" s="1"/>
  <c r="AS870" i="1"/>
  <c r="AT868" i="1"/>
  <c r="AJ871" i="1"/>
  <c r="AJ870" i="1"/>
  <c r="AH870" i="1"/>
  <c r="AG870" i="1"/>
  <c r="AH871" i="1"/>
  <c r="D871" i="1"/>
  <c r="AG869" i="1"/>
  <c r="AI869" i="1"/>
  <c r="A872" i="1"/>
  <c r="A873" i="1" s="1"/>
  <c r="D872" i="1"/>
  <c r="AK870" i="1" l="1"/>
  <c r="AV866" i="1"/>
  <c r="AK871" i="1"/>
  <c r="AS871" i="1"/>
  <c r="AU867" i="1"/>
  <c r="AT869" i="1"/>
  <c r="AV869" i="1" s="1"/>
  <c r="AS872" i="1"/>
  <c r="AV868" i="1"/>
  <c r="AU868" i="1"/>
  <c r="AJ873" i="1"/>
  <c r="AJ872" i="1"/>
  <c r="AH873" i="1"/>
  <c r="AG872" i="1"/>
  <c r="AG871" i="1"/>
  <c r="D873" i="1"/>
  <c r="A874" i="1"/>
  <c r="AH874" i="1" s="1"/>
  <c r="AH872" i="1"/>
  <c r="AI870" i="1"/>
  <c r="AI871" i="1" s="1"/>
  <c r="D874" i="1"/>
  <c r="AK872" i="1" l="1"/>
  <c r="AK873" i="1" s="1"/>
  <c r="AK874" i="1" s="1"/>
  <c r="AT870" i="1"/>
  <c r="AU870" i="1" s="1"/>
  <c r="AS873" i="1"/>
  <c r="AU869" i="1"/>
  <c r="AT871" i="1"/>
  <c r="AV871" i="1" s="1"/>
  <c r="AS874" i="1"/>
  <c r="AJ874" i="1"/>
  <c r="AI872" i="1"/>
  <c r="AG873" i="1"/>
  <c r="AG874" i="1"/>
  <c r="A875" i="1"/>
  <c r="AH875" i="1"/>
  <c r="AI873" i="1"/>
  <c r="A876" i="1"/>
  <c r="AH876" i="1"/>
  <c r="D876" i="1"/>
  <c r="D875" i="1"/>
  <c r="AV870" i="1" l="1"/>
  <c r="AJ875" i="1"/>
  <c r="AS875" i="1"/>
  <c r="AT872" i="1"/>
  <c r="AV872" i="1" s="1"/>
  <c r="AK875" i="1"/>
  <c r="AK876" i="1" s="1"/>
  <c r="AU871" i="1"/>
  <c r="AT873" i="1"/>
  <c r="AV873" i="1" s="1"/>
  <c r="AS876" i="1"/>
  <c r="AJ876" i="1"/>
  <c r="A877" i="1"/>
  <c r="A878" i="1"/>
  <c r="AH877" i="1"/>
  <c r="AG876" i="1"/>
  <c r="D877" i="1"/>
  <c r="AI874" i="1"/>
  <c r="AI875" i="1"/>
  <c r="AG875" i="1"/>
  <c r="A879" i="1"/>
  <c r="D878" i="1"/>
  <c r="AJ877" i="1" l="1"/>
  <c r="AU872" i="1"/>
  <c r="AS877" i="1"/>
  <c r="AT874" i="1"/>
  <c r="AU874" i="1" s="1"/>
  <c r="AK877" i="1"/>
  <c r="AU873" i="1"/>
  <c r="AT875" i="1"/>
  <c r="AV875" i="1" s="1"/>
  <c r="AS878" i="1"/>
  <c r="AJ879" i="1"/>
  <c r="AJ878" i="1"/>
  <c r="A880" i="1"/>
  <c r="AI876" i="1"/>
  <c r="AG878" i="1"/>
  <c r="AH880" i="1"/>
  <c r="AG877" i="1"/>
  <c r="AH878" i="1"/>
  <c r="D880" i="1"/>
  <c r="A881" i="1"/>
  <c r="AV874" i="1" l="1"/>
  <c r="AT876" i="1"/>
  <c r="AV876" i="1" s="1"/>
  <c r="AK878" i="1"/>
  <c r="AU875" i="1"/>
  <c r="AS880" i="1"/>
  <c r="AI880" i="1"/>
  <c r="AK880" i="1"/>
  <c r="AJ881" i="1"/>
  <c r="AI877" i="1"/>
  <c r="A882" i="1"/>
  <c r="AH882" i="1"/>
  <c r="A883" i="1"/>
  <c r="D882" i="1"/>
  <c r="AG880" i="1"/>
  <c r="AH881" i="1"/>
  <c r="D881" i="1"/>
  <c r="AI878" i="1"/>
  <c r="AT877" i="1" l="1"/>
  <c r="AU877" i="1" s="1"/>
  <c r="AU876" i="1"/>
  <c r="AT878" i="1"/>
  <c r="AU878" i="1" s="1"/>
  <c r="AS881" i="1"/>
  <c r="AK881" i="1"/>
  <c r="AK882" i="1" s="1"/>
  <c r="AT880" i="1"/>
  <c r="AV880" i="1" s="1"/>
  <c r="AS882" i="1"/>
  <c r="AJ883" i="1"/>
  <c r="AJ882" i="1"/>
  <c r="AI881" i="1"/>
  <c r="AH883" i="1"/>
  <c r="AG882" i="1"/>
  <c r="A884" i="1"/>
  <c r="D883" i="1"/>
  <c r="D884" i="1"/>
  <c r="AG881" i="1"/>
  <c r="A885" i="1"/>
  <c r="AH884" i="1"/>
  <c r="AV877" i="1" l="1"/>
  <c r="AV878" i="1"/>
  <c r="AT881" i="1"/>
  <c r="AV881" i="1" s="1"/>
  <c r="AK883" i="1"/>
  <c r="AS883" i="1"/>
  <c r="AU880" i="1"/>
  <c r="AS884" i="1"/>
  <c r="AK884" i="1"/>
  <c r="AJ885" i="1"/>
  <c r="AJ884" i="1"/>
  <c r="AI882" i="1"/>
  <c r="AH885" i="1"/>
  <c r="A886" i="1"/>
  <c r="D886" i="1"/>
  <c r="AH886" i="1"/>
  <c r="AG884" i="1"/>
  <c r="A887" i="1"/>
  <c r="AG883" i="1"/>
  <c r="D885" i="1"/>
  <c r="AI883" i="1"/>
  <c r="AT882" i="1" l="1"/>
  <c r="AU882" i="1" s="1"/>
  <c r="AU881" i="1"/>
  <c r="AS885" i="1"/>
  <c r="AK885" i="1"/>
  <c r="AK886" i="1" s="1"/>
  <c r="AT883" i="1"/>
  <c r="AU883" i="1" s="1"/>
  <c r="AS886" i="1"/>
  <c r="AV882" i="1"/>
  <c r="AJ887" i="1"/>
  <c r="AJ886" i="1"/>
  <c r="AI884" i="1"/>
  <c r="AG886" i="1"/>
  <c r="A888" i="1"/>
  <c r="AH888" i="1"/>
  <c r="D888" i="1"/>
  <c r="AH887" i="1"/>
  <c r="A889" i="1"/>
  <c r="AI885" i="1"/>
  <c r="D887" i="1"/>
  <c r="AG885" i="1"/>
  <c r="AT884" i="1" l="1"/>
  <c r="AU884" i="1" s="1"/>
  <c r="AS887" i="1"/>
  <c r="AK887" i="1"/>
  <c r="AK888" i="1" s="1"/>
  <c r="AV883" i="1"/>
  <c r="AT885" i="1"/>
  <c r="AV885" i="1" s="1"/>
  <c r="AS888" i="1"/>
  <c r="AV884" i="1"/>
  <c r="AJ889" i="1"/>
  <c r="AJ888" i="1"/>
  <c r="AG887" i="1"/>
  <c r="AG888" i="1"/>
  <c r="A890" i="1"/>
  <c r="AH889" i="1"/>
  <c r="AH890" i="1"/>
  <c r="AI886" i="1"/>
  <c r="D889" i="1"/>
  <c r="AI887" i="1"/>
  <c r="AK889" i="1" l="1"/>
  <c r="AK890" i="1" s="1"/>
  <c r="AT886" i="1"/>
  <c r="AU886" i="1" s="1"/>
  <c r="AS889" i="1"/>
  <c r="AU885" i="1"/>
  <c r="AT887" i="1"/>
  <c r="AV887" i="1" s="1"/>
  <c r="AJ890" i="1"/>
  <c r="AI888" i="1"/>
  <c r="D890" i="1"/>
  <c r="AI889" i="1"/>
  <c r="AG889" i="1"/>
  <c r="A891" i="1"/>
  <c r="D891" i="1" s="1"/>
  <c r="A892" i="1"/>
  <c r="AS890" i="1" l="1"/>
  <c r="AT888" i="1"/>
  <c r="AU888" i="1" s="1"/>
  <c r="AS891" i="1"/>
  <c r="AJ891" i="1"/>
  <c r="AV886" i="1"/>
  <c r="AU887" i="1"/>
  <c r="AT889" i="1"/>
  <c r="AV889" i="1" s="1"/>
  <c r="AK893" i="1"/>
  <c r="AJ892" i="1"/>
  <c r="AG890" i="1"/>
  <c r="AG891" i="1"/>
  <c r="AH891" i="1"/>
  <c r="AI890" i="1"/>
  <c r="AI891" i="1" s="1"/>
  <c r="A893" i="1"/>
  <c r="D893" i="1"/>
  <c r="A894" i="1"/>
  <c r="D894" i="1"/>
  <c r="A895" i="1"/>
  <c r="AH894" i="1"/>
  <c r="AV888" i="1" l="1"/>
  <c r="AK891" i="1"/>
  <c r="AT890" i="1"/>
  <c r="AV890" i="1" s="1"/>
  <c r="AI893" i="1"/>
  <c r="AS893" i="1"/>
  <c r="AU889" i="1"/>
  <c r="AT891" i="1"/>
  <c r="AU891" i="1" s="1"/>
  <c r="AS894" i="1"/>
  <c r="AK894" i="1"/>
  <c r="AJ895" i="1"/>
  <c r="AJ894" i="1"/>
  <c r="AG893" i="1"/>
  <c r="AG894" i="1"/>
  <c r="A896" i="1"/>
  <c r="AH893" i="1"/>
  <c r="AH896" i="1"/>
  <c r="AI894" i="1"/>
  <c r="D896" i="1"/>
  <c r="A897" i="1"/>
  <c r="AU890" i="1" l="1"/>
  <c r="AT893" i="1"/>
  <c r="AU893" i="1" s="1"/>
  <c r="AV891" i="1"/>
  <c r="AK896" i="1"/>
  <c r="AS896" i="1"/>
  <c r="AI896" i="1"/>
  <c r="AT894" i="1"/>
  <c r="AJ897" i="1"/>
  <c r="A898" i="1"/>
  <c r="D898" i="1"/>
  <c r="AH898" i="1"/>
  <c r="A899" i="1"/>
  <c r="AG896" i="1"/>
  <c r="AV893" i="1" l="1"/>
  <c r="AS898" i="1"/>
  <c r="AI898" i="1"/>
  <c r="AK898" i="1"/>
  <c r="AT896" i="1"/>
  <c r="AV894" i="1"/>
  <c r="AU894" i="1"/>
  <c r="AJ899" i="1"/>
  <c r="D899" i="1"/>
  <c r="A900" i="1"/>
  <c r="AH900" i="1"/>
  <c r="AH899" i="1"/>
  <c r="AG898" i="1"/>
  <c r="D900" i="1"/>
  <c r="A901" i="1"/>
  <c r="AH901" i="1" s="1"/>
  <c r="AS899" i="1" l="1"/>
  <c r="AK899" i="1"/>
  <c r="AK900" i="1" s="1"/>
  <c r="AK901" i="1" s="1"/>
  <c r="AS900" i="1"/>
  <c r="AT898" i="1"/>
  <c r="AV896" i="1"/>
  <c r="AU896" i="1"/>
  <c r="AJ901" i="1"/>
  <c r="AJ900" i="1"/>
  <c r="D901" i="1"/>
  <c r="AG899" i="1"/>
  <c r="AG900" i="1"/>
  <c r="AI899" i="1"/>
  <c r="AI900" i="1" s="1"/>
  <c r="A902" i="1"/>
  <c r="AH902" i="1"/>
  <c r="A903" i="1"/>
  <c r="D902" i="1"/>
  <c r="AT899" i="1" l="1"/>
  <c r="AV899" i="1" s="1"/>
  <c r="AS901" i="1"/>
  <c r="AS902" i="1"/>
  <c r="AK902" i="1"/>
  <c r="AT900" i="1"/>
  <c r="AV898" i="1"/>
  <c r="AU898" i="1"/>
  <c r="AJ903" i="1"/>
  <c r="AJ902" i="1"/>
  <c r="D903" i="1"/>
  <c r="AI901" i="1"/>
  <c r="AG902" i="1"/>
  <c r="AG901" i="1"/>
  <c r="AH903" i="1"/>
  <c r="A904" i="1"/>
  <c r="AH904" i="1" s="1"/>
  <c r="A905" i="1"/>
  <c r="AH905" i="1"/>
  <c r="D905" i="1"/>
  <c r="AU899" i="1" l="1"/>
  <c r="AS903" i="1"/>
  <c r="AK903" i="1"/>
  <c r="AK904" i="1" s="1"/>
  <c r="AK905" i="1" s="1"/>
  <c r="AT901" i="1"/>
  <c r="AV901" i="1" s="1"/>
  <c r="AS905" i="1"/>
  <c r="AV900" i="1"/>
  <c r="AU900" i="1"/>
  <c r="AJ905" i="1"/>
  <c r="AJ904" i="1"/>
  <c r="A906" i="1"/>
  <c r="AH906" i="1"/>
  <c r="AI902" i="1"/>
  <c r="AG903" i="1"/>
  <c r="D904" i="1"/>
  <c r="A907" i="1"/>
  <c r="AG905" i="1"/>
  <c r="D906" i="1"/>
  <c r="AI903" i="1"/>
  <c r="AS904" i="1" l="1"/>
  <c r="AT902" i="1"/>
  <c r="AV902" i="1" s="1"/>
  <c r="AU901" i="1"/>
  <c r="AT903" i="1"/>
  <c r="AV903" i="1" s="1"/>
  <c r="AS906" i="1"/>
  <c r="AK906" i="1"/>
  <c r="AJ907" i="1"/>
  <c r="AJ906" i="1"/>
  <c r="AH907" i="1"/>
  <c r="AI904" i="1"/>
  <c r="AI905" i="1" s="1"/>
  <c r="AG904" i="1"/>
  <c r="A908" i="1"/>
  <c r="AG906" i="1"/>
  <c r="D907" i="1"/>
  <c r="AU902" i="1" l="1"/>
  <c r="AK907" i="1"/>
  <c r="AT904" i="1"/>
  <c r="AU904" i="1" s="1"/>
  <c r="AS907" i="1"/>
  <c r="AU903" i="1"/>
  <c r="AT905" i="1"/>
  <c r="AV905" i="1" s="1"/>
  <c r="AJ908" i="1"/>
  <c r="A909" i="1"/>
  <c r="AI906" i="1"/>
  <c r="AH908" i="1"/>
  <c r="AG907" i="1"/>
  <c r="A910" i="1"/>
  <c r="AH910" i="1" s="1"/>
  <c r="D908" i="1"/>
  <c r="D910" i="1"/>
  <c r="A911" i="1"/>
  <c r="AJ909" i="1" l="1"/>
  <c r="AV904" i="1"/>
  <c r="AK908" i="1"/>
  <c r="AT906" i="1"/>
  <c r="AV906" i="1" s="1"/>
  <c r="AS908" i="1"/>
  <c r="AU905" i="1"/>
  <c r="AS910" i="1"/>
  <c r="AI910" i="1"/>
  <c r="AK910" i="1"/>
  <c r="AJ911" i="1"/>
  <c r="AI907" i="1"/>
  <c r="D911" i="1"/>
  <c r="A912" i="1"/>
  <c r="AI908" i="1"/>
  <c r="AH911" i="1"/>
  <c r="AG910" i="1"/>
  <c r="AH912" i="1"/>
  <c r="AG908" i="1"/>
  <c r="A913" i="1"/>
  <c r="AH913" i="1" s="1"/>
  <c r="AT907" i="1" l="1"/>
  <c r="AU907" i="1" s="1"/>
  <c r="AU906" i="1"/>
  <c r="AS911" i="1"/>
  <c r="AT908" i="1"/>
  <c r="AU908" i="1" s="1"/>
  <c r="AK911" i="1"/>
  <c r="AV907" i="1"/>
  <c r="AK912" i="1"/>
  <c r="AK913" i="1" s="1"/>
  <c r="AT910" i="1"/>
  <c r="AJ913" i="1"/>
  <c r="AJ912" i="1"/>
  <c r="D912" i="1"/>
  <c r="A914" i="1"/>
  <c r="A915" i="1"/>
  <c r="AI911" i="1"/>
  <c r="D915" i="1"/>
  <c r="AG911" i="1"/>
  <c r="D913" i="1"/>
  <c r="AH915" i="1"/>
  <c r="AH914" i="1"/>
  <c r="AT911" i="1" l="1"/>
  <c r="AU911" i="1" s="1"/>
  <c r="AV908" i="1"/>
  <c r="AS915" i="1"/>
  <c r="AK914" i="1"/>
  <c r="AK915" i="1" s="1"/>
  <c r="AV910" i="1"/>
  <c r="AU910" i="1"/>
  <c r="AJ915" i="1"/>
  <c r="AJ914" i="1"/>
  <c r="AI912" i="1"/>
  <c r="AG913" i="1"/>
  <c r="AG912" i="1"/>
  <c r="D914" i="1"/>
  <c r="A916" i="1"/>
  <c r="A917" i="1"/>
  <c r="AG915" i="1"/>
  <c r="AI913" i="1"/>
  <c r="AV911" i="1" l="1"/>
  <c r="AS914" i="1"/>
  <c r="AK917" i="1"/>
  <c r="AJ916" i="1"/>
  <c r="D932" i="1"/>
  <c r="AH932" i="1"/>
  <c r="D917" i="1"/>
  <c r="AG914" i="1"/>
  <c r="AH917" i="1"/>
  <c r="A918" i="1"/>
  <c r="AI914" i="1"/>
  <c r="AI915" i="1" s="1"/>
  <c r="A919" i="1"/>
  <c r="D919" i="1"/>
  <c r="A920" i="1"/>
  <c r="A921" i="1"/>
  <c r="D920" i="1"/>
  <c r="AH919" i="1"/>
  <c r="D918" i="1"/>
  <c r="AH918" i="1"/>
  <c r="AI917" i="1" l="1"/>
  <c r="AS917" i="1"/>
  <c r="AT914" i="1"/>
  <c r="AV914" i="1" s="1"/>
  <c r="AT915" i="1"/>
  <c r="AU915" i="1" s="1"/>
  <c r="AK932" i="1"/>
  <c r="AS932" i="1"/>
  <c r="AK931" i="1"/>
  <c r="AS920" i="1"/>
  <c r="AS919" i="1"/>
  <c r="AS918" i="1"/>
  <c r="AK918" i="1"/>
  <c r="AK919" i="1" s="1"/>
  <c r="AJ921" i="1"/>
  <c r="AJ920" i="1"/>
  <c r="AJ919" i="1"/>
  <c r="AJ918" i="1"/>
  <c r="AC932" i="1"/>
  <c r="AG932" i="1"/>
  <c r="AI932" i="1"/>
  <c r="AD932" i="1"/>
  <c r="AG918" i="1"/>
  <c r="AG917" i="1"/>
  <c r="AH920" i="1"/>
  <c r="A922" i="1"/>
  <c r="D922" i="1" s="1"/>
  <c r="AG919" i="1"/>
  <c r="AI918" i="1"/>
  <c r="AG920" i="1"/>
  <c r="AT917" i="1" l="1"/>
  <c r="AV917" i="1" s="1"/>
  <c r="AU914" i="1"/>
  <c r="AK920" i="1"/>
  <c r="AV915" i="1"/>
  <c r="AI922" i="1"/>
  <c r="AS922" i="1"/>
  <c r="AT932" i="1"/>
  <c r="AT918" i="1"/>
  <c r="AI919" i="1"/>
  <c r="AG922" i="1"/>
  <c r="AH922" i="1"/>
  <c r="A923" i="1"/>
  <c r="D923" i="1" s="1"/>
  <c r="AI920" i="1"/>
  <c r="AT919" i="1" l="1"/>
  <c r="AU917" i="1"/>
  <c r="AT922" i="1"/>
  <c r="AV922" i="1" s="1"/>
  <c r="AS923" i="1"/>
  <c r="AJ923" i="1"/>
  <c r="AT920" i="1"/>
  <c r="AV920" i="1" s="1"/>
  <c r="AV932" i="1"/>
  <c r="AU932" i="1"/>
  <c r="AV918" i="1"/>
  <c r="AU918" i="1"/>
  <c r="AV919" i="1"/>
  <c r="AU919" i="1"/>
  <c r="AH923" i="1"/>
  <c r="AG923" i="1"/>
  <c r="AI923" i="1"/>
  <c r="A924" i="1"/>
  <c r="AK923" i="1" l="1"/>
  <c r="AU922" i="1"/>
  <c r="AU920" i="1"/>
  <c r="AJ924" i="1"/>
  <c r="AT923" i="1"/>
  <c r="A925" i="1"/>
  <c r="D925" i="1"/>
  <c r="AH924" i="1"/>
  <c r="D924" i="1"/>
  <c r="AK924" i="1" l="1"/>
  <c r="AS924" i="1"/>
  <c r="AS925" i="1"/>
  <c r="AJ925" i="1"/>
  <c r="AV923" i="1"/>
  <c r="AU923" i="1"/>
  <c r="AG925" i="1"/>
  <c r="AI924" i="1"/>
  <c r="AI925" i="1" s="1"/>
  <c r="AH925" i="1"/>
  <c r="A926" i="1"/>
  <c r="D926" i="1" s="1"/>
  <c r="AG924" i="1"/>
  <c r="AK925" i="1" l="1"/>
  <c r="AT924" i="1"/>
  <c r="AU924" i="1" s="1"/>
  <c r="AS926" i="1"/>
  <c r="AJ926" i="1"/>
  <c r="AT925" i="1"/>
  <c r="A927" i="1"/>
  <c r="AH926" i="1"/>
  <c r="AI926" i="1"/>
  <c r="AG926" i="1"/>
  <c r="AK926" i="1" l="1"/>
  <c r="AV924" i="1"/>
  <c r="AJ927" i="1"/>
  <c r="AV925" i="1"/>
  <c r="AU925" i="1"/>
  <c r="AT926" i="1"/>
  <c r="AH927" i="1"/>
  <c r="A928" i="1"/>
  <c r="D927" i="1"/>
  <c r="AK927" i="1" l="1"/>
  <c r="AS927" i="1"/>
  <c r="AJ928" i="1"/>
  <c r="AV926" i="1"/>
  <c r="AU926" i="1"/>
  <c r="AG927" i="1"/>
  <c r="A929" i="1"/>
  <c r="D929" i="1"/>
  <c r="D928" i="1"/>
  <c r="AI927" i="1"/>
  <c r="AH928" i="1"/>
  <c r="AS928" i="1" l="1"/>
  <c r="AT927" i="1"/>
  <c r="AU927" i="1" s="1"/>
  <c r="AK928" i="1"/>
  <c r="AS929" i="1"/>
  <c r="AJ929" i="1"/>
  <c r="AH929" i="1"/>
  <c r="A930" i="1"/>
  <c r="AG929" i="1"/>
  <c r="AI928" i="1"/>
  <c r="AG928" i="1"/>
  <c r="AK929" i="1" l="1"/>
  <c r="AT928" i="1"/>
  <c r="AV928" i="1" s="1"/>
  <c r="AV927" i="1"/>
  <c r="AJ930" i="1"/>
  <c r="AI929" i="1"/>
  <c r="A931" i="1"/>
  <c r="D931" i="1"/>
  <c r="AT929" i="1" l="1"/>
  <c r="AU928" i="1"/>
  <c r="AS931" i="1"/>
  <c r="AI931" i="1"/>
  <c r="AJ784" i="1"/>
  <c r="B784" i="1" s="1"/>
  <c r="C784" i="1" s="1"/>
  <c r="AJ86" i="1"/>
  <c r="B86" i="1" s="1"/>
  <c r="C86" i="1" s="1"/>
  <c r="AJ418" i="1"/>
  <c r="B418" i="1" s="1"/>
  <c r="C418" i="1" s="1"/>
  <c r="AJ695" i="1"/>
  <c r="B695" i="1" s="1"/>
  <c r="C695" i="1" s="1"/>
  <c r="AJ855" i="1"/>
  <c r="B855" i="1" s="1"/>
  <c r="C855" i="1" s="1"/>
  <c r="AJ399" i="1"/>
  <c r="B399" i="1" s="1"/>
  <c r="C399" i="1" s="1"/>
  <c r="AJ195" i="1"/>
  <c r="B195" i="1" s="1"/>
  <c r="C195" i="1" s="1"/>
  <c r="AJ485" i="1"/>
  <c r="B485" i="1" s="1"/>
  <c r="C485" i="1" s="1"/>
  <c r="AJ315" i="1"/>
  <c r="B315" i="1" s="1"/>
  <c r="C315" i="1" s="1"/>
  <c r="AJ452" i="1"/>
  <c r="B452" i="1" s="1"/>
  <c r="C452" i="1" s="1"/>
  <c r="AJ650" i="1"/>
  <c r="B650" i="1" s="1"/>
  <c r="C650" i="1" s="1"/>
  <c r="AJ642" i="1"/>
  <c r="B642" i="1" s="1"/>
  <c r="C642" i="1" s="1"/>
  <c r="AJ526" i="1"/>
  <c r="B526" i="1" s="1"/>
  <c r="C526" i="1" s="1"/>
  <c r="AJ625" i="1"/>
  <c r="B625" i="1" s="1"/>
  <c r="C625" i="1" s="1"/>
  <c r="AJ610" i="1"/>
  <c r="B610" i="1" s="1"/>
  <c r="C610" i="1" s="1"/>
  <c r="AJ17" i="1"/>
  <c r="B17" i="1" s="1"/>
  <c r="C17" i="1" s="1"/>
  <c r="AJ774" i="1"/>
  <c r="B774" i="1" s="1"/>
  <c r="C774" i="1" s="1"/>
  <c r="K2" i="2"/>
  <c r="AJ817" i="1"/>
  <c r="B817" i="1" s="1"/>
  <c r="C817" i="1" s="1"/>
  <c r="AJ804" i="1"/>
  <c r="B804" i="1" s="1"/>
  <c r="C804" i="1" s="1"/>
  <c r="AJ468" i="1"/>
  <c r="B468" i="1" s="1"/>
  <c r="C468" i="1" s="1"/>
  <c r="AJ616" i="1"/>
  <c r="B616" i="1" s="1"/>
  <c r="C616" i="1" s="1"/>
  <c r="AJ735" i="1"/>
  <c r="B735" i="1" s="1"/>
  <c r="C735" i="1" s="1"/>
  <c r="AJ436" i="1"/>
  <c r="B436" i="1" s="1"/>
  <c r="C436" i="1" s="1"/>
  <c r="AJ740" i="1"/>
  <c r="B740" i="1" s="1"/>
  <c r="C740" i="1" s="1"/>
  <c r="AJ841" i="1"/>
  <c r="B841" i="1" s="1"/>
  <c r="C841" i="1" s="1"/>
  <c r="AJ473" i="1"/>
  <c r="B473" i="1" s="1"/>
  <c r="C473" i="1" s="1"/>
  <c r="AJ360" i="1"/>
  <c r="B360" i="1" s="1"/>
  <c r="C360" i="1" s="1"/>
  <c r="AJ119" i="1"/>
  <c r="B119" i="1" s="1"/>
  <c r="C119" i="1" s="1"/>
  <c r="AJ836" i="1"/>
  <c r="B836" i="1" s="1"/>
  <c r="C836" i="1" s="1"/>
  <c r="AJ475" i="1"/>
  <c r="B475" i="1" s="1"/>
  <c r="C475" i="1" s="1"/>
  <c r="AJ607" i="1"/>
  <c r="B607" i="1" s="1"/>
  <c r="C607" i="1" s="1"/>
  <c r="AJ9" i="1"/>
  <c r="B9" i="1" s="1"/>
  <c r="C9" i="1" s="1"/>
  <c r="AJ565" i="1"/>
  <c r="B565" i="1" s="1"/>
  <c r="C565" i="1" s="1"/>
  <c r="AJ31" i="1"/>
  <c r="B31" i="1" s="1"/>
  <c r="C31" i="1" s="1"/>
  <c r="AJ59" i="1"/>
  <c r="B59" i="1" s="1"/>
  <c r="C59" i="1" s="1"/>
  <c r="AJ898" i="1"/>
  <c r="B898" i="1" s="1"/>
  <c r="C898" i="1" s="1"/>
  <c r="AJ863" i="1"/>
  <c r="B863" i="1" s="1"/>
  <c r="C863" i="1" s="1"/>
  <c r="AJ219" i="1"/>
  <c r="B219" i="1" s="1"/>
  <c r="C219" i="1" s="1"/>
  <c r="AJ108" i="1"/>
  <c r="B108" i="1" s="1"/>
  <c r="C108" i="1" s="1"/>
  <c r="AJ648" i="1"/>
  <c r="B648" i="1" s="1"/>
  <c r="C648" i="1" s="1"/>
  <c r="AJ54" i="1"/>
  <c r="B54" i="1" s="1"/>
  <c r="C54" i="1" s="1"/>
  <c r="AJ692" i="1"/>
  <c r="B692" i="1" s="1"/>
  <c r="C692" i="1" s="1"/>
  <c r="AJ728" i="1"/>
  <c r="B728" i="1" s="1"/>
  <c r="C728" i="1" s="1"/>
  <c r="AJ394" i="1"/>
  <c r="B394" i="1" s="1"/>
  <c r="C394" i="1" s="1"/>
  <c r="AJ106" i="1"/>
  <c r="B106" i="1" s="1"/>
  <c r="C106" i="1" s="1"/>
  <c r="AJ383" i="1"/>
  <c r="B383" i="1" s="1"/>
  <c r="C383" i="1" s="1"/>
  <c r="AJ24" i="1"/>
  <c r="B24" i="1" s="1"/>
  <c r="C24" i="1" s="1"/>
  <c r="AJ733" i="1"/>
  <c r="B733" i="1" s="1"/>
  <c r="C733" i="1" s="1"/>
  <c r="AJ450" i="1"/>
  <c r="B450" i="1" s="1"/>
  <c r="C450" i="1" s="1"/>
  <c r="AJ324" i="1"/>
  <c r="B324" i="1" s="1"/>
  <c r="C324" i="1" s="1"/>
  <c r="AJ221" i="1"/>
  <c r="B221" i="1" s="1"/>
  <c r="C221" i="1" s="1"/>
  <c r="AJ100" i="1"/>
  <c r="B100" i="1" s="1"/>
  <c r="C100" i="1" s="1"/>
  <c r="AJ363" i="1"/>
  <c r="B363" i="1" s="1"/>
  <c r="C363" i="1" s="1"/>
  <c r="AJ703" i="1"/>
  <c r="B703" i="1" s="1"/>
  <c r="C703" i="1" s="1"/>
  <c r="AJ618" i="1"/>
  <c r="B618" i="1" s="1"/>
  <c r="C618" i="1" s="1"/>
  <c r="AJ557" i="1"/>
  <c r="B557" i="1" s="1"/>
  <c r="C557" i="1" s="1"/>
  <c r="AJ84" i="1"/>
  <c r="B84" i="1" s="1"/>
  <c r="C84" i="1" s="1"/>
  <c r="AJ538" i="1"/>
  <c r="B538" i="1" s="1"/>
  <c r="C538" i="1" s="1"/>
  <c r="AJ438" i="1"/>
  <c r="B438" i="1" s="1"/>
  <c r="C438" i="1" s="1"/>
  <c r="AJ396" i="1"/>
  <c r="B396" i="1" s="1"/>
  <c r="C396" i="1" s="1"/>
  <c r="AJ19" i="1"/>
  <c r="B19" i="1" s="1"/>
  <c r="C19" i="1" s="1"/>
  <c r="AJ317" i="1"/>
  <c r="B317" i="1" s="1"/>
  <c r="C317" i="1" s="1"/>
  <c r="AJ413" i="1"/>
  <c r="B413" i="1" s="1"/>
  <c r="C413" i="1" s="1"/>
  <c r="E2" i="2"/>
  <c r="AJ214" i="1"/>
  <c r="B214" i="1" s="1"/>
  <c r="C214" i="1" s="1"/>
  <c r="AJ216" i="1"/>
  <c r="B216" i="1" s="1"/>
  <c r="C216" i="1" s="1"/>
  <c r="AJ462" i="1"/>
  <c r="B462" i="1" s="1"/>
  <c r="C462" i="1" s="1"/>
  <c r="AJ613" i="1"/>
  <c r="B613" i="1" s="1"/>
  <c r="C613" i="1" s="1"/>
  <c r="AJ660" i="1"/>
  <c r="B660" i="1" s="1"/>
  <c r="C660" i="1" s="1"/>
  <c r="AJ290" i="1"/>
  <c r="B290" i="1" s="1"/>
  <c r="C290" i="1" s="1"/>
  <c r="AJ180" i="1"/>
  <c r="B180" i="1" s="1"/>
  <c r="C180" i="1" s="1"/>
  <c r="AJ521" i="1"/>
  <c r="B521" i="1" s="1"/>
  <c r="C521" i="1" s="1"/>
  <c r="AJ445" i="1"/>
  <c r="B445" i="1" s="1"/>
  <c r="C445" i="1" s="1"/>
  <c r="AJ6" i="1"/>
  <c r="B6" i="1" s="1"/>
  <c r="C6" i="1" s="1"/>
  <c r="AJ622" i="1"/>
  <c r="B622" i="1" s="1"/>
  <c r="C622" i="1" s="1"/>
  <c r="AJ698" i="1"/>
  <c r="B698" i="1" s="1"/>
  <c r="C698" i="1" s="1"/>
  <c r="AJ744" i="1"/>
  <c r="B744" i="1" s="1"/>
  <c r="C744" i="1" s="1"/>
  <c r="AJ189" i="1"/>
  <c r="B189" i="1" s="1"/>
  <c r="C189" i="1" s="1"/>
  <c r="AJ170" i="1"/>
  <c r="B170" i="1" s="1"/>
  <c r="C170" i="1" s="1"/>
  <c r="AJ116" i="1"/>
  <c r="B116" i="1" s="1"/>
  <c r="C116" i="1" s="1"/>
  <c r="AJ845" i="1"/>
  <c r="B845" i="1" s="1"/>
  <c r="C845" i="1" s="1"/>
  <c r="AJ29" i="1"/>
  <c r="B29" i="1" s="1"/>
  <c r="C29" i="1" s="1"/>
  <c r="AJ229" i="1"/>
  <c r="B229" i="1" s="1"/>
  <c r="C229" i="1" s="1"/>
  <c r="AJ104" i="1"/>
  <c r="B104" i="1" s="1"/>
  <c r="C104" i="1" s="1"/>
  <c r="AJ440" i="1"/>
  <c r="B440" i="1" s="1"/>
  <c r="C440" i="1" s="1"/>
  <c r="AJ247" i="1"/>
  <c r="B247" i="1" s="1"/>
  <c r="C247" i="1" s="1"/>
  <c r="AJ793" i="1"/>
  <c r="B793" i="1" s="1"/>
  <c r="C793" i="1" s="1"/>
  <c r="AJ834" i="1"/>
  <c r="B834" i="1" s="1"/>
  <c r="C834" i="1" s="1"/>
  <c r="AJ500" i="1"/>
  <c r="B500" i="1" s="1"/>
  <c r="C500" i="1" s="1"/>
  <c r="AJ471" i="1"/>
  <c r="B471" i="1" s="1"/>
  <c r="C471" i="1" s="1"/>
  <c r="AJ204" i="1"/>
  <c r="B204" i="1" s="1"/>
  <c r="C204" i="1" s="1"/>
  <c r="AJ917" i="1"/>
  <c r="B917" i="1" s="1"/>
  <c r="C917" i="1" s="1"/>
  <c r="AJ225" i="1"/>
  <c r="B225" i="1" s="1"/>
  <c r="C225" i="1" s="1"/>
  <c r="AJ550" i="1"/>
  <c r="B550" i="1" s="1"/>
  <c r="C550" i="1" s="1"/>
  <c r="AJ824" i="1"/>
  <c r="B824" i="1" s="1"/>
  <c r="C824" i="1" s="1"/>
  <c r="AJ33" i="1"/>
  <c r="B33" i="1" s="1"/>
  <c r="C33" i="1" s="1"/>
  <c r="AJ352" i="1"/>
  <c r="B352" i="1" s="1"/>
  <c r="C352" i="1" s="1"/>
  <c r="AJ376" i="1"/>
  <c r="B376" i="1" s="1"/>
  <c r="C376" i="1" s="1"/>
  <c r="AJ3" i="1"/>
  <c r="B3" i="1" s="1"/>
  <c r="C3" i="1" s="1"/>
  <c r="AJ146" i="1"/>
  <c r="B146" i="1" s="1"/>
  <c r="C146" i="1" s="1"/>
  <c r="AJ843" i="1"/>
  <c r="B843" i="1" s="1"/>
  <c r="C843" i="1" s="1"/>
  <c r="AJ466" i="1"/>
  <c r="B466" i="1" s="1"/>
  <c r="C466" i="1" s="1"/>
  <c r="AJ806" i="1"/>
  <c r="B806" i="1" s="1"/>
  <c r="C806" i="1" s="1"/>
  <c r="AJ389" i="1"/>
  <c r="B389" i="1" s="1"/>
  <c r="C389" i="1" s="1"/>
  <c r="AJ524" i="1"/>
  <c r="B524" i="1" s="1"/>
  <c r="C524" i="1" s="1"/>
  <c r="AJ516" i="1"/>
  <c r="B516" i="1" s="1"/>
  <c r="C516" i="1" s="1"/>
  <c r="AJ311" i="1"/>
  <c r="B311" i="1" s="1"/>
  <c r="C311" i="1" s="1"/>
  <c r="AJ705" i="1"/>
  <c r="B705" i="1" s="1"/>
  <c r="C705" i="1" s="1"/>
  <c r="AJ373" i="1"/>
  <c r="B373" i="1" s="1"/>
  <c r="C373" i="1" s="1"/>
  <c r="AJ223" i="1"/>
  <c r="B223" i="1" s="1"/>
  <c r="C223" i="1" s="1"/>
  <c r="AJ339" i="1"/>
  <c r="B339" i="1" s="1"/>
  <c r="C339" i="1" s="1"/>
  <c r="AJ82" i="1"/>
  <c r="B82" i="1" s="1"/>
  <c r="C82" i="1" s="1"/>
  <c r="AJ672" i="1"/>
  <c r="B672" i="1" s="1"/>
  <c r="C672" i="1" s="1"/>
  <c r="AJ602" i="1"/>
  <c r="B602" i="1" s="1"/>
  <c r="C602" i="1" s="1"/>
  <c r="AJ893" i="1"/>
  <c r="B893" i="1" s="1"/>
  <c r="C893" i="1" s="1"/>
  <c r="AJ236" i="1"/>
  <c r="B236" i="1" s="1"/>
  <c r="C236" i="1" s="1"/>
  <c r="AJ293" i="1"/>
  <c r="B293" i="1" s="1"/>
  <c r="C293" i="1" s="1"/>
  <c r="AJ634" i="1"/>
  <c r="B634" i="1" s="1"/>
  <c r="C634" i="1" s="1"/>
  <c r="AJ599" i="1"/>
  <c r="B599" i="1" s="1"/>
  <c r="C599" i="1" s="1"/>
  <c r="AJ22" i="1"/>
  <c r="B22" i="1" s="1"/>
  <c r="C22" i="1" s="1"/>
  <c r="AJ620" i="1"/>
  <c r="B620" i="1" s="1"/>
  <c r="C620" i="1" s="1"/>
  <c r="AJ126" i="1"/>
  <c r="B126" i="1" s="1"/>
  <c r="C126" i="1" s="1"/>
  <c r="AJ15" i="1"/>
  <c r="B15" i="1" s="1"/>
  <c r="C15" i="1" s="1"/>
  <c r="AJ136" i="1"/>
  <c r="B136" i="1" s="1"/>
  <c r="C136" i="1" s="1"/>
  <c r="AJ129" i="1"/>
  <c r="B129" i="1" s="1"/>
  <c r="C129" i="1" s="1"/>
  <c r="AJ800" i="1"/>
  <c r="B800" i="1" s="1"/>
  <c r="C800" i="1" s="1"/>
  <c r="AJ880" i="1"/>
  <c r="B880" i="1" s="1"/>
  <c r="C880" i="1" s="1"/>
  <c r="AJ38" i="1"/>
  <c r="B38" i="1" s="1"/>
  <c r="C38" i="1" s="1"/>
  <c r="AJ98" i="1"/>
  <c r="B98" i="1" s="1"/>
  <c r="C98" i="1" s="1"/>
  <c r="AJ162" i="1"/>
  <c r="B162" i="1" s="1"/>
  <c r="C162" i="1" s="1"/>
  <c r="AJ858" i="1"/>
  <c r="B858" i="1" s="1"/>
  <c r="C858" i="1" s="1"/>
  <c r="AJ420" i="1"/>
  <c r="B420" i="1" s="1"/>
  <c r="C420" i="1" s="1"/>
  <c r="AJ760" i="1"/>
  <c r="B760" i="1" s="1"/>
  <c r="C760" i="1" s="1"/>
  <c r="AJ758" i="1"/>
  <c r="B758" i="1" s="1"/>
  <c r="C758" i="1" s="1"/>
  <c r="AJ700" i="1"/>
  <c r="B700" i="1" s="1"/>
  <c r="C700" i="1" s="1"/>
  <c r="AJ305" i="1"/>
  <c r="B305" i="1" s="1"/>
  <c r="C305" i="1" s="1"/>
  <c r="AJ448" i="1"/>
  <c r="B448" i="1" s="1"/>
  <c r="C448" i="1" s="1"/>
  <c r="AJ92" i="1"/>
  <c r="B92" i="1" s="1"/>
  <c r="C92" i="1" s="1"/>
  <c r="AJ576" i="1"/>
  <c r="B576" i="1" s="1"/>
  <c r="C576" i="1" s="1"/>
  <c r="AJ713" i="1"/>
  <c r="B713" i="1" s="1"/>
  <c r="C713" i="1" s="1"/>
  <c r="AJ910" i="1"/>
  <c r="B910" i="1" s="1"/>
  <c r="C910" i="1" s="1"/>
  <c r="AJ896" i="1"/>
  <c r="B896" i="1" s="1"/>
  <c r="C896" i="1" s="1"/>
  <c r="L2" i="2"/>
  <c r="AJ36" i="1"/>
  <c r="B36" i="1" s="1"/>
  <c r="C36" i="1" s="1"/>
  <c r="AJ722" i="1"/>
  <c r="B722" i="1" s="1"/>
  <c r="C722" i="1" s="1"/>
  <c r="AJ771" i="1"/>
  <c r="B771" i="1" s="1"/>
  <c r="C771" i="1" s="1"/>
  <c r="AJ46" i="1"/>
  <c r="B46" i="1" s="1"/>
  <c r="AJ151" i="1"/>
  <c r="B151" i="1" s="1"/>
  <c r="C151" i="1" s="1"/>
  <c r="AJ518" i="1"/>
  <c r="B518" i="1" s="1"/>
  <c r="C518" i="1" s="1"/>
  <c r="AJ839" i="1"/>
  <c r="B839" i="1" s="1"/>
  <c r="C839" i="1" s="1"/>
  <c r="AJ319" i="1"/>
  <c r="B319" i="1" s="1"/>
  <c r="C319" i="1" s="1"/>
  <c r="AJ922" i="1"/>
  <c r="B922" i="1" s="1"/>
  <c r="C922" i="1" s="1"/>
  <c r="AJ278" i="1"/>
  <c r="B278" i="1" s="1"/>
  <c r="C278" i="1" s="1"/>
  <c r="AJ332" i="1"/>
  <c r="B332" i="1" s="1"/>
  <c r="C332" i="1" s="1"/>
  <c r="AJ346" i="1"/>
  <c r="B346" i="1" s="1"/>
  <c r="C346" i="1" s="1"/>
  <c r="AJ579" i="1"/>
  <c r="B579" i="1" s="1"/>
  <c r="C579" i="1" s="1"/>
  <c r="AJ477" i="1"/>
  <c r="B477" i="1" s="1"/>
  <c r="C477" i="1" s="1"/>
  <c r="AJ422" i="1"/>
  <c r="B422" i="1" s="1"/>
  <c r="C422" i="1" s="1"/>
  <c r="AJ73" i="1"/>
  <c r="B73" i="1" s="1"/>
  <c r="C73" i="1" s="1"/>
  <c r="AJ255" i="1"/>
  <c r="B255" i="1" s="1"/>
  <c r="C255" i="1" s="1"/>
  <c r="AJ268" i="1"/>
  <c r="B268" i="1" s="1"/>
  <c r="C268" i="1" s="1"/>
  <c r="AJ832" i="1"/>
  <c r="B832" i="1" s="1"/>
  <c r="C832" i="1" s="1"/>
  <c r="AJ321" i="1"/>
  <c r="B321" i="1" s="1"/>
  <c r="C321" i="1" s="1"/>
  <c r="AJ26" i="1"/>
  <c r="B26" i="1" s="1"/>
  <c r="C26" i="1" s="1"/>
  <c r="AJ430" i="1"/>
  <c r="B430" i="1" s="1"/>
  <c r="C430" i="1" s="1"/>
  <c r="AJ380" i="1"/>
  <c r="B380" i="1" s="1"/>
  <c r="C380" i="1" s="1"/>
  <c r="AJ66" i="1"/>
  <c r="B66" i="1" s="1"/>
  <c r="C66" i="1" s="1"/>
  <c r="AJ401" i="1"/>
  <c r="B401" i="1" s="1"/>
  <c r="C401" i="1" s="1"/>
  <c r="AJ96" i="1"/>
  <c r="B96" i="1" s="1"/>
  <c r="C96" i="1" s="1"/>
  <c r="AJ683" i="1"/>
  <c r="B683" i="1" s="1"/>
  <c r="C683" i="1" s="1"/>
  <c r="AJ590" i="1"/>
  <c r="B590" i="1" s="1"/>
  <c r="C590" i="1" s="1"/>
  <c r="AJ90" i="1"/>
  <c r="B90" i="1" s="1"/>
  <c r="C90" i="1" s="1"/>
  <c r="AJ810" i="1"/>
  <c r="B810" i="1" s="1"/>
  <c r="C810" i="1" s="1"/>
  <c r="AJ80" i="1"/>
  <c r="B80" i="1" s="1"/>
  <c r="C80" i="1" s="1"/>
  <c r="AJ244" i="1"/>
  <c r="B244" i="1" s="1"/>
  <c r="C244" i="1" s="1"/>
  <c r="AJ404" i="1"/>
  <c r="B404" i="1" s="1"/>
  <c r="C404" i="1" s="1"/>
  <c r="AJ931" i="1"/>
  <c r="AV929" i="1"/>
  <c r="AU929" i="1"/>
  <c r="AH931" i="1"/>
  <c r="M2" i="2" l="1"/>
  <c r="I3" i="5" s="1"/>
  <c r="C46" i="1"/>
  <c r="AT931" i="1"/>
  <c r="AV931" i="1" l="1"/>
  <c r="AU931" i="1"/>
  <c r="A85" i="2" l="1"/>
  <c r="G85" i="2" l="1"/>
  <c r="R85" i="2"/>
  <c r="H85" i="2"/>
  <c r="F85" i="2"/>
  <c r="I85" i="2"/>
  <c r="B85" i="2"/>
  <c r="C85" i="2"/>
  <c r="D85" i="2" l="1"/>
  <c r="E85" i="2"/>
  <c r="L85" i="2"/>
  <c r="K85" i="2"/>
  <c r="N85" i="2"/>
  <c r="M85" i="2" l="1"/>
  <c r="O85" i="2" s="1"/>
  <c r="P85" i="2" s="1"/>
  <c r="Q85" i="2" s="1"/>
  <c r="AD176" i="1"/>
  <c r="AC514" i="1"/>
  <c r="AC478" i="1"/>
  <c r="AD795" i="1"/>
  <c r="AC768" i="1"/>
  <c r="AD12" i="1"/>
  <c r="AD731" i="1"/>
  <c r="AD640" i="1"/>
  <c r="AC490" i="1"/>
  <c r="AD274" i="1"/>
  <c r="AC752" i="1"/>
  <c r="AD760" i="1"/>
  <c r="AD713" i="1"/>
  <c r="AC907" i="1"/>
  <c r="AC385" i="1"/>
  <c r="AC343" i="1"/>
  <c r="AD563" i="1"/>
  <c r="AD905" i="1"/>
  <c r="AD629" i="1"/>
  <c r="AC212" i="1"/>
  <c r="AC112" i="1"/>
  <c r="AD166" i="1"/>
  <c r="AC238" i="1"/>
  <c r="AD430" i="1"/>
  <c r="AD282" i="1"/>
  <c r="AC365" i="1"/>
  <c r="AC618" i="1"/>
  <c r="AC663" i="1"/>
  <c r="AC24" i="1"/>
  <c r="AD147" i="1"/>
  <c r="AC871" i="1"/>
  <c r="AC52" i="1"/>
  <c r="AD693" i="1"/>
  <c r="AC611" i="1"/>
  <c r="AC482" i="1"/>
  <c r="AD34" i="1"/>
  <c r="AC134" i="1"/>
  <c r="AC576" i="1"/>
  <c r="AC810" i="1"/>
  <c r="AD297" i="1"/>
  <c r="AD266" i="1"/>
  <c r="AC339" i="1"/>
  <c r="AD533" i="1"/>
  <c r="AD84" i="1"/>
  <c r="AC642" i="1"/>
  <c r="AC692" i="1"/>
  <c r="AD56" i="1"/>
  <c r="AD658" i="1"/>
  <c r="AC269" i="1"/>
  <c r="AC774" i="1"/>
  <c r="AD583" i="1"/>
  <c r="AD142" i="1"/>
  <c r="AD894" i="1"/>
  <c r="AD468" i="1"/>
  <c r="AD746" i="1"/>
  <c r="AD912" i="1"/>
  <c r="AD510" i="1"/>
  <c r="AD590" i="1"/>
  <c r="AD27" i="1"/>
  <c r="AD790" i="1"/>
  <c r="AC737" i="1"/>
  <c r="AC460" i="1"/>
  <c r="AD140" i="1"/>
  <c r="AC4" i="1"/>
  <c r="AD855" i="1"/>
  <c r="AC845" i="1"/>
  <c r="AC390" i="1"/>
  <c r="AD853" i="1"/>
  <c r="AD836" i="1"/>
  <c r="AD775" i="1"/>
  <c r="AD460" i="1"/>
  <c r="AC587" i="1"/>
  <c r="AC722" i="1"/>
  <c r="AC293" i="1"/>
  <c r="AC283" i="1"/>
  <c r="AC122" i="1"/>
  <c r="AD371" i="1"/>
  <c r="AC610" i="1"/>
  <c r="AC685" i="1"/>
  <c r="AC205" i="1"/>
  <c r="AD736" i="1"/>
  <c r="AC55" i="1"/>
  <c r="AC373" i="1"/>
  <c r="AC347" i="1"/>
  <c r="AC70" i="1"/>
  <c r="AC415" i="1"/>
  <c r="AC196" i="1"/>
  <c r="AC39" i="1"/>
  <c r="AC117" i="1"/>
  <c r="AD595" i="1"/>
  <c r="AC516" i="1"/>
  <c r="AD680" i="1"/>
  <c r="AC666" i="1"/>
  <c r="AC875" i="1"/>
  <c r="AD458" i="1"/>
  <c r="AD189" i="1"/>
  <c r="AD684" i="1"/>
  <c r="AD272" i="1"/>
  <c r="AD880" i="1"/>
  <c r="AD59" i="1"/>
  <c r="AD804" i="1"/>
  <c r="AC87" i="1"/>
  <c r="AD381" i="1"/>
  <c r="AD748" i="1"/>
  <c r="AC463" i="1"/>
  <c r="AD54" i="1"/>
  <c r="AC348" i="1"/>
  <c r="AD408" i="1"/>
  <c r="AD774" i="1"/>
  <c r="AD785" i="1"/>
  <c r="AD335" i="1"/>
  <c r="AC710" i="1"/>
  <c r="AD634" i="1"/>
  <c r="AC410" i="1"/>
  <c r="AC812" i="1"/>
  <c r="AC588" i="1"/>
  <c r="AD656" i="1"/>
  <c r="AC872" i="1"/>
  <c r="AD423" i="1"/>
  <c r="AC397" i="1"/>
  <c r="AD794" i="1"/>
  <c r="AC782" i="1"/>
  <c r="AC423" i="1"/>
  <c r="AC890" i="1"/>
  <c r="AC791" i="1"/>
  <c r="AD796" i="1"/>
  <c r="AD822" i="1"/>
  <c r="AC915" i="1"/>
  <c r="AD592" i="1"/>
  <c r="AD885" i="1"/>
  <c r="AD352" i="1"/>
  <c r="AD46" i="1"/>
  <c r="AC120" i="1"/>
  <c r="AD772" i="1"/>
  <c r="AD337" i="1"/>
  <c r="AD544" i="1"/>
  <c r="AC327" i="1"/>
  <c r="AC487" i="1"/>
  <c r="AD153" i="1"/>
  <c r="AC851" i="1"/>
  <c r="AD17" i="1"/>
  <c r="AD596" i="1"/>
  <c r="AD360" i="1"/>
  <c r="AD610" i="1"/>
  <c r="AC154" i="1"/>
  <c r="AC418" i="1"/>
  <c r="AD907" i="1"/>
  <c r="AD811" i="1"/>
  <c r="AD635" i="1"/>
  <c r="AC230" i="1"/>
  <c r="AD922" i="1"/>
  <c r="AC638" i="1"/>
  <c r="AD708" i="1"/>
  <c r="AD55" i="1"/>
  <c r="AC459" i="1"/>
  <c r="AC190" i="1"/>
  <c r="AD766" i="1"/>
  <c r="AD262" i="1"/>
  <c r="AC225" i="1"/>
  <c r="AC101" i="1"/>
  <c r="AC626" i="1"/>
  <c r="AD258" i="1"/>
  <c r="AD700" i="1"/>
  <c r="AC824" i="1"/>
  <c r="AD541" i="1"/>
  <c r="AC244" i="1"/>
  <c r="AC479" i="1"/>
  <c r="AC894" i="1"/>
  <c r="AD747" i="1"/>
  <c r="AD524" i="1"/>
  <c r="AD427" i="1"/>
  <c r="AD837" i="1"/>
  <c r="AD560" i="1"/>
  <c r="AD425" i="1"/>
  <c r="AC746" i="1"/>
  <c r="AD532" i="1"/>
  <c r="AC553" i="1"/>
  <c r="AC865" i="1"/>
  <c r="AD397" i="1"/>
  <c r="AD387" i="1"/>
  <c r="AD245" i="1"/>
  <c r="AC729" i="1"/>
  <c r="AC108" i="1"/>
  <c r="AC167" i="1"/>
  <c r="AD620" i="1"/>
  <c r="AC654" i="1"/>
  <c r="AD205" i="1"/>
  <c r="AD69" i="1"/>
  <c r="AD77" i="1"/>
  <c r="AC850" i="1"/>
  <c r="AD638" i="1"/>
  <c r="AD303" i="1"/>
  <c r="AD511" i="1"/>
  <c r="AD906" i="1"/>
  <c r="AD781" i="1"/>
  <c r="AD810" i="1"/>
  <c r="AC43" i="1"/>
  <c r="AD725" i="1"/>
  <c r="AC858" i="1"/>
  <c r="AC63" i="1"/>
  <c r="AD594" i="1"/>
  <c r="AD722" i="1"/>
  <c r="AD20" i="1"/>
  <c r="AC807" i="1"/>
  <c r="AC223" i="1"/>
  <c r="AD616" i="1"/>
  <c r="AD817" i="1"/>
  <c r="AC27" i="1"/>
  <c r="AC582" i="1"/>
  <c r="AC352" i="1"/>
  <c r="AC450" i="1"/>
  <c r="AC573" i="1"/>
  <c r="AC172" i="1"/>
  <c r="AD90" i="1"/>
  <c r="AD724" i="1"/>
  <c r="AC335" i="1"/>
  <c r="AD251" i="1"/>
  <c r="AC309" i="1"/>
  <c r="AC896" i="1"/>
  <c r="AC232" i="1"/>
  <c r="AD665" i="1"/>
  <c r="AD883" i="1"/>
  <c r="AC625" i="1"/>
  <c r="AC116" i="1"/>
  <c r="AC526" i="1"/>
  <c r="AC763" i="1"/>
  <c r="AD155" i="1"/>
  <c r="AD893" i="1"/>
  <c r="AC114" i="1"/>
  <c r="AD696" i="1"/>
  <c r="AD931" i="1"/>
  <c r="AD600" i="1"/>
  <c r="AD306" i="1"/>
  <c r="AD110" i="1"/>
  <c r="AD241" i="1"/>
  <c r="AC717" i="1"/>
  <c r="AC182" i="1"/>
  <c r="AD471" i="1"/>
  <c r="AD848" i="1"/>
  <c r="AD342" i="1"/>
  <c r="AD357" i="1"/>
  <c r="AC166" i="1"/>
  <c r="AC818" i="1"/>
  <c r="AD201" i="1"/>
  <c r="AD162" i="1"/>
  <c r="AD216" i="1"/>
  <c r="AC885" i="1"/>
  <c r="AC436" i="1"/>
  <c r="AD252" i="1"/>
  <c r="AD163" i="1"/>
  <c r="AC319" i="1"/>
  <c r="AC202" i="1"/>
  <c r="AD324" i="1"/>
  <c r="AC452" i="1"/>
  <c r="AD62" i="1"/>
  <c r="AC491" i="1"/>
  <c r="AC512" i="1"/>
  <c r="AC545" i="1"/>
  <c r="AD498" i="1"/>
  <c r="AD455" i="1"/>
  <c r="AD370" i="1"/>
  <c r="AD227" i="1"/>
  <c r="AC741" i="1"/>
  <c r="AD820" i="1"/>
  <c r="AC346" i="1"/>
  <c r="AC716" i="1"/>
  <c r="AD653" i="1"/>
  <c r="AC910" i="1"/>
  <c r="AD582" i="1"/>
  <c r="AD344" i="1"/>
  <c r="AC700" i="1"/>
  <c r="AC534" i="1"/>
  <c r="AC381" i="1"/>
  <c r="AD756" i="1"/>
  <c r="AC119" i="1"/>
  <c r="AC29" i="1"/>
  <c r="AC570" i="1"/>
  <c r="AC569" i="1"/>
  <c r="AD614" i="1"/>
  <c r="AD625" i="1"/>
  <c r="AC673" i="1"/>
  <c r="AC560" i="1"/>
  <c r="AD207" i="1"/>
  <c r="AD695" i="1"/>
  <c r="AC168" i="1"/>
  <c r="AC762" i="1"/>
  <c r="AC591" i="1"/>
  <c r="AD70" i="1"/>
  <c r="AC317" i="1"/>
  <c r="AC836" i="1"/>
  <c r="AD394" i="1"/>
  <c r="AD902" i="1"/>
  <c r="AC464" i="1"/>
  <c r="AC555" i="1"/>
  <c r="AC834" i="1"/>
  <c r="AD232" i="1"/>
  <c r="AD295" i="1"/>
  <c r="AD356" i="1"/>
  <c r="AD801" i="1"/>
  <c r="AC146" i="1"/>
  <c r="AD673" i="1"/>
  <c r="AD86" i="1"/>
  <c r="AD562" i="1"/>
  <c r="AD622" i="1"/>
  <c r="AD793" i="1"/>
  <c r="AD580" i="1"/>
  <c r="AC59" i="1"/>
  <c r="AD127" i="1"/>
  <c r="AC76" i="1"/>
  <c r="AD750" i="1"/>
  <c r="AC735" i="1"/>
  <c r="AC272" i="1"/>
  <c r="AD415" i="1"/>
  <c r="AD50" i="1"/>
  <c r="AC693" i="1"/>
  <c r="AD482" i="1"/>
  <c r="AC764" i="1"/>
  <c r="AD418" i="1"/>
  <c r="AC69" i="1"/>
  <c r="AC486" i="1"/>
  <c r="AD527" i="1"/>
  <c r="AC440" i="1"/>
  <c r="AC678" i="1"/>
  <c r="AC931" i="1"/>
  <c r="AD768" i="1"/>
  <c r="AC480" i="1"/>
  <c r="AC204" i="1"/>
  <c r="AC288" i="1"/>
  <c r="AC629" i="1"/>
  <c r="AC715" i="1"/>
  <c r="AD603" i="1"/>
  <c r="AC177" i="1"/>
  <c r="AC509" i="1"/>
  <c r="AC594" i="1"/>
  <c r="AC548" i="1"/>
  <c r="AC152" i="1"/>
  <c r="AC260" i="1"/>
  <c r="AC48" i="1"/>
  <c r="AD660" i="1"/>
  <c r="AC841" i="1"/>
  <c r="AC376" i="1"/>
  <c r="AD221" i="1"/>
  <c r="AC189" i="1"/>
  <c r="AD898" i="1"/>
  <c r="AC779" i="1"/>
  <c r="AC674" i="1"/>
  <c r="AC503" i="1"/>
  <c r="AD928" i="1"/>
  <c r="AC736" i="1"/>
  <c r="AC406" i="1"/>
  <c r="AD545" i="1"/>
  <c r="AC164" i="1"/>
  <c r="AC546" i="1"/>
  <c r="AC378" i="1"/>
  <c r="AD716" i="1"/>
  <c r="AD513" i="1"/>
  <c r="AC275" i="1"/>
  <c r="AD10" i="1"/>
  <c r="AC131" i="1"/>
  <c r="AC541" i="1"/>
  <c r="AD627" i="1"/>
  <c r="AC603" i="1"/>
  <c r="AC139" i="1"/>
  <c r="AD856" i="1"/>
  <c r="AD786" i="1"/>
  <c r="AD26" i="1"/>
  <c r="AD740" i="1"/>
  <c r="AC279" i="1"/>
  <c r="AC367" i="1"/>
  <c r="AD918" i="1"/>
  <c r="AD646" i="1"/>
  <c r="AD626" i="1"/>
  <c r="AC507" i="1"/>
  <c r="AD129" i="1"/>
  <c r="AC434" i="1"/>
  <c r="AC445" i="1"/>
  <c r="AC278" i="1"/>
  <c r="AD117" i="1"/>
  <c r="AD678" i="1"/>
  <c r="AC209" i="1"/>
  <c r="AC637" i="1"/>
  <c r="AD668" i="1"/>
  <c r="AD900" i="1"/>
  <c r="AC409" i="1"/>
  <c r="AC914" i="1"/>
  <c r="AD825" i="1"/>
  <c r="AD572" i="1"/>
  <c r="AC407" i="1"/>
  <c r="AD256" i="1"/>
  <c r="AC295" i="1"/>
  <c r="AD300" i="1"/>
  <c r="AC539" i="1"/>
  <c r="AC551" i="1"/>
  <c r="AC281" i="1"/>
  <c r="AD271" i="1"/>
  <c r="AC341" i="1"/>
  <c r="AD559" i="1"/>
  <c r="AC276" i="1"/>
  <c r="AC927" i="1"/>
  <c r="AC40" i="1"/>
  <c r="AC758" i="1"/>
  <c r="AD552" i="1"/>
  <c r="AC303" i="1"/>
  <c r="AD333" i="1"/>
  <c r="AD901" i="1"/>
  <c r="AD896" i="1"/>
  <c r="AC631" i="1"/>
  <c r="AC559" i="1"/>
  <c r="AD170" i="1"/>
  <c r="AC819" i="1"/>
  <c r="AD199" i="1"/>
  <c r="AD675" i="1"/>
  <c r="AD496" i="1"/>
  <c r="AD253" i="1"/>
  <c r="AD214" i="1"/>
  <c r="AC585" i="1"/>
  <c r="AC162" i="1"/>
  <c r="AC156" i="1"/>
  <c r="AC67" i="1"/>
  <c r="AD507" i="1"/>
  <c r="AC356" i="1"/>
  <c r="AC270" i="1"/>
  <c r="AD913" i="1"/>
  <c r="AD414" i="1"/>
  <c r="AC498" i="1"/>
  <c r="AC271" i="1"/>
  <c r="AD402" i="1"/>
  <c r="AC530" i="1"/>
  <c r="AD132" i="1"/>
  <c r="AC829" i="1"/>
  <c r="AC571" i="1"/>
  <c r="AC522" i="1"/>
  <c r="AC466" i="1"/>
  <c r="AD751" i="1"/>
  <c r="AD141" i="1"/>
  <c r="AC100" i="1"/>
  <c r="AD424" i="1"/>
  <c r="AC15" i="1"/>
  <c r="AD366" i="1"/>
  <c r="AD122" i="1"/>
  <c r="AC354" i="1"/>
  <c r="AC9" i="1"/>
  <c r="AC20" i="1"/>
  <c r="AD679" i="1"/>
  <c r="AC646" i="1"/>
  <c r="AC608" i="1"/>
  <c r="AD61" i="1"/>
  <c r="AD368" i="1"/>
  <c r="AC547" i="1"/>
  <c r="AC677" i="1"/>
  <c r="AC583" i="1"/>
  <c r="AD192" i="1"/>
  <c r="AD92" i="1"/>
  <c r="AD434" i="1"/>
  <c r="AC684" i="1"/>
  <c r="AD24" i="1"/>
  <c r="AC297" i="1"/>
  <c r="AD846" i="1"/>
  <c r="AC668" i="1"/>
  <c r="AD305" i="1"/>
  <c r="AC141" i="1"/>
  <c r="AC313" i="1"/>
  <c r="AD593" i="1"/>
  <c r="AD47" i="1"/>
  <c r="AD828" i="1"/>
  <c r="AC650" i="1"/>
  <c r="AC580" i="1"/>
  <c r="AC247" i="1"/>
  <c r="AD446" i="1"/>
  <c r="AD899" i="1"/>
  <c r="AC302" i="1"/>
  <c r="AD209" i="1"/>
  <c r="AD283" i="1"/>
  <c r="AD602" i="1"/>
  <c r="AD237" i="1"/>
  <c r="AC661" i="1"/>
  <c r="AD452" i="1"/>
  <c r="AC595" i="1"/>
  <c r="AC639" i="1"/>
  <c r="AC96" i="1"/>
  <c r="AC183" i="1"/>
  <c r="AD889" i="1"/>
  <c r="AC248" i="1"/>
  <c r="AD126" i="1"/>
  <c r="AD711" i="1"/>
  <c r="AC489" i="1"/>
  <c r="AD443" i="1"/>
  <c r="AC287" i="1"/>
  <c r="AC496" i="1"/>
  <c r="AD639" i="1"/>
  <c r="AC886" i="1"/>
  <c r="AC750" i="1"/>
  <c r="AD168" i="1"/>
  <c r="AC513" i="1"/>
  <c r="AD432" i="1"/>
  <c r="AD416" i="1"/>
  <c r="AD296" i="1"/>
  <c r="AD111" i="1"/>
  <c r="AD636" i="1"/>
  <c r="AD406" i="1"/>
  <c r="AD729" i="1"/>
  <c r="AC296" i="1"/>
  <c r="AD462" i="1"/>
  <c r="AC790" i="1"/>
  <c r="AC679" i="1"/>
  <c r="AC282" i="1"/>
  <c r="AC442" i="1"/>
  <c r="AD185" i="1"/>
  <c r="AD239" i="1"/>
  <c r="AD485" i="1"/>
  <c r="AD236" i="1"/>
  <c r="AD674" i="1"/>
  <c r="AC163" i="1"/>
  <c r="AD312" i="1"/>
  <c r="AC231" i="1"/>
  <c r="AD202" i="1"/>
  <c r="AC918" i="1"/>
  <c r="AC226" i="1"/>
  <c r="AC355" i="1"/>
  <c r="AD104" i="1"/>
  <c r="AC326" i="1"/>
  <c r="AC197" i="1"/>
  <c r="AD195" i="1"/>
  <c r="AD453" i="1"/>
  <c r="AC192" i="1"/>
  <c r="AD478" i="1"/>
  <c r="AD719" i="1"/>
  <c r="AD206" i="1"/>
  <c r="AD495" i="1"/>
  <c r="AC864" i="1"/>
  <c r="AC785" i="1"/>
  <c r="AC695" i="1"/>
  <c r="AC173" i="1"/>
  <c r="AC93" i="1"/>
  <c r="AC778" i="1"/>
  <c r="AD501" i="1"/>
  <c r="AC643" i="1"/>
  <c r="AD717" i="1"/>
  <c r="AC22" i="1"/>
  <c r="AD165" i="1"/>
  <c r="AC866" i="1"/>
  <c r="AD433" i="1"/>
  <c r="AD390" i="1"/>
  <c r="AC473" i="1"/>
  <c r="AD234" i="1"/>
  <c r="AC911" i="1"/>
  <c r="AD588" i="1"/>
  <c r="AC301" i="1"/>
  <c r="AC925" i="1"/>
  <c r="AD613" i="1"/>
  <c r="AD669" i="1"/>
  <c r="AD758" i="1"/>
  <c r="AD44" i="1"/>
  <c r="AD384" i="1"/>
  <c r="AC723" i="1"/>
  <c r="AD924" i="1"/>
  <c r="AC740" i="1"/>
  <c r="AC488" i="1"/>
  <c r="AC458" i="1"/>
  <c r="AD685" i="1"/>
  <c r="AD38" i="1"/>
  <c r="AD566" i="1"/>
  <c r="AD284" i="1"/>
  <c r="AD761" i="1"/>
  <c r="AC501" i="1"/>
  <c r="AC171" i="1"/>
  <c r="AC210" i="1"/>
  <c r="AC635" i="1"/>
  <c r="AC214" i="1"/>
  <c r="AD244" i="1"/>
  <c r="AC394" i="1"/>
  <c r="AC291" i="1"/>
  <c r="AD121" i="1"/>
  <c r="AC431" i="1"/>
  <c r="AC54" i="1"/>
  <c r="AD164" i="1"/>
  <c r="AD686" i="1"/>
  <c r="AD116" i="1"/>
  <c r="AC250" i="1"/>
  <c r="AD733" i="1"/>
  <c r="AD558" i="1"/>
  <c r="AC151" i="1"/>
  <c r="AC92" i="1"/>
  <c r="AD754" i="1"/>
  <c r="AD579" i="1"/>
  <c r="AC602" i="1"/>
  <c r="AC268" i="1"/>
  <c r="AC863" i="1"/>
  <c r="AC504" i="1"/>
  <c r="AC253" i="1"/>
  <c r="AD709" i="1"/>
  <c r="AC6" i="1"/>
  <c r="AD784" i="1"/>
  <c r="AC793" i="1"/>
  <c r="AC364" i="1"/>
  <c r="AD787" i="1"/>
  <c r="AC880" i="1"/>
  <c r="AC64" i="1"/>
  <c r="AC855" i="1"/>
  <c r="AC57" i="1"/>
  <c r="AC590" i="1"/>
  <c r="AC86" i="1"/>
  <c r="AC572" i="1"/>
  <c r="AD353" i="1"/>
  <c r="AC126" i="1"/>
  <c r="AC878" i="1"/>
  <c r="AD652" i="1"/>
  <c r="AD875" i="1"/>
  <c r="AC543" i="1"/>
  <c r="AD742" i="1"/>
  <c r="AD529" i="1"/>
  <c r="AC201" i="1"/>
  <c r="AC294" i="1"/>
  <c r="AD43" i="1"/>
  <c r="AD663" i="1"/>
  <c r="AD159" i="1"/>
  <c r="AD701" i="1"/>
  <c r="AD88" i="1"/>
  <c r="AC262" i="1"/>
  <c r="AC815" i="1"/>
  <c r="AC300" i="1"/>
  <c r="AC676" i="1"/>
  <c r="AC109" i="1"/>
  <c r="AC261" i="1"/>
  <c r="AC176" i="1"/>
  <c r="AC765" i="1"/>
  <c r="AC17" i="1"/>
  <c r="AC366" i="1"/>
  <c r="AD667" i="1"/>
  <c r="AD193" i="1"/>
  <c r="AD260" i="1"/>
  <c r="AC368" i="1"/>
  <c r="AC926" i="1"/>
  <c r="AD864" i="1"/>
  <c r="AD31" i="1"/>
  <c r="AD618" i="1"/>
  <c r="AC110" i="1"/>
  <c r="AD448" i="1"/>
  <c r="AC432" i="1"/>
  <c r="AD330" i="1"/>
  <c r="AC867" i="1"/>
  <c r="AC657" i="1"/>
  <c r="AC234" i="1"/>
  <c r="AD76" i="1"/>
  <c r="AD522" i="1"/>
  <c r="AD847" i="1"/>
  <c r="AD308" i="1"/>
  <c r="AC847" i="1"/>
  <c r="AC738" i="1"/>
  <c r="AC290" i="1"/>
  <c r="AC448" i="1"/>
  <c r="AD683" i="1"/>
  <c r="AD672" i="1"/>
  <c r="AD210" i="1"/>
  <c r="AC357" i="1"/>
  <c r="AC265" i="1"/>
  <c r="AC848" i="1"/>
  <c r="AD915" i="1"/>
  <c r="AD42" i="1"/>
  <c r="AC709" i="1"/>
  <c r="AD780" i="1"/>
  <c r="AC565" i="1"/>
  <c r="AC90" i="1"/>
  <c r="AC923" i="1"/>
  <c r="AC563" i="1"/>
  <c r="AD457" i="1"/>
  <c r="AD819" i="1"/>
  <c r="AD184" i="1"/>
  <c r="AD404" i="1"/>
  <c r="AD911" i="1"/>
  <c r="AD327" i="1"/>
  <c r="AD255" i="1"/>
  <c r="AD516" i="1"/>
  <c r="AD914" i="1"/>
  <c r="AC688" i="1"/>
  <c r="AD604" i="1"/>
  <c r="AC127" i="1"/>
  <c r="AC906" i="1"/>
  <c r="AC229" i="1"/>
  <c r="AD776" i="1"/>
  <c r="AC788" i="1"/>
  <c r="AC567" i="1"/>
  <c r="AC94" i="1"/>
  <c r="AD815" i="1"/>
  <c r="AD480" i="1"/>
  <c r="AD399" i="1"/>
  <c r="AC469" i="1"/>
  <c r="AD692" i="1"/>
  <c r="AD144" i="1"/>
  <c r="AC266" i="1"/>
  <c r="AD824" i="1"/>
  <c r="AC869" i="1"/>
  <c r="AD812" i="1"/>
  <c r="AD504" i="1"/>
  <c r="AD348" i="1"/>
  <c r="AC384" i="1"/>
  <c r="AC438" i="1"/>
  <c r="AG931" i="1"/>
  <c r="AD315" i="1"/>
  <c r="AC544" i="1"/>
  <c r="AC766" i="1"/>
  <c r="AD226" i="1"/>
  <c r="AC123" i="1"/>
  <c r="AD882" i="1"/>
  <c r="AC928" i="1"/>
  <c r="AD177" i="1"/>
  <c r="AD782" i="1"/>
  <c r="AD178" i="1"/>
  <c r="AC780" i="1"/>
  <c r="AC662" i="1"/>
  <c r="AC908" i="1"/>
  <c r="AC827" i="1"/>
  <c r="AD644" i="1"/>
  <c r="AC749" i="1"/>
  <c r="AC506" i="1"/>
  <c r="AC876" i="1"/>
  <c r="AC665" i="1"/>
  <c r="AD410" i="1"/>
  <c r="AD764" i="1"/>
  <c r="AD666" i="1"/>
  <c r="AD200" i="1"/>
  <c r="AD738" i="1"/>
  <c r="AD151" i="1"/>
  <c r="AD40" i="1"/>
  <c r="AD294" i="1"/>
  <c r="AC80" i="1"/>
  <c r="AC669" i="1"/>
  <c r="AC822" i="1"/>
  <c r="AC44" i="1"/>
  <c r="AC242" i="1"/>
  <c r="AD445" i="1"/>
  <c r="AD651" i="1"/>
  <c r="AC19" i="1"/>
  <c r="AC808" i="1"/>
  <c r="AC701" i="1"/>
  <c r="AC455" i="1"/>
  <c r="AD22" i="1"/>
  <c r="AD710" i="1"/>
  <c r="AC485" i="1"/>
  <c r="AC656" i="1"/>
  <c r="AD66" i="1"/>
  <c r="AD555" i="1"/>
  <c r="AC672" i="1"/>
  <c r="AD211" i="1"/>
  <c r="AD707" i="1"/>
  <c r="AC769" i="1"/>
  <c r="AC350" i="1"/>
  <c r="AC263" i="1"/>
  <c r="AD326" i="1"/>
  <c r="AD428" i="1"/>
  <c r="AD364" i="1"/>
  <c r="AC905" i="1"/>
  <c r="AD186" i="1"/>
  <c r="AC12" i="1"/>
  <c r="AC856" i="1"/>
  <c r="AD878" i="1"/>
  <c r="AC106" i="1"/>
  <c r="AC380" i="1"/>
  <c r="AC929" i="1"/>
  <c r="AC725" i="1"/>
  <c r="AD574" i="1"/>
  <c r="AC852" i="1"/>
  <c r="AC755" i="1"/>
  <c r="AC121" i="1"/>
  <c r="AC787" i="1"/>
  <c r="AC483" i="1"/>
  <c r="AD512" i="1"/>
  <c r="AD605" i="1"/>
  <c r="AD74" i="1"/>
  <c r="AD230" i="1"/>
  <c r="AD577" i="1"/>
  <c r="AD586" i="1"/>
  <c r="AD798" i="1"/>
  <c r="AD367" i="1"/>
  <c r="AD557" i="1"/>
  <c r="AC562" i="1"/>
  <c r="AD763" i="1"/>
  <c r="AC651" i="1"/>
  <c r="AC433" i="1"/>
  <c r="AC387" i="1"/>
  <c r="AD526" i="1"/>
  <c r="AD48" i="1"/>
  <c r="AD349" i="1"/>
  <c r="AD173" i="1"/>
  <c r="AD340" i="1"/>
  <c r="AC882" i="1"/>
  <c r="AC837" i="1"/>
  <c r="AD654" i="1"/>
  <c r="AC62" i="1"/>
  <c r="AC558" i="1"/>
  <c r="AC690" i="1"/>
  <c r="AD109" i="1"/>
  <c r="AD818" i="1"/>
  <c r="AD41" i="1"/>
  <c r="AC600" i="1"/>
  <c r="AD175" i="1"/>
  <c r="AD94" i="1"/>
  <c r="AD870" i="1"/>
  <c r="AD336" i="1"/>
  <c r="AC904" i="1"/>
  <c r="AC174" i="1"/>
  <c r="AD874" i="1"/>
  <c r="AD93" i="1"/>
  <c r="AD777" i="1"/>
  <c r="AD363" i="1"/>
  <c r="AD334" i="1"/>
  <c r="AC771" i="1"/>
  <c r="AD925" i="1"/>
  <c r="AD64" i="1"/>
  <c r="AC77" i="1"/>
  <c r="AD68" i="1"/>
  <c r="AD676" i="1"/>
  <c r="AC211" i="1"/>
  <c r="AC149" i="1"/>
  <c r="AD450" i="1"/>
  <c r="AC113" i="1"/>
  <c r="AD100" i="1"/>
  <c r="AC613" i="1"/>
  <c r="AD568" i="1"/>
  <c r="AD355" i="1"/>
  <c r="AC46" i="1"/>
  <c r="AC887" i="1"/>
  <c r="AC370" i="1"/>
  <c r="AD133" i="1"/>
  <c r="AD160" i="1"/>
  <c r="AC414" i="1"/>
  <c r="AD299" i="1"/>
  <c r="AD486" i="1"/>
  <c r="AD548" i="1"/>
  <c r="AC159" i="1"/>
  <c r="AD530" i="1"/>
  <c r="AC143" i="1"/>
  <c r="AC614" i="1"/>
  <c r="AD422" i="1"/>
  <c r="AD807" i="1"/>
  <c r="AD514" i="1"/>
  <c r="AC813" i="1"/>
  <c r="AC84" i="1"/>
  <c r="AC917" i="1"/>
  <c r="AC7" i="1"/>
  <c r="AD119" i="1"/>
  <c r="AC733" i="1"/>
  <c r="AC332" i="1"/>
  <c r="AD466" i="1"/>
  <c r="AC811" i="1"/>
  <c r="AC645" i="1"/>
  <c r="AC245" i="1"/>
  <c r="AC142" i="1"/>
  <c r="AC191" i="1"/>
  <c r="AD832" i="1"/>
  <c r="AC258" i="1"/>
  <c r="AC471" i="1"/>
  <c r="AD113" i="1"/>
  <c r="AD481" i="1"/>
  <c r="AC554" i="1"/>
  <c r="AC726" i="1"/>
  <c r="AD268" i="1"/>
  <c r="AD735" i="1"/>
  <c r="AD531" i="1"/>
  <c r="AD7" i="1"/>
  <c r="A932" i="1"/>
  <c r="AD778" i="1"/>
  <c r="AD233" i="1"/>
  <c r="AC868" i="1"/>
  <c r="AD597" i="1"/>
  <c r="AD705" i="1"/>
  <c r="AD664" i="1"/>
  <c r="AC776" i="1"/>
  <c r="AD383" i="1"/>
  <c r="AC306" i="1"/>
  <c r="AC853" i="1"/>
  <c r="AD196" i="1"/>
  <c r="AD3" i="1"/>
  <c r="AC891" i="1"/>
  <c r="AD9" i="1"/>
  <c r="AD108" i="1"/>
  <c r="AD765" i="1"/>
  <c r="AD852" i="1"/>
  <c r="AC843" i="1"/>
  <c r="AC634" i="1"/>
  <c r="AD698" i="1"/>
  <c r="AD518" i="1"/>
  <c r="AD608" i="1"/>
  <c r="AC377" i="1"/>
  <c r="AD269" i="1"/>
  <c r="AD183" i="1"/>
  <c r="N2" i="2"/>
  <c r="AD301" i="1"/>
  <c r="AC391" i="1"/>
  <c r="AD827" i="1"/>
  <c r="AD438" i="1"/>
  <c r="AD554" i="1"/>
  <c r="AD849" i="1"/>
  <c r="AD347" i="1"/>
  <c r="AD539" i="1"/>
  <c r="AC185" i="1"/>
  <c r="AC68" i="1"/>
  <c r="AD688" i="1"/>
  <c r="AC775" i="1"/>
  <c r="AC3" i="1"/>
  <c r="AC422" i="1"/>
  <c r="AD797" i="1"/>
  <c r="AD802" i="1"/>
  <c r="AD650" i="1"/>
  <c r="AC497" i="1"/>
  <c r="AC731" i="1"/>
  <c r="AD293" i="1"/>
  <c r="AC874" i="1"/>
  <c r="AC747" i="1"/>
  <c r="AC644" i="1"/>
  <c r="AC687" i="1"/>
  <c r="AD534" i="1"/>
  <c r="AC899" i="1"/>
  <c r="AC111" i="1"/>
  <c r="AC252" i="1"/>
  <c r="AD744" i="1"/>
  <c r="AD146" i="1"/>
  <c r="AD247" i="1"/>
  <c r="AD15" i="1"/>
  <c r="AD581" i="1"/>
  <c r="AC524" i="1"/>
  <c r="AC102" i="1"/>
  <c r="AD726" i="1"/>
  <c r="AD208" i="1"/>
  <c r="AC98" i="1"/>
  <c r="AD890" i="1"/>
  <c r="AD405" i="1"/>
  <c r="AC592" i="1"/>
  <c r="AC777" i="1"/>
  <c r="AD459" i="1"/>
  <c r="AD637" i="1"/>
  <c r="AD642" i="1"/>
  <c r="AC912" i="1"/>
  <c r="AD868" i="1"/>
  <c r="AD263" i="1"/>
  <c r="AD249" i="1"/>
  <c r="AC753" i="1"/>
  <c r="AC330" i="1"/>
  <c r="AC361" i="1"/>
  <c r="AC284" i="1"/>
  <c r="AC720" i="1"/>
  <c r="AC584" i="1"/>
  <c r="AD11" i="1"/>
  <c r="AC11" i="1"/>
  <c r="AD204" i="1"/>
  <c r="AC144" i="1"/>
  <c r="AD769" i="1"/>
  <c r="AC342" i="1"/>
  <c r="AC457" i="1"/>
  <c r="AD317" i="1"/>
  <c r="AC622" i="1"/>
  <c r="AC801" i="1"/>
  <c r="AD436" i="1"/>
  <c r="AC315" i="1"/>
  <c r="AD487" i="1"/>
  <c r="AD648" i="1"/>
  <c r="AD631" i="1"/>
  <c r="AD78" i="1"/>
  <c r="AC241" i="1"/>
  <c r="AD753" i="1"/>
  <c r="AC50" i="1"/>
  <c r="AC325" i="1"/>
  <c r="AD102" i="1"/>
  <c r="AC383" i="1"/>
  <c r="AC658" i="1"/>
  <c r="AC34" i="1"/>
  <c r="AD229" i="1"/>
  <c r="AC508" i="1"/>
  <c r="AC428" i="1"/>
  <c r="AC136" i="1"/>
  <c r="AD290" i="1"/>
  <c r="AD858" i="1"/>
  <c r="AD396" i="1"/>
  <c r="AC784" i="1"/>
  <c r="AC206" i="1"/>
  <c r="AD479" i="1"/>
  <c r="AC147" i="1"/>
  <c r="C2" i="2"/>
  <c r="AC334" i="1"/>
  <c r="AD407" i="1"/>
  <c r="AC705" i="1"/>
  <c r="AC47" i="1"/>
  <c r="AD123" i="1"/>
  <c r="AC138" i="1"/>
  <c r="AD71" i="1"/>
  <c r="AD223" i="1"/>
  <c r="AD39" i="1"/>
  <c r="AC596" i="1"/>
  <c r="AD503" i="1"/>
  <c r="AD148" i="1"/>
  <c r="AD198" i="1"/>
  <c r="AC333" i="1"/>
  <c r="AD343" i="1"/>
  <c r="AD877" i="1"/>
  <c r="AC233" i="1"/>
  <c r="AD112" i="1"/>
  <c r="AD830" i="1"/>
  <c r="AD149" i="1"/>
  <c r="AC883" i="1"/>
  <c r="AC683" i="1"/>
  <c r="AC160" i="1"/>
  <c r="AC175" i="1"/>
  <c r="J85" i="2"/>
  <c r="AC817" i="1"/>
  <c r="AD309" i="1"/>
  <c r="AC148" i="1"/>
  <c r="AD154" i="1"/>
  <c r="AC532" i="1"/>
  <c r="AC207" i="1"/>
  <c r="AD365" i="1"/>
  <c r="AD543" i="1"/>
  <c r="AD152" i="1"/>
  <c r="AC510" i="1"/>
  <c r="AC82" i="1"/>
  <c r="AD591" i="1"/>
  <c r="AD358" i="1"/>
  <c r="AC181" i="1"/>
  <c r="AD409" i="1"/>
  <c r="AC531" i="1"/>
  <c r="AD926" i="1"/>
  <c r="AD376" i="1"/>
  <c r="AD861" i="1"/>
  <c r="AD813" i="1"/>
  <c r="AC75" i="1"/>
  <c r="AC129" i="1"/>
  <c r="AC299" i="1"/>
  <c r="AC760" i="1"/>
  <c r="AD521" i="1"/>
  <c r="AD546" i="1"/>
  <c r="AC60" i="1"/>
  <c r="AD681" i="1"/>
  <c r="AD540" i="1"/>
  <c r="AD860" i="1"/>
  <c r="AD36" i="1"/>
  <c r="AC577" i="1"/>
  <c r="AC535" i="1"/>
  <c r="AD273" i="1"/>
  <c r="AC389" i="1"/>
  <c r="AC711" i="1"/>
  <c r="AD350" i="1"/>
  <c r="AD741" i="1"/>
  <c r="AC767" i="1"/>
  <c r="AC237" i="1"/>
  <c r="AD52" i="1"/>
  <c r="AC257" i="1"/>
  <c r="AC186" i="1"/>
  <c r="AC781" i="1"/>
  <c r="AD689" i="1"/>
  <c r="AC321" i="1"/>
  <c r="AD662" i="1"/>
  <c r="AD187" i="1"/>
  <c r="AC413" i="1"/>
  <c r="AC157" i="1"/>
  <c r="AD528" i="1"/>
  <c r="AC756" i="1"/>
  <c r="AD737" i="1"/>
  <c r="AC550" i="1"/>
  <c r="AD553" i="1"/>
  <c r="AD808" i="1"/>
  <c r="AC830" i="1"/>
  <c r="AD565" i="1"/>
  <c r="AC363" i="1"/>
  <c r="AD845" i="1"/>
  <c r="AD280" i="1"/>
  <c r="AC454" i="1"/>
  <c r="AD657" i="1"/>
  <c r="AD392" i="1"/>
  <c r="AC285" i="1"/>
  <c r="AC881" i="1"/>
  <c r="AC416" i="1"/>
  <c r="AD413" i="1"/>
  <c r="AC511" i="1"/>
  <c r="AC849" i="1"/>
  <c r="AD509" i="1"/>
  <c r="AD645" i="1"/>
  <c r="AC477" i="1"/>
  <c r="AD839" i="1"/>
  <c r="AD866" i="1"/>
  <c r="AC655" i="1"/>
  <c r="AC597" i="1"/>
  <c r="AD136" i="1"/>
  <c r="AD867" i="1"/>
  <c r="AD339" i="1"/>
  <c r="AD172" i="1"/>
  <c r="AC604" i="1"/>
  <c r="AC33" i="1"/>
  <c r="AC401" i="1"/>
  <c r="AC828" i="1"/>
  <c r="AD677" i="1"/>
  <c r="AC667" i="1"/>
  <c r="AD369" i="1"/>
  <c r="AC713" i="1"/>
  <c r="AC411" i="1"/>
  <c r="AD60" i="1"/>
  <c r="AC374" i="1"/>
  <c r="AD124" i="1"/>
  <c r="AC593" i="1"/>
  <c r="AC724" i="1"/>
  <c r="AD441" i="1"/>
  <c r="AC889" i="1"/>
  <c r="AD389" i="1"/>
  <c r="AD51" i="1"/>
  <c r="AD841" i="1"/>
  <c r="AC227" i="1"/>
  <c r="AD385" i="1"/>
  <c r="AD821" i="1"/>
  <c r="AD278" i="1"/>
  <c r="AD730" i="1"/>
  <c r="AD307" i="1"/>
  <c r="AD288" i="1"/>
  <c r="AC305" i="1"/>
  <c r="AC158" i="1"/>
  <c r="AC337" i="1"/>
  <c r="AC919" i="1"/>
  <c r="AD156" i="1"/>
  <c r="AC502" i="1"/>
  <c r="AC913" i="1"/>
  <c r="AD494" i="1"/>
  <c r="AC846" i="1"/>
  <c r="AD33" i="1"/>
  <c r="AD491" i="1"/>
  <c r="AD469" i="1"/>
  <c r="AC902" i="1"/>
  <c r="AC256" i="1"/>
  <c r="AD483" i="1"/>
  <c r="AD96" i="1"/>
  <c r="AD225" i="1"/>
  <c r="AC311" i="1"/>
  <c r="AD276" i="1"/>
  <c r="AC36" i="1"/>
  <c r="AC623" i="1"/>
  <c r="AD4" i="1"/>
  <c r="AC216" i="1"/>
  <c r="AC392" i="1"/>
  <c r="AC399" i="1"/>
  <c r="AD106" i="1"/>
  <c r="AD570" i="1"/>
  <c r="AD576" i="1"/>
  <c r="AC240" i="1"/>
  <c r="AC493" i="1"/>
  <c r="AC675" i="1"/>
  <c r="AC742" i="1"/>
  <c r="AC901" i="1"/>
  <c r="AD354" i="1"/>
  <c r="AD903" i="1"/>
  <c r="AC884" i="1"/>
  <c r="AC893" i="1"/>
  <c r="AC832" i="1"/>
  <c r="AC652" i="1"/>
  <c r="AC620" i="1"/>
  <c r="AC839" i="1"/>
  <c r="AD212" i="1"/>
  <c r="AD788" i="1"/>
  <c r="AC371" i="1"/>
  <c r="AD542" i="1"/>
  <c r="AC529" i="1"/>
  <c r="AD851" i="1"/>
  <c r="AD87" i="1"/>
  <c r="AC861" i="1"/>
  <c r="AD888" i="1"/>
  <c r="AD264" i="1"/>
  <c r="AC104" i="1"/>
  <c r="AD869" i="1"/>
  <c r="AD910" i="1"/>
  <c r="AD628" i="1"/>
  <c r="AC586" i="1"/>
  <c r="AC627" i="1"/>
  <c r="AC826" i="1"/>
  <c r="AC10" i="1"/>
  <c r="AC481" i="1"/>
  <c r="AC124" i="1"/>
  <c r="AC249" i="1"/>
  <c r="AC336" i="1"/>
  <c r="AD876" i="1"/>
  <c r="AD464" i="1"/>
  <c r="AC689" i="1"/>
  <c r="AD881" i="1"/>
  <c r="AD319" i="1"/>
  <c r="AD134" i="1"/>
  <c r="AC527" i="1"/>
  <c r="AD814" i="1"/>
  <c r="AC825" i="1"/>
  <c r="AD281" i="1"/>
  <c r="AC130" i="1"/>
  <c r="AC748" i="1"/>
  <c r="AD454" i="1"/>
  <c r="AD703" i="1"/>
  <c r="AD670" i="1"/>
  <c r="AD497" i="1"/>
  <c r="AD630" i="1"/>
  <c r="AD843" i="1"/>
  <c r="AD391" i="1"/>
  <c r="AC568" i="1"/>
  <c r="AD49" i="1"/>
  <c r="AC789" i="1"/>
  <c r="AC133" i="1"/>
  <c r="AC898" i="1"/>
  <c r="AC505" i="1"/>
  <c r="AD872" i="1"/>
  <c r="AC41" i="1"/>
  <c r="AC78" i="1"/>
  <c r="AD923" i="1"/>
  <c r="AD623" i="1"/>
  <c r="AD904" i="1"/>
  <c r="AD191" i="1"/>
  <c r="AC329" i="1"/>
  <c r="AD442" i="1"/>
  <c r="AD791" i="1"/>
  <c r="AD920" i="1"/>
  <c r="AD431" i="1"/>
  <c r="AD884" i="1"/>
  <c r="AD789" i="1"/>
  <c r="AD505" i="1"/>
  <c r="AC745" i="1"/>
  <c r="AD749" i="1"/>
  <c r="AD587" i="1"/>
  <c r="AC273" i="1"/>
  <c r="AD73" i="1"/>
  <c r="AD275" i="1"/>
  <c r="AD755" i="1"/>
  <c r="AD231" i="1"/>
  <c r="AC38" i="1"/>
  <c r="AC51" i="1"/>
  <c r="AD346" i="1"/>
  <c r="AC859" i="1"/>
  <c r="AC900" i="1"/>
  <c r="AD745" i="1"/>
  <c r="AD138" i="1"/>
  <c r="AC796" i="1"/>
  <c r="AD380" i="1"/>
  <c r="AD341" i="1"/>
  <c r="AD917" i="1"/>
  <c r="AC286" i="1"/>
  <c r="AD547" i="1"/>
  <c r="AC137" i="1"/>
  <c r="AD378" i="1"/>
  <c r="AD475" i="1"/>
  <c r="AD873" i="1"/>
  <c r="AC155" i="1"/>
  <c r="AD270" i="1"/>
  <c r="AC903" i="1"/>
  <c r="AC794" i="1"/>
  <c r="AD806" i="1"/>
  <c r="AD131" i="1"/>
  <c r="AC536" i="1"/>
  <c r="AC681" i="1"/>
  <c r="AD143" i="1"/>
  <c r="AC328" i="1"/>
  <c r="AD322" i="1"/>
  <c r="AC698" i="1"/>
  <c r="AC492" i="1"/>
  <c r="AC396" i="1"/>
  <c r="AD714" i="1"/>
  <c r="AD611" i="1"/>
  <c r="AD477" i="1"/>
  <c r="AC353" i="1"/>
  <c r="AC193" i="1"/>
  <c r="AD440" i="1"/>
  <c r="AC26" i="1"/>
  <c r="AD377" i="1"/>
  <c r="AD584" i="1"/>
  <c r="AC820" i="1"/>
  <c r="AD567" i="1"/>
  <c r="AC74" i="1"/>
  <c r="AD655" i="1"/>
  <c r="AC221" i="1"/>
  <c r="AC707" i="1"/>
  <c r="AC660" i="1"/>
  <c r="AC200" i="1"/>
  <c r="AD19" i="1"/>
  <c r="AD767" i="1"/>
  <c r="AD332" i="1"/>
  <c r="AC730" i="1"/>
  <c r="AC640" i="1"/>
  <c r="AC308" i="1"/>
  <c r="AD929" i="1"/>
  <c r="AC324" i="1"/>
  <c r="AD137" i="1"/>
  <c r="AD82" i="1"/>
  <c r="AC821" i="1"/>
  <c r="AD114" i="1"/>
  <c r="AD291" i="1"/>
  <c r="AC456" i="1"/>
  <c r="AD298" i="1"/>
  <c r="AC566" i="1"/>
  <c r="AC495" i="1"/>
  <c r="AD829" i="1"/>
  <c r="AC754" i="1"/>
  <c r="AD887" i="1"/>
  <c r="AD75" i="1"/>
  <c r="AD643" i="1"/>
  <c r="AD373" i="1"/>
  <c r="AC703" i="1"/>
  <c r="AD715" i="1"/>
  <c r="AC307" i="1"/>
  <c r="AD690" i="1"/>
  <c r="AC264" i="1"/>
  <c r="AC251" i="1"/>
  <c r="AD257" i="1"/>
  <c r="AD80" i="1"/>
  <c r="AD500" i="1"/>
  <c r="AC519" i="1"/>
  <c r="AC797" i="1"/>
  <c r="AD927" i="1"/>
  <c r="AD250" i="1"/>
  <c r="AC132" i="1"/>
  <c r="AD859" i="1"/>
  <c r="AC404" i="1"/>
  <c r="AC468" i="1"/>
  <c r="AD286" i="1"/>
  <c r="AD361" i="1"/>
  <c r="AD325" i="1"/>
  <c r="AC718" i="1"/>
  <c r="AC180" i="1"/>
  <c r="AC239" i="1"/>
  <c r="AD456" i="1"/>
  <c r="AD490" i="1"/>
  <c r="AD13" i="1"/>
  <c r="AC424" i="1"/>
  <c r="AC259" i="1"/>
  <c r="AD720" i="1"/>
  <c r="AD728" i="1"/>
  <c r="AD850" i="1"/>
  <c r="AC806" i="1"/>
  <c r="AC475" i="1"/>
  <c r="AC195" i="1"/>
  <c r="AD174" i="1"/>
  <c r="AD506" i="1"/>
  <c r="AC542" i="1"/>
  <c r="AD573" i="1"/>
  <c r="AC706" i="1"/>
  <c r="AD489" i="1"/>
  <c r="AD632" i="1"/>
  <c r="AD752" i="1"/>
  <c r="AC533" i="1"/>
  <c r="AD242" i="1"/>
  <c r="AC298" i="1"/>
  <c r="AD569" i="1"/>
  <c r="AD57" i="1"/>
  <c r="AC670" i="1"/>
  <c r="AC795" i="1"/>
  <c r="AD311" i="1"/>
  <c r="AC274" i="1"/>
  <c r="AC772" i="1"/>
  <c r="AC199" i="1"/>
  <c r="AC664" i="1"/>
  <c r="AD687" i="1"/>
  <c r="AC528" i="1"/>
  <c r="AD190" i="1"/>
  <c r="AD502" i="1"/>
  <c r="AC786" i="1"/>
  <c r="AD63" i="1"/>
  <c r="AD607" i="1"/>
  <c r="AD585" i="1"/>
  <c r="AC605" i="1"/>
  <c r="AC552" i="1"/>
  <c r="AC369" i="1"/>
  <c r="AC408" i="1"/>
  <c r="AD197" i="1"/>
  <c r="AD599" i="1"/>
  <c r="AC708" i="1"/>
  <c r="AC561" i="1"/>
  <c r="AC236" i="1"/>
  <c r="AD706" i="1"/>
  <c r="AC73" i="1"/>
  <c r="AC538" i="1"/>
  <c r="AD863" i="1"/>
  <c r="AD285" i="1"/>
  <c r="AD800" i="1"/>
  <c r="AC877" i="1"/>
  <c r="AC322" i="1"/>
  <c r="AC153" i="1"/>
  <c r="AC312" i="1"/>
  <c r="AC427" i="1"/>
  <c r="AC66" i="1"/>
  <c r="AC557" i="1"/>
  <c r="AD182" i="1"/>
  <c r="AC680" i="1"/>
  <c r="AD279" i="1"/>
  <c r="AD29" i="1"/>
  <c r="AC728" i="1"/>
  <c r="AC581" i="1"/>
  <c r="AC441" i="1"/>
  <c r="AC31" i="1"/>
  <c r="AC61" i="1"/>
  <c r="AD561" i="1"/>
  <c r="AD426" i="1"/>
  <c r="AC540" i="1"/>
  <c r="AD493" i="1"/>
  <c r="AD779" i="1"/>
  <c r="AD158" i="1"/>
  <c r="AC453" i="1"/>
  <c r="AC599" i="1"/>
  <c r="AC802" i="1"/>
  <c r="AC425" i="1"/>
  <c r="AC88" i="1"/>
  <c r="AD550" i="1"/>
  <c r="AC170" i="1"/>
  <c r="AD718" i="1"/>
  <c r="AC430" i="1"/>
  <c r="AC462" i="1"/>
  <c r="AC632" i="1"/>
  <c r="AC208" i="1"/>
  <c r="AD492" i="1"/>
  <c r="AC870" i="1"/>
  <c r="AD171" i="1"/>
  <c r="AD157" i="1"/>
  <c r="AD248" i="1"/>
  <c r="AD463" i="1"/>
  <c r="AC280" i="1"/>
  <c r="AC719" i="1"/>
  <c r="AD473" i="1"/>
  <c r="AC349" i="1"/>
  <c r="AD891" i="1"/>
  <c r="AC71" i="1"/>
  <c r="AC49" i="1"/>
  <c r="AC579" i="1"/>
  <c r="AC628" i="1"/>
  <c r="AD180" i="1"/>
  <c r="AD329" i="1"/>
  <c r="AD265" i="1"/>
  <c r="AD536" i="1"/>
  <c r="AD488" i="1"/>
  <c r="AC636" i="1"/>
  <c r="AC798" i="1"/>
  <c r="AD401" i="1"/>
  <c r="AC426" i="1"/>
  <c r="AC804" i="1"/>
  <c r="AD101" i="1"/>
  <c r="AC860" i="1"/>
  <c r="AD834" i="1"/>
  <c r="AC494" i="1"/>
  <c r="AC500" i="1"/>
  <c r="AC13" i="1"/>
  <c r="AD302" i="1"/>
  <c r="AC405" i="1"/>
  <c r="AD313" i="1"/>
  <c r="AC446" i="1"/>
  <c r="AC922" i="1"/>
  <c r="AC653" i="1"/>
  <c r="AC686" i="1"/>
  <c r="AD871" i="1"/>
  <c r="AC140" i="1"/>
  <c r="AC165" i="1"/>
  <c r="AC178" i="1"/>
  <c r="AD865" i="1"/>
  <c r="AC761" i="1"/>
  <c r="AC358" i="1"/>
  <c r="AC443" i="1"/>
  <c r="AD167" i="1"/>
  <c r="AC340" i="1"/>
  <c r="AD908" i="1"/>
  <c r="AD723" i="1"/>
  <c r="AC873" i="1"/>
  <c r="AC56" i="1"/>
  <c r="AD98" i="1"/>
  <c r="AD538" i="1"/>
  <c r="AD181" i="1"/>
  <c r="AD238" i="1"/>
  <c r="AD259" i="1"/>
  <c r="AC616" i="1"/>
  <c r="AD287" i="1"/>
  <c r="AD535" i="1"/>
  <c r="AC219" i="1"/>
  <c r="AD130" i="1"/>
  <c r="AD508" i="1"/>
  <c r="AC360" i="1"/>
  <c r="AC630" i="1"/>
  <c r="AD139" i="1"/>
  <c r="AD6" i="1"/>
  <c r="AD67" i="1"/>
  <c r="AC696" i="1"/>
  <c r="AD826" i="1"/>
  <c r="AC518" i="1"/>
  <c r="AD886" i="1"/>
  <c r="AC714" i="1"/>
  <c r="AC255" i="1"/>
  <c r="AD386" i="1"/>
  <c r="AC344" i="1"/>
  <c r="AC751" i="1"/>
  <c r="AC386" i="1"/>
  <c r="AC42" i="1"/>
  <c r="AD120" i="1"/>
  <c r="AD919" i="1"/>
  <c r="AC648" i="1"/>
  <c r="AD762" i="1"/>
  <c r="AD661" i="1"/>
  <c r="AC521" i="1"/>
  <c r="AD771" i="1"/>
  <c r="AC198" i="1"/>
  <c r="AD411" i="1"/>
  <c r="AD571" i="1"/>
  <c r="AD321" i="1"/>
  <c r="AD240" i="1"/>
  <c r="AC920" i="1"/>
  <c r="AD261" i="1"/>
  <c r="AD519" i="1"/>
  <c r="AC744" i="1"/>
  <c r="AC800" i="1"/>
  <c r="AD551" i="1"/>
  <c r="AC574" i="1"/>
  <c r="AD219" i="1"/>
  <c r="AC420" i="1"/>
  <c r="AC924" i="1"/>
  <c r="AC184" i="1"/>
  <c r="AD420" i="1"/>
  <c r="AC888" i="1"/>
  <c r="AC607" i="1"/>
  <c r="AD328" i="1"/>
  <c r="AC814" i="1"/>
  <c r="AD374" i="1"/>
  <c r="AC402" i="1"/>
  <c r="AC187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J1274" i="1" l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B102" i="1"/>
  <c r="O2" i="2"/>
  <c r="P2" i="2" s="1"/>
  <c r="Q2" i="2" s="1"/>
  <c r="J3" i="5"/>
  <c r="K3" i="5" s="1"/>
  <c r="L3" i="5" s="1"/>
  <c r="M3" i="5" s="1"/>
  <c r="B1" i="3"/>
  <c r="B2" i="3" s="1"/>
  <c r="AJ932" i="1"/>
  <c r="B931" i="1"/>
  <c r="C931" i="1" s="1"/>
  <c r="AQ927" i="1"/>
  <c r="AQ880" i="1"/>
  <c r="AQ883" i="1"/>
  <c r="AQ853" i="1"/>
  <c r="AQ894" i="1"/>
  <c r="AQ893" i="1"/>
  <c r="AQ858" i="1"/>
  <c r="AQ904" i="1"/>
  <c r="AQ867" i="1"/>
  <c r="AQ814" i="1"/>
  <c r="AQ817" i="1"/>
  <c r="AQ255" i="1"/>
  <c r="AS255" i="1" s="1"/>
  <c r="AT255" i="1" s="1"/>
  <c r="AQ294" i="1"/>
  <c r="AQ366" i="1"/>
  <c r="AS366" i="1" s="1"/>
  <c r="AT366" i="1" s="1"/>
  <c r="AQ121" i="1"/>
  <c r="AQ236" i="1"/>
  <c r="AS236" i="1" s="1"/>
  <c r="AT236" i="1" s="1"/>
  <c r="AQ524" i="1"/>
  <c r="AQ43" i="1"/>
  <c r="AQ324" i="1"/>
  <c r="AS324" i="1" s="1"/>
  <c r="AT324" i="1" s="1"/>
  <c r="AQ824" i="1"/>
  <c r="AQ922" i="1"/>
  <c r="AQ907" i="1"/>
  <c r="AQ870" i="1"/>
  <c r="AQ914" i="1"/>
  <c r="AQ877" i="1"/>
  <c r="AQ846" i="1"/>
  <c r="AQ881" i="1"/>
  <c r="AQ851" i="1"/>
  <c r="AQ890" i="1"/>
  <c r="AQ841" i="1"/>
  <c r="AQ172" i="1"/>
  <c r="AQ477" i="1"/>
  <c r="AQ503" i="1"/>
  <c r="AQ653" i="1"/>
  <c r="AS653" i="1" s="1"/>
  <c r="AT653" i="1" s="1"/>
  <c r="AQ50" i="1"/>
  <c r="AQ605" i="1"/>
  <c r="AQ789" i="1"/>
  <c r="AQ389" i="1"/>
  <c r="AQ920" i="1"/>
  <c r="AQ913" i="1"/>
  <c r="AS913" i="1" s="1"/>
  <c r="AT913" i="1" s="1"/>
  <c r="AQ874" i="1"/>
  <c r="AQ845" i="1"/>
  <c r="AQ884" i="1"/>
  <c r="AQ850" i="1"/>
  <c r="AQ885" i="1"/>
  <c r="AQ855" i="1"/>
  <c r="AQ896" i="1"/>
  <c r="AQ859" i="1"/>
  <c r="AQ825" i="1"/>
  <c r="AQ401" i="1"/>
  <c r="AS401" i="1" s="1"/>
  <c r="AT401" i="1" s="1"/>
  <c r="AQ114" i="1"/>
  <c r="AQ541" i="1"/>
  <c r="AQ571" i="1"/>
  <c r="AQ120" i="1"/>
  <c r="AQ681" i="1"/>
  <c r="AQ448" i="1"/>
  <c r="AQ486" i="1"/>
  <c r="AQ370" i="1"/>
  <c r="AQ919" i="1"/>
  <c r="AQ926" i="1"/>
  <c r="AQ899" i="1"/>
  <c r="AQ860" i="1"/>
  <c r="AQ906" i="1"/>
  <c r="AQ869" i="1"/>
  <c r="AQ911" i="1"/>
  <c r="AQ872" i="1"/>
  <c r="AQ918" i="1"/>
  <c r="AQ882" i="1"/>
  <c r="AQ848" i="1"/>
  <c r="AQ826" i="1"/>
  <c r="AQ272" i="1"/>
  <c r="AS272" i="1" s="1"/>
  <c r="AT272" i="1" s="1"/>
  <c r="AQ357" i="1"/>
  <c r="AQ533" i="1"/>
  <c r="AQ73" i="1"/>
  <c r="AQ192" i="1"/>
  <c r="AQ229" i="1"/>
  <c r="AQ438" i="1"/>
  <c r="AQ416" i="1"/>
  <c r="AQ638" i="1"/>
  <c r="AQ834" i="1"/>
  <c r="AQ618" i="1"/>
  <c r="AQ807" i="1"/>
  <c r="AQ679" i="1"/>
  <c r="AQ367" i="1"/>
  <c r="AS367" i="1" s="1"/>
  <c r="AT367" i="1" s="1"/>
  <c r="AQ625" i="1"/>
  <c r="AQ431" i="1"/>
  <c r="AS431" i="1" s="1"/>
  <c r="AT431" i="1" s="1"/>
  <c r="AQ66" i="1"/>
  <c r="AQ432" i="1"/>
  <c r="AS432" i="1" s="1"/>
  <c r="AT432" i="1" s="1"/>
  <c r="AQ146" i="1"/>
  <c r="AS146" i="1" s="1"/>
  <c r="AT146" i="1" s="1"/>
  <c r="AQ221" i="1"/>
  <c r="AQ309" i="1"/>
  <c r="AS309" i="1" s="1"/>
  <c r="AT309" i="1" s="1"/>
  <c r="AQ134" i="1"/>
  <c r="AQ258" i="1"/>
  <c r="AS258" i="1" s="1"/>
  <c r="AT258" i="1" s="1"/>
  <c r="AQ343" i="1"/>
  <c r="AS343" i="1" s="1"/>
  <c r="AT343" i="1" s="1"/>
  <c r="AQ335" i="1"/>
  <c r="AS335" i="1" s="1"/>
  <c r="AT335" i="1" s="1"/>
  <c r="AQ574" i="1"/>
  <c r="AQ109" i="1"/>
  <c r="AQ333" i="1"/>
  <c r="AS333" i="1" s="1"/>
  <c r="AT333" i="1" s="1"/>
  <c r="AQ582" i="1"/>
  <c r="AS582" i="1" s="1"/>
  <c r="AT582" i="1" s="1"/>
  <c r="AQ185" i="1"/>
  <c r="AQ19" i="1"/>
  <c r="AQ572" i="1"/>
  <c r="AQ818" i="1"/>
  <c r="AQ190" i="1"/>
  <c r="AS190" i="1" s="1"/>
  <c r="AT190" i="1" s="1"/>
  <c r="AQ519" i="1"/>
  <c r="AQ225" i="1"/>
  <c r="AQ718" i="1"/>
  <c r="AQ576" i="1"/>
  <c r="AQ591" i="1"/>
  <c r="AS591" i="1" s="1"/>
  <c r="AT591" i="1" s="1"/>
  <c r="AQ408" i="1"/>
  <c r="AS408" i="1" s="1"/>
  <c r="AT408" i="1" s="1"/>
  <c r="AQ143" i="1"/>
  <c r="AS143" i="1" s="1"/>
  <c r="AT143" i="1" s="1"/>
  <c r="AQ586" i="1"/>
  <c r="AQ176" i="1"/>
  <c r="AQ208" i="1"/>
  <c r="AQ557" i="1"/>
  <c r="AQ356" i="1"/>
  <c r="AQ332" i="1"/>
  <c r="AQ628" i="1"/>
  <c r="AS628" i="1" s="1"/>
  <c r="AT628" i="1" s="1"/>
  <c r="AQ301" i="1"/>
  <c r="AS301" i="1" s="1"/>
  <c r="AT301" i="1" s="1"/>
  <c r="AQ782" i="1"/>
  <c r="AQ680" i="1"/>
  <c r="AQ163" i="1"/>
  <c r="AS163" i="1" s="1"/>
  <c r="AT163" i="1" s="1"/>
  <c r="AQ31" i="1"/>
  <c r="AS31" i="1" s="1"/>
  <c r="AT31" i="1" s="1"/>
  <c r="AQ196" i="1"/>
  <c r="AS196" i="1" s="1"/>
  <c r="AT196" i="1" s="1"/>
  <c r="AQ181" i="1"/>
  <c r="AQ303" i="1"/>
  <c r="AQ175" i="1"/>
  <c r="AQ139" i="1"/>
  <c r="AQ133" i="1"/>
  <c r="AQ193" i="1"/>
  <c r="AQ212" i="1"/>
  <c r="AQ725" i="1"/>
  <c r="AQ13" i="1"/>
  <c r="AS13" i="1" s="1"/>
  <c r="AT13" i="1" s="1"/>
  <c r="AQ580" i="1"/>
  <c r="AS580" i="1" s="1"/>
  <c r="AT580" i="1" s="1"/>
  <c r="AQ344" i="1"/>
  <c r="AQ455" i="1"/>
  <c r="AQ468" i="1"/>
  <c r="AQ392" i="1"/>
  <c r="AS392" i="1" s="1"/>
  <c r="AT392" i="1" s="1"/>
  <c r="AQ159" i="1"/>
  <c r="AQ498" i="1"/>
  <c r="AQ795" i="1"/>
  <c r="AS795" i="1" s="1"/>
  <c r="AT795" i="1" s="1"/>
  <c r="AQ183" i="1"/>
  <c r="AQ406" i="1"/>
  <c r="AQ413" i="1"/>
  <c r="AQ827" i="1"/>
  <c r="AS827" i="1" s="1"/>
  <c r="AT827" i="1" s="1"/>
  <c r="AQ608" i="1"/>
  <c r="AQ334" i="1"/>
  <c r="AS334" i="1" s="1"/>
  <c r="AT334" i="1" s="1"/>
  <c r="AQ165" i="1"/>
  <c r="AQ607" i="1"/>
  <c r="AQ563" i="1"/>
  <c r="AQ77" i="1"/>
  <c r="AQ420" i="1"/>
  <c r="AQ622" i="1"/>
  <c r="AQ581" i="1"/>
  <c r="AS581" i="1" s="1"/>
  <c r="AT581" i="1" s="1"/>
  <c r="AQ341" i="1"/>
  <c r="AQ59" i="1"/>
  <c r="AQ297" i="1"/>
  <c r="AS297" i="1" s="1"/>
  <c r="AT297" i="1" s="1"/>
  <c r="AQ373" i="1"/>
  <c r="AS373" i="1" s="1"/>
  <c r="AT373" i="1" s="1"/>
  <c r="AQ491" i="1"/>
  <c r="AQ399" i="1"/>
  <c r="AQ374" i="1"/>
  <c r="AS374" i="1" s="1"/>
  <c r="AT374" i="1" s="1"/>
  <c r="AQ319" i="1"/>
  <c r="AQ51" i="1"/>
  <c r="AQ636" i="1"/>
  <c r="AS636" i="1" s="1"/>
  <c r="AT636" i="1" s="1"/>
  <c r="AQ261" i="1"/>
  <c r="AQ232" i="1"/>
  <c r="AQ662" i="1"/>
  <c r="AQ61" i="1"/>
  <c r="AQ726" i="1"/>
  <c r="AQ384" i="1"/>
  <c r="AQ559" i="1"/>
  <c r="AQ252" i="1"/>
  <c r="AS252" i="1" s="1"/>
  <c r="AT252" i="1" s="1"/>
  <c r="AQ514" i="1"/>
  <c r="AQ466" i="1"/>
  <c r="AQ33" i="1"/>
  <c r="AQ250" i="1"/>
  <c r="AS250" i="1" s="1"/>
  <c r="AT250" i="1" s="1"/>
  <c r="AQ442" i="1"/>
  <c r="AQ87" i="1"/>
  <c r="AQ748" i="1"/>
  <c r="AQ263" i="1"/>
  <c r="AS263" i="1" s="1"/>
  <c r="AT263" i="1" s="1"/>
  <c r="AQ791" i="1"/>
  <c r="AQ6" i="1"/>
  <c r="AQ788" i="1"/>
  <c r="AS788" i="1" s="1"/>
  <c r="AT788" i="1" s="1"/>
  <c r="AQ716" i="1"/>
  <c r="AQ302" i="1"/>
  <c r="AQ191" i="1"/>
  <c r="AQ24" i="1"/>
  <c r="AQ256" i="1"/>
  <c r="AS256" i="1" s="1"/>
  <c r="AT256" i="1" s="1"/>
  <c r="AQ747" i="1"/>
  <c r="AQ561" i="1"/>
  <c r="AQ144" i="1"/>
  <c r="AS144" i="1" s="1"/>
  <c r="AT144" i="1" s="1"/>
  <c r="AQ440" i="1"/>
  <c r="AQ730" i="1"/>
  <c r="AQ337" i="1"/>
  <c r="AS337" i="1" s="1"/>
  <c r="AT337" i="1" s="1"/>
  <c r="AQ186" i="1"/>
  <c r="AS186" i="1" s="1"/>
  <c r="AT186" i="1" s="1"/>
  <c r="AQ234" i="1"/>
  <c r="AQ573" i="1"/>
  <c r="AQ380" i="1"/>
  <c r="AQ182" i="1"/>
  <c r="AQ505" i="1"/>
  <c r="AQ155" i="1"/>
  <c r="AQ764" i="1"/>
  <c r="AQ635" i="1"/>
  <c r="AS635" i="1" s="1"/>
  <c r="AT635" i="1" s="1"/>
  <c r="AQ94" i="1"/>
  <c r="AS94" i="1" s="1"/>
  <c r="AT94" i="1" s="1"/>
  <c r="AQ590" i="1"/>
  <c r="AS590" i="1" s="1"/>
  <c r="AT590" i="1" s="1"/>
  <c r="AQ794" i="1"/>
  <c r="AS794" i="1" s="1"/>
  <c r="AT794" i="1" s="1"/>
  <c r="AQ567" i="1"/>
  <c r="AQ709" i="1"/>
  <c r="AQ270" i="1"/>
  <c r="AQ502" i="1"/>
  <c r="AQ594" i="1"/>
  <c r="AS594" i="1" s="1"/>
  <c r="AT594" i="1" s="1"/>
  <c r="AQ349" i="1"/>
  <c r="AQ478" i="1"/>
  <c r="AQ279" i="1"/>
  <c r="AS279" i="1" s="1"/>
  <c r="AT279" i="1" s="1"/>
  <c r="AQ423" i="1"/>
  <c r="AS423" i="1" s="1"/>
  <c r="AT423" i="1" s="1"/>
  <c r="AQ796" i="1"/>
  <c r="AS796" i="1" s="1"/>
  <c r="AT796" i="1" s="1"/>
  <c r="AQ148" i="1"/>
  <c r="AQ756" i="1"/>
  <c r="AQ339" i="1"/>
  <c r="AS339" i="1" s="1"/>
  <c r="AT339" i="1" s="1"/>
  <c r="AQ547" i="1"/>
  <c r="AQ708" i="1"/>
  <c r="AQ683" i="1"/>
  <c r="AS683" i="1" s="1"/>
  <c r="AT683" i="1" s="1"/>
  <c r="AQ38" i="1"/>
  <c r="AQ663" i="1"/>
  <c r="AS663" i="1" s="1"/>
  <c r="AT663" i="1" s="1"/>
  <c r="AQ149" i="1"/>
  <c r="AQ409" i="1"/>
  <c r="AS409" i="1" s="1"/>
  <c r="AT409" i="1" s="1"/>
  <c r="AQ676" i="1"/>
  <c r="AQ798" i="1"/>
  <c r="AS798" i="1" s="1"/>
  <c r="AT798" i="1" s="1"/>
  <c r="AQ136" i="1"/>
  <c r="AS136" i="1" s="1"/>
  <c r="AT136" i="1" s="1"/>
  <c r="AQ138" i="1"/>
  <c r="AQ187" i="1"/>
  <c r="AS187" i="1" s="1"/>
  <c r="AT187" i="1" s="1"/>
  <c r="AQ387" i="1"/>
  <c r="AS387" i="1" s="1"/>
  <c r="AT387" i="1" s="1"/>
  <c r="AQ268" i="1"/>
  <c r="AQ287" i="1"/>
  <c r="AQ790" i="1"/>
  <c r="AQ269" i="1"/>
  <c r="AQ137" i="1"/>
  <c r="AS137" i="1" s="1"/>
  <c r="AT137" i="1" s="1"/>
  <c r="AQ668" i="1"/>
  <c r="AQ769" i="1"/>
  <c r="AQ110" i="1"/>
  <c r="AQ275" i="1"/>
  <c r="AS275" i="1" s="1"/>
  <c r="AT275" i="1" s="1"/>
  <c r="AQ661" i="1"/>
  <c r="AQ736" i="1"/>
  <c r="AQ410" i="1"/>
  <c r="AQ11" i="1"/>
  <c r="AS11" i="1" s="1"/>
  <c r="AT11" i="1" s="1"/>
  <c r="AQ402" i="1"/>
  <c r="AS402" i="1" s="1"/>
  <c r="AT402" i="1" s="1"/>
  <c r="AQ508" i="1"/>
  <c r="AQ473" i="1"/>
  <c r="AQ210" i="1"/>
  <c r="AQ296" i="1"/>
  <c r="AS296" i="1" s="1"/>
  <c r="AT296" i="1" s="1"/>
  <c r="AQ715" i="1"/>
  <c r="AQ544" i="1"/>
  <c r="AQ27" i="1"/>
  <c r="AQ780" i="1"/>
  <c r="AQ548" i="1"/>
  <c r="AQ96" i="1"/>
  <c r="AQ829" i="1"/>
  <c r="AQ566" i="1"/>
  <c r="AQ130" i="1"/>
  <c r="AQ669" i="1"/>
  <c r="AS669" i="1" s="1"/>
  <c r="AT669" i="1" s="1"/>
  <c r="AQ80" i="1"/>
  <c r="AQ436" i="1"/>
  <c r="AQ656" i="1"/>
  <c r="AS656" i="1" s="1"/>
  <c r="AT656" i="1" s="1"/>
  <c r="AQ251" i="1"/>
  <c r="AS251" i="1" s="1"/>
  <c r="AT251" i="1" s="1"/>
  <c r="AQ545" i="1"/>
  <c r="AQ151" i="1"/>
  <c r="AS151" i="1" s="1"/>
  <c r="AT151" i="1" s="1"/>
  <c r="AQ765" i="1"/>
  <c r="AS765" i="1" s="1"/>
  <c r="AT765" i="1" s="1"/>
  <c r="AQ652" i="1"/>
  <c r="AQ381" i="1"/>
  <c r="AQ112" i="1"/>
  <c r="AQ522" i="1"/>
  <c r="AQ84" i="1"/>
  <c r="AQ219" i="1"/>
  <c r="AS219" i="1" s="1"/>
  <c r="AT219" i="1" s="1"/>
  <c r="AQ57" i="1"/>
  <c r="AQ509" i="1"/>
  <c r="AQ664" i="1"/>
  <c r="AS664" i="1" s="1"/>
  <c r="AT664" i="1" s="1"/>
  <c r="AQ273" i="1"/>
  <c r="AS273" i="1" s="1"/>
  <c r="AT273" i="1" s="1"/>
  <c r="AQ828" i="1"/>
  <c r="AQ214" i="1"/>
  <c r="AQ479" i="1"/>
  <c r="AQ441" i="1"/>
  <c r="AQ56" i="1"/>
  <c r="AQ539" i="1"/>
  <c r="AQ231" i="1"/>
  <c r="AQ560" i="1"/>
  <c r="AQ126" i="1"/>
  <c r="AQ674" i="1"/>
  <c r="AQ308" i="1"/>
  <c r="AQ17" i="1"/>
  <c r="AQ390" i="1"/>
  <c r="AQ226" i="1"/>
  <c r="AQ657" i="1"/>
  <c r="AQ569" i="1"/>
  <c r="AQ238" i="1"/>
  <c r="AS238" i="1" s="1"/>
  <c r="AT238" i="1" s="1"/>
  <c r="AQ784" i="1"/>
  <c r="AS784" i="1" s="1"/>
  <c r="AT784" i="1" s="1"/>
  <c r="AQ667" i="1"/>
  <c r="AQ40" i="1"/>
  <c r="AQ751" i="1"/>
  <c r="AQ830" i="1"/>
  <c r="AQ924" i="1"/>
  <c r="AQ903" i="1"/>
  <c r="AQ866" i="1"/>
  <c r="AQ910" i="1"/>
  <c r="AQ873" i="1"/>
  <c r="AQ915" i="1"/>
  <c r="AQ876" i="1"/>
  <c r="AQ847" i="1"/>
  <c r="AQ886" i="1"/>
  <c r="AQ852" i="1"/>
  <c r="AQ497" i="1"/>
  <c r="AQ147" i="1"/>
  <c r="AQ801" i="1"/>
  <c r="AQ446" i="1"/>
  <c r="AQ405" i="1"/>
  <c r="AQ47" i="1"/>
  <c r="AQ752" i="1"/>
  <c r="AQ122" i="1"/>
  <c r="AQ74" i="1"/>
  <c r="AQ925" i="1"/>
  <c r="AQ931" i="1"/>
  <c r="AQ887" i="1"/>
  <c r="AQ898" i="1"/>
  <c r="AQ861" i="1"/>
  <c r="AQ901" i="1"/>
  <c r="AQ864" i="1"/>
  <c r="AQ908" i="1"/>
  <c r="AQ871" i="1"/>
  <c r="AQ832" i="1"/>
  <c r="AQ63" i="1"/>
  <c r="AQ485" i="1"/>
  <c r="AQ328" i="1"/>
  <c r="AQ371" i="1"/>
  <c r="AS371" i="1" s="1"/>
  <c r="AT371" i="1" s="1"/>
  <c r="AQ626" i="1"/>
  <c r="AS626" i="1" s="1"/>
  <c r="AT626" i="1" s="1"/>
  <c r="AQ445" i="1"/>
  <c r="AQ650" i="1"/>
  <c r="AS650" i="1" s="1"/>
  <c r="AT650" i="1" s="1"/>
  <c r="AQ923" i="1"/>
  <c r="AQ928" i="1"/>
  <c r="AQ891" i="1"/>
  <c r="AQ902" i="1"/>
  <c r="AQ865" i="1"/>
  <c r="AQ905" i="1"/>
  <c r="AQ868" i="1"/>
  <c r="AQ912" i="1"/>
  <c r="AS912" i="1" s="1"/>
  <c r="AT912" i="1" s="1"/>
  <c r="AQ875" i="1"/>
  <c r="AQ808" i="1"/>
  <c r="AQ493" i="1"/>
  <c r="AQ104" i="1"/>
  <c r="AQ675" i="1"/>
  <c r="AS675" i="1" s="1"/>
  <c r="AT675" i="1" s="1"/>
  <c r="AQ613" i="1"/>
  <c r="AS613" i="1" s="1"/>
  <c r="AT613" i="1" s="1"/>
  <c r="AQ241" i="1"/>
  <c r="AQ529" i="1"/>
  <c r="AQ482" i="1"/>
  <c r="AQ786" i="1"/>
  <c r="AS786" i="1" s="1"/>
  <c r="AT786" i="1" s="1"/>
  <c r="AQ839" i="1"/>
  <c r="AS839" i="1" s="1"/>
  <c r="AT839" i="1" s="1"/>
  <c r="AQ929" i="1"/>
  <c r="AQ917" i="1"/>
  <c r="AQ878" i="1"/>
  <c r="AQ849" i="1"/>
  <c r="AQ888" i="1"/>
  <c r="AQ856" i="1"/>
  <c r="AQ889" i="1"/>
  <c r="AQ900" i="1"/>
  <c r="AQ863" i="1"/>
  <c r="AQ630" i="1"/>
  <c r="AQ198" i="1"/>
  <c r="AQ71" i="1"/>
  <c r="AQ98" i="1"/>
  <c r="AQ170" i="1"/>
  <c r="AQ777" i="1"/>
  <c r="AQ729" i="1"/>
  <c r="AQ22" i="1"/>
  <c r="AQ516" i="1"/>
  <c r="AQ806" i="1"/>
  <c r="AQ815" i="1"/>
  <c r="AQ237" i="1"/>
  <c r="AQ695" i="1"/>
  <c r="AQ758" i="1"/>
  <c r="AQ552" i="1"/>
  <c r="AQ34" i="1"/>
  <c r="AQ460" i="1"/>
  <c r="AQ690" i="1"/>
  <c r="AQ131" i="1"/>
  <c r="AQ360" i="1"/>
  <c r="AS360" i="1" s="1"/>
  <c r="AT360" i="1" s="1"/>
  <c r="AQ766" i="1"/>
  <c r="AQ363" i="1"/>
  <c r="AS363" i="1" s="1"/>
  <c r="AT363" i="1" s="1"/>
  <c r="AQ422" i="1"/>
  <c r="AQ336" i="1"/>
  <c r="AS336" i="1" s="1"/>
  <c r="AT336" i="1" s="1"/>
  <c r="AQ368" i="1"/>
  <c r="AS368" i="1" s="1"/>
  <c r="AT368" i="1" s="1"/>
  <c r="AQ528" i="1"/>
  <c r="AQ480" i="1"/>
  <c r="AQ532" i="1"/>
  <c r="AQ153" i="1"/>
  <c r="AQ365" i="1"/>
  <c r="AS365" i="1" s="1"/>
  <c r="AT365" i="1" s="1"/>
  <c r="AQ686" i="1"/>
  <c r="AQ701" i="1"/>
  <c r="AS701" i="1" s="1"/>
  <c r="AT701" i="1" s="1"/>
  <c r="AQ430" i="1"/>
  <c r="AS430" i="1" s="1"/>
  <c r="AT430" i="1" s="1"/>
  <c r="AQ199" i="1"/>
  <c r="AQ195" i="1"/>
  <c r="AS195" i="1" s="1"/>
  <c r="AT195" i="1" s="1"/>
  <c r="AQ597" i="1"/>
  <c r="AQ627" i="1"/>
  <c r="AS627" i="1" s="1"/>
  <c r="AT627" i="1" s="1"/>
  <c r="AQ793" i="1"/>
  <c r="AS793" i="1" s="1"/>
  <c r="AT793" i="1" s="1"/>
  <c r="AQ284" i="1"/>
  <c r="AS284" i="1" s="1"/>
  <c r="AT284" i="1" s="1"/>
  <c r="AQ670" i="1"/>
  <c r="AQ167" i="1"/>
  <c r="AQ778" i="1"/>
  <c r="AQ723" i="1"/>
  <c r="AQ88" i="1"/>
  <c r="AQ553" i="1"/>
  <c r="AQ111" i="1"/>
  <c r="AQ171" i="1"/>
  <c r="AQ761" i="1"/>
  <c r="AS761" i="1" s="1"/>
  <c r="AT761" i="1" s="1"/>
  <c r="AQ291" i="1"/>
  <c r="AQ592" i="1"/>
  <c r="AS592" i="1" s="1"/>
  <c r="AT592" i="1" s="1"/>
  <c r="AQ665" i="1"/>
  <c r="AS665" i="1" s="1"/>
  <c r="AT665" i="1" s="1"/>
  <c r="AQ317" i="1"/>
  <c r="AQ266" i="1"/>
  <c r="AQ483" i="1"/>
  <c r="AQ767" i="1"/>
  <c r="AQ157" i="1"/>
  <c r="AQ602" i="1"/>
  <c r="AQ156" i="1"/>
  <c r="AQ55" i="1"/>
  <c r="AQ211" i="1"/>
  <c r="AQ640" i="1"/>
  <c r="AS640" i="1" s="1"/>
  <c r="AT640" i="1" s="1"/>
  <c r="AQ67" i="1"/>
  <c r="AQ411" i="1"/>
  <c r="AQ737" i="1"/>
  <c r="AQ259" i="1"/>
  <c r="AS259" i="1" s="1"/>
  <c r="AT259" i="1" s="1"/>
  <c r="AQ733" i="1"/>
  <c r="AQ300" i="1"/>
  <c r="AS300" i="1" s="1"/>
  <c r="AT300" i="1" s="1"/>
  <c r="AQ257" i="1"/>
  <c r="AS257" i="1" s="1"/>
  <c r="AT257" i="1" s="1"/>
  <c r="AQ347" i="1"/>
  <c r="AQ274" i="1"/>
  <c r="AS274" i="1" s="1"/>
  <c r="AT274" i="1" s="1"/>
  <c r="AQ140" i="1"/>
  <c r="AS140" i="1" s="1"/>
  <c r="AT140" i="1" s="1"/>
  <c r="AQ654" i="1"/>
  <c r="AS654" i="1" s="1"/>
  <c r="AT654" i="1" s="1"/>
  <c r="AQ414" i="1"/>
  <c r="AQ506" i="1"/>
  <c r="AQ242" i="1"/>
  <c r="AQ603" i="1"/>
  <c r="AQ703" i="1"/>
  <c r="AQ745" i="1"/>
  <c r="AQ69" i="1"/>
  <c r="AQ735" i="1"/>
  <c r="AQ54" i="1"/>
  <c r="AQ90" i="1"/>
  <c r="AQ500" i="1"/>
  <c r="AQ209" i="1"/>
  <c r="AQ44" i="1"/>
  <c r="AQ93" i="1"/>
  <c r="AS93" i="1" s="1"/>
  <c r="AT93" i="1" s="1"/>
  <c r="AQ26" i="1"/>
  <c r="AQ620" i="1"/>
  <c r="AQ495" i="1"/>
  <c r="AQ501" i="1"/>
  <c r="AQ321" i="1"/>
  <c r="AQ129" i="1"/>
  <c r="AQ673" i="1"/>
  <c r="AQ555" i="1"/>
  <c r="AQ763" i="1"/>
  <c r="AS763" i="1" s="1"/>
  <c r="AT763" i="1" s="1"/>
  <c r="AQ754" i="1"/>
  <c r="AQ785" i="1"/>
  <c r="AQ456" i="1"/>
  <c r="AQ599" i="1"/>
  <c r="AS599" i="1" s="1"/>
  <c r="AT599" i="1" s="1"/>
  <c r="AQ262" i="1"/>
  <c r="AS262" i="1" s="1"/>
  <c r="AT262" i="1" s="1"/>
  <c r="AQ526" i="1"/>
  <c r="AQ543" i="1"/>
  <c r="AQ774" i="1"/>
  <c r="AS774" i="1" s="1"/>
  <c r="AT774" i="1" s="1"/>
  <c r="AQ724" i="1"/>
  <c r="AQ820" i="1"/>
  <c r="AQ821" i="1"/>
  <c r="AQ60" i="1"/>
  <c r="AQ600" i="1"/>
  <c r="AS600" i="1" s="1"/>
  <c r="AT600" i="1" s="1"/>
  <c r="AQ565" i="1"/>
  <c r="AQ426" i="1"/>
  <c r="AS426" i="1" s="1"/>
  <c r="AT426" i="1" s="1"/>
  <c r="AQ530" i="1"/>
  <c r="AQ174" i="1"/>
  <c r="AQ551" i="1"/>
  <c r="AQ452" i="1"/>
  <c r="AQ518" i="1"/>
  <c r="AQ629" i="1"/>
  <c r="AQ731" i="1"/>
  <c r="AQ142" i="1"/>
  <c r="AQ20" i="1"/>
  <c r="AQ315" i="1"/>
  <c r="AQ678" i="1"/>
  <c r="AS678" i="1" s="1"/>
  <c r="AT678" i="1" s="1"/>
  <c r="AQ101" i="1"/>
  <c r="AQ407" i="1"/>
  <c r="AS407" i="1" s="1"/>
  <c r="AT407" i="1" s="1"/>
  <c r="AQ713" i="1"/>
  <c r="AQ311" i="1"/>
  <c r="AQ843" i="1"/>
  <c r="AS843" i="1" s="1"/>
  <c r="AT843" i="1" s="1"/>
  <c r="AQ822" i="1"/>
  <c r="AQ385" i="1"/>
  <c r="AQ616" i="1"/>
  <c r="AQ106" i="1"/>
  <c r="AQ280" i="1"/>
  <c r="AS280" i="1" s="1"/>
  <c r="AT280" i="1" s="1"/>
  <c r="AQ283" i="1"/>
  <c r="AS283" i="1" s="1"/>
  <c r="AT283" i="1" s="1"/>
  <c r="AQ326" i="1"/>
  <c r="AS326" i="1" s="1"/>
  <c r="AT326" i="1" s="1"/>
  <c r="AQ542" i="1"/>
  <c r="AQ70" i="1"/>
  <c r="AQ443" i="1"/>
  <c r="AQ12" i="1"/>
  <c r="AS12" i="1" s="1"/>
  <c r="AT12" i="1" s="1"/>
  <c r="AQ124" i="1"/>
  <c r="AS124" i="1" s="1"/>
  <c r="AT124" i="1" s="1"/>
  <c r="AQ744" i="1"/>
  <c r="AQ711" i="1"/>
  <c r="AQ352" i="1"/>
  <c r="AQ771" i="1"/>
  <c r="AS771" i="1" s="1"/>
  <c r="AT771" i="1" s="1"/>
  <c r="AQ162" i="1"/>
  <c r="AS162" i="1" s="1"/>
  <c r="AT162" i="1" s="1"/>
  <c r="AQ386" i="1"/>
  <c r="AS386" i="1" s="1"/>
  <c r="AT386" i="1" s="1"/>
  <c r="AQ160" i="1"/>
  <c r="AQ693" i="1"/>
  <c r="AQ558" i="1"/>
  <c r="AQ811" i="1"/>
  <c r="AQ377" i="1"/>
  <c r="AS377" i="1" s="1"/>
  <c r="AT377" i="1" s="1"/>
  <c r="AQ492" i="1"/>
  <c r="AQ248" i="1"/>
  <c r="AS248" i="1" s="1"/>
  <c r="AT248" i="1" s="1"/>
  <c r="AQ632" i="1"/>
  <c r="AQ570" i="1"/>
  <c r="AQ538" i="1"/>
  <c r="AQ469" i="1"/>
  <c r="AQ202" i="1"/>
  <c r="AQ462" i="1"/>
  <c r="AQ655" i="1"/>
  <c r="AS655" i="1" s="1"/>
  <c r="AT655" i="1" s="1"/>
  <c r="AQ463" i="1"/>
  <c r="AQ496" i="1"/>
  <c r="AQ651" i="1"/>
  <c r="AQ325" i="1"/>
  <c r="AQ240" i="1"/>
  <c r="AQ687" i="1"/>
  <c r="AQ39" i="1"/>
  <c r="AQ540" i="1"/>
  <c r="AQ41" i="1"/>
  <c r="AQ286" i="1"/>
  <c r="AS286" i="1" s="1"/>
  <c r="AT286" i="1" s="1"/>
  <c r="AQ810" i="1"/>
  <c r="AQ813" i="1"/>
  <c r="AQ369" i="1"/>
  <c r="AQ396" i="1"/>
  <c r="AQ717" i="1"/>
  <c r="AQ361" i="1"/>
  <c r="AS361" i="1" s="1"/>
  <c r="AT361" i="1" s="1"/>
  <c r="AQ154" i="1"/>
  <c r="AQ239" i="1"/>
  <c r="AQ391" i="1"/>
  <c r="AS391" i="1" s="1"/>
  <c r="AT391" i="1" s="1"/>
  <c r="AQ52" i="1"/>
  <c r="AQ753" i="1"/>
  <c r="AQ677" i="1"/>
  <c r="AQ689" i="1"/>
  <c r="AQ340" i="1"/>
  <c r="AS340" i="1" s="1"/>
  <c r="AT340" i="1" s="1"/>
  <c r="AQ48" i="1"/>
  <c r="AQ755" i="1"/>
  <c r="AQ322" i="1"/>
  <c r="AQ92" i="1"/>
  <c r="AS92" i="1" s="1"/>
  <c r="AT92" i="1" s="1"/>
  <c r="AQ611" i="1"/>
  <c r="AQ490" i="1"/>
  <c r="AQ531" i="1"/>
  <c r="AQ812" i="1"/>
  <c r="AQ688" i="1"/>
  <c r="AQ353" i="1"/>
  <c r="AS353" i="1" s="1"/>
  <c r="AT353" i="1" s="1"/>
  <c r="AQ201" i="1"/>
  <c r="AQ634" i="1"/>
  <c r="AS634" i="1" s="1"/>
  <c r="AT634" i="1" s="1"/>
  <c r="AQ481" i="1"/>
  <c r="AQ127" i="1"/>
  <c r="AQ86" i="1"/>
  <c r="AQ802" i="1"/>
  <c r="AQ427" i="1"/>
  <c r="AS427" i="1" s="1"/>
  <c r="AT427" i="1" s="1"/>
  <c r="AQ330" i="1"/>
  <c r="AQ152" i="1"/>
  <c r="AQ692" i="1"/>
  <c r="AQ685" i="1"/>
  <c r="AQ244" i="1"/>
  <c r="AQ295" i="1"/>
  <c r="AS295" i="1" s="1"/>
  <c r="AT295" i="1" s="1"/>
  <c r="AQ706" i="1"/>
  <c r="AQ271" i="1"/>
  <c r="AS271" i="1" s="1"/>
  <c r="AT271" i="1" s="1"/>
  <c r="AQ781" i="1"/>
  <c r="AQ230" i="1"/>
  <c r="AQ738" i="1"/>
  <c r="AQ837" i="1"/>
  <c r="AQ666" i="1"/>
  <c r="AS666" i="1" s="1"/>
  <c r="AT666" i="1" s="1"/>
  <c r="AQ584" i="1"/>
  <c r="AQ204" i="1"/>
  <c r="AS204" i="1" s="1"/>
  <c r="AT204" i="1" s="1"/>
  <c r="AQ672" i="1"/>
  <c r="AS672" i="1" s="1"/>
  <c r="AT672" i="1" s="1"/>
  <c r="AQ293" i="1"/>
  <c r="AQ457" i="1"/>
  <c r="AQ749" i="1"/>
  <c r="AQ458" i="1"/>
  <c r="AQ453" i="1"/>
  <c r="AQ306" i="1"/>
  <c r="AQ568" i="1"/>
  <c r="AQ585" i="1"/>
  <c r="AQ527" i="1"/>
  <c r="AQ7" i="1"/>
  <c r="AQ346" i="1"/>
  <c r="AS346" i="1" s="1"/>
  <c r="AT346" i="1" s="1"/>
  <c r="AQ459" i="1"/>
  <c r="AQ684" i="1"/>
  <c r="AS684" i="1" s="1"/>
  <c r="AT684" i="1" s="1"/>
  <c r="AQ100" i="1"/>
  <c r="AQ123" i="1"/>
  <c r="AQ3" i="1"/>
  <c r="AQ836" i="1"/>
  <c r="AQ714" i="1"/>
  <c r="AQ623" i="1"/>
  <c r="AQ534" i="1"/>
  <c r="AQ164" i="1"/>
  <c r="AS164" i="1" s="1"/>
  <c r="AT164" i="1" s="1"/>
  <c r="AQ233" i="1"/>
  <c r="AQ184" i="1"/>
  <c r="AQ64" i="1"/>
  <c r="AQ425" i="1"/>
  <c r="AS425" i="1" s="1"/>
  <c r="AT425" i="1" s="1"/>
  <c r="AQ707" i="1"/>
  <c r="AQ200" i="1"/>
  <c r="AQ428" i="1"/>
  <c r="AS428" i="1" s="1"/>
  <c r="AT428" i="1" s="1"/>
  <c r="AQ264" i="1"/>
  <c r="AQ113" i="1"/>
  <c r="AQ312" i="1"/>
  <c r="AQ36" i="1"/>
  <c r="AS36" i="1" s="1"/>
  <c r="AT36" i="1" s="1"/>
  <c r="AQ298" i="1"/>
  <c r="AS298" i="1" s="1"/>
  <c r="AT298" i="1" s="1"/>
  <c r="AQ742" i="1"/>
  <c r="AQ772" i="1"/>
  <c r="AS772" i="1" s="1"/>
  <c r="AT772" i="1" s="1"/>
  <c r="AQ46" i="1"/>
  <c r="AQ579" i="1"/>
  <c r="AQ804" i="1"/>
  <c r="AS804" i="1" s="1"/>
  <c r="AT804" i="1" s="1"/>
  <c r="AQ631" i="1"/>
  <c r="AS631" i="1" s="1"/>
  <c r="AT631" i="1" s="1"/>
  <c r="AQ180" i="1"/>
  <c r="AS180" i="1" s="1"/>
  <c r="AT180" i="1" s="1"/>
  <c r="AQ577" i="1"/>
  <c r="AQ511" i="1"/>
  <c r="AQ281" i="1"/>
  <c r="AS281" i="1" s="1"/>
  <c r="AT281" i="1" s="1"/>
  <c r="AQ475" i="1"/>
  <c r="AQ696" i="1"/>
  <c r="AQ562" i="1"/>
  <c r="AQ507" i="1"/>
  <c r="AQ354" i="1"/>
  <c r="AQ158" i="1"/>
  <c r="AQ504" i="1"/>
  <c r="AQ78" i="1"/>
  <c r="AQ720" i="1"/>
  <c r="AQ705" i="1"/>
  <c r="AQ719" i="1"/>
  <c r="AQ722" i="1"/>
  <c r="AQ698" i="1"/>
  <c r="AQ10" i="1"/>
  <c r="AS10" i="1" s="1"/>
  <c r="AT10" i="1" s="1"/>
  <c r="AQ648" i="1"/>
  <c r="AS648" i="1" s="1"/>
  <c r="AT648" i="1" s="1"/>
  <c r="AQ223" i="1"/>
  <c r="AQ166" i="1"/>
  <c r="AQ819" i="1"/>
  <c r="AQ728" i="1"/>
  <c r="AQ9" i="1"/>
  <c r="AS9" i="1" s="1"/>
  <c r="AT9" i="1" s="1"/>
  <c r="AQ15" i="1"/>
  <c r="AQ249" i="1"/>
  <c r="AQ604" i="1"/>
  <c r="AQ768" i="1"/>
  <c r="AQ587" i="1"/>
  <c r="AQ82" i="1"/>
  <c r="AQ595" i="1"/>
  <c r="AS595" i="1" s="1"/>
  <c r="AT595" i="1" s="1"/>
  <c r="AQ355" i="1"/>
  <c r="AQ588" i="1"/>
  <c r="AS588" i="1" s="1"/>
  <c r="AT588" i="1" s="1"/>
  <c r="AQ173" i="1"/>
  <c r="AQ288" i="1"/>
  <c r="AS288" i="1" s="1"/>
  <c r="AT288" i="1" s="1"/>
  <c r="AQ276" i="1"/>
  <c r="AS276" i="1" s="1"/>
  <c r="AT276" i="1" s="1"/>
  <c r="AQ750" i="1"/>
  <c r="AQ800" i="1"/>
  <c r="AQ741" i="1"/>
  <c r="AQ644" i="1"/>
  <c r="AQ278" i="1"/>
  <c r="AS278" i="1" s="1"/>
  <c r="AT278" i="1" s="1"/>
  <c r="AQ700" i="1"/>
  <c r="AS700" i="1" s="1"/>
  <c r="AT700" i="1" s="1"/>
  <c r="AQ510" i="1"/>
  <c r="AQ394" i="1"/>
  <c r="AS394" i="1" s="1"/>
  <c r="AT394" i="1" s="1"/>
  <c r="AQ68" i="1"/>
  <c r="AQ610" i="1"/>
  <c r="AQ342" i="1"/>
  <c r="AS342" i="1" s="1"/>
  <c r="AT342" i="1" s="1"/>
  <c r="AQ247" i="1"/>
  <c r="AQ116" i="1"/>
  <c r="AQ189" i="1"/>
  <c r="AS189" i="1" s="1"/>
  <c r="AT189" i="1" s="1"/>
  <c r="AQ329" i="1"/>
  <c r="AQ62" i="1"/>
  <c r="AQ646" i="1"/>
  <c r="AQ593" i="1"/>
  <c r="AS593" i="1" s="1"/>
  <c r="AT593" i="1" s="1"/>
  <c r="AQ787" i="1"/>
  <c r="AS787" i="1" s="1"/>
  <c r="AT787" i="1" s="1"/>
  <c r="AQ740" i="1"/>
  <c r="AQ397" i="1"/>
  <c r="AQ29" i="1"/>
  <c r="AQ253" i="1"/>
  <c r="AQ305" i="1"/>
  <c r="AQ141" i="1"/>
  <c r="AS141" i="1" s="1"/>
  <c r="AT141" i="1" s="1"/>
  <c r="AQ746" i="1"/>
  <c r="AQ108" i="1"/>
  <c r="AQ307" i="1"/>
  <c r="AS307" i="1" s="1"/>
  <c r="AT307" i="1" s="1"/>
  <c r="AQ404" i="1"/>
  <c r="AS404" i="1" s="1"/>
  <c r="AT404" i="1" s="1"/>
  <c r="AQ434" i="1"/>
  <c r="AS434" i="1" s="1"/>
  <c r="AT434" i="1" s="1"/>
  <c r="AQ658" i="1"/>
  <c r="AQ471" i="1"/>
  <c r="AQ494" i="1"/>
  <c r="AQ710" i="1"/>
  <c r="AQ637" i="1"/>
  <c r="AS637" i="1" s="1"/>
  <c r="AT637" i="1" s="1"/>
  <c r="AQ358" i="1"/>
  <c r="AQ643" i="1"/>
  <c r="AQ177" i="1"/>
  <c r="AQ227" i="1"/>
  <c r="AQ313" i="1"/>
  <c r="AQ350" i="1"/>
  <c r="AQ132" i="1"/>
  <c r="AQ216" i="1"/>
  <c r="AQ596" i="1"/>
  <c r="AS596" i="1" s="1"/>
  <c r="AT596" i="1" s="1"/>
  <c r="AQ512" i="1"/>
  <c r="AQ464" i="1"/>
  <c r="AQ642" i="1"/>
  <c r="AQ489" i="1"/>
  <c r="AQ75" i="1"/>
  <c r="AQ76" i="1"/>
  <c r="AQ42" i="1"/>
  <c r="AQ536" i="1"/>
  <c r="AQ535" i="1"/>
  <c r="AQ207" i="1"/>
  <c r="AQ260" i="1"/>
  <c r="AS260" i="1" s="1"/>
  <c r="AT260" i="1" s="1"/>
  <c r="AQ299" i="1"/>
  <c r="AS299" i="1" s="1"/>
  <c r="AT299" i="1" s="1"/>
  <c r="AQ348" i="1"/>
  <c r="AQ639" i="1"/>
  <c r="AS639" i="1" s="1"/>
  <c r="AT639" i="1" s="1"/>
  <c r="AQ197" i="1"/>
  <c r="AS197" i="1" s="1"/>
  <c r="AT197" i="1" s="1"/>
  <c r="AQ282" i="1"/>
  <c r="AS282" i="1" s="1"/>
  <c r="AT282" i="1" s="1"/>
  <c r="AQ327" i="1"/>
  <c r="AS327" i="1" s="1"/>
  <c r="AT327" i="1" s="1"/>
  <c r="AQ102" i="1"/>
  <c r="AQ178" i="1"/>
  <c r="AQ614" i="1"/>
  <c r="AS614" i="1" s="1"/>
  <c r="AT614" i="1" s="1"/>
  <c r="AQ245" i="1"/>
  <c r="AS245" i="1" s="1"/>
  <c r="AT245" i="1" s="1"/>
  <c r="AQ487" i="1"/>
  <c r="AQ488" i="1"/>
  <c r="AQ285" i="1"/>
  <c r="AQ521" i="1"/>
  <c r="AQ454" i="1"/>
  <c r="AQ424" i="1"/>
  <c r="AS424" i="1" s="1"/>
  <c r="AT424" i="1" s="1"/>
  <c r="AQ546" i="1"/>
  <c r="AQ550" i="1"/>
  <c r="AQ205" i="1"/>
  <c r="AQ117" i="1"/>
  <c r="AQ797" i="1"/>
  <c r="AS797" i="1" s="1"/>
  <c r="AT797" i="1" s="1"/>
  <c r="AQ779" i="1"/>
  <c r="AQ206" i="1"/>
  <c r="AQ415" i="1"/>
  <c r="AQ450" i="1"/>
  <c r="AQ119" i="1"/>
  <c r="AQ513" i="1"/>
  <c r="AQ775" i="1"/>
  <c r="AS775" i="1" s="1"/>
  <c r="AT775" i="1" s="1"/>
  <c r="AQ290" i="1"/>
  <c r="AQ4" i="1"/>
  <c r="AQ418" i="1"/>
  <c r="AQ760" i="1"/>
  <c r="AS760" i="1" s="1"/>
  <c r="AT760" i="1" s="1"/>
  <c r="AQ645" i="1"/>
  <c r="AQ168" i="1"/>
  <c r="AS168" i="1" s="1"/>
  <c r="AT168" i="1" s="1"/>
  <c r="AQ383" i="1"/>
  <c r="AQ265" i="1"/>
  <c r="AQ583" i="1"/>
  <c r="AQ433" i="1"/>
  <c r="AQ776" i="1"/>
  <c r="AQ554" i="1"/>
  <c r="AQ376" i="1"/>
  <c r="AS376" i="1" s="1"/>
  <c r="AT376" i="1" s="1"/>
  <c r="AQ660" i="1"/>
  <c r="AQ49" i="1"/>
  <c r="AQ378" i="1"/>
  <c r="AS378" i="1" s="1"/>
  <c r="AT378" i="1" s="1"/>
  <c r="AQ762" i="1"/>
  <c r="AS762" i="1" s="1"/>
  <c r="AT762" i="1" s="1"/>
  <c r="AQ364" i="1"/>
  <c r="AS364" i="1" s="1"/>
  <c r="AT364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G50" i="2" l="1"/>
  <c r="R50" i="2"/>
  <c r="G49" i="2"/>
  <c r="R49" i="2"/>
  <c r="G48" i="2"/>
  <c r="R48" i="2"/>
  <c r="G47" i="2"/>
  <c r="R47" i="2"/>
  <c r="G46" i="2"/>
  <c r="R46" i="2"/>
  <c r="G45" i="2"/>
  <c r="R45" i="2"/>
  <c r="G44" i="2"/>
  <c r="R44" i="2"/>
  <c r="R43" i="2"/>
  <c r="G43" i="2"/>
  <c r="R42" i="2"/>
  <c r="G42" i="2"/>
  <c r="R41" i="2"/>
  <c r="G41" i="2"/>
  <c r="R40" i="2"/>
  <c r="G40" i="2"/>
  <c r="G39" i="2"/>
  <c r="R39" i="2"/>
  <c r="G38" i="2"/>
  <c r="R38" i="2"/>
  <c r="R37" i="2"/>
  <c r="G37" i="2"/>
  <c r="R36" i="2"/>
  <c r="G36" i="2"/>
  <c r="G35" i="2"/>
  <c r="R35" i="2"/>
  <c r="R34" i="2"/>
  <c r="G34" i="2"/>
  <c r="G33" i="2"/>
  <c r="R33" i="2"/>
  <c r="R32" i="2"/>
  <c r="G32" i="2"/>
  <c r="G31" i="2"/>
  <c r="R31" i="2"/>
  <c r="G30" i="2"/>
  <c r="R30" i="2"/>
  <c r="R29" i="2"/>
  <c r="G29" i="2"/>
  <c r="R28" i="2"/>
  <c r="G28" i="2"/>
  <c r="R27" i="2"/>
  <c r="G27" i="2"/>
  <c r="R26" i="2"/>
  <c r="G26" i="2"/>
  <c r="G25" i="2"/>
  <c r="R25" i="2"/>
  <c r="G24" i="2"/>
  <c r="R24" i="2"/>
  <c r="G23" i="2"/>
  <c r="R23" i="2"/>
  <c r="G22" i="2"/>
  <c r="R22" i="2"/>
  <c r="R21" i="2"/>
  <c r="G21" i="2"/>
  <c r="G20" i="2"/>
  <c r="R20" i="2"/>
  <c r="R19" i="2"/>
  <c r="G19" i="2"/>
  <c r="R18" i="2"/>
  <c r="G18" i="2"/>
  <c r="G17" i="2"/>
  <c r="R17" i="2"/>
  <c r="G16" i="2"/>
  <c r="R16" i="2"/>
  <c r="G15" i="2"/>
  <c r="R15" i="2"/>
  <c r="G14" i="2"/>
  <c r="R14" i="2"/>
  <c r="R13" i="2"/>
  <c r="G13" i="2"/>
  <c r="G12" i="2"/>
  <c r="R12" i="2"/>
  <c r="G11" i="2"/>
  <c r="R11" i="2"/>
  <c r="R10" i="2"/>
  <c r="G10" i="2"/>
  <c r="R9" i="2"/>
  <c r="G9" i="2"/>
  <c r="R8" i="2"/>
  <c r="G8" i="2"/>
  <c r="R7" i="2"/>
  <c r="G7" i="2"/>
  <c r="R6" i="2"/>
  <c r="G6" i="2"/>
  <c r="R5" i="2"/>
  <c r="G5" i="2"/>
  <c r="G4" i="2"/>
  <c r="R4" i="2"/>
  <c r="R3" i="2"/>
  <c r="G3" i="2"/>
  <c r="AS660" i="1"/>
  <c r="AT660" i="1" s="1"/>
  <c r="AS433" i="1"/>
  <c r="AT433" i="1" s="1"/>
  <c r="AS265" i="1"/>
  <c r="AT265" i="1" s="1"/>
  <c r="AS642" i="1"/>
  <c r="AT642" i="1" s="1"/>
  <c r="AS643" i="1"/>
  <c r="AT643" i="1" s="1"/>
  <c r="AS253" i="1"/>
  <c r="AT253" i="1" s="1"/>
  <c r="AS49" i="1"/>
  <c r="AT49" i="1" s="1"/>
  <c r="AU49" i="1" s="1"/>
  <c r="AS776" i="1"/>
  <c r="AT776" i="1" s="1"/>
  <c r="AS583" i="1"/>
  <c r="AT583" i="1" s="1"/>
  <c r="AU583" i="1" s="1"/>
  <c r="AS383" i="1"/>
  <c r="AT383" i="1" s="1"/>
  <c r="AS645" i="1"/>
  <c r="AT645" i="1" s="1"/>
  <c r="AU645" i="1" s="1"/>
  <c r="AS206" i="1"/>
  <c r="AT206" i="1" s="1"/>
  <c r="AS205" i="1"/>
  <c r="AT205" i="1" s="1"/>
  <c r="AV205" i="1" s="1"/>
  <c r="AS207" i="1"/>
  <c r="AT207" i="1" s="1"/>
  <c r="AS132" i="1"/>
  <c r="AT132" i="1" s="1"/>
  <c r="AU132" i="1" s="1"/>
  <c r="AS177" i="1"/>
  <c r="AT177" i="1" s="1"/>
  <c r="AS358" i="1"/>
  <c r="AT358" i="1" s="1"/>
  <c r="AV358" i="1" s="1"/>
  <c r="AS305" i="1"/>
  <c r="AT305" i="1" s="1"/>
  <c r="AS62" i="1"/>
  <c r="AT62" i="1" s="1"/>
  <c r="AV62" i="1" s="1"/>
  <c r="AS644" i="1"/>
  <c r="AT644" i="1" s="1"/>
  <c r="AS173" i="1"/>
  <c r="AT173" i="1" s="1"/>
  <c r="AU173" i="1" s="1"/>
  <c r="AS355" i="1"/>
  <c r="AT355" i="1" s="1"/>
  <c r="AS768" i="1"/>
  <c r="AT768" i="1" s="1"/>
  <c r="AV768" i="1" s="1"/>
  <c r="AS249" i="1"/>
  <c r="AT249" i="1" s="1"/>
  <c r="AS158" i="1"/>
  <c r="AT158" i="1" s="1"/>
  <c r="AU158" i="1" s="1"/>
  <c r="AS46" i="1"/>
  <c r="AT46" i="1" s="1"/>
  <c r="AS64" i="1"/>
  <c r="AT64" i="1" s="1"/>
  <c r="AU64" i="1" s="1"/>
  <c r="AS585" i="1"/>
  <c r="AT585" i="1" s="1"/>
  <c r="AS306" i="1"/>
  <c r="AT306" i="1" s="1"/>
  <c r="AU306" i="1" s="1"/>
  <c r="AS584" i="1"/>
  <c r="AT584" i="1" s="1"/>
  <c r="AS685" i="1"/>
  <c r="AT685" i="1" s="1"/>
  <c r="AV685" i="1" s="1"/>
  <c r="AS152" i="1"/>
  <c r="AT152" i="1" s="1"/>
  <c r="AS201" i="1"/>
  <c r="AT201" i="1" s="1"/>
  <c r="AU201" i="1" s="1"/>
  <c r="AS688" i="1"/>
  <c r="AT688" i="1" s="1"/>
  <c r="AS677" i="1"/>
  <c r="AT677" i="1" s="1"/>
  <c r="AV677" i="1" s="1"/>
  <c r="AS52" i="1"/>
  <c r="AT52" i="1" s="1"/>
  <c r="AS239" i="1"/>
  <c r="AT239" i="1" s="1"/>
  <c r="AV239" i="1" s="1"/>
  <c r="AS687" i="1"/>
  <c r="AT687" i="1" s="1"/>
  <c r="AS325" i="1"/>
  <c r="AT325" i="1" s="1"/>
  <c r="AV325" i="1" s="1"/>
  <c r="AS202" i="1"/>
  <c r="AT202" i="1" s="1"/>
  <c r="AS385" i="1"/>
  <c r="AT385" i="1" s="1"/>
  <c r="AV385" i="1" s="1"/>
  <c r="AS142" i="1"/>
  <c r="AT142" i="1" s="1"/>
  <c r="AS629" i="1"/>
  <c r="AT629" i="1" s="1"/>
  <c r="AU629" i="1" s="1"/>
  <c r="AS174" i="1"/>
  <c r="AT174" i="1" s="1"/>
  <c r="AS129" i="1"/>
  <c r="AT129" i="1" s="1"/>
  <c r="AV129" i="1" s="1"/>
  <c r="AS209" i="1"/>
  <c r="AT209" i="1" s="1"/>
  <c r="AS347" i="1"/>
  <c r="AT347" i="1" s="1"/>
  <c r="AV347" i="1" s="1"/>
  <c r="AS411" i="1"/>
  <c r="AT411" i="1" s="1"/>
  <c r="AS55" i="1"/>
  <c r="AT55" i="1" s="1"/>
  <c r="AU55" i="1" s="1"/>
  <c r="AS767" i="1"/>
  <c r="AT767" i="1" s="1"/>
  <c r="AS778" i="1"/>
  <c r="AT778" i="1" s="1"/>
  <c r="AU778" i="1" s="1"/>
  <c r="AS670" i="1"/>
  <c r="AT670" i="1" s="1"/>
  <c r="AS597" i="1"/>
  <c r="AT597" i="1" s="1"/>
  <c r="AV597" i="1" s="1"/>
  <c r="AS690" i="1"/>
  <c r="AT690" i="1" s="1"/>
  <c r="AS237" i="1"/>
  <c r="AT237" i="1" s="1"/>
  <c r="AU237" i="1" s="1"/>
  <c r="AS71" i="1"/>
  <c r="AT71" i="1" s="1"/>
  <c r="AS630" i="1"/>
  <c r="AT630" i="1" s="1"/>
  <c r="AV630" i="1" s="1"/>
  <c r="AS47" i="1"/>
  <c r="AT47" i="1" s="1"/>
  <c r="AS446" i="1"/>
  <c r="AT446" i="1" s="1"/>
  <c r="AU446" i="1" s="1"/>
  <c r="AS147" i="1"/>
  <c r="AT147" i="1" s="1"/>
  <c r="AS667" i="1"/>
  <c r="AT667" i="1" s="1"/>
  <c r="AV667" i="1" s="1"/>
  <c r="AS657" i="1"/>
  <c r="AT657" i="1" s="1"/>
  <c r="AS390" i="1"/>
  <c r="AT390" i="1" s="1"/>
  <c r="AV390" i="1" s="1"/>
  <c r="AS308" i="1"/>
  <c r="AT308" i="1" s="1"/>
  <c r="AS56" i="1"/>
  <c r="AT56" i="1" s="1"/>
  <c r="AU56" i="1" s="1"/>
  <c r="AS381" i="1"/>
  <c r="AT381" i="1" s="1"/>
  <c r="AS130" i="1"/>
  <c r="AT130" i="1" s="1"/>
  <c r="AV130" i="1" s="1"/>
  <c r="AS210" i="1"/>
  <c r="AT210" i="1" s="1"/>
  <c r="AS769" i="1"/>
  <c r="AT769" i="1" s="1"/>
  <c r="AV769" i="1" s="1"/>
  <c r="AS138" i="1"/>
  <c r="AT138" i="1" s="1"/>
  <c r="AS349" i="1"/>
  <c r="AT349" i="1" s="1"/>
  <c r="AV349" i="1" s="1"/>
  <c r="AS764" i="1"/>
  <c r="AT764" i="1" s="1"/>
  <c r="AS380" i="1"/>
  <c r="AT380" i="1" s="1"/>
  <c r="AU380" i="1" s="1"/>
  <c r="AS302" i="1"/>
  <c r="AT302" i="1" s="1"/>
  <c r="AS384" i="1"/>
  <c r="AT384" i="1" s="1"/>
  <c r="AV384" i="1" s="1"/>
  <c r="AS61" i="1"/>
  <c r="AT61" i="1" s="1"/>
  <c r="AS59" i="1"/>
  <c r="AT59" i="1" s="1"/>
  <c r="AV59" i="1" s="1"/>
  <c r="AS165" i="1"/>
  <c r="AT165" i="1" s="1"/>
  <c r="AS183" i="1"/>
  <c r="AT183" i="1" s="1"/>
  <c r="AV183" i="1" s="1"/>
  <c r="AS193" i="1"/>
  <c r="AT193" i="1" s="1"/>
  <c r="AS139" i="1"/>
  <c r="AT139" i="1" s="1"/>
  <c r="AV139" i="1" s="1"/>
  <c r="AS303" i="1"/>
  <c r="AT303" i="1" s="1"/>
  <c r="AS680" i="1"/>
  <c r="AT680" i="1" s="1"/>
  <c r="AV680" i="1" s="1"/>
  <c r="AS332" i="1"/>
  <c r="AT332" i="1" s="1"/>
  <c r="AS176" i="1"/>
  <c r="AT176" i="1" s="1"/>
  <c r="AV176" i="1" s="1"/>
  <c r="AS66" i="1"/>
  <c r="AT66" i="1" s="1"/>
  <c r="AS679" i="1"/>
  <c r="AT679" i="1" s="1"/>
  <c r="AV679" i="1" s="1"/>
  <c r="AS638" i="1"/>
  <c r="AT638" i="1" s="1"/>
  <c r="AS681" i="1"/>
  <c r="AT681" i="1" s="1"/>
  <c r="AU681" i="1" s="1"/>
  <c r="AS50" i="1"/>
  <c r="AT50" i="1" s="1"/>
  <c r="AS172" i="1"/>
  <c r="AT172" i="1" s="1"/>
  <c r="AV172" i="1" s="1"/>
  <c r="AS294" i="1"/>
  <c r="AT294" i="1" s="1"/>
  <c r="AS779" i="1"/>
  <c r="AT779" i="1" s="1"/>
  <c r="AU779" i="1" s="1"/>
  <c r="AS348" i="1"/>
  <c r="AT348" i="1" s="1"/>
  <c r="AS350" i="1"/>
  <c r="AT350" i="1" s="1"/>
  <c r="AU350" i="1" s="1"/>
  <c r="AS658" i="1"/>
  <c r="AT658" i="1" s="1"/>
  <c r="AS646" i="1"/>
  <c r="AT646" i="1" s="1"/>
  <c r="AV646" i="1" s="1"/>
  <c r="AS329" i="1"/>
  <c r="AT329" i="1" s="1"/>
  <c r="AS68" i="1"/>
  <c r="AT68" i="1" s="1"/>
  <c r="AV68" i="1" s="1"/>
  <c r="AS587" i="1"/>
  <c r="AT587" i="1" s="1"/>
  <c r="AS354" i="1"/>
  <c r="AT354" i="1" s="1"/>
  <c r="AU354" i="1" s="1"/>
  <c r="AS579" i="1"/>
  <c r="AT579" i="1" s="1"/>
  <c r="AS264" i="1"/>
  <c r="AT264" i="1" s="1"/>
  <c r="AV264" i="1" s="1"/>
  <c r="AS200" i="1"/>
  <c r="AT200" i="1" s="1"/>
  <c r="AS184" i="1"/>
  <c r="AT184" i="1" s="1"/>
  <c r="AU184" i="1" s="1"/>
  <c r="AS293" i="1"/>
  <c r="AT293" i="1" s="1"/>
  <c r="AS781" i="1"/>
  <c r="AT781" i="1" s="1"/>
  <c r="AV781" i="1" s="1"/>
  <c r="AS244" i="1"/>
  <c r="AT244" i="1" s="1"/>
  <c r="AS330" i="1"/>
  <c r="AT330" i="1" s="1"/>
  <c r="AV330" i="1" s="1"/>
  <c r="AS689" i="1"/>
  <c r="AT689" i="1" s="1"/>
  <c r="AS369" i="1"/>
  <c r="AT369" i="1" s="1"/>
  <c r="AU369" i="1" s="1"/>
  <c r="AS240" i="1"/>
  <c r="AT240" i="1" s="1"/>
  <c r="AS651" i="1"/>
  <c r="AT651" i="1" s="1"/>
  <c r="AU651" i="1" s="1"/>
  <c r="AS352" i="1"/>
  <c r="AT352" i="1" s="1"/>
  <c r="AS70" i="1"/>
  <c r="AT70" i="1" s="1"/>
  <c r="AU70" i="1" s="1"/>
  <c r="AS60" i="1"/>
  <c r="AT60" i="1" s="1"/>
  <c r="AS785" i="1"/>
  <c r="AT785" i="1" s="1"/>
  <c r="AV785" i="1" s="1"/>
  <c r="AS673" i="1"/>
  <c r="AT673" i="1" s="1"/>
  <c r="AS54" i="1"/>
  <c r="AT54" i="1" s="1"/>
  <c r="AU54" i="1" s="1"/>
  <c r="AS69" i="1"/>
  <c r="AT69" i="1" s="1"/>
  <c r="AS242" i="1"/>
  <c r="AT242" i="1" s="1"/>
  <c r="AV242" i="1" s="1"/>
  <c r="AS67" i="1"/>
  <c r="AT67" i="1" s="1"/>
  <c r="AS211" i="1"/>
  <c r="AT211" i="1" s="1"/>
  <c r="AU211" i="1" s="1"/>
  <c r="AS156" i="1"/>
  <c r="AT156" i="1" s="1"/>
  <c r="AS157" i="1"/>
  <c r="AT157" i="1" s="1"/>
  <c r="AV157" i="1" s="1"/>
  <c r="AS483" i="1"/>
  <c r="AT483" i="1" s="1"/>
  <c r="AS266" i="1"/>
  <c r="AT266" i="1" s="1"/>
  <c r="AU266" i="1" s="1"/>
  <c r="AS686" i="1"/>
  <c r="AT686" i="1" s="1"/>
  <c r="AS766" i="1"/>
  <c r="AT766" i="1" s="1"/>
  <c r="AU766" i="1" s="1"/>
  <c r="AS131" i="1"/>
  <c r="AT131" i="1" s="1"/>
  <c r="AS777" i="1"/>
  <c r="AT777" i="1" s="1"/>
  <c r="AU777" i="1" s="1"/>
  <c r="AS241" i="1"/>
  <c r="AT241" i="1" s="1"/>
  <c r="AS328" i="1"/>
  <c r="AT328" i="1" s="1"/>
  <c r="AU328" i="1" s="1"/>
  <c r="AS63" i="1"/>
  <c r="AT63" i="1" s="1"/>
  <c r="AS405" i="1"/>
  <c r="AT405" i="1" s="1"/>
  <c r="AU405" i="1" s="1"/>
  <c r="AS674" i="1"/>
  <c r="AT674" i="1" s="1"/>
  <c r="AS57" i="1"/>
  <c r="AT57" i="1" s="1"/>
  <c r="AV57" i="1" s="1"/>
  <c r="AS652" i="1"/>
  <c r="AT652" i="1" s="1"/>
  <c r="AS780" i="1"/>
  <c r="AT780" i="1" s="1"/>
  <c r="AU780" i="1" s="1"/>
  <c r="AS410" i="1"/>
  <c r="AT410" i="1" s="1"/>
  <c r="AS661" i="1"/>
  <c r="AT661" i="1" s="1"/>
  <c r="AV661" i="1" s="1"/>
  <c r="AS668" i="1"/>
  <c r="AT668" i="1" s="1"/>
  <c r="AU668" i="1" s="1"/>
  <c r="AS790" i="1"/>
  <c r="AT790" i="1" s="1"/>
  <c r="AU790" i="1" s="1"/>
  <c r="AS676" i="1"/>
  <c r="AT676" i="1" s="1"/>
  <c r="AU676" i="1" s="1"/>
  <c r="AS149" i="1"/>
  <c r="AT149" i="1" s="1"/>
  <c r="AU149" i="1" s="1"/>
  <c r="AS148" i="1"/>
  <c r="AT148" i="1" s="1"/>
  <c r="AU148" i="1" s="1"/>
  <c r="AS182" i="1"/>
  <c r="AT182" i="1" s="1"/>
  <c r="AU182" i="1" s="1"/>
  <c r="AS662" i="1"/>
  <c r="AT662" i="1" s="1"/>
  <c r="AU662" i="1" s="1"/>
  <c r="AS261" i="1"/>
  <c r="AT261" i="1" s="1"/>
  <c r="AU261" i="1" s="1"/>
  <c r="AS51" i="1"/>
  <c r="AT51" i="1" s="1"/>
  <c r="AU51" i="1" s="1"/>
  <c r="AS341" i="1"/>
  <c r="AT341" i="1" s="1"/>
  <c r="AV341" i="1" s="1"/>
  <c r="AS406" i="1"/>
  <c r="AT406" i="1" s="1"/>
  <c r="AU406" i="1" s="1"/>
  <c r="AS344" i="1"/>
  <c r="AT344" i="1" s="1"/>
  <c r="AU344" i="1" s="1"/>
  <c r="AS212" i="1"/>
  <c r="AT212" i="1" s="1"/>
  <c r="AU212" i="1" s="1"/>
  <c r="AS133" i="1"/>
  <c r="AT133" i="1" s="1"/>
  <c r="AU133" i="1" s="1"/>
  <c r="AS175" i="1"/>
  <c r="AT175" i="1" s="1"/>
  <c r="AU175" i="1" s="1"/>
  <c r="AS181" i="1"/>
  <c r="AT181" i="1" s="1"/>
  <c r="AV181" i="1" s="1"/>
  <c r="AS782" i="1"/>
  <c r="AT782" i="1" s="1"/>
  <c r="AU782" i="1" s="1"/>
  <c r="AS356" i="1"/>
  <c r="AT356" i="1" s="1"/>
  <c r="AU356" i="1" s="1"/>
  <c r="AS208" i="1"/>
  <c r="AT208" i="1" s="1"/>
  <c r="AV208" i="1" s="1"/>
  <c r="AS586" i="1"/>
  <c r="AT586" i="1" s="1"/>
  <c r="AU586" i="1" s="1"/>
  <c r="AS185" i="1"/>
  <c r="AT185" i="1" s="1"/>
  <c r="AV185" i="1" s="1"/>
  <c r="AS134" i="1"/>
  <c r="AT134" i="1" s="1"/>
  <c r="AV134" i="1" s="1"/>
  <c r="AS357" i="1"/>
  <c r="AT357" i="1" s="1"/>
  <c r="AU357" i="1" s="1"/>
  <c r="AS370" i="1"/>
  <c r="AT370" i="1" s="1"/>
  <c r="AU370" i="1" s="1"/>
  <c r="AS389" i="1"/>
  <c r="AT389" i="1" s="1"/>
  <c r="AV389" i="1" s="1"/>
  <c r="AU762" i="1"/>
  <c r="AV762" i="1"/>
  <c r="AV49" i="1"/>
  <c r="AV376" i="1"/>
  <c r="AU376" i="1"/>
  <c r="AV776" i="1"/>
  <c r="AU776" i="1"/>
  <c r="AV583" i="1"/>
  <c r="AV383" i="1"/>
  <c r="AU383" i="1"/>
  <c r="AV645" i="1"/>
  <c r="AV206" i="1"/>
  <c r="AU206" i="1"/>
  <c r="AV797" i="1"/>
  <c r="AU797" i="1"/>
  <c r="AU205" i="1"/>
  <c r="AU614" i="1"/>
  <c r="AV614" i="1"/>
  <c r="AU282" i="1"/>
  <c r="AV282" i="1"/>
  <c r="AU639" i="1"/>
  <c r="AV639" i="1"/>
  <c r="AU299" i="1"/>
  <c r="AV299" i="1"/>
  <c r="AU207" i="1"/>
  <c r="AV207" i="1"/>
  <c r="AV596" i="1"/>
  <c r="AU596" i="1"/>
  <c r="AV132" i="1"/>
  <c r="AV177" i="1"/>
  <c r="AU177" i="1"/>
  <c r="AU358" i="1"/>
  <c r="AV434" i="1"/>
  <c r="AU434" i="1"/>
  <c r="AV307" i="1"/>
  <c r="AU307" i="1"/>
  <c r="AV305" i="1"/>
  <c r="AU305" i="1"/>
  <c r="AV593" i="1"/>
  <c r="AU593" i="1"/>
  <c r="AU62" i="1"/>
  <c r="AV189" i="1"/>
  <c r="AU189" i="1"/>
  <c r="AU394" i="1"/>
  <c r="AV394" i="1"/>
  <c r="AU700" i="1"/>
  <c r="AV700" i="1"/>
  <c r="AV644" i="1"/>
  <c r="AU644" i="1"/>
  <c r="AU276" i="1"/>
  <c r="AV276" i="1"/>
  <c r="AV173" i="1"/>
  <c r="AV355" i="1"/>
  <c r="AU355" i="1"/>
  <c r="AU768" i="1"/>
  <c r="AU249" i="1"/>
  <c r="AV249" i="1"/>
  <c r="AU9" i="1"/>
  <c r="AV9" i="1"/>
  <c r="AU10" i="1"/>
  <c r="AV10" i="1"/>
  <c r="AV158" i="1"/>
  <c r="AU281" i="1"/>
  <c r="AV281" i="1"/>
  <c r="AV631" i="1"/>
  <c r="AU631" i="1"/>
  <c r="AU46" i="1"/>
  <c r="AV46" i="1"/>
  <c r="AV36" i="1"/>
  <c r="AU36" i="1"/>
  <c r="AV428" i="1"/>
  <c r="AU428" i="1"/>
  <c r="AV64" i="1"/>
  <c r="AU585" i="1"/>
  <c r="AV585" i="1"/>
  <c r="AV306" i="1"/>
  <c r="AV672" i="1"/>
  <c r="AU672" i="1"/>
  <c r="AU584" i="1"/>
  <c r="AV584" i="1"/>
  <c r="AV271" i="1"/>
  <c r="AU271" i="1"/>
  <c r="AV295" i="1"/>
  <c r="AU295" i="1"/>
  <c r="AU685" i="1"/>
  <c r="AU152" i="1"/>
  <c r="AV152" i="1"/>
  <c r="AU427" i="1"/>
  <c r="AV427" i="1"/>
  <c r="AV201" i="1"/>
  <c r="AU688" i="1"/>
  <c r="AV688" i="1"/>
  <c r="AV92" i="1"/>
  <c r="AU92" i="1"/>
  <c r="AV340" i="1"/>
  <c r="AU340" i="1"/>
  <c r="AU677" i="1"/>
  <c r="AV52" i="1"/>
  <c r="AU52" i="1"/>
  <c r="AU239" i="1"/>
  <c r="AV361" i="1"/>
  <c r="AU361" i="1"/>
  <c r="AU286" i="1"/>
  <c r="AV286" i="1"/>
  <c r="AV687" i="1"/>
  <c r="AU687" i="1"/>
  <c r="AU325" i="1"/>
  <c r="AU655" i="1"/>
  <c r="AV655" i="1"/>
  <c r="AU202" i="1"/>
  <c r="AV202" i="1"/>
  <c r="AU386" i="1"/>
  <c r="AV386" i="1"/>
  <c r="AU771" i="1"/>
  <c r="AV771" i="1"/>
  <c r="AU124" i="1"/>
  <c r="AV124" i="1"/>
  <c r="AU283" i="1"/>
  <c r="AV283" i="1"/>
  <c r="AU385" i="1"/>
  <c r="AU843" i="1"/>
  <c r="AV843" i="1"/>
  <c r="AU142" i="1"/>
  <c r="AV142" i="1"/>
  <c r="AV629" i="1"/>
  <c r="AV174" i="1"/>
  <c r="AU174" i="1"/>
  <c r="AU426" i="1"/>
  <c r="AV426" i="1"/>
  <c r="AU600" i="1"/>
  <c r="AV600" i="1"/>
  <c r="AU262" i="1"/>
  <c r="AV262" i="1"/>
  <c r="AU129" i="1"/>
  <c r="AV93" i="1"/>
  <c r="AU93" i="1"/>
  <c r="AU209" i="1"/>
  <c r="AV209" i="1"/>
  <c r="AU140" i="1"/>
  <c r="AV140" i="1"/>
  <c r="AU347" i="1"/>
  <c r="AV300" i="1"/>
  <c r="AU300" i="1"/>
  <c r="AV259" i="1"/>
  <c r="AU259" i="1"/>
  <c r="AU411" i="1"/>
  <c r="AV411" i="1"/>
  <c r="AU640" i="1"/>
  <c r="AV640" i="1"/>
  <c r="AV55" i="1"/>
  <c r="AU767" i="1"/>
  <c r="AV767" i="1"/>
  <c r="AV592" i="1"/>
  <c r="AU592" i="1"/>
  <c r="AU761" i="1"/>
  <c r="AV761" i="1"/>
  <c r="AV778" i="1"/>
  <c r="AU670" i="1"/>
  <c r="AV670" i="1"/>
  <c r="AV793" i="1"/>
  <c r="AU793" i="1"/>
  <c r="AU597" i="1"/>
  <c r="AV701" i="1"/>
  <c r="AU701" i="1"/>
  <c r="AV365" i="1"/>
  <c r="AU365" i="1"/>
  <c r="AV336" i="1"/>
  <c r="AU336" i="1"/>
  <c r="AV363" i="1"/>
  <c r="AU363" i="1"/>
  <c r="AV360" i="1"/>
  <c r="AU360" i="1"/>
  <c r="AV690" i="1"/>
  <c r="AU690" i="1"/>
  <c r="AV237" i="1"/>
  <c r="AV71" i="1"/>
  <c r="AU71" i="1"/>
  <c r="AU630" i="1"/>
  <c r="AV839" i="1"/>
  <c r="AU839" i="1"/>
  <c r="AU241" i="1"/>
  <c r="AV241" i="1"/>
  <c r="AV675" i="1"/>
  <c r="AU675" i="1"/>
  <c r="AU912" i="1"/>
  <c r="AV912" i="1"/>
  <c r="AU371" i="1"/>
  <c r="AV371" i="1"/>
  <c r="AV405" i="1"/>
  <c r="AV784" i="1"/>
  <c r="AU784" i="1"/>
  <c r="AV674" i="1"/>
  <c r="AU674" i="1"/>
  <c r="AV664" i="1"/>
  <c r="AU664" i="1"/>
  <c r="AV652" i="1"/>
  <c r="AU652" i="1"/>
  <c r="AV151" i="1"/>
  <c r="AU151" i="1"/>
  <c r="AU251" i="1"/>
  <c r="AV251" i="1"/>
  <c r="AU669" i="1"/>
  <c r="AV669" i="1"/>
  <c r="AV780" i="1"/>
  <c r="AV296" i="1"/>
  <c r="AU296" i="1"/>
  <c r="AV402" i="1"/>
  <c r="AU402" i="1"/>
  <c r="AU410" i="1"/>
  <c r="AV410" i="1"/>
  <c r="AV668" i="1"/>
  <c r="AU187" i="1"/>
  <c r="AV187" i="1"/>
  <c r="AU136" i="1"/>
  <c r="AV136" i="1"/>
  <c r="AV149" i="1"/>
  <c r="AU339" i="1"/>
  <c r="AV339" i="1"/>
  <c r="AV148" i="1"/>
  <c r="AU423" i="1"/>
  <c r="AV423" i="1"/>
  <c r="AU594" i="1"/>
  <c r="AV594" i="1"/>
  <c r="AU590" i="1"/>
  <c r="AV590" i="1"/>
  <c r="AU635" i="1"/>
  <c r="AV635" i="1"/>
  <c r="AV182" i="1"/>
  <c r="AU337" i="1"/>
  <c r="AV337" i="1"/>
  <c r="AV256" i="1"/>
  <c r="AU256" i="1"/>
  <c r="AU263" i="1"/>
  <c r="AV263" i="1"/>
  <c r="AV51" i="1"/>
  <c r="AU374" i="1"/>
  <c r="AV374" i="1"/>
  <c r="AV297" i="1"/>
  <c r="AU297" i="1"/>
  <c r="AV334" i="1"/>
  <c r="AU334" i="1"/>
  <c r="AU827" i="1"/>
  <c r="AV827" i="1"/>
  <c r="AV795" i="1"/>
  <c r="AU795" i="1"/>
  <c r="AV13" i="1"/>
  <c r="AU13" i="1"/>
  <c r="AV212" i="1"/>
  <c r="AU163" i="1"/>
  <c r="AV163" i="1"/>
  <c r="AV782" i="1"/>
  <c r="AU628" i="1"/>
  <c r="AV628" i="1"/>
  <c r="AU408" i="1"/>
  <c r="AV408" i="1"/>
  <c r="AU190" i="1"/>
  <c r="AV190" i="1"/>
  <c r="AU185" i="1"/>
  <c r="AU333" i="1"/>
  <c r="AV333" i="1"/>
  <c r="AV343" i="1"/>
  <c r="AU343" i="1"/>
  <c r="AU432" i="1"/>
  <c r="AV432" i="1"/>
  <c r="AV431" i="1"/>
  <c r="AU431" i="1"/>
  <c r="AU367" i="1"/>
  <c r="AV367" i="1"/>
  <c r="AV401" i="1"/>
  <c r="AU401" i="1"/>
  <c r="AU913" i="1"/>
  <c r="AV913" i="1"/>
  <c r="AU389" i="1"/>
  <c r="AV653" i="1"/>
  <c r="AU653" i="1"/>
  <c r="AV324" i="1"/>
  <c r="AU324" i="1"/>
  <c r="AV294" i="1"/>
  <c r="AU294" i="1"/>
  <c r="AV364" i="1"/>
  <c r="AU364" i="1"/>
  <c r="AU378" i="1"/>
  <c r="AV378" i="1"/>
  <c r="AV660" i="1"/>
  <c r="AU660" i="1"/>
  <c r="AV433" i="1"/>
  <c r="AU433" i="1"/>
  <c r="AV265" i="1"/>
  <c r="AU265" i="1"/>
  <c r="AU168" i="1"/>
  <c r="AV168" i="1"/>
  <c r="AV760" i="1"/>
  <c r="AU760" i="1"/>
  <c r="AV775" i="1"/>
  <c r="AU775" i="1"/>
  <c r="AV779" i="1"/>
  <c r="AU424" i="1"/>
  <c r="AV424" i="1"/>
  <c r="AV245" i="1"/>
  <c r="AU245" i="1"/>
  <c r="AV327" i="1"/>
  <c r="AU327" i="1"/>
  <c r="AU197" i="1"/>
  <c r="AV197" i="1"/>
  <c r="AV348" i="1"/>
  <c r="AU348" i="1"/>
  <c r="AV260" i="1"/>
  <c r="AU260" i="1"/>
  <c r="AV642" i="1"/>
  <c r="AU642" i="1"/>
  <c r="AV350" i="1"/>
  <c r="AU643" i="1"/>
  <c r="AV643" i="1"/>
  <c r="AU637" i="1"/>
  <c r="AV637" i="1"/>
  <c r="AV658" i="1"/>
  <c r="AU658" i="1"/>
  <c r="AV404" i="1"/>
  <c r="AU404" i="1"/>
  <c r="AU141" i="1"/>
  <c r="AV141" i="1"/>
  <c r="AV253" i="1"/>
  <c r="AU253" i="1"/>
  <c r="AV787" i="1"/>
  <c r="AU787" i="1"/>
  <c r="AU646" i="1"/>
  <c r="AV329" i="1"/>
  <c r="AU329" i="1"/>
  <c r="AV342" i="1"/>
  <c r="AU342" i="1"/>
  <c r="AU68" i="1"/>
  <c r="AU278" i="1"/>
  <c r="AV278" i="1"/>
  <c r="AU288" i="1"/>
  <c r="AV288" i="1"/>
  <c r="AV588" i="1"/>
  <c r="AU588" i="1"/>
  <c r="AU595" i="1"/>
  <c r="AV595" i="1"/>
  <c r="AV587" i="1"/>
  <c r="AU587" i="1"/>
  <c r="AV648" i="1"/>
  <c r="AU648" i="1"/>
  <c r="AV354" i="1"/>
  <c r="AV180" i="1"/>
  <c r="AU180" i="1"/>
  <c r="AV804" i="1"/>
  <c r="AU804" i="1"/>
  <c r="AV579" i="1"/>
  <c r="AU579" i="1"/>
  <c r="AU772" i="1"/>
  <c r="AV772" i="1"/>
  <c r="AU298" i="1"/>
  <c r="AV298" i="1"/>
  <c r="AU264" i="1"/>
  <c r="AV200" i="1"/>
  <c r="AU200" i="1"/>
  <c r="AV425" i="1"/>
  <c r="AU425" i="1"/>
  <c r="AV184" i="1"/>
  <c r="AU164" i="1"/>
  <c r="AV164" i="1"/>
  <c r="AU684" i="1"/>
  <c r="AV684" i="1"/>
  <c r="AV346" i="1"/>
  <c r="AU346" i="1"/>
  <c r="AV293" i="1"/>
  <c r="AU293" i="1"/>
  <c r="AV204" i="1"/>
  <c r="AU204" i="1"/>
  <c r="AU666" i="1"/>
  <c r="AV666" i="1"/>
  <c r="AU781" i="1"/>
  <c r="AV244" i="1"/>
  <c r="AU244" i="1"/>
  <c r="AU330" i="1"/>
  <c r="AV634" i="1"/>
  <c r="AU634" i="1"/>
  <c r="AU353" i="1"/>
  <c r="AV353" i="1"/>
  <c r="AV689" i="1"/>
  <c r="AU689" i="1"/>
  <c r="AU391" i="1"/>
  <c r="AV391" i="1"/>
  <c r="AV369" i="1"/>
  <c r="AU240" i="1"/>
  <c r="AV240" i="1"/>
  <c r="AV651" i="1"/>
  <c r="AU248" i="1"/>
  <c r="AV248" i="1"/>
  <c r="AU377" i="1"/>
  <c r="AV377" i="1"/>
  <c r="AV162" i="1"/>
  <c r="AU162" i="1"/>
  <c r="AU352" i="1"/>
  <c r="AV352" i="1"/>
  <c r="AU12" i="1"/>
  <c r="AV12" i="1"/>
  <c r="AV70" i="1"/>
  <c r="AV326" i="1"/>
  <c r="AU326" i="1"/>
  <c r="AV280" i="1"/>
  <c r="AU280" i="1"/>
  <c r="AV407" i="1"/>
  <c r="AU407" i="1"/>
  <c r="AV678" i="1"/>
  <c r="AU678" i="1"/>
  <c r="AU60" i="1"/>
  <c r="AV60" i="1"/>
  <c r="AU774" i="1"/>
  <c r="AV774" i="1"/>
  <c r="AU599" i="1"/>
  <c r="AV599" i="1"/>
  <c r="AU785" i="1"/>
  <c r="AU763" i="1"/>
  <c r="AV763" i="1"/>
  <c r="AV673" i="1"/>
  <c r="AU673" i="1"/>
  <c r="AV54" i="1"/>
  <c r="AU69" i="1"/>
  <c r="AV69" i="1"/>
  <c r="AV654" i="1"/>
  <c r="AU654" i="1"/>
  <c r="AU274" i="1"/>
  <c r="AV274" i="1"/>
  <c r="AU257" i="1"/>
  <c r="AV257" i="1"/>
  <c r="AU67" i="1"/>
  <c r="AV67" i="1"/>
  <c r="AV211" i="1"/>
  <c r="AU156" i="1"/>
  <c r="AV156" i="1"/>
  <c r="AV483" i="1"/>
  <c r="AU483" i="1"/>
  <c r="AV266" i="1"/>
  <c r="AV665" i="1"/>
  <c r="AU665" i="1"/>
  <c r="AV284" i="1"/>
  <c r="AU284" i="1"/>
  <c r="AV627" i="1"/>
  <c r="AU627" i="1"/>
  <c r="AV195" i="1"/>
  <c r="AU195" i="1"/>
  <c r="AV430" i="1"/>
  <c r="AU430" i="1"/>
  <c r="AV686" i="1"/>
  <c r="AU686" i="1"/>
  <c r="AU368" i="1"/>
  <c r="AV368" i="1"/>
  <c r="AV131" i="1"/>
  <c r="AU131" i="1"/>
  <c r="AV777" i="1"/>
  <c r="AU786" i="1"/>
  <c r="AV786" i="1"/>
  <c r="AV613" i="1"/>
  <c r="AU613" i="1"/>
  <c r="AV650" i="1"/>
  <c r="AU650" i="1"/>
  <c r="AU626" i="1"/>
  <c r="AV626" i="1"/>
  <c r="AV63" i="1"/>
  <c r="AU63" i="1"/>
  <c r="AU47" i="1"/>
  <c r="AV47" i="1"/>
  <c r="AV446" i="1"/>
  <c r="AV147" i="1"/>
  <c r="AU147" i="1"/>
  <c r="AU667" i="1"/>
  <c r="AU238" i="1"/>
  <c r="AV238" i="1"/>
  <c r="AV657" i="1"/>
  <c r="AU657" i="1"/>
  <c r="AU390" i="1"/>
  <c r="AV308" i="1"/>
  <c r="AU308" i="1"/>
  <c r="AV56" i="1"/>
  <c r="AU273" i="1"/>
  <c r="AV273" i="1"/>
  <c r="AV219" i="1"/>
  <c r="AU219" i="1"/>
  <c r="AU381" i="1"/>
  <c r="AV381" i="1"/>
  <c r="AV765" i="1"/>
  <c r="AU765" i="1"/>
  <c r="AV656" i="1"/>
  <c r="AU656" i="1"/>
  <c r="AU130" i="1"/>
  <c r="AU210" i="1"/>
  <c r="AV210" i="1"/>
  <c r="AV11" i="1"/>
  <c r="AU11" i="1"/>
  <c r="AV275" i="1"/>
  <c r="AU275" i="1"/>
  <c r="AU769" i="1"/>
  <c r="AU137" i="1"/>
  <c r="AV137" i="1"/>
  <c r="AU387" i="1"/>
  <c r="AV387" i="1"/>
  <c r="AU138" i="1"/>
  <c r="AV138" i="1"/>
  <c r="AU798" i="1"/>
  <c r="AV798" i="1"/>
  <c r="AU409" i="1"/>
  <c r="AV409" i="1"/>
  <c r="AU663" i="1"/>
  <c r="AV663" i="1"/>
  <c r="AU683" i="1"/>
  <c r="AV683" i="1"/>
  <c r="AU796" i="1"/>
  <c r="AV796" i="1"/>
  <c r="AV279" i="1"/>
  <c r="AU279" i="1"/>
  <c r="AU349" i="1"/>
  <c r="AU794" i="1"/>
  <c r="AV794" i="1"/>
  <c r="AU94" i="1"/>
  <c r="AV94" i="1"/>
  <c r="AU764" i="1"/>
  <c r="AV764" i="1"/>
  <c r="AV380" i="1"/>
  <c r="AU186" i="1"/>
  <c r="AV186" i="1"/>
  <c r="AU144" i="1"/>
  <c r="AV144" i="1"/>
  <c r="AV302" i="1"/>
  <c r="AU302" i="1"/>
  <c r="AV788" i="1"/>
  <c r="AU788" i="1"/>
  <c r="AV250" i="1"/>
  <c r="AU250" i="1"/>
  <c r="AV252" i="1"/>
  <c r="AU252" i="1"/>
  <c r="AU384" i="1"/>
  <c r="AV61" i="1"/>
  <c r="AU61" i="1"/>
  <c r="AV636" i="1"/>
  <c r="AU636" i="1"/>
  <c r="AU373" i="1"/>
  <c r="AV373" i="1"/>
  <c r="AU59" i="1"/>
  <c r="AU581" i="1"/>
  <c r="AV581" i="1"/>
  <c r="AU165" i="1"/>
  <c r="AV165" i="1"/>
  <c r="AU183" i="1"/>
  <c r="AU392" i="1"/>
  <c r="AV392" i="1"/>
  <c r="AU580" i="1"/>
  <c r="AV580" i="1"/>
  <c r="AU193" i="1"/>
  <c r="AV193" i="1"/>
  <c r="AU139" i="1"/>
  <c r="AU303" i="1"/>
  <c r="AV303" i="1"/>
  <c r="AV196" i="1"/>
  <c r="AU196" i="1"/>
  <c r="AU31" i="1"/>
  <c r="AV31" i="1"/>
  <c r="AU680" i="1"/>
  <c r="AV301" i="1"/>
  <c r="AU301" i="1"/>
  <c r="AV332" i="1"/>
  <c r="AU332" i="1"/>
  <c r="AU176" i="1"/>
  <c r="AV143" i="1"/>
  <c r="AU143" i="1"/>
  <c r="AV591" i="1"/>
  <c r="AU591" i="1"/>
  <c r="AV582" i="1"/>
  <c r="AU582" i="1"/>
  <c r="AV335" i="1"/>
  <c r="AU335" i="1"/>
  <c r="AU258" i="1"/>
  <c r="AV258" i="1"/>
  <c r="AU309" i="1"/>
  <c r="AV309" i="1"/>
  <c r="AV146" i="1"/>
  <c r="AU146" i="1"/>
  <c r="AV66" i="1"/>
  <c r="AU66" i="1"/>
  <c r="AU679" i="1"/>
  <c r="AV638" i="1"/>
  <c r="AU638" i="1"/>
  <c r="AV272" i="1"/>
  <c r="AU272" i="1"/>
  <c r="AV681" i="1"/>
  <c r="AV50" i="1"/>
  <c r="AU50" i="1"/>
  <c r="AU172" i="1"/>
  <c r="AV236" i="1"/>
  <c r="AU236" i="1"/>
  <c r="AV366" i="1"/>
  <c r="AU366" i="1"/>
  <c r="AV255" i="1"/>
  <c r="AU255" i="1"/>
  <c r="A51" i="2"/>
  <c r="F50" i="2"/>
  <c r="J50" i="2"/>
  <c r="H50" i="2"/>
  <c r="B49" i="2"/>
  <c r="F49" i="2"/>
  <c r="I49" i="2"/>
  <c r="C48" i="2"/>
  <c r="F48" i="2"/>
  <c r="J48" i="2"/>
  <c r="B47" i="2"/>
  <c r="C47" i="2"/>
  <c r="H47" i="2"/>
  <c r="B46" i="2"/>
  <c r="C46" i="2"/>
  <c r="I46" i="2"/>
  <c r="I45" i="2"/>
  <c r="J45" i="2"/>
  <c r="F45" i="2"/>
  <c r="C44" i="2"/>
  <c r="B44" i="2"/>
  <c r="J44" i="2"/>
  <c r="B43" i="2"/>
  <c r="I43" i="2"/>
  <c r="F43" i="2"/>
  <c r="F42" i="2"/>
  <c r="B42" i="2"/>
  <c r="C42" i="2"/>
  <c r="J41" i="2"/>
  <c r="H41" i="2"/>
  <c r="F41" i="2"/>
  <c r="H40" i="2"/>
  <c r="F40" i="2"/>
  <c r="B40" i="2"/>
  <c r="B39" i="2"/>
  <c r="C39" i="2"/>
  <c r="H39" i="2"/>
  <c r="F38" i="2"/>
  <c r="I38" i="2"/>
  <c r="B38" i="2"/>
  <c r="J37" i="2"/>
  <c r="H37" i="2"/>
  <c r="F37" i="2"/>
  <c r="H36" i="2"/>
  <c r="B36" i="2"/>
  <c r="J36" i="2"/>
  <c r="I35" i="2"/>
  <c r="C35" i="2"/>
  <c r="F35" i="2"/>
  <c r="F34" i="2"/>
  <c r="I34" i="2"/>
  <c r="B34" i="2"/>
  <c r="F33" i="2"/>
  <c r="C33" i="2"/>
  <c r="H33" i="2"/>
  <c r="B32" i="2"/>
  <c r="J32" i="2"/>
  <c r="H32" i="2"/>
  <c r="F31" i="2"/>
  <c r="C31" i="2"/>
  <c r="J31" i="2"/>
  <c r="I30" i="2"/>
  <c r="B30" i="2"/>
  <c r="C30" i="2"/>
  <c r="J29" i="2"/>
  <c r="F29" i="2"/>
  <c r="H29" i="2"/>
  <c r="B28" i="2"/>
  <c r="I28" i="2"/>
  <c r="C28" i="2"/>
  <c r="C27" i="2"/>
  <c r="F27" i="2"/>
  <c r="J27" i="2"/>
  <c r="F26" i="2"/>
  <c r="B26" i="2"/>
  <c r="C26" i="2"/>
  <c r="J25" i="2"/>
  <c r="F25" i="2"/>
  <c r="C25" i="2"/>
  <c r="J24" i="2"/>
  <c r="B24" i="2"/>
  <c r="C24" i="2"/>
  <c r="H23" i="2"/>
  <c r="B23" i="2"/>
  <c r="C23" i="2"/>
  <c r="B22" i="2"/>
  <c r="H22" i="2"/>
  <c r="C22" i="2"/>
  <c r="J21" i="2"/>
  <c r="I21" i="2"/>
  <c r="H21" i="2"/>
  <c r="F20" i="2"/>
  <c r="C20" i="2"/>
  <c r="H20" i="2"/>
  <c r="I19" i="2"/>
  <c r="B19" i="2"/>
  <c r="J19" i="2"/>
  <c r="B18" i="2"/>
  <c r="H18" i="2"/>
  <c r="F18" i="2"/>
  <c r="C17" i="2"/>
  <c r="I17" i="2"/>
  <c r="H17" i="2"/>
  <c r="H16" i="2"/>
  <c r="I16" i="2"/>
  <c r="F16" i="2"/>
  <c r="F15" i="2"/>
  <c r="B15" i="2"/>
  <c r="I15" i="2"/>
  <c r="H14" i="2"/>
  <c r="B14" i="2"/>
  <c r="J14" i="2"/>
  <c r="C13" i="2"/>
  <c r="H13" i="2"/>
  <c r="B13" i="2"/>
  <c r="H12" i="2"/>
  <c r="F12" i="2"/>
  <c r="I12" i="2"/>
  <c r="I11" i="2"/>
  <c r="F11" i="2"/>
  <c r="H11" i="2"/>
  <c r="I10" i="2"/>
  <c r="B10" i="2"/>
  <c r="J10" i="2"/>
  <c r="C9" i="2"/>
  <c r="B9" i="2"/>
  <c r="J9" i="2"/>
  <c r="F8" i="2"/>
  <c r="C8" i="2"/>
  <c r="B8" i="2"/>
  <c r="H7" i="2"/>
  <c r="F7" i="2"/>
  <c r="C7" i="2"/>
  <c r="F6" i="2"/>
  <c r="B6" i="2"/>
  <c r="J6" i="2"/>
  <c r="H5" i="2"/>
  <c r="F5" i="2"/>
  <c r="B5" i="2"/>
  <c r="J4" i="2"/>
  <c r="C4" i="2"/>
  <c r="I4" i="2"/>
  <c r="I3" i="2"/>
  <c r="B3" i="2"/>
  <c r="H3" i="2"/>
  <c r="B50" i="2"/>
  <c r="I50" i="2"/>
  <c r="C50" i="2"/>
  <c r="H49" i="2"/>
  <c r="C49" i="2"/>
  <c r="J49" i="2"/>
  <c r="I48" i="2"/>
  <c r="H48" i="2"/>
  <c r="B48" i="2"/>
  <c r="I47" i="2"/>
  <c r="J47" i="2"/>
  <c r="F47" i="2"/>
  <c r="F46" i="2"/>
  <c r="J46" i="2"/>
  <c r="H46" i="2"/>
  <c r="H45" i="2"/>
  <c r="B45" i="2"/>
  <c r="C45" i="2"/>
  <c r="H44" i="2"/>
  <c r="I44" i="2"/>
  <c r="F44" i="2"/>
  <c r="J43" i="2"/>
  <c r="H43" i="2"/>
  <c r="C43" i="2"/>
  <c r="J42" i="2"/>
  <c r="H42" i="2"/>
  <c r="I42" i="2"/>
  <c r="I41" i="2"/>
  <c r="C41" i="2"/>
  <c r="B41" i="2"/>
  <c r="I40" i="2"/>
  <c r="C40" i="2"/>
  <c r="J40" i="2"/>
  <c r="I39" i="2"/>
  <c r="J39" i="2"/>
  <c r="F39" i="2"/>
  <c r="H38" i="2"/>
  <c r="C38" i="2"/>
  <c r="J38" i="2"/>
  <c r="B37" i="2"/>
  <c r="C37" i="2"/>
  <c r="I37" i="2"/>
  <c r="I36" i="2"/>
  <c r="C36" i="2"/>
  <c r="F36" i="2"/>
  <c r="H35" i="2"/>
  <c r="B35" i="2"/>
  <c r="J35" i="2"/>
  <c r="J34" i="2"/>
  <c r="C34" i="2"/>
  <c r="H34" i="2"/>
  <c r="J33" i="2"/>
  <c r="I33" i="2"/>
  <c r="B33" i="2"/>
  <c r="F32" i="2"/>
  <c r="C32" i="2"/>
  <c r="I32" i="2"/>
  <c r="B31" i="2"/>
  <c r="I31" i="2"/>
  <c r="H31" i="2"/>
  <c r="J30" i="2"/>
  <c r="F30" i="2"/>
  <c r="H30" i="2"/>
  <c r="I29" i="2"/>
  <c r="B29" i="2"/>
  <c r="C29" i="2"/>
  <c r="F28" i="2"/>
  <c r="J28" i="2"/>
  <c r="H28" i="2"/>
  <c r="H27" i="2"/>
  <c r="I27" i="2"/>
  <c r="B27" i="2"/>
  <c r="I26" i="2"/>
  <c r="J26" i="2"/>
  <c r="H26" i="2"/>
  <c r="H25" i="2"/>
  <c r="B25" i="2"/>
  <c r="I25" i="2"/>
  <c r="F24" i="2"/>
  <c r="I24" i="2"/>
  <c r="H24" i="2"/>
  <c r="J23" i="2"/>
  <c r="I23" i="2"/>
  <c r="F23" i="2"/>
  <c r="J22" i="2"/>
  <c r="I22" i="2"/>
  <c r="F22" i="2"/>
  <c r="C21" i="2"/>
  <c r="B21" i="2"/>
  <c r="F21" i="2"/>
  <c r="I20" i="2"/>
  <c r="J20" i="2"/>
  <c r="B20" i="2"/>
  <c r="C19" i="2"/>
  <c r="H19" i="2"/>
  <c r="F19" i="2"/>
  <c r="J18" i="2"/>
  <c r="I18" i="2"/>
  <c r="C18" i="2"/>
  <c r="B17" i="2"/>
  <c r="J17" i="2"/>
  <c r="F17" i="2"/>
  <c r="B16" i="2"/>
  <c r="C16" i="2"/>
  <c r="J16" i="2"/>
  <c r="H15" i="2"/>
  <c r="J15" i="2"/>
  <c r="C15" i="2"/>
  <c r="I14" i="2"/>
  <c r="F14" i="2"/>
  <c r="C14" i="2"/>
  <c r="F13" i="2"/>
  <c r="J13" i="2"/>
  <c r="I13" i="2"/>
  <c r="C12" i="2"/>
  <c r="B12" i="2"/>
  <c r="J12" i="2"/>
  <c r="C11" i="2"/>
  <c r="B11" i="2"/>
  <c r="J11" i="2"/>
  <c r="H10" i="2"/>
  <c r="F10" i="2"/>
  <c r="C10" i="2"/>
  <c r="I9" i="2"/>
  <c r="H9" i="2"/>
  <c r="F9" i="2"/>
  <c r="H8" i="2"/>
  <c r="I8" i="2"/>
  <c r="J8" i="2"/>
  <c r="I7" i="2"/>
  <c r="B7" i="2"/>
  <c r="J7" i="2"/>
  <c r="C6" i="2"/>
  <c r="I6" i="2"/>
  <c r="H6" i="2"/>
  <c r="I5" i="2"/>
  <c r="C5" i="2"/>
  <c r="J5" i="2"/>
  <c r="H4" i="2"/>
  <c r="B4" i="2"/>
  <c r="F4" i="2"/>
  <c r="J3" i="2"/>
  <c r="C3" i="2"/>
  <c r="F3" i="2"/>
  <c r="A52" i="2"/>
  <c r="B3" i="8"/>
  <c r="A3" i="10"/>
  <c r="B4" i="5"/>
  <c r="B3" i="9"/>
  <c r="B3" i="13"/>
  <c r="B3" i="6"/>
  <c r="B3" i="4"/>
  <c r="A53" i="2"/>
  <c r="B4" i="8"/>
  <c r="A4" i="10"/>
  <c r="B5" i="5"/>
  <c r="B4" i="13"/>
  <c r="B4" i="4"/>
  <c r="A54" i="2"/>
  <c r="A5" i="10"/>
  <c r="B6" i="5"/>
  <c r="B5" i="13"/>
  <c r="B5" i="4"/>
  <c r="B7" i="5"/>
  <c r="B6" i="4"/>
  <c r="B8" i="5"/>
  <c r="B7" i="4"/>
  <c r="B9" i="5"/>
  <c r="B8" i="4"/>
  <c r="B10" i="5"/>
  <c r="B9" i="4"/>
  <c r="B11" i="5"/>
  <c r="B10" i="4"/>
  <c r="B12" i="5"/>
  <c r="B11" i="4"/>
  <c r="B13" i="5"/>
  <c r="B12" i="4"/>
  <c r="B14" i="5"/>
  <c r="B13" i="4"/>
  <c r="B15" i="5"/>
  <c r="B14" i="4"/>
  <c r="B16" i="5"/>
  <c r="B15" i="4"/>
  <c r="B17" i="5"/>
  <c r="B16" i="4"/>
  <c r="B18" i="5"/>
  <c r="B17" i="4"/>
  <c r="B19" i="5"/>
  <c r="B18" i="4"/>
  <c r="B20" i="5"/>
  <c r="B19" i="4"/>
  <c r="B21" i="5"/>
  <c r="B22" i="5"/>
  <c r="B23" i="5"/>
  <c r="B24" i="5"/>
  <c r="AU134" i="1" l="1"/>
  <c r="AV586" i="1"/>
  <c r="AV133" i="1"/>
  <c r="AV344" i="1"/>
  <c r="AV328" i="1"/>
  <c r="AV766" i="1"/>
  <c r="AU157" i="1"/>
  <c r="AU242" i="1"/>
  <c r="AV370" i="1"/>
  <c r="AV356" i="1"/>
  <c r="AU181" i="1"/>
  <c r="AU341" i="1"/>
  <c r="AV261" i="1"/>
  <c r="AV790" i="1"/>
  <c r="AU661" i="1"/>
  <c r="AU57" i="1"/>
  <c r="G54" i="2"/>
  <c r="R54" i="2"/>
  <c r="R53" i="2"/>
  <c r="G53" i="2"/>
  <c r="R52" i="2"/>
  <c r="G52" i="2"/>
  <c r="D4" i="2"/>
  <c r="K4" i="2"/>
  <c r="E4" i="2"/>
  <c r="L4" i="2"/>
  <c r="L7" i="2"/>
  <c r="M3" i="10" s="1"/>
  <c r="K7" i="2"/>
  <c r="E7" i="2"/>
  <c r="L11" i="2"/>
  <c r="D11" i="2"/>
  <c r="E11" i="2"/>
  <c r="K11" i="2"/>
  <c r="L12" i="2"/>
  <c r="D12" i="2"/>
  <c r="E12" i="2"/>
  <c r="K12" i="2"/>
  <c r="L16" i="2"/>
  <c r="D16" i="2"/>
  <c r="E16" i="2"/>
  <c r="K16" i="2"/>
  <c r="K17" i="2"/>
  <c r="D17" i="2"/>
  <c r="E17" i="2"/>
  <c r="L17" i="2"/>
  <c r="E20" i="2"/>
  <c r="K20" i="2"/>
  <c r="L20" i="2"/>
  <c r="E21" i="2"/>
  <c r="L21" i="2"/>
  <c r="K21" i="2"/>
  <c r="K25" i="2"/>
  <c r="D25" i="2"/>
  <c r="L25" i="2"/>
  <c r="E25" i="2"/>
  <c r="K27" i="2"/>
  <c r="E27" i="2"/>
  <c r="D27" i="2"/>
  <c r="L27" i="2"/>
  <c r="L29" i="2"/>
  <c r="D29" i="2"/>
  <c r="K29" i="2"/>
  <c r="E29" i="2"/>
  <c r="E31" i="2"/>
  <c r="L31" i="2"/>
  <c r="K31" i="2"/>
  <c r="E33" i="2"/>
  <c r="K33" i="2"/>
  <c r="L33" i="2"/>
  <c r="E35" i="2"/>
  <c r="L35" i="2"/>
  <c r="K35" i="2"/>
  <c r="E37" i="2"/>
  <c r="K37" i="2"/>
  <c r="L37" i="2"/>
  <c r="K41" i="2"/>
  <c r="E41" i="2"/>
  <c r="D41" i="2"/>
  <c r="L41" i="2"/>
  <c r="K45" i="2"/>
  <c r="E45" i="2"/>
  <c r="L45" i="2"/>
  <c r="L48" i="2"/>
  <c r="J5" i="13" s="1"/>
  <c r="K48" i="2"/>
  <c r="E48" i="2"/>
  <c r="E50" i="2"/>
  <c r="L50" i="2"/>
  <c r="K50" i="2"/>
  <c r="L3" i="2"/>
  <c r="K3" i="2"/>
  <c r="E3" i="2"/>
  <c r="E5" i="2"/>
  <c r="L5" i="2"/>
  <c r="K5" i="2"/>
  <c r="D5" i="2"/>
  <c r="K6" i="2"/>
  <c r="E6" i="2"/>
  <c r="L6" i="2"/>
  <c r="L8" i="2"/>
  <c r="K8" i="2"/>
  <c r="E8" i="2"/>
  <c r="E9" i="2"/>
  <c r="K9" i="2"/>
  <c r="L9" i="2"/>
  <c r="M9" i="2" s="1"/>
  <c r="I6" i="5" s="1"/>
  <c r="K10" i="2"/>
  <c r="E10" i="2"/>
  <c r="L10" i="2"/>
  <c r="D10" i="2"/>
  <c r="L13" i="2"/>
  <c r="E13" i="2"/>
  <c r="K13" i="2"/>
  <c r="K14" i="2"/>
  <c r="L14" i="2"/>
  <c r="E14" i="2"/>
  <c r="L15" i="2"/>
  <c r="E15" i="2"/>
  <c r="K15" i="2"/>
  <c r="L18" i="2"/>
  <c r="M18" i="2" s="1"/>
  <c r="E18" i="2"/>
  <c r="D18" i="2"/>
  <c r="K18" i="2"/>
  <c r="L19" i="2"/>
  <c r="E19" i="2"/>
  <c r="D19" i="2"/>
  <c r="K19" i="2"/>
  <c r="K22" i="2"/>
  <c r="E22" i="2"/>
  <c r="L22" i="2"/>
  <c r="K23" i="2"/>
  <c r="E23" i="2"/>
  <c r="L23" i="2"/>
  <c r="E24" i="2"/>
  <c r="L24" i="2"/>
  <c r="D24" i="2"/>
  <c r="K24" i="2"/>
  <c r="K26" i="2"/>
  <c r="E26" i="2"/>
  <c r="L26" i="2"/>
  <c r="K28" i="2"/>
  <c r="E28" i="2"/>
  <c r="L28" i="2"/>
  <c r="D28" i="2"/>
  <c r="E30" i="2"/>
  <c r="L30" i="2"/>
  <c r="K30" i="2"/>
  <c r="L32" i="2"/>
  <c r="K32" i="2"/>
  <c r="E32" i="2"/>
  <c r="L34" i="2"/>
  <c r="E34" i="2"/>
  <c r="K34" i="2"/>
  <c r="E36" i="2"/>
  <c r="K36" i="2"/>
  <c r="L36" i="2"/>
  <c r="L38" i="2"/>
  <c r="E38" i="2"/>
  <c r="K38" i="2"/>
  <c r="L39" i="2"/>
  <c r="J3" i="13" s="1"/>
  <c r="E39" i="2"/>
  <c r="K39" i="2"/>
  <c r="I3" i="13" s="1"/>
  <c r="L3" i="13" s="1"/>
  <c r="M3" i="13" s="1"/>
  <c r="N3" i="13" s="1"/>
  <c r="L40" i="2"/>
  <c r="E40" i="2"/>
  <c r="D40" i="2"/>
  <c r="K40" i="2"/>
  <c r="L42" i="2"/>
  <c r="E42" i="2"/>
  <c r="D42" i="2"/>
  <c r="K42" i="2"/>
  <c r="M42" i="2" s="1"/>
  <c r="E43" i="2"/>
  <c r="K43" i="2"/>
  <c r="L43" i="2"/>
  <c r="M4" i="10" s="1"/>
  <c r="K44" i="2"/>
  <c r="E44" i="2"/>
  <c r="L44" i="2"/>
  <c r="M5" i="10" s="1"/>
  <c r="K46" i="2"/>
  <c r="E46" i="2"/>
  <c r="L46" i="2"/>
  <c r="J4" i="13" s="1"/>
  <c r="E47" i="2"/>
  <c r="L47" i="2"/>
  <c r="K47" i="2"/>
  <c r="L49" i="2"/>
  <c r="K49" i="2"/>
  <c r="E49" i="2"/>
  <c r="R51" i="2"/>
  <c r="G51" i="2"/>
  <c r="AV357" i="1"/>
  <c r="AU208" i="1"/>
  <c r="AV175" i="1"/>
  <c r="AV406" i="1"/>
  <c r="AV662" i="1"/>
  <c r="AV676" i="1"/>
  <c r="M43" i="2"/>
  <c r="M38" i="2"/>
  <c r="I22" i="5" s="1"/>
  <c r="M36" i="2"/>
  <c r="I20" i="5" s="1"/>
  <c r="M34" i="2"/>
  <c r="I18" i="5" s="1"/>
  <c r="M26" i="2"/>
  <c r="M20" i="2"/>
  <c r="I10" i="5" s="1"/>
  <c r="M15" i="2"/>
  <c r="I9" i="5" s="1"/>
  <c r="M25" i="2"/>
  <c r="M45" i="2"/>
  <c r="M48" i="2"/>
  <c r="M28" i="2"/>
  <c r="I4" i="13"/>
  <c r="L4" i="13" s="1"/>
  <c r="M4" i="13" s="1"/>
  <c r="N4" i="13" s="1"/>
  <c r="M44" i="2"/>
  <c r="M35" i="2"/>
  <c r="M31" i="2"/>
  <c r="I15" i="5" s="1"/>
  <c r="I5" i="13"/>
  <c r="L5" i="13" s="1"/>
  <c r="M5" i="13" s="1"/>
  <c r="N5" i="13" s="1"/>
  <c r="M6" i="2"/>
  <c r="M4" i="2"/>
  <c r="M41" i="2"/>
  <c r="M33" i="2"/>
  <c r="I17" i="5" s="1"/>
  <c r="M27" i="2"/>
  <c r="M10" i="2"/>
  <c r="M23" i="2"/>
  <c r="I13" i="5" s="1"/>
  <c r="M17" i="2"/>
  <c r="M46" i="2"/>
  <c r="M37" i="2"/>
  <c r="M29" i="2"/>
  <c r="M21" i="2"/>
  <c r="M12" i="2"/>
  <c r="M11" i="2"/>
  <c r="M7" i="2"/>
  <c r="M24" i="2"/>
  <c r="M16" i="2"/>
  <c r="M13" i="2"/>
  <c r="M8" i="2"/>
  <c r="M5" i="2"/>
  <c r="M50" i="2"/>
  <c r="E23" i="5"/>
  <c r="C23" i="5"/>
  <c r="H23" i="5"/>
  <c r="G22" i="5"/>
  <c r="C22" i="5"/>
  <c r="D22" i="5"/>
  <c r="H21" i="5"/>
  <c r="G21" i="5"/>
  <c r="F21" i="5"/>
  <c r="I19" i="4"/>
  <c r="H19" i="4"/>
  <c r="F19" i="4"/>
  <c r="C19" i="4"/>
  <c r="F20" i="5"/>
  <c r="D20" i="5"/>
  <c r="E20" i="5"/>
  <c r="I18" i="4"/>
  <c r="E18" i="4"/>
  <c r="F18" i="4"/>
  <c r="D18" i="4"/>
  <c r="F19" i="5"/>
  <c r="D19" i="5"/>
  <c r="C19" i="5"/>
  <c r="I17" i="4"/>
  <c r="G17" i="4"/>
  <c r="D17" i="4"/>
  <c r="F17" i="4"/>
  <c r="H18" i="5"/>
  <c r="C18" i="5"/>
  <c r="E18" i="5"/>
  <c r="F16" i="4"/>
  <c r="J16" i="4"/>
  <c r="H16" i="4"/>
  <c r="D16" i="4"/>
  <c r="F17" i="5"/>
  <c r="G17" i="5"/>
  <c r="E17" i="5"/>
  <c r="D15" i="4"/>
  <c r="J15" i="4"/>
  <c r="I15" i="4"/>
  <c r="C15" i="4"/>
  <c r="D16" i="5"/>
  <c r="C16" i="5"/>
  <c r="E16" i="5"/>
  <c r="J14" i="4"/>
  <c r="G14" i="4"/>
  <c r="E14" i="4"/>
  <c r="H14" i="4"/>
  <c r="D15" i="5"/>
  <c r="E15" i="5"/>
  <c r="F15" i="5"/>
  <c r="J13" i="4"/>
  <c r="I13" i="4"/>
  <c r="E13" i="4"/>
  <c r="D13" i="4"/>
  <c r="G14" i="5"/>
  <c r="E14" i="5"/>
  <c r="F14" i="5"/>
  <c r="E12" i="4"/>
  <c r="G12" i="4"/>
  <c r="F12" i="4"/>
  <c r="C12" i="4"/>
  <c r="E13" i="5"/>
  <c r="G13" i="5"/>
  <c r="H13" i="5"/>
  <c r="G11" i="4"/>
  <c r="F11" i="4"/>
  <c r="I11" i="4"/>
  <c r="D11" i="4"/>
  <c r="D12" i="5"/>
  <c r="C12" i="5"/>
  <c r="F12" i="5"/>
  <c r="F10" i="4"/>
  <c r="E10" i="4"/>
  <c r="H10" i="4"/>
  <c r="J10" i="4"/>
  <c r="C11" i="5"/>
  <c r="G11" i="5"/>
  <c r="H11" i="5"/>
  <c r="G9" i="4"/>
  <c r="E9" i="4"/>
  <c r="I9" i="4"/>
  <c r="H9" i="4"/>
  <c r="H10" i="5"/>
  <c r="E10" i="5"/>
  <c r="D10" i="5"/>
  <c r="I8" i="4"/>
  <c r="E8" i="4"/>
  <c r="D8" i="4"/>
  <c r="C8" i="4"/>
  <c r="H9" i="5"/>
  <c r="D9" i="5"/>
  <c r="F9" i="5"/>
  <c r="H7" i="4"/>
  <c r="J7" i="4"/>
  <c r="F7" i="4"/>
  <c r="C7" i="4"/>
  <c r="D8" i="5"/>
  <c r="H8" i="5"/>
  <c r="C8" i="5"/>
  <c r="I6" i="4"/>
  <c r="F6" i="4"/>
  <c r="D6" i="4"/>
  <c r="G6" i="4"/>
  <c r="E7" i="5"/>
  <c r="C7" i="5"/>
  <c r="H7" i="5"/>
  <c r="G5" i="4"/>
  <c r="J5" i="4"/>
  <c r="D5" i="4"/>
  <c r="E5" i="4"/>
  <c r="H5" i="13"/>
  <c r="E5" i="13"/>
  <c r="C5" i="13"/>
  <c r="E6" i="5"/>
  <c r="H6" i="5"/>
  <c r="D6" i="5"/>
  <c r="C5" i="10"/>
  <c r="D5" i="10"/>
  <c r="H5" i="10"/>
  <c r="F5" i="10"/>
  <c r="F54" i="2"/>
  <c r="J54" i="2"/>
  <c r="H4" i="4"/>
  <c r="G4" i="4"/>
  <c r="E4" i="4"/>
  <c r="J4" i="4"/>
  <c r="E4" i="13"/>
  <c r="H4" i="13"/>
  <c r="F4" i="13"/>
  <c r="E5" i="5"/>
  <c r="D5" i="5"/>
  <c r="C5" i="5"/>
  <c r="F4" i="10"/>
  <c r="H4" i="10"/>
  <c r="B4" i="10"/>
  <c r="G4" i="10"/>
  <c r="H4" i="8"/>
  <c r="E4" i="8"/>
  <c r="F4" i="8"/>
  <c r="C4" i="8"/>
  <c r="J53" i="2"/>
  <c r="B53" i="2"/>
  <c r="C53" i="2"/>
  <c r="F53" i="2"/>
  <c r="D3" i="4"/>
  <c r="I3" i="4"/>
  <c r="J3" i="4"/>
  <c r="C3" i="4"/>
  <c r="F3" i="6"/>
  <c r="D3" i="6"/>
  <c r="H3" i="6"/>
  <c r="E3" i="13"/>
  <c r="H3" i="13"/>
  <c r="G3" i="13"/>
  <c r="E3" i="9"/>
  <c r="D3" i="9"/>
  <c r="G3" i="9"/>
  <c r="H3" i="9"/>
  <c r="H4" i="5"/>
  <c r="E4" i="5"/>
  <c r="D4" i="5"/>
  <c r="F3" i="10"/>
  <c r="D3" i="10"/>
  <c r="H3" i="10"/>
  <c r="J3" i="8"/>
  <c r="H3" i="8"/>
  <c r="C3" i="8"/>
  <c r="G3" i="8"/>
  <c r="J52" i="2"/>
  <c r="I52" i="2"/>
  <c r="C52" i="2"/>
  <c r="N4" i="2"/>
  <c r="N7" i="2"/>
  <c r="N21" i="2"/>
  <c r="N25" i="2"/>
  <c r="N27" i="2"/>
  <c r="N29" i="2"/>
  <c r="N33" i="2"/>
  <c r="N37" i="2"/>
  <c r="N41" i="2"/>
  <c r="N45" i="2"/>
  <c r="N48" i="2"/>
  <c r="N3" i="2"/>
  <c r="N6" i="2"/>
  <c r="N8" i="2"/>
  <c r="N18" i="2"/>
  <c r="N19" i="2"/>
  <c r="N22" i="2"/>
  <c r="N26" i="2"/>
  <c r="N30" i="2"/>
  <c r="N39" i="2"/>
  <c r="N43" i="2"/>
  <c r="N44" i="2"/>
  <c r="N49" i="2"/>
  <c r="I51" i="2"/>
  <c r="B51" i="2"/>
  <c r="J51" i="2"/>
  <c r="C24" i="5"/>
  <c r="G24" i="5"/>
  <c r="F24" i="5"/>
  <c r="E24" i="5"/>
  <c r="F23" i="5"/>
  <c r="D23" i="5"/>
  <c r="G23" i="5"/>
  <c r="F22" i="5"/>
  <c r="E22" i="5"/>
  <c r="H22" i="5"/>
  <c r="D21" i="5"/>
  <c r="C21" i="5"/>
  <c r="E21" i="5"/>
  <c r="E19" i="4"/>
  <c r="G19" i="4"/>
  <c r="J19" i="4"/>
  <c r="D19" i="4"/>
  <c r="H20" i="5"/>
  <c r="C20" i="5"/>
  <c r="G20" i="5"/>
  <c r="J18" i="4"/>
  <c r="G18" i="4"/>
  <c r="C18" i="4"/>
  <c r="H18" i="4"/>
  <c r="H19" i="5"/>
  <c r="E19" i="5"/>
  <c r="G19" i="5"/>
  <c r="H17" i="4"/>
  <c r="C17" i="4"/>
  <c r="E17" i="4"/>
  <c r="J17" i="4"/>
  <c r="D18" i="5"/>
  <c r="G18" i="5"/>
  <c r="F18" i="5"/>
  <c r="I16" i="4"/>
  <c r="C16" i="4"/>
  <c r="E16" i="4"/>
  <c r="G16" i="4"/>
  <c r="D17" i="5"/>
  <c r="H17" i="5"/>
  <c r="C17" i="5"/>
  <c r="F15" i="4"/>
  <c r="H15" i="4"/>
  <c r="E15" i="4"/>
  <c r="G15" i="4"/>
  <c r="H16" i="5"/>
  <c r="F16" i="5"/>
  <c r="G16" i="5"/>
  <c r="F14" i="4"/>
  <c r="C14" i="4"/>
  <c r="D14" i="4"/>
  <c r="I14" i="4"/>
  <c r="G15" i="5"/>
  <c r="C15" i="5"/>
  <c r="H15" i="5"/>
  <c r="C13" i="4"/>
  <c r="G13" i="4"/>
  <c r="F13" i="4"/>
  <c r="H13" i="4"/>
  <c r="D14" i="5"/>
  <c r="H14" i="5"/>
  <c r="C14" i="5"/>
  <c r="D12" i="4"/>
  <c r="I12" i="4"/>
  <c r="H12" i="4"/>
  <c r="J12" i="4"/>
  <c r="C13" i="5"/>
  <c r="F13" i="5"/>
  <c r="D13" i="5"/>
  <c r="H11" i="4"/>
  <c r="E11" i="4"/>
  <c r="J11" i="4"/>
  <c r="C11" i="4"/>
  <c r="E12" i="5"/>
  <c r="G12" i="5"/>
  <c r="H12" i="5"/>
  <c r="C10" i="4"/>
  <c r="G10" i="4"/>
  <c r="D10" i="4"/>
  <c r="I10" i="4"/>
  <c r="F11" i="5"/>
  <c r="D11" i="5"/>
  <c r="E11" i="5"/>
  <c r="J9" i="4"/>
  <c r="F9" i="4"/>
  <c r="C9" i="4"/>
  <c r="D9" i="4"/>
  <c r="F10" i="5"/>
  <c r="C10" i="5"/>
  <c r="G10" i="5"/>
  <c r="J8" i="4"/>
  <c r="G8" i="4"/>
  <c r="F8" i="4"/>
  <c r="H8" i="4"/>
  <c r="G9" i="5"/>
  <c r="C9" i="5"/>
  <c r="E9" i="5"/>
  <c r="G7" i="4"/>
  <c r="I7" i="4"/>
  <c r="E7" i="4"/>
  <c r="D7" i="4"/>
  <c r="E8" i="5"/>
  <c r="G8" i="5"/>
  <c r="F8" i="5"/>
  <c r="E6" i="4"/>
  <c r="H6" i="4"/>
  <c r="C6" i="4"/>
  <c r="J6" i="4"/>
  <c r="G7" i="5"/>
  <c r="D7" i="5"/>
  <c r="F7" i="5"/>
  <c r="F5" i="4"/>
  <c r="I5" i="4"/>
  <c r="H5" i="4"/>
  <c r="C5" i="4"/>
  <c r="F5" i="13"/>
  <c r="G5" i="13"/>
  <c r="D5" i="13"/>
  <c r="G6" i="5"/>
  <c r="C6" i="5"/>
  <c r="F6" i="5"/>
  <c r="E5" i="10"/>
  <c r="B5" i="10"/>
  <c r="G5" i="10"/>
  <c r="A55" i="2"/>
  <c r="C54" i="2"/>
  <c r="B54" i="2"/>
  <c r="I54" i="2"/>
  <c r="H54" i="2"/>
  <c r="F4" i="4"/>
  <c r="I4" i="4"/>
  <c r="D4" i="4"/>
  <c r="C4" i="4"/>
  <c r="G4" i="13"/>
  <c r="D4" i="13"/>
  <c r="C4" i="13"/>
  <c r="G5" i="5"/>
  <c r="F5" i="5"/>
  <c r="H5" i="5"/>
  <c r="C4" i="10"/>
  <c r="E4" i="10"/>
  <c r="D4" i="10"/>
  <c r="J4" i="8"/>
  <c r="D4" i="8"/>
  <c r="I4" i="8"/>
  <c r="G4" i="8"/>
  <c r="H53" i="2"/>
  <c r="I53" i="2"/>
  <c r="E3" i="4"/>
  <c r="F3" i="4"/>
  <c r="H3" i="4"/>
  <c r="G3" i="4"/>
  <c r="C3" i="6"/>
  <c r="E3" i="6"/>
  <c r="G3" i="6"/>
  <c r="C3" i="13"/>
  <c r="D3" i="13"/>
  <c r="F3" i="13"/>
  <c r="I3" i="9"/>
  <c r="F3" i="9"/>
  <c r="J3" i="9"/>
  <c r="C3" i="9"/>
  <c r="F4" i="5"/>
  <c r="C4" i="5"/>
  <c r="G4" i="5"/>
  <c r="C3" i="10"/>
  <c r="E3" i="10"/>
  <c r="B3" i="10"/>
  <c r="G3" i="10"/>
  <c r="F3" i="8"/>
  <c r="I3" i="8"/>
  <c r="E3" i="8"/>
  <c r="D3" i="8"/>
  <c r="F52" i="2"/>
  <c r="B52" i="2"/>
  <c r="H52" i="2"/>
  <c r="N11" i="2"/>
  <c r="N12" i="2"/>
  <c r="N16" i="2"/>
  <c r="N17" i="2"/>
  <c r="N20" i="2"/>
  <c r="N31" i="2"/>
  <c r="N35" i="2"/>
  <c r="N50" i="2"/>
  <c r="N5" i="2"/>
  <c r="N9" i="2"/>
  <c r="N10" i="2"/>
  <c r="N13" i="2"/>
  <c r="N14" i="2"/>
  <c r="N15" i="2"/>
  <c r="N23" i="2"/>
  <c r="N24" i="2"/>
  <c r="N28" i="2"/>
  <c r="N32" i="2"/>
  <c r="N34" i="2"/>
  <c r="N36" i="2"/>
  <c r="N38" i="2"/>
  <c r="N40" i="2"/>
  <c r="N42" i="2"/>
  <c r="N46" i="2"/>
  <c r="N47" i="2"/>
  <c r="H51" i="2"/>
  <c r="F51" i="2"/>
  <c r="B25" i="5" s="1"/>
  <c r="C51" i="2"/>
  <c r="D24" i="5"/>
  <c r="H24" i="5"/>
  <c r="A56" i="2"/>
  <c r="B26" i="5"/>
  <c r="A57" i="2"/>
  <c r="B27" i="5"/>
  <c r="B28" i="5" s="1"/>
  <c r="A58" i="2"/>
  <c r="A59" i="2"/>
  <c r="A60" i="2" s="1"/>
  <c r="M32" i="2" l="1"/>
  <c r="M22" i="2"/>
  <c r="I12" i="5" s="1"/>
  <c r="M19" i="2"/>
  <c r="M3" i="2"/>
  <c r="I4" i="5" s="1"/>
  <c r="M39" i="2"/>
  <c r="M14" i="2"/>
  <c r="I8" i="5" s="1"/>
  <c r="M40" i="2"/>
  <c r="M49" i="2"/>
  <c r="I23" i="5" s="1"/>
  <c r="M47" i="2"/>
  <c r="I3" i="6" s="1"/>
  <c r="R58" i="2"/>
  <c r="G58" i="2"/>
  <c r="R57" i="2"/>
  <c r="G57" i="2"/>
  <c r="G56" i="2"/>
  <c r="R56" i="2"/>
  <c r="J3" i="6"/>
  <c r="K3" i="6" s="1"/>
  <c r="L3" i="6" s="1"/>
  <c r="J22" i="5"/>
  <c r="O38" i="2"/>
  <c r="P38" i="2" s="1"/>
  <c r="Q38" i="2" s="1"/>
  <c r="J20" i="5"/>
  <c r="O36" i="2"/>
  <c r="P36" i="2" s="1"/>
  <c r="Q36" i="2" s="1"/>
  <c r="J18" i="5"/>
  <c r="J16" i="5"/>
  <c r="O28" i="2"/>
  <c r="P28" i="2" s="1"/>
  <c r="Q28" i="2" s="1"/>
  <c r="J13" i="5"/>
  <c r="O15" i="2"/>
  <c r="P15" i="2" s="1"/>
  <c r="Q15" i="2" s="1"/>
  <c r="J9" i="5"/>
  <c r="O14" i="2"/>
  <c r="P14" i="2" s="1"/>
  <c r="Q14" i="2" s="1"/>
  <c r="J8" i="5"/>
  <c r="K8" i="5" s="1"/>
  <c r="L8" i="5" s="1"/>
  <c r="M8" i="5" s="1"/>
  <c r="J7" i="5"/>
  <c r="J6" i="5"/>
  <c r="K6" i="5" s="1"/>
  <c r="L6" i="5" s="1"/>
  <c r="J24" i="5"/>
  <c r="J19" i="5"/>
  <c r="J15" i="5"/>
  <c r="K15" i="5" s="1"/>
  <c r="L15" i="5" s="1"/>
  <c r="M15" i="5" s="1"/>
  <c r="J10" i="5"/>
  <c r="E52" i="2"/>
  <c r="L52" i="2"/>
  <c r="K52" i="2"/>
  <c r="K3" i="8"/>
  <c r="L3" i="8" s="1"/>
  <c r="M3" i="8" s="1"/>
  <c r="A4" i="5"/>
  <c r="A3" i="9"/>
  <c r="K3" i="9"/>
  <c r="L3" i="9" s="1"/>
  <c r="M3" i="9" s="1"/>
  <c r="A3" i="13"/>
  <c r="A3" i="6"/>
  <c r="K4" i="8"/>
  <c r="L4" i="8" s="1"/>
  <c r="M4" i="8" s="1"/>
  <c r="A4" i="13"/>
  <c r="A4" i="4"/>
  <c r="N4" i="4"/>
  <c r="K4" i="4"/>
  <c r="L4" i="4" s="1"/>
  <c r="M4" i="4" s="1"/>
  <c r="E54" i="2"/>
  <c r="L54" i="2"/>
  <c r="K54" i="2"/>
  <c r="G55" i="2"/>
  <c r="R55" i="2"/>
  <c r="A6" i="5"/>
  <c r="N5" i="4"/>
  <c r="A5" i="4"/>
  <c r="K5" i="4"/>
  <c r="L5" i="4" s="1"/>
  <c r="M5" i="4" s="1"/>
  <c r="N6" i="4"/>
  <c r="A6" i="4"/>
  <c r="K7" i="4"/>
  <c r="L7" i="4" s="1"/>
  <c r="M7" i="4" s="1"/>
  <c r="A9" i="5"/>
  <c r="A10" i="5"/>
  <c r="N9" i="4"/>
  <c r="A9" i="4"/>
  <c r="K10" i="4"/>
  <c r="L10" i="4" s="1"/>
  <c r="M10" i="4" s="1"/>
  <c r="N10" i="4"/>
  <c r="A10" i="4"/>
  <c r="N11" i="4"/>
  <c r="A11" i="4"/>
  <c r="A13" i="5"/>
  <c r="K12" i="4"/>
  <c r="L12" i="4" s="1"/>
  <c r="M12" i="4" s="1"/>
  <c r="A14" i="5"/>
  <c r="A13" i="4"/>
  <c r="N13" i="4"/>
  <c r="A15" i="5"/>
  <c r="K14" i="4"/>
  <c r="L14" i="4" s="1"/>
  <c r="M14" i="4" s="1"/>
  <c r="A14" i="4"/>
  <c r="N14" i="4"/>
  <c r="A17" i="5"/>
  <c r="N16" i="4"/>
  <c r="A16" i="4"/>
  <c r="K16" i="4"/>
  <c r="L16" i="4" s="1"/>
  <c r="M16" i="4" s="1"/>
  <c r="N17" i="4"/>
  <c r="A17" i="4"/>
  <c r="A18" i="4"/>
  <c r="N18" i="4"/>
  <c r="A20" i="5"/>
  <c r="A21" i="5"/>
  <c r="E51" i="2"/>
  <c r="K51" i="2"/>
  <c r="L51" i="2"/>
  <c r="J23" i="5"/>
  <c r="N5" i="10"/>
  <c r="I5" i="10" s="1"/>
  <c r="N4" i="10"/>
  <c r="I4" i="10" s="1"/>
  <c r="O43" i="2"/>
  <c r="P43" i="2" s="1"/>
  <c r="Q43" i="2" s="1"/>
  <c r="J14" i="5"/>
  <c r="O26" i="2"/>
  <c r="P26" i="2" s="1"/>
  <c r="Q26" i="2" s="1"/>
  <c r="J12" i="5"/>
  <c r="J5" i="5"/>
  <c r="J4" i="5"/>
  <c r="O3" i="2"/>
  <c r="P3" i="2" s="1"/>
  <c r="Q3" i="2" s="1"/>
  <c r="O45" i="2"/>
  <c r="P45" i="2" s="1"/>
  <c r="Q45" i="2" s="1"/>
  <c r="J21" i="5"/>
  <c r="J17" i="5"/>
  <c r="O27" i="2"/>
  <c r="P27" i="2" s="1"/>
  <c r="Q27" i="2" s="1"/>
  <c r="J11" i="5"/>
  <c r="N3" i="10"/>
  <c r="I3" i="10" s="1"/>
  <c r="K1" i="10" s="1"/>
  <c r="A3" i="8"/>
  <c r="J3" i="10"/>
  <c r="K3" i="10" s="1"/>
  <c r="L3" i="10" s="1"/>
  <c r="A3" i="4"/>
  <c r="N3" i="4"/>
  <c r="K3" i="4"/>
  <c r="L3" i="4" s="1"/>
  <c r="M3" i="4" s="1"/>
  <c r="L53" i="2"/>
  <c r="K53" i="2"/>
  <c r="E53" i="2"/>
  <c r="A4" i="8"/>
  <c r="J4" i="10"/>
  <c r="K4" i="10" s="1"/>
  <c r="L4" i="10" s="1"/>
  <c r="A5" i="5"/>
  <c r="J5" i="10"/>
  <c r="K5" i="10" s="1"/>
  <c r="L5" i="10" s="1"/>
  <c r="A5" i="13"/>
  <c r="A7" i="5"/>
  <c r="K6" i="4"/>
  <c r="L6" i="4" s="1"/>
  <c r="M6" i="4" s="1"/>
  <c r="A8" i="5"/>
  <c r="N7" i="4"/>
  <c r="A7" i="4"/>
  <c r="N8" i="4"/>
  <c r="A8" i="4"/>
  <c r="K8" i="4"/>
  <c r="L8" i="4" s="1"/>
  <c r="M8" i="4" s="1"/>
  <c r="K9" i="4"/>
  <c r="L9" i="4" s="1"/>
  <c r="M9" i="4" s="1"/>
  <c r="A11" i="5"/>
  <c r="A12" i="5"/>
  <c r="K11" i="4"/>
  <c r="L11" i="4" s="1"/>
  <c r="M11" i="4" s="1"/>
  <c r="A12" i="4"/>
  <c r="N12" i="4"/>
  <c r="K13" i="4"/>
  <c r="L13" i="4" s="1"/>
  <c r="M13" i="4" s="1"/>
  <c r="A16" i="5"/>
  <c r="N15" i="4"/>
  <c r="A15" i="4"/>
  <c r="K15" i="4"/>
  <c r="L15" i="4" s="1"/>
  <c r="M15" i="4" s="1"/>
  <c r="A18" i="5"/>
  <c r="K17" i="4"/>
  <c r="L17" i="4" s="1"/>
  <c r="M17" i="4" s="1"/>
  <c r="A19" i="5"/>
  <c r="K18" i="4"/>
  <c r="L18" i="4" s="1"/>
  <c r="M18" i="4" s="1"/>
  <c r="N19" i="4"/>
  <c r="A19" i="4"/>
  <c r="K19" i="4"/>
  <c r="L19" i="4" s="1"/>
  <c r="M19" i="4" s="1"/>
  <c r="A22" i="5"/>
  <c r="A23" i="5"/>
  <c r="O20" i="2"/>
  <c r="P20" i="2" s="1"/>
  <c r="Q20" i="2" s="1"/>
  <c r="O34" i="2"/>
  <c r="P34" i="2" s="1"/>
  <c r="Q34" i="2" s="1"/>
  <c r="O11" i="2"/>
  <c r="P11" i="2" s="1"/>
  <c r="Q11" i="2" s="1"/>
  <c r="O18" i="2"/>
  <c r="P18" i="2" s="1"/>
  <c r="Q18" i="2" s="1"/>
  <c r="O48" i="2"/>
  <c r="P48" i="2" s="1"/>
  <c r="Q48" i="2" s="1"/>
  <c r="O25" i="2"/>
  <c r="P25" i="2" s="1"/>
  <c r="Q25" i="2" s="1"/>
  <c r="O5" i="2"/>
  <c r="P5" i="2" s="1"/>
  <c r="Q5" i="2" s="1"/>
  <c r="O24" i="2"/>
  <c r="P24" i="2" s="1"/>
  <c r="Q24" i="2" s="1"/>
  <c r="O42" i="2"/>
  <c r="P42" i="2" s="1"/>
  <c r="Q42" i="2" s="1"/>
  <c r="O29" i="2"/>
  <c r="P29" i="2" s="1"/>
  <c r="Q29" i="2" s="1"/>
  <c r="O19" i="2"/>
  <c r="P19" i="2" s="1"/>
  <c r="Q19" i="2" s="1"/>
  <c r="O46" i="2"/>
  <c r="P46" i="2" s="1"/>
  <c r="Q46" i="2" s="1"/>
  <c r="O10" i="2"/>
  <c r="P10" i="2" s="1"/>
  <c r="Q10" i="2" s="1"/>
  <c r="O4" i="2"/>
  <c r="P4" i="2" s="1"/>
  <c r="Q4" i="2" s="1"/>
  <c r="O16" i="2"/>
  <c r="P16" i="2" s="1"/>
  <c r="Q16" i="2" s="1"/>
  <c r="O40" i="2"/>
  <c r="P40" i="2" s="1"/>
  <c r="Q40" i="2" s="1"/>
  <c r="O7" i="2"/>
  <c r="P7" i="2" s="1"/>
  <c r="Q7" i="2" s="1"/>
  <c r="O12" i="2"/>
  <c r="P12" i="2" s="1"/>
  <c r="Q12" i="2" s="1"/>
  <c r="O39" i="2"/>
  <c r="P39" i="2" s="1"/>
  <c r="Q39" i="2" s="1"/>
  <c r="O17" i="2"/>
  <c r="P17" i="2" s="1"/>
  <c r="Q17" i="2" s="1"/>
  <c r="O41" i="2"/>
  <c r="P41" i="2" s="1"/>
  <c r="Q41" i="2" s="1"/>
  <c r="O6" i="2"/>
  <c r="P6" i="2" s="1"/>
  <c r="Q6" i="2" s="1"/>
  <c r="O35" i="2"/>
  <c r="P35" i="2" s="1"/>
  <c r="Q35" i="2" s="1"/>
  <c r="O44" i="2"/>
  <c r="P44" i="2" s="1"/>
  <c r="Q44" i="2" s="1"/>
  <c r="M30" i="2"/>
  <c r="O31" i="2"/>
  <c r="P31" i="2" s="1"/>
  <c r="Q31" i="2" s="1"/>
  <c r="I19" i="5"/>
  <c r="K19" i="5" s="1"/>
  <c r="O22" i="2"/>
  <c r="P22" i="2" s="1"/>
  <c r="Q22" i="2" s="1"/>
  <c r="K13" i="5"/>
  <c r="O33" i="2"/>
  <c r="P33" i="2" s="1"/>
  <c r="Q33" i="2" s="1"/>
  <c r="K12" i="5"/>
  <c r="O9" i="2"/>
  <c r="P9" i="2" s="1"/>
  <c r="Q9" i="2" s="1"/>
  <c r="O47" i="2"/>
  <c r="P47" i="2" s="1"/>
  <c r="Q47" i="2" s="1"/>
  <c r="K17" i="5"/>
  <c r="O49" i="2"/>
  <c r="P49" i="2" s="1"/>
  <c r="Q49" i="2" s="1"/>
  <c r="O23" i="2"/>
  <c r="P23" i="2" s="1"/>
  <c r="Q23" i="2" s="1"/>
  <c r="K23" i="5"/>
  <c r="A24" i="5"/>
  <c r="M54" i="2"/>
  <c r="I28" i="5" s="1"/>
  <c r="I7" i="5"/>
  <c r="O13" i="2"/>
  <c r="P13" i="2" s="1"/>
  <c r="Q13" i="2" s="1"/>
  <c r="O37" i="2"/>
  <c r="P37" i="2" s="1"/>
  <c r="Q37" i="2" s="1"/>
  <c r="I21" i="5"/>
  <c r="O8" i="2"/>
  <c r="P8" i="2" s="1"/>
  <c r="Q8" i="2" s="1"/>
  <c r="I5" i="5"/>
  <c r="O21" i="2"/>
  <c r="P21" i="2" s="1"/>
  <c r="Q21" i="2" s="1"/>
  <c r="I11" i="5"/>
  <c r="I16" i="5"/>
  <c r="O32" i="2"/>
  <c r="P32" i="2" s="1"/>
  <c r="Q32" i="2" s="1"/>
  <c r="K4" i="5"/>
  <c r="K18" i="5"/>
  <c r="K9" i="5"/>
  <c r="M6" i="5"/>
  <c r="K10" i="5"/>
  <c r="K20" i="5"/>
  <c r="K22" i="5"/>
  <c r="O50" i="2"/>
  <c r="P50" i="2" s="1"/>
  <c r="Q50" i="2" s="1"/>
  <c r="I24" i="5"/>
  <c r="M52" i="2"/>
  <c r="M3" i="6"/>
  <c r="R60" i="2"/>
  <c r="G60" i="2"/>
  <c r="G59" i="2"/>
  <c r="R59" i="2"/>
  <c r="F58" i="2"/>
  <c r="I58" i="2"/>
  <c r="B57" i="2"/>
  <c r="I57" i="2"/>
  <c r="C57" i="2"/>
  <c r="F57" i="2"/>
  <c r="E26" i="5"/>
  <c r="F26" i="5"/>
  <c r="G26" i="5"/>
  <c r="F56" i="2"/>
  <c r="C56" i="2"/>
  <c r="H56" i="2"/>
  <c r="J56" i="2"/>
  <c r="D25" i="5"/>
  <c r="E25" i="5"/>
  <c r="C25" i="5"/>
  <c r="C55" i="2"/>
  <c r="H55" i="2"/>
  <c r="N51" i="2"/>
  <c r="H28" i="5"/>
  <c r="H27" i="5"/>
  <c r="B59" i="2"/>
  <c r="A61" i="2"/>
  <c r="D28" i="5"/>
  <c r="D27" i="5"/>
  <c r="H60" i="2"/>
  <c r="C28" i="5"/>
  <c r="G27" i="5"/>
  <c r="I60" i="2"/>
  <c r="E28" i="5"/>
  <c r="E27" i="5"/>
  <c r="H59" i="2"/>
  <c r="C59" i="2"/>
  <c r="F60" i="2"/>
  <c r="B60" i="2"/>
  <c r="C58" i="2"/>
  <c r="H58" i="2"/>
  <c r="J58" i="2"/>
  <c r="B58" i="2"/>
  <c r="H57" i="2"/>
  <c r="J57" i="2"/>
  <c r="H26" i="5"/>
  <c r="C26" i="5"/>
  <c r="D26" i="5"/>
  <c r="I56" i="2"/>
  <c r="B56" i="2"/>
  <c r="H25" i="5"/>
  <c r="F25" i="5"/>
  <c r="G25" i="5"/>
  <c r="N52" i="2"/>
  <c r="N54" i="2"/>
  <c r="I55" i="2"/>
  <c r="F55" i="2"/>
  <c r="J55" i="2"/>
  <c r="B55" i="2"/>
  <c r="N53" i="2"/>
  <c r="G28" i="5"/>
  <c r="C60" i="2"/>
  <c r="F59" i="2"/>
  <c r="F28" i="5"/>
  <c r="C27" i="5"/>
  <c r="J59" i="2"/>
  <c r="F27" i="5"/>
  <c r="J60" i="2"/>
  <c r="I59" i="2"/>
  <c r="A62" i="2"/>
  <c r="B3" i="11"/>
  <c r="B20" i="4"/>
  <c r="B29" i="5"/>
  <c r="B21" i="4"/>
  <c r="M53" i="2" l="1"/>
  <c r="I27" i="5" s="1"/>
  <c r="M51" i="2"/>
  <c r="I25" i="5" s="1"/>
  <c r="O53" i="2"/>
  <c r="P53" i="2" s="1"/>
  <c r="Q53" i="2" s="1"/>
  <c r="J27" i="5"/>
  <c r="E55" i="2"/>
  <c r="D55" i="2"/>
  <c r="K55" i="2"/>
  <c r="L55" i="2"/>
  <c r="J28" i="5"/>
  <c r="O54" i="2"/>
  <c r="P54" i="2" s="1"/>
  <c r="Q54" i="2" s="1"/>
  <c r="J26" i="5"/>
  <c r="L56" i="2"/>
  <c r="K56" i="2"/>
  <c r="E56" i="2"/>
  <c r="D56" i="2"/>
  <c r="A26" i="5"/>
  <c r="K58" i="2"/>
  <c r="E58" i="2"/>
  <c r="L58" i="2"/>
  <c r="J25" i="5"/>
  <c r="K25" i="5" s="1"/>
  <c r="A25" i="5"/>
  <c r="K57" i="2"/>
  <c r="E57" i="2"/>
  <c r="L57" i="2"/>
  <c r="I14" i="5"/>
  <c r="O30" i="2"/>
  <c r="P30" i="2" s="1"/>
  <c r="Q30" i="2" s="1"/>
  <c r="O51" i="2"/>
  <c r="P51" i="2" s="1"/>
  <c r="Q51" i="2" s="1"/>
  <c r="M56" i="2"/>
  <c r="L13" i="5"/>
  <c r="L12" i="5"/>
  <c r="L17" i="5"/>
  <c r="L23" i="5"/>
  <c r="K11" i="5"/>
  <c r="K5" i="5"/>
  <c r="K21" i="5"/>
  <c r="K16" i="5"/>
  <c r="K7" i="5"/>
  <c r="K24" i="5"/>
  <c r="L22" i="5"/>
  <c r="L10" i="5"/>
  <c r="L18" i="5"/>
  <c r="L20" i="5"/>
  <c r="L19" i="5"/>
  <c r="L9" i="5"/>
  <c r="L4" i="5"/>
  <c r="A27" i="5"/>
  <c r="A28" i="5"/>
  <c r="I26" i="5"/>
  <c r="O52" i="2"/>
  <c r="P52" i="2" s="1"/>
  <c r="Q52" i="2" s="1"/>
  <c r="K27" i="5"/>
  <c r="K28" i="5"/>
  <c r="L25" i="5"/>
  <c r="G62" i="2"/>
  <c r="R62" i="2"/>
  <c r="E59" i="2"/>
  <c r="L59" i="2"/>
  <c r="K59" i="2"/>
  <c r="R61" i="2"/>
  <c r="G61" i="2"/>
  <c r="E60" i="2"/>
  <c r="L60" i="2"/>
  <c r="K60" i="2"/>
  <c r="M58" i="2"/>
  <c r="M57" i="2"/>
  <c r="G21" i="4"/>
  <c r="C21" i="4"/>
  <c r="E21" i="4"/>
  <c r="I21" i="4"/>
  <c r="C29" i="5"/>
  <c r="G29" i="5"/>
  <c r="D29" i="5"/>
  <c r="E20" i="4"/>
  <c r="D20" i="4"/>
  <c r="H20" i="4"/>
  <c r="G20" i="4"/>
  <c r="N55" i="2"/>
  <c r="N57" i="2"/>
  <c r="F61" i="2"/>
  <c r="B30" i="5"/>
  <c r="H62" i="2"/>
  <c r="C62" i="2"/>
  <c r="N60" i="2"/>
  <c r="A63" i="2"/>
  <c r="A64" i="2"/>
  <c r="H3" i="11"/>
  <c r="J61" i="2"/>
  <c r="B62" i="2"/>
  <c r="N59" i="2"/>
  <c r="G3" i="11"/>
  <c r="H61" i="2"/>
  <c r="E3" i="11"/>
  <c r="C3" i="11"/>
  <c r="B61" i="2"/>
  <c r="D3" i="11"/>
  <c r="H21" i="4"/>
  <c r="D21" i="4"/>
  <c r="F21" i="4"/>
  <c r="J21" i="4"/>
  <c r="H29" i="5"/>
  <c r="F29" i="5"/>
  <c r="E29" i="5"/>
  <c r="J20" i="4"/>
  <c r="C20" i="4"/>
  <c r="F20" i="4"/>
  <c r="I20" i="4"/>
  <c r="N56" i="2"/>
  <c r="N58" i="2"/>
  <c r="F3" i="11"/>
  <c r="C61" i="2"/>
  <c r="J62" i="2"/>
  <c r="I61" i="2"/>
  <c r="I62" i="2"/>
  <c r="F62" i="2"/>
  <c r="B31" i="5"/>
  <c r="M55" i="2" l="1"/>
  <c r="K14" i="5"/>
  <c r="J3" i="11"/>
  <c r="O56" i="2"/>
  <c r="P56" i="2" s="1"/>
  <c r="Q56" i="2" s="1"/>
  <c r="K20" i="4"/>
  <c r="L20" i="4" s="1"/>
  <c r="M20" i="4" s="1"/>
  <c r="N20" i="4"/>
  <c r="A20" i="4"/>
  <c r="J29" i="5"/>
  <c r="A29" i="5"/>
  <c r="K21" i="4"/>
  <c r="L21" i="4" s="1"/>
  <c r="N21" i="4"/>
  <c r="A21" i="4"/>
  <c r="O55" i="2"/>
  <c r="P55" i="2" s="1"/>
  <c r="Q55" i="2" s="1"/>
  <c r="M13" i="5"/>
  <c r="M12" i="5"/>
  <c r="M17" i="5"/>
  <c r="M23" i="5"/>
  <c r="L16" i="5"/>
  <c r="L21" i="5"/>
  <c r="L11" i="5"/>
  <c r="L7" i="5"/>
  <c r="L5" i="5"/>
  <c r="M4" i="5"/>
  <c r="M9" i="5"/>
  <c r="M20" i="5"/>
  <c r="M18" i="5"/>
  <c r="M22" i="5"/>
  <c r="L24" i="5"/>
  <c r="K26" i="5"/>
  <c r="M19" i="5"/>
  <c r="M10" i="5"/>
  <c r="R63" i="2"/>
  <c r="G63" i="2"/>
  <c r="A3" i="11"/>
  <c r="M25" i="5"/>
  <c r="L28" i="5"/>
  <c r="L27" i="5"/>
  <c r="E61" i="2"/>
  <c r="K61" i="2"/>
  <c r="L61" i="2"/>
  <c r="J30" i="5"/>
  <c r="E62" i="2"/>
  <c r="K62" i="2"/>
  <c r="L62" i="2"/>
  <c r="J31" i="5"/>
  <c r="R64" i="2"/>
  <c r="G64" i="2"/>
  <c r="O58" i="2"/>
  <c r="P58" i="2" s="1"/>
  <c r="Q58" i="2" s="1"/>
  <c r="I3" i="11"/>
  <c r="O57" i="2"/>
  <c r="P57" i="2" s="1"/>
  <c r="Q57" i="2" s="1"/>
  <c r="I29" i="5"/>
  <c r="M60" i="2"/>
  <c r="O60" i="2" s="1"/>
  <c r="P60" i="2" s="1"/>
  <c r="Q60" i="2" s="1"/>
  <c r="M59" i="2"/>
  <c r="D30" i="5"/>
  <c r="B32" i="5"/>
  <c r="H31" i="5"/>
  <c r="B64" i="2"/>
  <c r="I64" i="2"/>
  <c r="B63" i="2"/>
  <c r="F30" i="5"/>
  <c r="C30" i="5"/>
  <c r="C64" i="2"/>
  <c r="F64" i="2"/>
  <c r="E31" i="5"/>
  <c r="F31" i="5"/>
  <c r="J63" i="2"/>
  <c r="E30" i="5"/>
  <c r="C63" i="2"/>
  <c r="G31" i="5"/>
  <c r="A65" i="2"/>
  <c r="N62" i="2"/>
  <c r="N61" i="2"/>
  <c r="H64" i="2"/>
  <c r="H63" i="2"/>
  <c r="F63" i="2"/>
  <c r="H30" i="5"/>
  <c r="J64" i="2"/>
  <c r="B33" i="5"/>
  <c r="D31" i="5"/>
  <c r="C31" i="5"/>
  <c r="I63" i="2"/>
  <c r="G30" i="5"/>
  <c r="L14" i="5" l="1"/>
  <c r="M16" i="5"/>
  <c r="M21" i="5"/>
  <c r="M7" i="5"/>
  <c r="M5" i="5"/>
  <c r="M11" i="5"/>
  <c r="L26" i="5"/>
  <c r="M24" i="5"/>
  <c r="K63" i="2"/>
  <c r="E63" i="2"/>
  <c r="L63" i="2"/>
  <c r="A30" i="5"/>
  <c r="K29" i="5"/>
  <c r="K3" i="11"/>
  <c r="M61" i="2"/>
  <c r="I32" i="5" s="1"/>
  <c r="M28" i="5"/>
  <c r="M21" i="4"/>
  <c r="M27" i="5"/>
  <c r="I31" i="5"/>
  <c r="J33" i="5"/>
  <c r="A31" i="5"/>
  <c r="J32" i="5"/>
  <c r="E64" i="2"/>
  <c r="D64" i="2"/>
  <c r="K64" i="2"/>
  <c r="L64" i="2"/>
  <c r="R65" i="2"/>
  <c r="G65" i="2"/>
  <c r="O59" i="2"/>
  <c r="P59" i="2" s="1"/>
  <c r="Q59" i="2" s="1"/>
  <c r="I30" i="5"/>
  <c r="M62" i="2"/>
  <c r="O62" i="2" s="1"/>
  <c r="P62" i="2" s="1"/>
  <c r="Q62" i="2" s="1"/>
  <c r="C32" i="5"/>
  <c r="E33" i="5"/>
  <c r="B65" i="2"/>
  <c r="H33" i="5"/>
  <c r="N64" i="2"/>
  <c r="N63" i="2"/>
  <c r="A66" i="2"/>
  <c r="D32" i="5"/>
  <c r="D33" i="5"/>
  <c r="G32" i="5"/>
  <c r="H65" i="2"/>
  <c r="B34" i="5"/>
  <c r="F33" i="5"/>
  <c r="C65" i="2"/>
  <c r="H32" i="5"/>
  <c r="F65" i="2"/>
  <c r="C33" i="5"/>
  <c r="B22" i="4"/>
  <c r="I65" i="2"/>
  <c r="F32" i="5"/>
  <c r="J65" i="2"/>
  <c r="G33" i="5"/>
  <c r="E32" i="5"/>
  <c r="M14" i="5" l="1"/>
  <c r="M63" i="2"/>
  <c r="O63" i="2" s="1"/>
  <c r="P63" i="2" s="1"/>
  <c r="Q63" i="2" s="1"/>
  <c r="M26" i="5"/>
  <c r="J34" i="5"/>
  <c r="O61" i="2"/>
  <c r="P61" i="2" s="1"/>
  <c r="Q61" i="2" s="1"/>
  <c r="K32" i="5"/>
  <c r="L29" i="5"/>
  <c r="K30" i="5"/>
  <c r="K31" i="5"/>
  <c r="L3" i="11"/>
  <c r="M64" i="2"/>
  <c r="O64" i="2" s="1"/>
  <c r="P64" i="2" s="1"/>
  <c r="Q64" i="2" s="1"/>
  <c r="E65" i="2"/>
  <c r="D65" i="2"/>
  <c r="L65" i="2"/>
  <c r="K65" i="2"/>
  <c r="A33" i="5"/>
  <c r="R66" i="2"/>
  <c r="G66" i="2"/>
  <c r="A32" i="5"/>
  <c r="I33" i="5"/>
  <c r="J22" i="4"/>
  <c r="B23" i="4"/>
  <c r="A67" i="2"/>
  <c r="H34" i="5"/>
  <c r="I22" i="4"/>
  <c r="C34" i="5"/>
  <c r="C22" i="4"/>
  <c r="B66" i="2"/>
  <c r="J66" i="2"/>
  <c r="E34" i="5"/>
  <c r="G22" i="4"/>
  <c r="D34" i="5"/>
  <c r="F22" i="4"/>
  <c r="N65" i="2"/>
  <c r="C66" i="2"/>
  <c r="D22" i="4"/>
  <c r="F66" i="2"/>
  <c r="G34" i="5"/>
  <c r="H22" i="4"/>
  <c r="I66" i="2"/>
  <c r="F34" i="5"/>
  <c r="E22" i="4"/>
  <c r="H66" i="2"/>
  <c r="I34" i="5" l="1"/>
  <c r="K22" i="4"/>
  <c r="A22" i="4"/>
  <c r="N22" i="4"/>
  <c r="A34" i="5"/>
  <c r="L32" i="5"/>
  <c r="K33" i="5"/>
  <c r="L31" i="5"/>
  <c r="M29" i="5"/>
  <c r="M3" i="11"/>
  <c r="L30" i="5"/>
  <c r="E66" i="2"/>
  <c r="D66" i="2"/>
  <c r="K66" i="2"/>
  <c r="L66" i="2"/>
  <c r="R67" i="2"/>
  <c r="G67" i="2"/>
  <c r="M65" i="2"/>
  <c r="O65" i="2" s="1"/>
  <c r="P65" i="2" s="1"/>
  <c r="Q65" i="2" s="1"/>
  <c r="B24" i="4"/>
  <c r="I67" i="2"/>
  <c r="H67" i="2"/>
  <c r="J67" i="2"/>
  <c r="H23" i="4"/>
  <c r="E23" i="4"/>
  <c r="A68" i="2"/>
  <c r="I23" i="4"/>
  <c r="F67" i="2"/>
  <c r="G23" i="4"/>
  <c r="J23" i="4"/>
  <c r="B67" i="2"/>
  <c r="C23" i="4"/>
  <c r="C67" i="2"/>
  <c r="F23" i="4"/>
  <c r="N66" i="2"/>
  <c r="D23" i="4"/>
  <c r="K34" i="5" l="1"/>
  <c r="L22" i="4"/>
  <c r="G68" i="2"/>
  <c r="R68" i="2"/>
  <c r="M32" i="5"/>
  <c r="M30" i="5"/>
  <c r="M31" i="5"/>
  <c r="L33" i="5"/>
  <c r="M66" i="2"/>
  <c r="O66" i="2" s="1"/>
  <c r="P66" i="2" s="1"/>
  <c r="Q66" i="2" s="1"/>
  <c r="N23" i="4"/>
  <c r="A23" i="4"/>
  <c r="K23" i="4"/>
  <c r="E67" i="2"/>
  <c r="K67" i="2"/>
  <c r="L67" i="2"/>
  <c r="J68" i="2"/>
  <c r="H68" i="2"/>
  <c r="N67" i="2"/>
  <c r="G24" i="4"/>
  <c r="B35" i="5"/>
  <c r="A69" i="2"/>
  <c r="D24" i="4"/>
  <c r="H24" i="4"/>
  <c r="F68" i="2"/>
  <c r="C68" i="2"/>
  <c r="I68" i="2"/>
  <c r="C24" i="4"/>
  <c r="I24" i="4"/>
  <c r="B68" i="2"/>
  <c r="E24" i="4"/>
  <c r="J24" i="4"/>
  <c r="F24" i="4"/>
  <c r="L34" i="5" l="1"/>
  <c r="M22" i="4"/>
  <c r="G69" i="2"/>
  <c r="R69" i="2"/>
  <c r="E68" i="2"/>
  <c r="L68" i="2"/>
  <c r="K68" i="2"/>
  <c r="L23" i="4"/>
  <c r="M34" i="5"/>
  <c r="M33" i="5"/>
  <c r="J35" i="5"/>
  <c r="A24" i="4"/>
  <c r="N24" i="4"/>
  <c r="K24" i="4"/>
  <c r="M67" i="2"/>
  <c r="B36" i="5"/>
  <c r="J69" i="2"/>
  <c r="E35" i="5"/>
  <c r="D35" i="5"/>
  <c r="H69" i="2"/>
  <c r="G35" i="5"/>
  <c r="C35" i="5"/>
  <c r="I69" i="2"/>
  <c r="N68" i="2"/>
  <c r="F69" i="2"/>
  <c r="B25" i="4"/>
  <c r="A70" i="2"/>
  <c r="C69" i="2"/>
  <c r="H35" i="5"/>
  <c r="B69" i="2"/>
  <c r="F35" i="5"/>
  <c r="M68" i="2" l="1"/>
  <c r="O68" i="2" s="1"/>
  <c r="P68" i="2" s="1"/>
  <c r="Q68" i="2" s="1"/>
  <c r="A35" i="5"/>
  <c r="D69" i="2"/>
  <c r="E69" i="2"/>
  <c r="K69" i="2"/>
  <c r="L69" i="2"/>
  <c r="J36" i="5"/>
  <c r="G70" i="2"/>
  <c r="R70" i="2"/>
  <c r="M23" i="4"/>
  <c r="L24" i="4"/>
  <c r="O67" i="2"/>
  <c r="P67" i="2" s="1"/>
  <c r="Q67" i="2" s="1"/>
  <c r="I35" i="5"/>
  <c r="A80" i="2"/>
  <c r="D36" i="5"/>
  <c r="H36" i="5"/>
  <c r="G36" i="5"/>
  <c r="D25" i="4"/>
  <c r="G25" i="4"/>
  <c r="A71" i="2"/>
  <c r="F70" i="2"/>
  <c r="I25" i="4"/>
  <c r="H25" i="4"/>
  <c r="C70" i="2"/>
  <c r="H70" i="2"/>
  <c r="E36" i="5"/>
  <c r="F36" i="5"/>
  <c r="C36" i="5"/>
  <c r="F25" i="4"/>
  <c r="N69" i="2"/>
  <c r="J25" i="4"/>
  <c r="I70" i="2"/>
  <c r="A72" i="2"/>
  <c r="A73" i="2" s="1"/>
  <c r="A74" i="2" s="1"/>
  <c r="E25" i="4"/>
  <c r="J70" i="2"/>
  <c r="C25" i="4"/>
  <c r="B70" i="2"/>
  <c r="B26" i="4"/>
  <c r="I36" i="5" l="1"/>
  <c r="A36" i="5"/>
  <c r="G74" i="2"/>
  <c r="R74" i="2"/>
  <c r="R73" i="2"/>
  <c r="G73" i="2"/>
  <c r="R72" i="2"/>
  <c r="G72" i="2"/>
  <c r="E70" i="2"/>
  <c r="L70" i="2"/>
  <c r="K70" i="2"/>
  <c r="R71" i="2"/>
  <c r="G71" i="2"/>
  <c r="A25" i="4"/>
  <c r="N25" i="4"/>
  <c r="K25" i="4"/>
  <c r="M69" i="2"/>
  <c r="O69" i="2" s="1"/>
  <c r="P69" i="2" s="1"/>
  <c r="Q69" i="2" s="1"/>
  <c r="K36" i="5"/>
  <c r="K35" i="5"/>
  <c r="M24" i="4"/>
  <c r="R80" i="2"/>
  <c r="G80" i="2"/>
  <c r="A81" i="2"/>
  <c r="H80" i="2"/>
  <c r="F80" i="2"/>
  <c r="I80" i="2"/>
  <c r="C80" i="2"/>
  <c r="B80" i="2"/>
  <c r="A75" i="2"/>
  <c r="F73" i="2"/>
  <c r="E26" i="4"/>
  <c r="C72" i="2"/>
  <c r="C71" i="2"/>
  <c r="J71" i="2"/>
  <c r="J74" i="2"/>
  <c r="B73" i="2"/>
  <c r="I26" i="4"/>
  <c r="I72" i="2"/>
  <c r="C73" i="2"/>
  <c r="J72" i="2"/>
  <c r="J80" i="2"/>
  <c r="I73" i="2"/>
  <c r="H72" i="2"/>
  <c r="B74" i="2"/>
  <c r="B72" i="2"/>
  <c r="B71" i="2"/>
  <c r="H74" i="2"/>
  <c r="F26" i="4"/>
  <c r="C74" i="2"/>
  <c r="H73" i="2"/>
  <c r="D26" i="4"/>
  <c r="H71" i="2"/>
  <c r="I74" i="2"/>
  <c r="H26" i="4"/>
  <c r="F72" i="2"/>
  <c r="F74" i="2"/>
  <c r="C26" i="4"/>
  <c r="F71" i="2"/>
  <c r="I71" i="2"/>
  <c r="G26" i="4"/>
  <c r="N70" i="2"/>
  <c r="J26" i="4"/>
  <c r="J73" i="2"/>
  <c r="B27" i="4"/>
  <c r="A76" i="2"/>
  <c r="R76" i="2" l="1"/>
  <c r="G76" i="2"/>
  <c r="R75" i="2"/>
  <c r="G75" i="2"/>
  <c r="L25" i="4"/>
  <c r="R81" i="2"/>
  <c r="G81" i="2"/>
  <c r="D51" i="2"/>
  <c r="D59" i="2"/>
  <c r="D21" i="2"/>
  <c r="D67" i="2"/>
  <c r="D52" i="2"/>
  <c r="D49" i="2"/>
  <c r="D22" i="2"/>
  <c r="D62" i="2"/>
  <c r="D68" i="2"/>
  <c r="D26" i="2"/>
  <c r="D31" i="2"/>
  <c r="D9" i="2"/>
  <c r="D14" i="2"/>
  <c r="D36" i="2"/>
  <c r="D38" i="2"/>
  <c r="D34" i="2"/>
  <c r="D37" i="2"/>
  <c r="D3" i="2"/>
  <c r="D8" i="2"/>
  <c r="D30" i="2"/>
  <c r="D61" i="2"/>
  <c r="D53" i="2"/>
  <c r="D57" i="2"/>
  <c r="D23" i="2"/>
  <c r="D54" i="2"/>
  <c r="D60" i="2"/>
  <c r="D50" i="2"/>
  <c r="D63" i="2"/>
  <c r="D33" i="2"/>
  <c r="D15" i="2"/>
  <c r="D6" i="2"/>
  <c r="D2" i="2"/>
  <c r="D13" i="2"/>
  <c r="D20" i="2"/>
  <c r="D35" i="2"/>
  <c r="D32" i="2"/>
  <c r="D70" i="2"/>
  <c r="M70" i="2"/>
  <c r="K26" i="4"/>
  <c r="L26" i="4" s="1"/>
  <c r="D73" i="2"/>
  <c r="E73" i="2"/>
  <c r="K73" i="2"/>
  <c r="L73" i="2"/>
  <c r="D71" i="2"/>
  <c r="E71" i="2"/>
  <c r="L71" i="2"/>
  <c r="K71" i="2"/>
  <c r="D72" i="2"/>
  <c r="E72" i="2"/>
  <c r="L72" i="2"/>
  <c r="K72" i="2"/>
  <c r="A26" i="4"/>
  <c r="N26" i="4"/>
  <c r="E74" i="2"/>
  <c r="D74" i="2"/>
  <c r="K74" i="2"/>
  <c r="L74" i="2"/>
  <c r="O70" i="2"/>
  <c r="P70" i="2" s="1"/>
  <c r="Q70" i="2" s="1"/>
  <c r="L35" i="5"/>
  <c r="M26" i="4"/>
  <c r="L36" i="5"/>
  <c r="D80" i="2"/>
  <c r="E80" i="2"/>
  <c r="K80" i="2"/>
  <c r="L80" i="2"/>
  <c r="A82" i="2"/>
  <c r="F81" i="2"/>
  <c r="C81" i="2"/>
  <c r="I81" i="2"/>
  <c r="H81" i="2"/>
  <c r="B81" i="2"/>
  <c r="N80" i="2"/>
  <c r="B29" i="4"/>
  <c r="A77" i="2"/>
  <c r="H76" i="2"/>
  <c r="B76" i="2"/>
  <c r="C76" i="2"/>
  <c r="C75" i="2"/>
  <c r="J75" i="2"/>
  <c r="F75" i="2"/>
  <c r="J81" i="2"/>
  <c r="E27" i="4"/>
  <c r="G27" i="4"/>
  <c r="N73" i="2"/>
  <c r="N74" i="2"/>
  <c r="H27" i="4"/>
  <c r="D27" i="4"/>
  <c r="J76" i="2"/>
  <c r="F76" i="2"/>
  <c r="I76" i="2"/>
  <c r="B37" i="5"/>
  <c r="B75" i="2"/>
  <c r="H75" i="2"/>
  <c r="I75" i="2"/>
  <c r="B28" i="4"/>
  <c r="J27" i="4"/>
  <c r="F27" i="4"/>
  <c r="N71" i="2"/>
  <c r="C27" i="4"/>
  <c r="B38" i="5"/>
  <c r="I27" i="4"/>
  <c r="N72" i="2"/>
  <c r="B39" i="5"/>
  <c r="B40" i="5" s="1"/>
  <c r="A78" i="2"/>
  <c r="M25" i="4" l="1"/>
  <c r="R78" i="2"/>
  <c r="G78" i="2"/>
  <c r="E75" i="2"/>
  <c r="L75" i="2"/>
  <c r="D75" i="2"/>
  <c r="K75" i="2"/>
  <c r="D76" i="2"/>
  <c r="L76" i="2"/>
  <c r="E76" i="2"/>
  <c r="K76" i="2"/>
  <c r="M76" i="2" s="1"/>
  <c r="R77" i="2"/>
  <c r="G77" i="2"/>
  <c r="D81" i="2"/>
  <c r="L81" i="2"/>
  <c r="E81" i="2"/>
  <c r="K81" i="2"/>
  <c r="G82" i="2"/>
  <c r="R82" i="2"/>
  <c r="M73" i="2"/>
  <c r="I37" i="5" s="1"/>
  <c r="M71" i="2"/>
  <c r="O71" i="2" s="1"/>
  <c r="P71" i="2" s="1"/>
  <c r="Q71" i="2" s="1"/>
  <c r="J37" i="5"/>
  <c r="K27" i="4"/>
  <c r="J38" i="5"/>
  <c r="A27" i="4"/>
  <c r="N27" i="4"/>
  <c r="M75" i="2"/>
  <c r="M74" i="2"/>
  <c r="O74" i="2" s="1"/>
  <c r="P74" i="2" s="1"/>
  <c r="Q74" i="2" s="1"/>
  <c r="M72" i="2"/>
  <c r="O72" i="2" s="1"/>
  <c r="P72" i="2" s="1"/>
  <c r="Q72" i="2" s="1"/>
  <c r="M36" i="5"/>
  <c r="M35" i="5"/>
  <c r="M80" i="2"/>
  <c r="O80" i="2" s="1"/>
  <c r="P80" i="2" s="1"/>
  <c r="Q80" i="2" s="1"/>
  <c r="H82" i="2"/>
  <c r="F82" i="2"/>
  <c r="I82" i="2"/>
  <c r="E29" i="4"/>
  <c r="G29" i="4"/>
  <c r="C29" i="4"/>
  <c r="D29" i="4"/>
  <c r="I29" i="4"/>
  <c r="F29" i="4"/>
  <c r="H29" i="4"/>
  <c r="N81" i="2"/>
  <c r="A83" i="2"/>
  <c r="C82" i="2"/>
  <c r="B82" i="2"/>
  <c r="J29" i="4"/>
  <c r="B30" i="4"/>
  <c r="B31" i="4" s="1"/>
  <c r="A84" i="2"/>
  <c r="A79" i="2"/>
  <c r="I78" i="2"/>
  <c r="C78" i="2"/>
  <c r="J78" i="2"/>
  <c r="D37" i="5"/>
  <c r="F37" i="5"/>
  <c r="H37" i="5"/>
  <c r="B77" i="2"/>
  <c r="H77" i="2"/>
  <c r="F77" i="2"/>
  <c r="B41" i="5" s="1"/>
  <c r="E40" i="5"/>
  <c r="D38" i="5"/>
  <c r="C40" i="5"/>
  <c r="D39" i="5"/>
  <c r="F38" i="5"/>
  <c r="F28" i="4"/>
  <c r="D28" i="4"/>
  <c r="F40" i="5"/>
  <c r="H39" i="5"/>
  <c r="H38" i="5"/>
  <c r="C39" i="5"/>
  <c r="C28" i="4"/>
  <c r="G28" i="4"/>
  <c r="J82" i="2"/>
  <c r="H40" i="5"/>
  <c r="G39" i="5"/>
  <c r="H28" i="4"/>
  <c r="J28" i="4"/>
  <c r="B78" i="2"/>
  <c r="F78" i="2"/>
  <c r="H78" i="2"/>
  <c r="N75" i="2"/>
  <c r="E37" i="5"/>
  <c r="G37" i="5"/>
  <c r="C37" i="5"/>
  <c r="N76" i="2"/>
  <c r="J77" i="2"/>
  <c r="I77" i="2"/>
  <c r="C77" i="2"/>
  <c r="E39" i="5"/>
  <c r="G38" i="5"/>
  <c r="D40" i="5"/>
  <c r="C38" i="5"/>
  <c r="E28" i="4"/>
  <c r="I28" i="4"/>
  <c r="F39" i="5"/>
  <c r="G40" i="5"/>
  <c r="E38" i="5"/>
  <c r="B42" i="5"/>
  <c r="J40" i="5" l="1"/>
  <c r="A37" i="5"/>
  <c r="J39" i="5"/>
  <c r="E78" i="2"/>
  <c r="D78" i="2"/>
  <c r="L78" i="2"/>
  <c r="K78" i="2"/>
  <c r="E77" i="2"/>
  <c r="D77" i="2"/>
  <c r="L77" i="2"/>
  <c r="K77" i="2"/>
  <c r="G79" i="2"/>
  <c r="R79" i="2"/>
  <c r="O76" i="2"/>
  <c r="P76" i="2" s="1"/>
  <c r="Q76" i="2" s="1"/>
  <c r="O75" i="2"/>
  <c r="P75" i="2" s="1"/>
  <c r="Q75" i="2" s="1"/>
  <c r="M81" i="2"/>
  <c r="O81" i="2" s="1"/>
  <c r="P81" i="2" s="1"/>
  <c r="Q81" i="2" s="1"/>
  <c r="I40" i="5"/>
  <c r="K37" i="5"/>
  <c r="O73" i="2"/>
  <c r="P73" i="2" s="1"/>
  <c r="Q73" i="2" s="1"/>
  <c r="G84" i="2"/>
  <c r="R84" i="2"/>
  <c r="D82" i="2"/>
  <c r="E82" i="2"/>
  <c r="L82" i="2"/>
  <c r="K82" i="2"/>
  <c r="R83" i="2"/>
  <c r="G83" i="2"/>
  <c r="K28" i="4"/>
  <c r="N28" i="4"/>
  <c r="A28" i="4"/>
  <c r="A38" i="5"/>
  <c r="A29" i="4"/>
  <c r="A39" i="5"/>
  <c r="A40" i="5"/>
  <c r="K29" i="4"/>
  <c r="L29" i="4" s="1"/>
  <c r="M29" i="4" s="1"/>
  <c r="L27" i="4"/>
  <c r="I38" i="5"/>
  <c r="I39" i="5"/>
  <c r="C84" i="2"/>
  <c r="B84" i="2"/>
  <c r="N82" i="2"/>
  <c r="H83" i="2"/>
  <c r="C83" i="2"/>
  <c r="B83" i="2"/>
  <c r="G31" i="4"/>
  <c r="C31" i="4"/>
  <c r="G30" i="4"/>
  <c r="I30" i="4"/>
  <c r="D31" i="4"/>
  <c r="H31" i="4"/>
  <c r="H30" i="4"/>
  <c r="E30" i="4"/>
  <c r="I84" i="2"/>
  <c r="H84" i="2"/>
  <c r="F84" i="2"/>
  <c r="F83" i="2"/>
  <c r="B32" i="4" s="1"/>
  <c r="I83" i="2"/>
  <c r="B44" i="5"/>
  <c r="I31" i="4"/>
  <c r="E31" i="4"/>
  <c r="J30" i="4"/>
  <c r="D30" i="4"/>
  <c r="J31" i="4"/>
  <c r="F31" i="4"/>
  <c r="F30" i="4"/>
  <c r="C30" i="4"/>
  <c r="G42" i="5"/>
  <c r="D42" i="5"/>
  <c r="C42" i="5"/>
  <c r="D41" i="5"/>
  <c r="C41" i="5"/>
  <c r="H41" i="5"/>
  <c r="N77" i="2"/>
  <c r="I79" i="2"/>
  <c r="H79" i="2"/>
  <c r="F79" i="2"/>
  <c r="B43" i="5" s="1"/>
  <c r="J83" i="2"/>
  <c r="E42" i="5"/>
  <c r="F42" i="5"/>
  <c r="H42" i="5"/>
  <c r="N78" i="2"/>
  <c r="G41" i="5"/>
  <c r="F41" i="5"/>
  <c r="E41" i="5"/>
  <c r="B79" i="2"/>
  <c r="J79" i="2"/>
  <c r="C79" i="2"/>
  <c r="J84" i="2"/>
  <c r="M77" i="2" l="1"/>
  <c r="I41" i="5" s="1"/>
  <c r="D39" i="2"/>
  <c r="D7" i="2"/>
  <c r="D48" i="2"/>
  <c r="D47" i="2"/>
  <c r="D43" i="2"/>
  <c r="D58" i="2"/>
  <c r="D46" i="2"/>
  <c r="D44" i="2"/>
  <c r="D45" i="2"/>
  <c r="E79" i="2"/>
  <c r="D79" i="2"/>
  <c r="K79" i="2"/>
  <c r="N29" i="4"/>
  <c r="L79" i="2"/>
  <c r="J42" i="5"/>
  <c r="J41" i="5"/>
  <c r="A41" i="5"/>
  <c r="A42" i="5"/>
  <c r="O77" i="2"/>
  <c r="P77" i="2" s="1"/>
  <c r="Q77" i="2" s="1"/>
  <c r="M78" i="2"/>
  <c r="O78" i="2" s="1"/>
  <c r="P78" i="2" s="1"/>
  <c r="Q78" i="2" s="1"/>
  <c r="K40" i="5"/>
  <c r="L37" i="5"/>
  <c r="M82" i="2"/>
  <c r="E83" i="2"/>
  <c r="D83" i="2"/>
  <c r="N43" i="4"/>
  <c r="N50" i="4"/>
  <c r="N49" i="4"/>
  <c r="N36" i="4"/>
  <c r="N44" i="4"/>
  <c r="N42" i="4"/>
  <c r="N51" i="4"/>
  <c r="N34" i="4"/>
  <c r="N47" i="4"/>
  <c r="N35" i="4"/>
  <c r="L83" i="2"/>
  <c r="N46" i="4"/>
  <c r="N33" i="4"/>
  <c r="N45" i="4"/>
  <c r="N40" i="4"/>
  <c r="N39" i="4"/>
  <c r="N37" i="4"/>
  <c r="N52" i="4"/>
  <c r="N48" i="4"/>
  <c r="N41" i="4"/>
  <c r="N38" i="4"/>
  <c r="K83" i="2"/>
  <c r="E84" i="2"/>
  <c r="D84" i="2"/>
  <c r="L84" i="2"/>
  <c r="K84" i="2"/>
  <c r="K41" i="5"/>
  <c r="K38" i="5"/>
  <c r="K39" i="5"/>
  <c r="M27" i="4"/>
  <c r="N30" i="4"/>
  <c r="A30" i="4"/>
  <c r="K30" i="4"/>
  <c r="L30" i="4" s="1"/>
  <c r="M30" i="4" s="1"/>
  <c r="A31" i="4"/>
  <c r="N31" i="4"/>
  <c r="K31" i="4"/>
  <c r="L31" i="4" s="1"/>
  <c r="M31" i="4" s="1"/>
  <c r="L28" i="4"/>
  <c r="G44" i="5"/>
  <c r="E44" i="5"/>
  <c r="D44" i="5"/>
  <c r="N84" i="2"/>
  <c r="J32" i="4"/>
  <c r="I32" i="4"/>
  <c r="F32" i="4"/>
  <c r="D32" i="4"/>
  <c r="G32" i="4"/>
  <c r="E32" i="4"/>
  <c r="C32" i="4"/>
  <c r="H32" i="4"/>
  <c r="F44" i="5"/>
  <c r="H44" i="5"/>
  <c r="C44" i="5"/>
  <c r="N83" i="2"/>
  <c r="N79" i="2"/>
  <c r="D43" i="5"/>
  <c r="C43" i="5"/>
  <c r="F43" i="5"/>
  <c r="E43" i="5"/>
  <c r="H43" i="5"/>
  <c r="G43" i="5"/>
  <c r="B6" i="13"/>
  <c r="B7" i="13"/>
  <c r="B8" i="13" s="1"/>
  <c r="M79" i="2" l="1"/>
  <c r="A43" i="5"/>
  <c r="J43" i="5"/>
  <c r="O79" i="2"/>
  <c r="P79" i="2" s="1"/>
  <c r="Q79" i="2" s="1"/>
  <c r="I43" i="5"/>
  <c r="K43" i="5" s="1"/>
  <c r="I42" i="5"/>
  <c r="M28" i="4"/>
  <c r="L40" i="5"/>
  <c r="O82" i="2"/>
  <c r="P82" i="2" s="1"/>
  <c r="Q82" i="2" s="1"/>
  <c r="M37" i="5"/>
  <c r="M83" i="2"/>
  <c r="O83" i="2" s="1"/>
  <c r="P83" i="2" s="1"/>
  <c r="Q83" i="2" s="1"/>
  <c r="M84" i="2"/>
  <c r="O84" i="2" s="1"/>
  <c r="P84" i="2" s="1"/>
  <c r="Q84" i="2" s="1"/>
  <c r="H8" i="13"/>
  <c r="J8" i="13"/>
  <c r="D8" i="13"/>
  <c r="I8" i="13"/>
  <c r="L8" i="13" s="1"/>
  <c r="M8" i="13" s="1"/>
  <c r="N8" i="13" s="1"/>
  <c r="C8" i="13"/>
  <c r="A8" i="13" s="1"/>
  <c r="G8" i="13"/>
  <c r="F8" i="13"/>
  <c r="E8" i="13"/>
  <c r="E7" i="13"/>
  <c r="F7" i="13"/>
  <c r="D7" i="13"/>
  <c r="C7" i="13"/>
  <c r="A7" i="13" s="1"/>
  <c r="I7" i="13"/>
  <c r="L7" i="13" s="1"/>
  <c r="M7" i="13" s="1"/>
  <c r="N7" i="13" s="1"/>
  <c r="G7" i="13"/>
  <c r="J7" i="13"/>
  <c r="H7" i="13"/>
  <c r="J44" i="5"/>
  <c r="A44" i="5"/>
  <c r="D6" i="13"/>
  <c r="I6" i="13"/>
  <c r="L6" i="13" s="1"/>
  <c r="M6" i="13" s="1"/>
  <c r="N6" i="13" s="1"/>
  <c r="E6" i="13"/>
  <c r="F6" i="13"/>
  <c r="J6" i="13"/>
  <c r="C6" i="13"/>
  <c r="A6" i="13" s="1"/>
  <c r="H6" i="13"/>
  <c r="G6" i="13"/>
  <c r="I44" i="5"/>
  <c r="L39" i="5"/>
  <c r="L41" i="5"/>
  <c r="L38" i="5"/>
  <c r="N32" i="4"/>
  <c r="A32" i="4"/>
  <c r="K32" i="4"/>
  <c r="L32" i="4" s="1"/>
  <c r="M32" i="4" s="1"/>
  <c r="K42" i="5" l="1"/>
  <c r="L43" i="5"/>
  <c r="M40" i="5"/>
  <c r="K44" i="5"/>
  <c r="L44" i="5" s="1"/>
  <c r="M44" i="5" s="1"/>
  <c r="M41" i="5"/>
  <c r="M39" i="5"/>
  <c r="M38" i="5"/>
  <c r="L42" i="5" l="1"/>
  <c r="M42" i="5" s="1"/>
  <c r="M43" i="5"/>
</calcChain>
</file>

<file path=xl/comments1.xml><?xml version="1.0" encoding="utf-8"?>
<comments xmlns="http://schemas.openxmlformats.org/spreadsheetml/2006/main">
  <authors>
    <author>Hp</author>
  </authors>
  <commentList>
    <comment ref="S8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<sst xmlns="http://schemas.openxmlformats.org/spreadsheetml/2006/main" count="2693" uniqueCount="998">
  <si>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</si>
  <si>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</si>
  <si>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</si>
  <si>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</si>
  <si>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</si>
  <si>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</si>
  <si>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</si>
  <si>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</si>
  <si>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</si>
  <si>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</si>
  <si>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</si>
  <si>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</si>
  <si>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</si>
  <si>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</si>
  <si>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</si>
  <si>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</si>
  <si>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</si>
  <si>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</si>
  <si>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</si>
  <si>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</si>
  <si>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</si>
  <si>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</si>
  <si>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</si>
  <si>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</si>
  <si>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</si>
  <si>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</si>
  <si>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</si>
  <si>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</si>
  <si>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</si>
  <si>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</si>
  <si>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</si>
  <si>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</si>
  <si>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</si>
  <si>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</si>
  <si>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</si>
  <si>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</si>
  <si>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</si>
  <si>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</si>
  <si>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</si>
  <si>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</si>
  <si>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</si>
  <si>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</si>
  <si>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</si>
  <si>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</si>
  <si>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</si>
  <si>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</si>
  <si>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</si>
  <si>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</si>
  <si>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</si>
  <si>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</si>
  <si>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</si>
  <si>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</si>
  <si>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</si>
  <si>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</si>
  <si>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</si>
  <si>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</si>
  <si>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</si>
  <si>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</si>
  <si>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</si>
  <si>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</si>
  <si>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</si>
  <si>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</si>
  <si>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</si>
  <si>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</si>
  <si>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</si>
  <si>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</si>
  <si>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</si>
  <si>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</si>
  <si>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</si>
  <si>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</si>
  <si>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</si>
  <si>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</si>
  <si>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</si>
  <si>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</si>
  <si>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</si>
  <si>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</si>
  <si>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</si>
  <si>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</si>
  <si>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</si>
  <si>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</si>
  <si>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</si>
  <si>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</si>
  <si>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</si>
  <si>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</si>
  <si>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</si>
  <si>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</si>
  <si>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</si>
  <si>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</si>
  <si>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</si>
  <si>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</si>
  <si>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</si>
  <si>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</si>
  <si>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</si>
  <si>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</si>
  <si>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</si>
  <si>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</si>
  <si>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</si>
  <si>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</si>
  <si>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KENKO GLUE STICK 8GR SMALL</t>
  </si>
  <si>
    <t>KENKO SCISSOR SC-848N</t>
  </si>
  <si>
    <t>KENKO TAPE DISPENSER TD-201 1" CORE</t>
  </si>
  <si>
    <t>KENKO CUTTER BLADE L-150 18MM</t>
  </si>
  <si>
    <t>CRAYON PUTAR TWCR-12S JK</t>
  </si>
  <si>
    <t>GLUE STICK GS-103 BATIK JK</t>
  </si>
  <si>
    <t>ERASER 526-B20 JK</t>
  </si>
  <si>
    <t>ERASER EB-30 JK</t>
  </si>
  <si>
    <t>ERASER ER-30W JK</t>
  </si>
  <si>
    <t>KENKO CORRECTION FLUID KE-108</t>
  </si>
  <si>
    <t>KENKO CUTTER A-300 9MM BLADE</t>
  </si>
  <si>
    <t>KENKO CUTTER L-500 18MM BLADE</t>
  </si>
  <si>
    <t>LABEL LB 2RL 1 BARIS JK</t>
  </si>
  <si>
    <t>SCISSORS SC-828 JK</t>
  </si>
  <si>
    <t>SCISSORS SC-848 JK</t>
  </si>
  <si>
    <t>SCISSORS SC-838 JK</t>
  </si>
  <si>
    <t>Column2</t>
  </si>
  <si>
    <t>SA230711107</t>
  </si>
  <si>
    <t>CORRECTION TAPE CT-522PTL JK</t>
  </si>
  <si>
    <t>PCS</t>
  </si>
  <si>
    <t>CUTTER BLADE L 150 M MH JK</t>
  </si>
  <si>
    <t>LABELLER MX 5500 M 8 DIGITS JK</t>
  </si>
  <si>
    <t>20 PCS</t>
  </si>
  <si>
    <t>MATH SET MS 55 JK</t>
  </si>
  <si>
    <t>MATH SET MS 75 JK</t>
  </si>
  <si>
    <t>CORRECTION FLUID JK 101 A JK</t>
  </si>
  <si>
    <t>BALLPEN BP 349-12 VOKUS TRANS BLACK JK BONUS</t>
  </si>
  <si>
    <t>SA230711032</t>
  </si>
  <si>
    <t>PENCIL CASE PC-0719PSTL-35 (GREEN) JK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</si>
  <si>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</si>
  <si>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</si>
  <si>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</si>
  <si>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</si>
  <si>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</si>
  <si>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</si>
  <si>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</si>
  <si>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</si>
  <si>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</si>
  <si>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</si>
  <si>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</si>
  <si>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</si>
  <si>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</si>
  <si>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</si>
  <si>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</si>
  <si>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</si>
  <si>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</si>
  <si>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</si>
  <si>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</si>
  <si>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</si>
  <si>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</si>
  <si>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</si>
  <si>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</si>
  <si>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</si>
  <si>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</si>
  <si>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</si>
  <si>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</si>
  <si>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</si>
  <si>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</si>
  <si>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</si>
  <si>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</si>
  <si>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</si>
  <si>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</si>
  <si>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</si>
  <si>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</si>
  <si>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</si>
  <si>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</si>
  <si>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</si>
  <si>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</si>
  <si>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</si>
  <si>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</si>
  <si>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</si>
  <si>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</si>
  <si>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</si>
  <si>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</si>
  <si>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</si>
  <si>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</si>
  <si>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</si>
  <si>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PGRS BT 172-06 BESAR</t>
  </si>
  <si>
    <t>0046/HW/VII/23</t>
  </si>
  <si>
    <t>BT 30 CM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</si>
  <si>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</si>
  <si>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</si>
  <si>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</si>
  <si>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</si>
  <si>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</si>
  <si>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</si>
  <si>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</si>
  <si>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</si>
  <si>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</si>
  <si>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</si>
  <si>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</si>
  <si>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</si>
  <si>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</si>
  <si>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</si>
  <si>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</si>
  <si>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</si>
  <si>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</si>
  <si>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</si>
  <si>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</si>
  <si>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</si>
  <si>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</si>
  <si>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4000 PCS</t>
  </si>
  <si>
    <t>G-1651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</si>
  <si>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</si>
  <si>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</si>
  <si>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</si>
  <si>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</si>
  <si>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</si>
  <si>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</si>
  <si>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</si>
  <si>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</si>
  <si>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</si>
  <si>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</si>
  <si>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</si>
  <si>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</si>
  <si>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</si>
  <si>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</si>
  <si>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</si>
  <si>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</si>
  <si>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</si>
  <si>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</si>
  <si>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</si>
  <si>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</si>
  <si>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</si>
  <si>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</si>
  <si>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</si>
  <si>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</si>
  <si>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</si>
  <si>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</si>
  <si>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</si>
  <si>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</si>
  <si>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</si>
  <si>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</si>
  <si>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</si>
  <si>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</si>
  <si>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</si>
  <si>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</si>
  <si>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</si>
  <si>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</si>
  <si>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</si>
  <si>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</si>
  <si>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</si>
  <si>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</si>
  <si>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</si>
  <si>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</si>
  <si>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</si>
  <si>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</si>
  <si>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JUG099/23</t>
  </si>
  <si>
    <t>GEL PEN TIZO 1.0 TG340</t>
  </si>
  <si>
    <t>GEL 1.0 340 BIRU TG340 BI</t>
  </si>
  <si>
    <t>ISI GEL INK TZ-501 R</t>
  </si>
  <si>
    <t>T DOKUMEN 2 TRAY JS2001</t>
  </si>
  <si>
    <t>12 PCS</t>
  </si>
  <si>
    <t>JUG035/23</t>
  </si>
  <si>
    <t>COMBI</t>
  </si>
  <si>
    <t>0712</t>
  </si>
  <si>
    <t>DOC RIT INFINITY</t>
  </si>
  <si>
    <t>DOC RIT PRESTIGE</t>
  </si>
  <si>
    <t>DOC RIT CONCEPTION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</si>
  <si>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</si>
  <si>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</si>
  <si>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</si>
  <si>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</si>
  <si>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</si>
  <si>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</si>
  <si>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</si>
  <si>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</si>
  <si>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</si>
  <si>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</si>
  <si>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</si>
  <si>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</si>
  <si>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SA230711161</t>
  </si>
  <si>
    <t>OIL PASTEL OP 72 S PP CASE SEA WORLD JK</t>
  </si>
  <si>
    <t>OIL PASTEL OP 12 CHC COMPACT JK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</si>
  <si>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</si>
  <si>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</si>
  <si>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</si>
  <si>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</si>
  <si>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</si>
  <si>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</si>
  <si>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</si>
  <si>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</si>
  <si>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</si>
  <si>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</si>
  <si>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</si>
  <si>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</si>
  <si>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</si>
  <si>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</si>
  <si>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</si>
  <si>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</si>
  <si>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</si>
  <si>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</si>
  <si>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</si>
  <si>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</si>
  <si>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</si>
  <si>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</si>
  <si>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</si>
  <si>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SA 42789</t>
  </si>
  <si>
    <t>24 PCS</t>
  </si>
  <si>
    <t>80 PCS</t>
  </si>
  <si>
    <t>20 GRS</t>
  </si>
  <si>
    <t>10 GRS</t>
  </si>
  <si>
    <t>SA 42791</t>
  </si>
  <si>
    <t>SA 42803</t>
  </si>
  <si>
    <t>5 GRS</t>
  </si>
  <si>
    <t>SA230711160</t>
  </si>
  <si>
    <t>PENCIL P 91 2B JK</t>
  </si>
  <si>
    <t>GRS</t>
  </si>
  <si>
    <t>30 GRS</t>
  </si>
  <si>
    <t>LABEL LB P2LN 2 BARIS JK</t>
  </si>
  <si>
    <t>ROL</t>
  </si>
  <si>
    <t>COLOR PENCIL CP S24 JK</t>
  </si>
  <si>
    <t>BALLPEN BP 336 MY PASTEL (BLACK) JK</t>
  </si>
  <si>
    <t>GEL PEN GP 266 ITECH 2 BLACK JK</t>
  </si>
  <si>
    <t>PENCIL CASE PC 0719TV-33A/F TRAVEL JK</t>
  </si>
  <si>
    <t>288 PCS</t>
  </si>
  <si>
    <t>PENCIL P 88 2B JK</t>
  </si>
  <si>
    <t>GEL PEN GP 243 WHIZ GEL (BLACK) JK</t>
  </si>
  <si>
    <t>SA230711255</t>
  </si>
  <si>
    <t>COLOR PENCIL CP 12 PB JK</t>
  </si>
  <si>
    <t>ERASER 526 B40 P JK</t>
  </si>
  <si>
    <t>BOX</t>
  </si>
  <si>
    <t>ERASER 526 B20 JK</t>
  </si>
  <si>
    <t>ERASER ER 30 W JK</t>
  </si>
  <si>
    <t>ERASER EB 30 JK</t>
  </si>
  <si>
    <t>SA230711292</t>
  </si>
  <si>
    <t>PENCIL CASE PC 0719GZ-34A/F GOZZY JK</t>
  </si>
  <si>
    <t>PENCIL CASE PC 0719AC-36A/F ANIMAL CALENDER JK</t>
  </si>
  <si>
    <t>23070383</t>
  </si>
  <si>
    <t>KENKO BINDER CLIP NO..280 6 PCS/BOX</t>
  </si>
  <si>
    <t>KENKO BINDER CLIP NO..300 (6 PCS/BOX)</t>
  </si>
  <si>
    <t>KENKO BINDER CLIP NO.105</t>
  </si>
  <si>
    <t>KENKO BINDER CLIP NO.107</t>
  </si>
  <si>
    <t>KENKO BINDER CLIP NO.111</t>
  </si>
  <si>
    <t>23070366</t>
  </si>
  <si>
    <t>KENKO LIQUID GLUE LG 50 50ML</t>
  </si>
  <si>
    <t>KENKO GEL PEN K-1 BLACK</t>
  </si>
  <si>
    <t>KENKO GEL PEN HI TECH H 028MM BLACK</t>
  </si>
  <si>
    <t>KENKO GEL PEN HI TECH H 028MM BLUE</t>
  </si>
  <si>
    <t xml:space="preserve">KENKO GEL PEN KE 100 BLACK </t>
  </si>
  <si>
    <t>KENKO TRIGONAL CLIP NO.3</t>
  </si>
  <si>
    <t>KENKO JUMBO CLIP NO.5</t>
  </si>
  <si>
    <t>KENKO PUNCH NO.30</t>
  </si>
  <si>
    <t>KENKO GEL PEN KE 303 T GEL TRIANGULAR BLUE</t>
  </si>
  <si>
    <t>SA 42834</t>
  </si>
  <si>
    <t>SA 42814</t>
  </si>
  <si>
    <t>G-1705 INVSOS</t>
  </si>
  <si>
    <t>LESTARI</t>
  </si>
  <si>
    <t>448253</t>
  </si>
  <si>
    <t>PIANIKA BLUE LOVELY K-2799-B</t>
  </si>
  <si>
    <t>10 SET</t>
  </si>
  <si>
    <t>90 C =&gt; 23 C</t>
  </si>
  <si>
    <t>0715</t>
  </si>
  <si>
    <t>DOC RIT BOX BATIK</t>
  </si>
  <si>
    <t>HN072023096</t>
  </si>
  <si>
    <t>MALAM SHINTOENG K 6-12W</t>
  </si>
  <si>
    <t>480 PCS</t>
  </si>
  <si>
    <t>SI.2023.07.00193</t>
  </si>
  <si>
    <t>PENCIL CASE KALENG WB + IS CC-1008</t>
  </si>
  <si>
    <t>72 PCS</t>
  </si>
  <si>
    <t>VG0229B1M</t>
  </si>
  <si>
    <t>VG0230B1M</t>
  </si>
  <si>
    <t>384 PCS</t>
  </si>
  <si>
    <t>BNL TALI AA0321-12/A7-80/GLOWING</t>
  </si>
  <si>
    <t>BNL TALI AA0321-13/A7-80/BALLOON</t>
  </si>
  <si>
    <t>BNL TALI AA0321-18/A7-80/LUCU</t>
  </si>
  <si>
    <t>BNL TALI AA0321-06/A6-80/BEAR</t>
  </si>
  <si>
    <t>BNL TALI AA0321-09/A6-80/UNIVERSE</t>
  </si>
  <si>
    <t>BNL TALI AA0321-10/A6-80/SR</t>
  </si>
  <si>
    <t>BNL TALI AA0321-11/A7-80/FRUIT</t>
  </si>
  <si>
    <t>BNL TALI AA0321-20/A7-80/SR</t>
  </si>
  <si>
    <t>23070535</t>
  </si>
  <si>
    <t>KENKO HANDY TAPE DISPENSER TDB-2 BESI</t>
  </si>
  <si>
    <t>KENKO CORRECTION FLUID KE 107 M</t>
  </si>
  <si>
    <t>KENKO STAPLER HD 10 D PASTEL COLOR</t>
  </si>
  <si>
    <t>KENKO STAPLER HD 50 PASTEL COLOR</t>
  </si>
  <si>
    <t>KENKO CORRECTION TAPE CT 902 CL 12M X 5MM</t>
  </si>
  <si>
    <t>23070709</t>
  </si>
  <si>
    <t>KENKO CUTTER BLADE A 100 9MM</t>
  </si>
  <si>
    <t>KENKO CUTTER BLADE L 150 18MM</t>
  </si>
  <si>
    <t>SA230711590</t>
  </si>
  <si>
    <t>ERASER 526 B40BL JK</t>
  </si>
  <si>
    <t>ERASER ER30W JK</t>
  </si>
  <si>
    <t>ERASER 526 B-20JK</t>
  </si>
  <si>
    <t>ERASER ER B20 BL JK</t>
  </si>
  <si>
    <t>SA230711611</t>
  </si>
  <si>
    <t>CRAYON PUTAR TWCR 12 S JK</t>
  </si>
  <si>
    <t>CRAYON PUTAR TWCR 12 MINI JK</t>
  </si>
  <si>
    <t>ERASER 526 B 20 JK</t>
  </si>
  <si>
    <t>GLUE GL R 50 JK</t>
  </si>
  <si>
    <t>MATH SET MS 402 JK</t>
  </si>
  <si>
    <t>OIL PASTEL OP12 S PP CASE SEA WORLD JK</t>
  </si>
  <si>
    <t>SA230711537</t>
  </si>
  <si>
    <t>SA230711402</t>
  </si>
  <si>
    <t>PENCIL CASE PC 0719TV 33A/F TRAVEL JK</t>
  </si>
  <si>
    <t>PUNCH NO 85 JK</t>
  </si>
  <si>
    <t>PELNA LAPTOP TABLE</t>
  </si>
  <si>
    <t>BONUS</t>
  </si>
  <si>
    <t>23070809</t>
  </si>
  <si>
    <t>KENKO STAPLER HD-10S MINI</t>
  </si>
  <si>
    <t>KENKO STAPLES NO.1210 23/10</t>
  </si>
  <si>
    <t>KENKO CUTTER BLADE A100 9MM</t>
  </si>
  <si>
    <t>KENKO PENCIL CASE PC-0719-UR</t>
  </si>
  <si>
    <t>KENKO CORRECTION FLUID KE 108</t>
  </si>
  <si>
    <t>KENKO TAPE DISPENSER TD-323 1" &amp; 3" CORE</t>
  </si>
  <si>
    <t>SA 42927</t>
  </si>
  <si>
    <t>SA 42908</t>
  </si>
  <si>
    <t>23070865</t>
  </si>
  <si>
    <t>KENKO STAPLER HD-50</t>
  </si>
  <si>
    <t>KENKO POCKET NOTE PN 404</t>
  </si>
  <si>
    <t>KENKO MECHANICAL PENCIL MP 01 0.5MM</t>
  </si>
  <si>
    <t>SA 42939</t>
  </si>
  <si>
    <t>SA 42959</t>
  </si>
  <si>
    <t>JL-55372</t>
  </si>
  <si>
    <t>P/C MAG AC-1762 (22*7.5)</t>
  </si>
  <si>
    <t>144 PCS</t>
  </si>
  <si>
    <t>P/C MAG FC-1757 (22*7.5)</t>
  </si>
  <si>
    <t>P/C MAG FX-2210 (22*10) METALIK LEBAR</t>
  </si>
  <si>
    <t>HM/194/07-23H</t>
  </si>
  <si>
    <t>BALLPEN TF 1190 HTM 0.3MM HIGHTECH</t>
  </si>
  <si>
    <t>HM/199/07-23H</t>
  </si>
  <si>
    <t>KZ5.23</t>
  </si>
  <si>
    <t>BALLPEN BP 349 12 VOKUS TRANS BLACK JK BONUS</t>
  </si>
  <si>
    <t>TAPE CUTTER TD-102 JK</t>
  </si>
  <si>
    <t>F23G000331</t>
  </si>
  <si>
    <t>STICKER NAMA FANCY HOLO</t>
  </si>
  <si>
    <t>2520 PCS</t>
  </si>
  <si>
    <t>3780 PCS</t>
  </si>
  <si>
    <t>23071030</t>
  </si>
  <si>
    <t>KENKO MECHANICAL PENCIL MP-07 0.5MM</t>
  </si>
  <si>
    <t>KENKO GLUPEN GLP-01</t>
  </si>
  <si>
    <t>23071173</t>
  </si>
  <si>
    <t>KENKO GEL PEN KE-16 DOT N DOT BLACK</t>
  </si>
  <si>
    <t>KENKO CORRECTION FLUID KE-107M</t>
  </si>
  <si>
    <t>23071162</t>
  </si>
  <si>
    <t>KENKO BALLPEN BP 39 N BLACK</t>
  </si>
  <si>
    <t>KENKO GLUE STICK 8 GR SMALL</t>
  </si>
  <si>
    <t>KENKO GLUE STICK 15 GR MEDIUM</t>
  </si>
  <si>
    <t>SA230711837</t>
  </si>
  <si>
    <t>CRAYON PUTAR TWCR 12S JK</t>
  </si>
  <si>
    <t>ADHESIVE HOOK ADHK-3010 JK</t>
  </si>
  <si>
    <t>CAD</t>
  </si>
  <si>
    <t>ADHESIVE HOOK ADHK-3020 JK</t>
  </si>
  <si>
    <t>STAMP PAD NO.0 JK</t>
  </si>
  <si>
    <t>BALLPEN BP-342 VOKUS PTL BLACK JK</t>
  </si>
  <si>
    <t>SA230711970</t>
  </si>
  <si>
    <t>TRIGONAL CLIP NO.1 JK</t>
  </si>
  <si>
    <t>HIGHLIGHTER HL -1 YELLOW JK</t>
  </si>
  <si>
    <t>COLOR PENCIL CP S 12 JK</t>
  </si>
  <si>
    <t>HIGHLIGHTER HL -2 GREEN JK</t>
  </si>
  <si>
    <t>HIGHLIGHTER HL -4PINK JK</t>
  </si>
  <si>
    <t>HIGHLIGHTER HL -5 ORANGE JK</t>
  </si>
  <si>
    <t>SA230711914</t>
  </si>
  <si>
    <t>ERASER ER-B20BL JK</t>
  </si>
  <si>
    <t>SA230711838</t>
  </si>
  <si>
    <t>ERASER 526 B40 BL  JK</t>
  </si>
  <si>
    <t>ERASER 526 B40P JK</t>
  </si>
  <si>
    <t>LOOSE LEAF A5-7020 100S JK</t>
  </si>
  <si>
    <t>CRAYON PUTARTWCR 12 S JK</t>
  </si>
  <si>
    <t>SA230711938</t>
  </si>
  <si>
    <t>SA230711734</t>
  </si>
  <si>
    <t>SA230711735</t>
  </si>
  <si>
    <t>CORRECTION FLUID CF-S209 JK</t>
  </si>
  <si>
    <t>CORRECTION FLUID CF-S210 JK</t>
  </si>
  <si>
    <t>SA230711783</t>
  </si>
  <si>
    <t>GLUE STICK GS 102 15 GRAM JK</t>
  </si>
  <si>
    <t>SA230711666</t>
  </si>
  <si>
    <t>GLUE GL R35 JK</t>
  </si>
  <si>
    <t>GLUE STICK GS-102 15 GRAM JK</t>
  </si>
  <si>
    <t>COLOR PENCIL CP 36 PB JK</t>
  </si>
  <si>
    <t>0195/HW/VII/23</t>
  </si>
  <si>
    <t>ALPINDO</t>
  </si>
  <si>
    <t>SYN03</t>
  </si>
  <si>
    <t>300 PAK</t>
  </si>
  <si>
    <t>BNL TALI AA0321-19/A7-80/UNIVERSE</t>
  </si>
  <si>
    <t>BALLPEN GEL TF 3115 0.3MM HIGHTECH KNOCK</t>
  </si>
  <si>
    <t>N. TAG D/MRH 301</t>
  </si>
  <si>
    <t>QTY/ CTN_H</t>
  </si>
  <si>
    <t>Column3</t>
  </si>
  <si>
    <t>//DB2</t>
  </si>
  <si>
    <t>NB NOTA_C_QTY</t>
  </si>
  <si>
    <t>SAMPUL OPP ALEXANDER BOXY</t>
  </si>
  <si>
    <t>72 BOX (6 PCS)</t>
  </si>
  <si>
    <t>48 BOX (6 PCS)</t>
  </si>
  <si>
    <t>ID BARANG</t>
  </si>
  <si>
    <t>50 LSN</t>
  </si>
  <si>
    <t>20 LSN</t>
  </si>
  <si>
    <t>7 LSN</t>
  </si>
  <si>
    <t>8 LSN</t>
  </si>
  <si>
    <t>GEL PEN ZUI ZHUA HY-1020 HITAM</t>
  </si>
  <si>
    <t>BT BATIK</t>
  </si>
  <si>
    <t>MEK. PENSIL 2.0 TIZO TM030A-1</t>
  </si>
  <si>
    <t>GEL TIZO RETRC 0.5 TG670</t>
  </si>
  <si>
    <t>DOC RIT STATEMENT</t>
  </si>
  <si>
    <t>DOC RIT ELEGANCE</t>
  </si>
  <si>
    <t>BUKU MEWARNAI JUMBO FANCY ANGKA &amp; HURUF</t>
  </si>
  <si>
    <t>K48.23</t>
  </si>
  <si>
    <t>ENTER C/BOARD KAYU</t>
  </si>
  <si>
    <t>23071355</t>
  </si>
  <si>
    <t>23071464</t>
  </si>
  <si>
    <t>KENKO PAPER FASTENER PF-508 MIX COLOR</t>
  </si>
  <si>
    <t>KENKO CUTTER K-200 (9MM BLADE)</t>
  </si>
  <si>
    <t>KENKO SCISSOR SC-848 N</t>
  </si>
  <si>
    <t>KENKO LIQUID GLUE LG-35 (35ML)</t>
  </si>
  <si>
    <t>KENKO CORRECTION TAPE CT-919 (12M X 5MM)</t>
  </si>
  <si>
    <t>KENKO CORRECTION TAPE CT-819 (8M X 5MM)</t>
  </si>
  <si>
    <t>HM/304/07-23H</t>
  </si>
  <si>
    <t>GARISAN BESI 30 CM TF</t>
  </si>
  <si>
    <t>GARISAN BESI 40 CM TF</t>
  </si>
  <si>
    <t>25 LSN</t>
  </si>
  <si>
    <t>GARISAB BESI 50 CM TF</t>
  </si>
  <si>
    <t>GARISAN BESI 60 CM TF</t>
  </si>
  <si>
    <t>HM/203/07-23H</t>
  </si>
  <si>
    <t>BALLPEN GEL TF-3115 0.3MM HIGHTECH KNOCK</t>
  </si>
  <si>
    <t>L36.23</t>
  </si>
  <si>
    <t>12 LSN</t>
  </si>
  <si>
    <t>HN072023265</t>
  </si>
  <si>
    <t>MALAM SHINTOENG B 6-12W</t>
  </si>
  <si>
    <t>150 PCS</t>
  </si>
  <si>
    <t>MALAM SHINTOENG B 1W POLOS</t>
  </si>
  <si>
    <t>MALAM SHINTOENG TG 1W POLOS</t>
  </si>
  <si>
    <t>23071248</t>
  </si>
  <si>
    <t>KENKO STAPLER HD-10D</t>
  </si>
  <si>
    <t>KENKO LIQUID GLUE LG-35 35ML</t>
  </si>
  <si>
    <t>REVISI HARGA</t>
  </si>
  <si>
    <t>JUG282/23</t>
  </si>
  <si>
    <t>GUNINDO</t>
  </si>
  <si>
    <t>2301477</t>
  </si>
  <si>
    <t xml:space="preserve">OLL GUNINDO </t>
  </si>
  <si>
    <t>2301463</t>
  </si>
  <si>
    <t>CUTTER SC9C TRANS</t>
  </si>
  <si>
    <t xml:space="preserve">CUTTER A 18 TRANS </t>
  </si>
  <si>
    <t>GUNINDO SPL COKLAT</t>
  </si>
  <si>
    <t>SINV99-230700000259</t>
  </si>
  <si>
    <t>SDI STAPLER 1123</t>
  </si>
  <si>
    <t>SDI P.MARKER P500-VP BIRU</t>
  </si>
  <si>
    <t>1 PAK ISI 12 SET</t>
  </si>
  <si>
    <t>SINV99-230700000258</t>
  </si>
  <si>
    <t>JUG353/23</t>
  </si>
  <si>
    <t>GEL INK TIANJIAO TZ-501</t>
  </si>
  <si>
    <t>144 LSN</t>
  </si>
  <si>
    <t>BINTANG SAUDARA</t>
  </si>
  <si>
    <t>SO2023070081090</t>
  </si>
  <si>
    <t>ACRYLIC SISIPAN KERTAS A4 T (30X21 CM)</t>
  </si>
  <si>
    <t>ACRYLIC SISIPAN KERTAS A5 T (15X 21 CM)</t>
  </si>
  <si>
    <t>AGENDA 123 POLOS HIJAU</t>
  </si>
  <si>
    <t>AGENDA PRO DELUXE BSR PC-122 WK</t>
  </si>
  <si>
    <t>BUKU MEWARNAI BTS/ MIX 2201</t>
  </si>
  <si>
    <t>CLIP BOARD TRANS FOLIO FANCY TR-2335</t>
  </si>
  <si>
    <t>800 PCS</t>
  </si>
  <si>
    <t>NOTE BOOK EXCLUSIVE 0801</t>
  </si>
  <si>
    <t>PAPER BAG COKLAT TG TEBAL</t>
  </si>
  <si>
    <t>SKETCH BOOK A43557</t>
  </si>
  <si>
    <t>SO2023070081091</t>
  </si>
  <si>
    <t>AGENDA PRO DELUXE KCL PC-121 WK</t>
  </si>
  <si>
    <t>NOTES 156-80 / ADD TELP</t>
  </si>
  <si>
    <t>SHOPPING BAG BRANDED KECIL</t>
  </si>
  <si>
    <t>L207031</t>
  </si>
  <si>
    <t>ISI GW NO.10</t>
  </si>
  <si>
    <t>100 PAK</t>
  </si>
  <si>
    <t>PL 8 GUNINDO</t>
  </si>
  <si>
    <t>40 PCS</t>
  </si>
  <si>
    <t>60 PCS</t>
  </si>
  <si>
    <t>96 PCS</t>
  </si>
  <si>
    <t>40 LSN</t>
  </si>
  <si>
    <t>SO2023070081128</t>
  </si>
  <si>
    <t>SHOPPING BAG SB-116 SDG BRANDED</t>
  </si>
  <si>
    <t>SO2023070081212</t>
  </si>
  <si>
    <t>BINDER NOTE B5 ABSTRAK</t>
  </si>
  <si>
    <t>PUTRA SURYA MANDIRI</t>
  </si>
  <si>
    <t>PSM-R2307000039</t>
  </si>
  <si>
    <t>20 PAK</t>
  </si>
  <si>
    <t>JUG430/23</t>
  </si>
  <si>
    <t>PENSIL KAYAGI 2B COKLAT KY-OF122B-2</t>
  </si>
  <si>
    <t>360 LSN</t>
  </si>
  <si>
    <t>PENSIL 2B FANCY KY-PF3051</t>
  </si>
  <si>
    <t>PENSIL 2B FANCY KY-PF3065</t>
  </si>
  <si>
    <t>PENSIL 2B KAYAGI FANCY KY-PF3063</t>
  </si>
  <si>
    <t>PENSIL 2B KAYAGI KY-PF3060</t>
  </si>
  <si>
    <t>PENSIL KAYAGI SKIN KY-PF2025</t>
  </si>
  <si>
    <t>JUG432/23</t>
  </si>
  <si>
    <t>GEL ZHIXIN + REFILL G-3109</t>
  </si>
  <si>
    <t>GEL ZHIXIN + REFILL G-3116</t>
  </si>
  <si>
    <t>GEL ZHIXIN + REFILL G-3118</t>
  </si>
  <si>
    <t>GEL ZHIXIN + REFILL G-3119</t>
  </si>
  <si>
    <t>GEL ZHIXIN + REFILL G-3120</t>
  </si>
  <si>
    <t>GEL ZHIXIN + REFILL G-3128</t>
  </si>
  <si>
    <t>GEL ZHIXIN + REFILL G-3129</t>
  </si>
  <si>
    <t>GEL ZHIXIN + REFILL G-3153</t>
  </si>
  <si>
    <t>GEL ZHIXIN + REFILL G-3138</t>
  </si>
  <si>
    <t>GEL ZHIXIN + REFILL G-5008</t>
  </si>
  <si>
    <t>GEL ZHIXIN + REFILL G-5013</t>
  </si>
  <si>
    <t>GEL ZHIXIN + REFILL G-5016</t>
  </si>
  <si>
    <t>GEL ZHIXIN + REFILL G-5034 L</t>
  </si>
  <si>
    <t>JUG431/23</t>
  </si>
  <si>
    <t>GEL TIZO FANCY TG31810-E</t>
  </si>
  <si>
    <t>GEL TIZO FANCY TG31780-E</t>
  </si>
  <si>
    <t>GEL TIZO FANCY TG31975-E</t>
  </si>
  <si>
    <t>GEL TIZO FANCY TG31831-E</t>
  </si>
  <si>
    <t>GEL TIZO FANCY TG31830-E</t>
  </si>
  <si>
    <t>GEL TIZO FANCY TG31037-E</t>
  </si>
  <si>
    <t>GEL TIZO FANCY TG30734-E</t>
  </si>
  <si>
    <t>GEL TIZO FANCY TG30600-E</t>
  </si>
  <si>
    <t>GEL TIZO FANCY TG30541-E</t>
  </si>
  <si>
    <t>GEL TIZO FANCY TG31035-E</t>
  </si>
  <si>
    <t>GEL TIZO FANCY TG31762-E</t>
  </si>
  <si>
    <t>GEL TIZO FANCY TG31763-E</t>
  </si>
  <si>
    <t>GEL TIZO FANCY TG31590-E</t>
  </si>
  <si>
    <t>GEL TIZO FANCY TG30802-E</t>
  </si>
  <si>
    <t>GEL TIZO FANCY TG30900-E</t>
  </si>
  <si>
    <t>KAWAN SETIA</t>
  </si>
  <si>
    <t>MEJA KARAKTER</t>
  </si>
  <si>
    <t>BARANG DATANG = &gt; 44 C DARI 50 C</t>
  </si>
  <si>
    <t>2301535</t>
  </si>
  <si>
    <t>GUNINDO SPM COKLAT</t>
  </si>
  <si>
    <t>WIN'S SENTOSA</t>
  </si>
  <si>
    <t>SI-2023/07-0146/LGS</t>
  </si>
  <si>
    <t>TAS KARUNG 55*65*25</t>
  </si>
  <si>
    <t>TAS KARUNG 45*50</t>
  </si>
  <si>
    <t>SAMPUL SAMSON  BOXY BATIK</t>
  </si>
  <si>
    <t>SA230712047</t>
  </si>
  <si>
    <t>PENCIL P-88 2B JK</t>
  </si>
  <si>
    <t>B</t>
  </si>
  <si>
    <t>CORRECTION TAPE CT-522 PTL JK</t>
  </si>
  <si>
    <t>TAPE CUTTER TD-103 JK</t>
  </si>
  <si>
    <t>CORRECTION FLUID CF S 209 JK</t>
  </si>
  <si>
    <t>36 LSN</t>
  </si>
  <si>
    <t>CORRECTION FLUID CF-S205PT JK</t>
  </si>
  <si>
    <t>ERASER 526-B40BL JK</t>
  </si>
  <si>
    <t>50 BOX (40 PCS)</t>
  </si>
  <si>
    <t>ERASER 526-B40P JK</t>
  </si>
  <si>
    <t>SA230712048</t>
  </si>
  <si>
    <t>CORRECTION TAPE CT-533 JK</t>
  </si>
  <si>
    <t>PENCIL P 93 2B JK</t>
  </si>
  <si>
    <t>GEL PEN GP 212 I-DIAMOND BLACK JK</t>
  </si>
  <si>
    <t>BALLPEN BP 273 ZETO BLACK JK</t>
  </si>
  <si>
    <t>BALLPEN BP 248 SUMA BLACK JK</t>
  </si>
  <si>
    <t>PENSTAND BLACK PSGP-147 BLACK JK</t>
  </si>
  <si>
    <t>TAPE CUTTER TD-09N JK</t>
  </si>
  <si>
    <t>TAPE CUTTER TD-2H JK</t>
  </si>
  <si>
    <t>CUTTER CU-10BC JK</t>
  </si>
  <si>
    <t>CORRECTION TAPE CT-520 JK</t>
  </si>
  <si>
    <t>360 PCS</t>
  </si>
  <si>
    <t>SA230712049</t>
  </si>
  <si>
    <t>36 BOX (24 PCS)</t>
  </si>
  <si>
    <t>GLUE STICK GS-100 (8 GRAM) JK</t>
  </si>
  <si>
    <t>CUTTER BLADE L-150M (MH) JK</t>
  </si>
  <si>
    <t>STAMP PAD NO.00 JK</t>
  </si>
  <si>
    <t>24 PAK (24 PCS)</t>
  </si>
  <si>
    <t>GLUE STICK GS-104 ANIMAL KINGDOM JK</t>
  </si>
  <si>
    <t>SA230712050</t>
  </si>
  <si>
    <t>12 BOX(24 PCS)</t>
  </si>
  <si>
    <t>HIGHLIGHTER HL-1 (YELLOW) JK</t>
  </si>
  <si>
    <t>72 BOX (10 PCS)</t>
  </si>
  <si>
    <t>73 BOX (10 PCS)</t>
  </si>
  <si>
    <t>74 BOX (10 PCS)</t>
  </si>
  <si>
    <t>HIGHLIGHTER HL-5 (ORANGE) JK</t>
  </si>
  <si>
    <t>HIGHLIGHTER HL-14 (GREY) JK</t>
  </si>
  <si>
    <t>PENCIL CASE PC-0618PL-11 BLUE JK</t>
  </si>
  <si>
    <t>PENCIL CASE PC-0618PL-11 GREEN JK</t>
  </si>
  <si>
    <t>PENCIL CASE PC-0618PL-11 RED JK</t>
  </si>
  <si>
    <t>PENCIL CASE PC-0618PL-11 YELLOW JK</t>
  </si>
  <si>
    <t>SA230712212</t>
  </si>
  <si>
    <t>6 BOX (6 SET)</t>
  </si>
  <si>
    <t>OIL PASTEL OP-12CR ROUND JK</t>
  </si>
  <si>
    <t>6 BOX (24 SET)</t>
  </si>
  <si>
    <t>STAPLER HD-10CL JK</t>
  </si>
  <si>
    <t>STAPLER HD-10M JK</t>
  </si>
  <si>
    <t>SHARPENER A-63 (ROBOT) JK</t>
  </si>
  <si>
    <t>BALLPEN BP-338 VOCUS (BLACK) JK</t>
  </si>
  <si>
    <t>MATH SET MS-25 JK</t>
  </si>
  <si>
    <t>OIL PASTELOP-36S PP CASE SEA WORLD JK</t>
  </si>
  <si>
    <t>SA230712175</t>
  </si>
  <si>
    <t>SHARPENER B-24 JK</t>
  </si>
  <si>
    <t>SHARPENER B-24PTL JK</t>
  </si>
  <si>
    <t>BALON CACING 1022  + POMPA CPK 2225</t>
  </si>
  <si>
    <t>23071686</t>
  </si>
  <si>
    <t>KENKO BINDER CLIP NO 200</t>
  </si>
  <si>
    <t>KENKO PRICE LABELLER MX 5500 EOS 8 DIGITS 1 LINE</t>
  </si>
  <si>
    <t>KENKO CORRECTION FLUID CB-01</t>
  </si>
  <si>
    <t>KENKO CORRECTION FLUID GP-01</t>
  </si>
  <si>
    <t>KENKO CORRECTION FLUID KR-01</t>
  </si>
  <si>
    <t>KENKO CORRECTION FLUID UR-01</t>
  </si>
  <si>
    <t>23071701</t>
  </si>
  <si>
    <t>KENKO GEL PEN HI-TECH H 0.28MM BLACK</t>
  </si>
  <si>
    <t>KENKO GEL PEN HI TECH H 0.28MM BLUE</t>
  </si>
  <si>
    <t>KENKO GEL PEN K1 BLACK</t>
  </si>
  <si>
    <t>KENKO GEL PEN KE 303 T GEL TRIANGULAR BLACK</t>
  </si>
  <si>
    <t>KENKO CORRECTION FLUID KE 301</t>
  </si>
  <si>
    <t>2301580</t>
  </si>
  <si>
    <t>OMM GUNINDO</t>
  </si>
  <si>
    <t>GUNINDO FM COKLAT</t>
  </si>
  <si>
    <t>GUNINDO FL COKLAT</t>
  </si>
  <si>
    <t>HM/205/07-23H</t>
  </si>
  <si>
    <t>STICK NOTE TF 654-8C/200LBR</t>
  </si>
  <si>
    <t>300 PCS</t>
  </si>
  <si>
    <t>108 PCS</t>
  </si>
  <si>
    <t>005604</t>
  </si>
  <si>
    <t>KARTU STOCK KWARTO</t>
  </si>
  <si>
    <t>KARTU STOCK FOLIO</t>
  </si>
  <si>
    <t>10 PAK</t>
  </si>
  <si>
    <t>BELUM PPN 11%</t>
  </si>
  <si>
    <t>HN072023330</t>
  </si>
  <si>
    <t>LILIN ANGKA SHINTOENG</t>
  </si>
  <si>
    <t>NO.1/2</t>
  </si>
  <si>
    <t>NO.0/3/5/6</t>
  </si>
  <si>
    <t>DATANG 44 C DARI 50 C</t>
  </si>
  <si>
    <t>2301594</t>
  </si>
  <si>
    <t>OSS GUNINDO</t>
  </si>
  <si>
    <t>JEFFRY</t>
  </si>
  <si>
    <t>KARET PENTIL RODA MAS</t>
  </si>
  <si>
    <t>500 BOX</t>
  </si>
  <si>
    <t>SO2023070081266</t>
  </si>
  <si>
    <t>PAPER BAG COKLAT BESAR TEBAL</t>
  </si>
  <si>
    <t>SKETCH BOOK A5-3555</t>
  </si>
  <si>
    <t>KENKO MECHANICAL PENCIL MP-070 0.5MM</t>
  </si>
  <si>
    <t>TAS CABIN ELPIDA (BONUS)</t>
  </si>
  <si>
    <t>WB ERASER 803</t>
  </si>
  <si>
    <t>STICK NOTE TF-0245-8C/400LBR</t>
  </si>
  <si>
    <t>SA230712769</t>
  </si>
  <si>
    <t>CORRECTION TAPE CT 522 JK</t>
  </si>
  <si>
    <t>PAPER CLIP JUMBO NO.5 JK</t>
  </si>
  <si>
    <t>BALLPEN BP 338 VOCUS BLACK JK</t>
  </si>
  <si>
    <t>TRIGONAL CLIP NO.3 JK</t>
  </si>
  <si>
    <t>SA230712770</t>
  </si>
  <si>
    <t>LABEL LB 2 RL 1 BARIS JK</t>
  </si>
  <si>
    <t>SHARPENER B 23 JK</t>
  </si>
  <si>
    <t>SHARPENER B 24 JK</t>
  </si>
  <si>
    <t>SHARPENER B 24 PTL JK</t>
  </si>
  <si>
    <t>SA230712848</t>
  </si>
  <si>
    <t>STAPLER HD 10 JK</t>
  </si>
  <si>
    <t>PENCIL LEAD PL 11 2.0 JK</t>
  </si>
  <si>
    <t>PENCIL LEAD PL 16 2.0 JK</t>
  </si>
  <si>
    <t>PENCIL LEAD PL 05 (2B) JK</t>
  </si>
  <si>
    <t>SA230712676</t>
  </si>
  <si>
    <t>SA230712604</t>
  </si>
  <si>
    <t>COLOR PENCIL CP 24 PB JK</t>
  </si>
  <si>
    <t>CORRECTION FLUID CF-P231 JK</t>
  </si>
  <si>
    <t>CUTTER L 500 JK</t>
  </si>
  <si>
    <t>PENCIL LEAD PL 10 2.0 2B JK</t>
  </si>
  <si>
    <t>SA230712527</t>
  </si>
  <si>
    <t>23071827</t>
  </si>
  <si>
    <t>KENKO PRICE LABELLER MX 5500 8 DIGITS 1 LINE</t>
  </si>
  <si>
    <t>KENKO GEL PEN KE-303 T GEL TRIANGULAR BLACK</t>
  </si>
  <si>
    <t>KENKO STAPLER HD-10</t>
  </si>
  <si>
    <t>KENKO PENCIL LEAD PL 05 2B 0.5MM HI POLYMER</t>
  </si>
  <si>
    <t>KENKO GEL PEN EASY GEL BLACK</t>
  </si>
  <si>
    <t>KENKO PRICE LABEL 6001-2R 1 LINE @10ROL</t>
  </si>
  <si>
    <t>KENKO PRICE LABEL 5002 2 LINE @10ROL</t>
  </si>
  <si>
    <t>KENKO PENCIL CASE PC-0719 UR</t>
  </si>
  <si>
    <t>23071987</t>
  </si>
  <si>
    <t>KENKO ERASER ERW 20 SQ WHITE</t>
  </si>
  <si>
    <t>KENKO COLOR PENCIL CP 12 HALF CLASSIC</t>
  </si>
  <si>
    <t>KENKO 24 COLOR PENCIL CP 24 F CLASSI C</t>
  </si>
  <si>
    <t>KENKO LAMINATING FILM LF 100-2234 FC @100PCS</t>
  </si>
  <si>
    <t>KENKO HEAVY DUTY STAPLER HD-12N/13</t>
  </si>
  <si>
    <t>KENKO HEAVY DUTY STAPLER HD-12N/24</t>
  </si>
  <si>
    <t>KENKO 12 COLOR PENCIL CP 12 F CLASSIC</t>
  </si>
  <si>
    <t>23072020</t>
  </si>
  <si>
    <t>KENKO PENCIL 2B-3030</t>
  </si>
  <si>
    <t>KENKO PENCIL 2B-3181 HITAM CAP MERAH</t>
  </si>
  <si>
    <t>KENKO PENCIL 2B-6373 METALLIC</t>
  </si>
  <si>
    <t>KENKO PENCIL 2B-6181 BIRU CAP HITAM</t>
  </si>
  <si>
    <t>KENKO PENCIL 2B-6191 HIJAU CAP HITAM</t>
  </si>
  <si>
    <t>KENKO GEL PEN WINJELLER KE 600 BLACK</t>
  </si>
  <si>
    <t>0323/HW/VII/23</t>
  </si>
  <si>
    <t>80 LSN</t>
  </si>
  <si>
    <t>0328/HW/VII/23</t>
  </si>
  <si>
    <t>BT 20 CM</t>
  </si>
  <si>
    <t>100 LSN</t>
  </si>
  <si>
    <t>DUST 25 X 4</t>
  </si>
  <si>
    <t>LX1.23</t>
  </si>
  <si>
    <t>500 ROL</t>
  </si>
  <si>
    <t>0743</t>
  </si>
  <si>
    <t>VG0519B1M</t>
  </si>
  <si>
    <t>PCK B-905/8.5X21/MOBIL/2SSN</t>
  </si>
  <si>
    <t>VG0520B</t>
  </si>
  <si>
    <t>BINDER NOTE GASTA B5-CL1909/COLLEGE</t>
  </si>
  <si>
    <t>BINDER NOTE GASTA B5-CM1909/CAMPUS</t>
  </si>
  <si>
    <t>BINDER NOTE GASTA B5-UN1909/UNIVERSITY</t>
  </si>
  <si>
    <t>BINDER NOTE MICROTOP A5-CM36/CAMPUS</t>
  </si>
  <si>
    <t>BINDER NOTE MICROTOP A5-BT36/BATIK</t>
  </si>
  <si>
    <t>BINDER NOTE MICROTOP A5-UT35/UNIVERSITY</t>
  </si>
  <si>
    <t>VG0521B</t>
  </si>
  <si>
    <t>BINDER NOTE GASTA A5-HP-2005P</t>
  </si>
  <si>
    <t>BINDER NOTE A5-HP-2008P/A5/SR</t>
  </si>
  <si>
    <t>BINDER NOTE GASTA PP A5-HP-2009T</t>
  </si>
  <si>
    <t>BINDER NOTE GASTA A5-P-2001F</t>
  </si>
  <si>
    <t>BINDER NOTE GASTA PP A5-HP-2007F</t>
  </si>
  <si>
    <t>BINDER NOTE GASTA A5-P-2002P</t>
  </si>
  <si>
    <t>BINDER NOTE GASTA A5-P-2002T</t>
  </si>
  <si>
    <t>BINDER NOTE GASTA PP A5-HP-2006T</t>
  </si>
  <si>
    <t>VG0522B</t>
  </si>
  <si>
    <t>BINDER NOTE GASTA B5-HP-2605P</t>
  </si>
  <si>
    <t>48 PCS</t>
  </si>
  <si>
    <t>BINDER NOTE GASTA B5-HP-2606T</t>
  </si>
  <si>
    <t>BINDER NOTE GASTA B5-HP-2607F</t>
  </si>
  <si>
    <t>BINDER NOTE GASTA B5-P-2601F</t>
  </si>
  <si>
    <t>BINDER NOTE GASTA B5-P-2602P</t>
  </si>
  <si>
    <t>VG0588B</t>
  </si>
  <si>
    <t>BINDER NOTE GASTA B5-P-2602T</t>
  </si>
  <si>
    <t>GM TDS SURABAYA</t>
  </si>
  <si>
    <t>E.23013113</t>
  </si>
  <si>
    <t>60 SET</t>
  </si>
  <si>
    <t>BSR 180'/10 CM NEW</t>
  </si>
  <si>
    <t>BALLPEN BP-363 VOCUS TRANS PTL (BLACK) JK</t>
  </si>
  <si>
    <t>BINDER NOTE GASTA SLIP B5-BT65/BATIK</t>
  </si>
  <si>
    <t>BINDER NOTE GASTA A5-P-2002 P</t>
  </si>
  <si>
    <t>V-TEC STAND BOOK ST-065/ 6.5"</t>
  </si>
  <si>
    <t>SI-2023/07-0200/LGS</t>
  </si>
  <si>
    <t>PITA JPN LIST GOLD MIX ONE COLOR</t>
  </si>
  <si>
    <t>PITA JPN LIST GOLD MIX B</t>
  </si>
  <si>
    <t>PITA JPN MOTIF POLOS MIX B</t>
  </si>
  <si>
    <t>PITA JPN MOTIF POLOS MIX</t>
  </si>
  <si>
    <t>0750</t>
  </si>
  <si>
    <t>YUSHINCA</t>
  </si>
  <si>
    <t>26/YS/VII/089</t>
  </si>
  <si>
    <t>MIKA KARTU NAMA 009 A1</t>
  </si>
  <si>
    <t>MIKA KARTU NAMA 009 A2</t>
  </si>
  <si>
    <t>MIKA KARTU NAMA 009 A3</t>
  </si>
  <si>
    <t>MIKA KARTU NAMA 009 B1</t>
  </si>
  <si>
    <t>MIKA KARTU NAMA 009 B2</t>
  </si>
  <si>
    <t>MIKA KARTU NAMA 009 B4</t>
  </si>
  <si>
    <t>MIKA KARTU NAMA 009 B5</t>
  </si>
  <si>
    <t>MIKA KARTU NAMA 009 B3</t>
  </si>
  <si>
    <t>0752</t>
  </si>
  <si>
    <t>DOC BOX BATIK</t>
  </si>
  <si>
    <t>SA230712897</t>
  </si>
  <si>
    <t>COLOR PENCIL CP S 24 JK</t>
  </si>
  <si>
    <t>GLUE STICK GS 104 ANIMAL KINGDOM JK</t>
  </si>
  <si>
    <t>PENCIL P 101 2B ANIMAL KINGDOM 2 JK</t>
  </si>
  <si>
    <t>PENCIL P 90 2B JK</t>
  </si>
  <si>
    <t>BINDER CLIP 105 JK</t>
  </si>
  <si>
    <t>BINDER CLIP 155 JK</t>
  </si>
  <si>
    <t>SA230712989</t>
  </si>
  <si>
    <t>PENCIL CASE PC-0719GZ-34A/F GOZZY JK</t>
  </si>
  <si>
    <t>23072121</t>
  </si>
  <si>
    <t>TITI 12 COLOR OIL PASTEL TI P 12 S</t>
  </si>
  <si>
    <t>TITI 24 COLOR OIL PASTEL TI P 24 S</t>
  </si>
  <si>
    <t>TITI 36 COLOR OIL PASTEL TI P 36 S</t>
  </si>
  <si>
    <t>TITI 48 COLOR OIL PASTEL TI P 48 S</t>
  </si>
  <si>
    <t>TITI 55 COLOR OIL PASTEL TI P 55 S</t>
  </si>
  <si>
    <t>KENKO 12 COLOR PENCIL CP 12 F NON WOOD CLASSIC</t>
  </si>
  <si>
    <t>TITI 18 COLOR OIL PASTEL TI P 18 S</t>
  </si>
  <si>
    <t>23072403</t>
  </si>
  <si>
    <t>KENKO PENCIL 2B 6191 HIJAU CAP HITAM</t>
  </si>
  <si>
    <t>KENKO PENCIL 2B-0810 FLUORESCENT</t>
  </si>
  <si>
    <t>KENKO PENCIL 2B 3030</t>
  </si>
  <si>
    <t>KENKO PENCIL 2B 6181 BIRU CAP HITAM</t>
  </si>
  <si>
    <t>KENKO PENCIL 2B 6371 SILVER CAP BIRU</t>
  </si>
  <si>
    <t>KENKO PENCIL 2B 6393 FLUORESCENT</t>
  </si>
  <si>
    <t>KENKO PENCIL 2B 6120 DOODLE</t>
  </si>
  <si>
    <t>KENKO PENCIL 2B 3181 HITAM CAP MERAH</t>
  </si>
  <si>
    <t>23072393</t>
  </si>
  <si>
    <t>KENKO PENCIL 2B 6373 METALLIC</t>
  </si>
  <si>
    <t>KENKO 24 COLOR PENCIL CP 24 F CLASSIC</t>
  </si>
  <si>
    <t>M17.23</t>
  </si>
  <si>
    <t>ENTER BUSUR NO 4 TBL</t>
  </si>
  <si>
    <t>480 LSN</t>
  </si>
  <si>
    <t>ENTER WB K 823 LUBANG</t>
  </si>
  <si>
    <t>5000 PCS</t>
  </si>
  <si>
    <t>DISKON_H</t>
  </si>
  <si>
    <t>CUTTER BLADE L 150 M MH JK bonus</t>
  </si>
  <si>
    <t>23072522</t>
  </si>
  <si>
    <t>SA230713073</t>
  </si>
  <si>
    <t>12 GRS</t>
  </si>
  <si>
    <t>PENCIL CASE PC 0719 TV 33 A/F TRAVEL JK</t>
  </si>
  <si>
    <t>SA230713095</t>
  </si>
  <si>
    <t>BINDER A5 TSIM M416 IMAGE JK U</t>
  </si>
  <si>
    <t>BINDER A5 TSSR M498 SPIRIT JK U</t>
  </si>
  <si>
    <t>BINDER A5 TSUN M473 UNIVERSITY JK U</t>
  </si>
  <si>
    <t>BINDER A5 TSDS M440 DISCOVERY JK U</t>
  </si>
  <si>
    <t>BINDER A5 TSBS M 376 BASIC JK U</t>
  </si>
  <si>
    <t>BINDER A5 TSFC M 480 FACULTY JK U</t>
  </si>
  <si>
    <t>PENCIL CASE PC 0719GZ 34 A/F GOZZY JK</t>
  </si>
  <si>
    <t>HM/206/07-23H</t>
  </si>
  <si>
    <t>PENCIL TF-195-12 PASTEL 12WR PJ</t>
  </si>
  <si>
    <t>240 SET</t>
  </si>
  <si>
    <t>PENCIL TF-194-24 PASTEL 24WR PJ</t>
  </si>
  <si>
    <t>120 SET</t>
  </si>
  <si>
    <t>PENCIL TF-488+SERUTAN</t>
  </si>
  <si>
    <t>PENCIL TF-588+SERUTAN</t>
  </si>
  <si>
    <t>PENCIL TF-788+SERUTAN</t>
  </si>
  <si>
    <t>PENCIL TF-688+SERUTAN</t>
  </si>
  <si>
    <t>DISKON 3%</t>
  </si>
  <si>
    <t>CV-29 / UTN-018</t>
  </si>
  <si>
    <t>CV-48 / UTN-020</t>
  </si>
  <si>
    <t>CV-39 / UTN-019</t>
  </si>
  <si>
    <t>SA230713224</t>
  </si>
  <si>
    <t>CRAYON PUTAR TWCR-12 MINI JK</t>
  </si>
  <si>
    <t>12 BOX (6 SET)</t>
  </si>
  <si>
    <t>COLOR PENCIL CP 107 JK</t>
  </si>
  <si>
    <t>12 BOX (24 SET)</t>
  </si>
  <si>
    <t>PAPER FASTENER PF-50 (WHITE) JK</t>
  </si>
  <si>
    <t>CUTTER BLADE L 150 M (MH) JK BONUS</t>
  </si>
  <si>
    <t>SA230713282</t>
  </si>
  <si>
    <t>SA230713352</t>
  </si>
  <si>
    <t>187/EPW/VII/23</t>
  </si>
  <si>
    <t>BT R3</t>
  </si>
  <si>
    <t>BT R5</t>
  </si>
  <si>
    <t>0502/HW/VII/23</t>
  </si>
  <si>
    <t>0488/HW/VII/23</t>
  </si>
  <si>
    <t>0760</t>
  </si>
  <si>
    <t>SA230713405</t>
  </si>
  <si>
    <t>BINDER CLIP 105 CD JK</t>
  </si>
  <si>
    <t>DRM</t>
  </si>
  <si>
    <t>48 DRM (60 PCS)</t>
  </si>
  <si>
    <t>BINDER CLIP 107 CD JK</t>
  </si>
  <si>
    <t>96 DRM (40 PCS)</t>
  </si>
  <si>
    <t>OIL PASTEL OP 18S PP CASE SEA WORLD JK</t>
  </si>
  <si>
    <t>6 LSN</t>
  </si>
  <si>
    <t>STAPLER HD-12N/24 JK</t>
  </si>
  <si>
    <t>6 PCS</t>
  </si>
  <si>
    <t>10 LSN</t>
  </si>
  <si>
    <t>PUNCH 30XL JK</t>
  </si>
  <si>
    <t>BINDER CLIP 200 JK</t>
  </si>
  <si>
    <t>BINDER CLIP 260 JK</t>
  </si>
  <si>
    <t>SA230713430</t>
  </si>
  <si>
    <t>4 BOX (6 SET)</t>
  </si>
  <si>
    <t>JAYA MUSIK</t>
  </si>
  <si>
    <t>201/VIII</t>
  </si>
  <si>
    <t>MELODIKA ALTOZ KOPER</t>
  </si>
  <si>
    <t>MELODIKA ALTOZ KOPER PINK</t>
  </si>
  <si>
    <t>MELODIKA MARVEL KOPER</t>
  </si>
  <si>
    <t>MELODIKA MARVEL TAS</t>
  </si>
  <si>
    <t>JUG740/23</t>
  </si>
  <si>
    <t>GEL DEBOZZ 0.7 DB-G07</t>
  </si>
  <si>
    <t>GEL DEBOZZ 0.5 DB-G08</t>
  </si>
  <si>
    <t>GEL DEBOZZ KLIK 09 DB-G09</t>
  </si>
  <si>
    <t>GEL TIZO TG31220</t>
  </si>
  <si>
    <t>GEL TECHJOB EXAMINAT TG313-B</t>
  </si>
  <si>
    <t>GEL TIZO TG31060</t>
  </si>
  <si>
    <t>MEKANIK PENSIL TIZO TM01500</t>
  </si>
  <si>
    <t>MEK PENSIL 2.0 TIZO TM01800-A</t>
  </si>
  <si>
    <t>GEL TIZO RETRC 1.0 TG630</t>
  </si>
  <si>
    <t>72 LSN</t>
  </si>
  <si>
    <t>GEL TIZO SAVEX TG396-D</t>
  </si>
  <si>
    <t>MEKANIK TIZO 2.0 TM030-E</t>
  </si>
  <si>
    <t>RAUTAN KITTY TOPLES R-5842</t>
  </si>
  <si>
    <t>TOP</t>
  </si>
  <si>
    <t xml:space="preserve">24 TOP </t>
  </si>
  <si>
    <t>R.MEJA XLG SX-0036-02L</t>
  </si>
  <si>
    <t>8 PCS</t>
  </si>
  <si>
    <t>JUG739/23</t>
  </si>
  <si>
    <t>HIGHLIGHTER 24 PCS TF616</t>
  </si>
  <si>
    <t>32 PAK (24 PCS)</t>
  </si>
  <si>
    <t>GUNTING BENANG KX-GB007</t>
  </si>
  <si>
    <t>GEL CLICK 0.28 DEBOZZ DB-G028</t>
  </si>
  <si>
    <t>RAUTAN KAYAGI 12 PCS KY-393B</t>
  </si>
  <si>
    <t>108 LSN</t>
  </si>
  <si>
    <t>RAUTAN KAYAGI 12 PCS KY-395B</t>
  </si>
  <si>
    <t>RAUTAN KAYAGI 12 PCS KY-394B</t>
  </si>
  <si>
    <t>MEK PSL 12 WARNA TIZO TM02630</t>
  </si>
  <si>
    <t>160 SET</t>
  </si>
  <si>
    <t>MEK PSL 18 WARNA TM02630-18</t>
  </si>
  <si>
    <t>96 SET</t>
  </si>
  <si>
    <t>SI-2023/07-0270/COD</t>
  </si>
  <si>
    <t>PITA JPN LIST GOLD MIX</t>
  </si>
  <si>
    <t>PITA JPN POLOS MIX</t>
  </si>
  <si>
    <t>31660</t>
  </si>
  <si>
    <t>PITA JPN LIST GOLD B</t>
  </si>
  <si>
    <t>SAHABAT REJEKI</t>
  </si>
  <si>
    <t>SIW/0744/08-23</t>
  </si>
  <si>
    <t>200 PCS</t>
  </si>
  <si>
    <t>DIARY 64K-1302 CUTISAN (100LBR)</t>
  </si>
  <si>
    <t>DIARY HL32-1011 FLOWER 32 K (96 LBR)</t>
  </si>
  <si>
    <t>DIARY HL32-3014 MORNING MEMORY 32K (128 LBR)</t>
  </si>
  <si>
    <t>DIARY HL32-3041 MOCO 32K (128 LBR)</t>
  </si>
  <si>
    <t>DIARY HL32-3042 FLOWER TRAVEL 32K (128 LBR)</t>
  </si>
  <si>
    <t>DIARY HL32-3045 SWEET MEMORY 32K (128 LBR)</t>
  </si>
  <si>
    <t>DIARY HL32-3046 FAIRY LAND 32K (128 LBR)</t>
  </si>
  <si>
    <t>DIARY HL32-3047 THE VELVET RABBIT 32 K (128 LBR)</t>
  </si>
  <si>
    <t>DIARY HL32-3049 SPACE TRAVEL 32K (128 LBR)</t>
  </si>
  <si>
    <t>MEASURE TAPE HC-25851 APPLE</t>
  </si>
  <si>
    <t>MY1.23</t>
  </si>
  <si>
    <t>16 LSN</t>
  </si>
  <si>
    <t>KOJIKO SEGITIGA NO.8</t>
  </si>
  <si>
    <t>KOJIKO SEGITIGA NO.10</t>
  </si>
  <si>
    <t>ENTER WB B 803</t>
  </si>
  <si>
    <t xml:space="preserve"> LSN</t>
  </si>
  <si>
    <t>GEL PEN ODOMEI GP-9933</t>
  </si>
  <si>
    <t>GEL PEN ODOMEI GP-9905</t>
  </si>
  <si>
    <t>GEL PEN ODOMEI GP-9932</t>
  </si>
  <si>
    <t>F23HP000006</t>
  </si>
  <si>
    <t>REFIL GEL ES-220 (BTS)</t>
  </si>
  <si>
    <t>REFIL GEL ES-222 (DORAEMON)</t>
  </si>
  <si>
    <t>REFIL GEL ES-226 (SANRIO)</t>
  </si>
  <si>
    <t>REFIL GEL ES-227 (TAYO)</t>
  </si>
  <si>
    <t>REFIL GEL ES-228 (SUOER HERO)</t>
  </si>
  <si>
    <t>REFIL GEL ES-230 (DINO)</t>
  </si>
  <si>
    <t>REFIL GEL ES-223 (223)</t>
  </si>
  <si>
    <t>REFIL GEL ES-225 (UNICORN)</t>
  </si>
  <si>
    <t>SO2023070081499</t>
  </si>
  <si>
    <t>270 PAK</t>
  </si>
  <si>
    <t>GEL 1.0 340 BIRU TG340BI</t>
  </si>
  <si>
    <t>KOJIKO SEGITIGA NO.12</t>
  </si>
  <si>
    <t>DUST 344</t>
  </si>
  <si>
    <t>DUST 254</t>
  </si>
  <si>
    <t>KERTAS CREPE POT KREASI KOALA MERAH/ PUTIH</t>
  </si>
  <si>
    <t>NOTEBOOK DIVIDER CXQF-A5819 RAINBOW JELLY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</si>
</sst>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43" fontId="5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" fontId="4" fillId="0" borderId="0" xfId="0" applyNumberFormat="1" applyFont="1" applyFill="1" applyAlignment="1">
      <alignment horizontal="right"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6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4.451081828702" createdVersion="5" refreshedVersion="5" minRefreshableVersion="3" recordCount="935">
  <cacheSource type="worksheet">
    <worksheetSource name="NOTA"/>
  </cacheSource>
  <cacheFields count="47">
    <cacheField name="ID" numFmtId="3">
      <sharedItems containsMixedTypes="1" containsNumber="1" containsInteger="1" minValue="1" maxValue="80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80"/>
    </cacheField>
    <cacheField name="TANGGAL" numFmtId="14">
      <sharedItems containsDate="1" containsBlank="1" containsMixedTypes="1" minDate="2023-07-01T00:00:00" maxDate="2023-07-16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28T00:00:00" maxDate="2023-07-14T00:00:00"/>
    </cacheField>
    <cacheField name="SERI" numFmtId="0">
      <sharedItems containsNonDate="0" containsString="0" containsBlank="1"/>
    </cacheField>
    <cacheField name="NAMA BARANG" numFmtId="0">
      <sharedItems containsBlank="1" count="888">
        <s v="BALLPEN TF 2037 6WR (MULTI COLOR PEN)"/>
        <s v="GARISAN TF 360"/>
        <m/>
        <s v="CLEAR HOLDER FOLIO SIKA AC-105 F MERAH"/>
        <s v="CLEAR HOLDER FOLIO SIKA AC-105 F KUNING"/>
        <s v="LOOSE LEAF A5 100 LBR KOALA MTK"/>
        <s v="LOOSE LEAF A5 50 LBR KOALA MTK"/>
        <s v="LOOSE LEAF A5 100 LBR DOTED/ TITIK"/>
        <s v="LOOSE LEAF A5-50 LBR DOTED/ TITIK"/>
        <s v="LOOSE LEAF B5-100 LBR KOALA MTK"/>
        <s v="BUKU MEWARNAI JJUMBO FANCY ANGKA &amp; HURUF"/>
        <s v="MEJA IPAD IMPORT JUMBO KARAKTER"/>
        <s v="ENTER C/BOARD KAYU"/>
        <s v="ENTER 12 X 18"/>
        <s v="STABILO TF-1145 LIVE COLOUR (PASTEL)"/>
        <s v="BALLPEN GEL TF-1191 BODY WR 0.3MM HIGHTECH"/>
        <s v="BALLPEN GEL TF-1191 BODY WR 0.3 MM HIGHTECH"/>
        <s v="BALLPEN GEL TF-1190 BR 0.3MM HIGHTECH"/>
        <s v="PCK LPY 99-10/ 8X21 , 5X4.5/ 3S/ D"/>
        <s v="CORR TAPE MT-737 A"/>
        <s v="BT-123A"/>
        <s v="PGRS BT 172-06 BESAR"/>
        <s v="BT 30 CM"/>
        <s v="BALON SMILE KUNING 20X5 LKS 3200SK"/>
        <s v="BALON FS HS WARNA 20X5 LKF 3200HBW"/>
        <s v="BALON MACARON 1228 20X5 LKM 2800"/>
        <s v="BALON MACARON 1022 20X5 LKM 2200"/>
        <s v="BALON KILAP 1022 20X5 LKP 2200"/>
        <s v="BALON KILAP 1232 20X5 LKP 3200"/>
        <s v="BALON LOVE 1022 20X5 LKL 2200"/>
        <s v="CORRECTION TAPE CT-522PTL JK"/>
        <s v="CUTTER BLADE L 150 M MH JK"/>
        <s v="LABELLER MX 5500 M 8 DIGITS JK"/>
        <s v="MATH SET MS 55 JK"/>
        <s v="MATH SET MS 75 JK"/>
        <s v="CORRECTION FLUID JK 101 A JK"/>
        <s v="BALLPEN BP 349-12 VOKUS TRANS BLACK JK BONUS"/>
        <s v="PENCIL CASE PC-0719PSTL-35 (GREEN) JK"/>
        <s v="PENCIL CASE PC-0719PSTL-35 (PURPLE) JK"/>
        <s v="PENCIL CASE PC-0719PSTL-35 (PINK) JK"/>
        <s v="PENCIL CASE PC-0719PSTL-35 (BLUE) JK"/>
        <s v="KENKO PENCIL CASE PC 0719 UR"/>
        <s v="KENKO CUTTER A-300 9MM BLADE"/>
        <s v="KENKO CUTTER L-500 18MM BLADE"/>
        <s v="KENKO LIQUID GLUE LG-50 (50ML)"/>
        <s v="KENKO GLUE STICK 8GR SMALL"/>
        <s v="KENKO GEL PEN KE-200 BLACK"/>
        <s v="KENKO STAINLESS STEEL RULER 100CM"/>
        <s v="KENKO STAINLESS STEEL RULER 40CM"/>
        <s v="KENKO SCISSOR SC-828"/>
        <s v="KENKO CUTTER BLADE L-150 18MM"/>
        <s v="KENKO POCKET NOTE PN-403"/>
        <s v="KENKO CORRECTION FLUID KE-01"/>
        <s v="MEK TIZO 2.0 TM030-C"/>
        <s v="MEK PENSIL 2.0 TIZO TM030-F"/>
        <s v="MEK PENSIL 2.0 TIZO TM030-G"/>
        <s v="MEK PENSIL 2.0 TIZO TM030-H"/>
        <s v="MEK PENSIL 2.0 TM01800"/>
        <s v="GEL DEBOZZ 0.5 DB G-05"/>
        <s v="GEL PEN ZUIXUA HY-1020 HITAM"/>
        <s v="REFILL ISI PENCIL BENSIA LANTU (1132)"/>
        <s v="P/C MAG FY-6822 (22*7.5)"/>
        <s v="P/C MAG C-2755-1 (22*7.5"/>
        <s v="P/C MAG JH-220A (23*8.5)"/>
        <s v="SAMPUL SAMSON BOXY BATIK"/>
        <s v="MALAM SHINTOENG TG 6-12W"/>
        <s v="MALAM SHINTOENG K-612W"/>
        <s v="MALAM SHINTOENG K 1W POLOS"/>
        <s v="N TAG D/MERAH 301"/>
        <s v="MEJA IPAD IMPORT KARAKTER"/>
        <s v="SDI STAPLER 1102"/>
        <s v="ZRM CUTTER A-300 A.LOCK"/>
        <s v="ZRM CUTTER L-500"/>
        <s v="N TAG D/MRH 301"/>
        <s v="BT BATIK (15)"/>
        <s v="GEL PEN TIZO 1.0 TG340"/>
        <s v="GEL 1.0 340 BIRU TG340 BI"/>
        <s v="MEK PENSIL 20.2 TIZO TM030A-1"/>
        <s v="ISI GEL INK TZ-501 R"/>
        <s v="GEL TIZO RETRO 0.5TG670"/>
        <s v="T DOKUMEN 2 TRAY JS2001"/>
        <s v="DOC RIT INFINITY"/>
        <s v="DOC RIT PRESTIGE"/>
        <s v="DOC RIT CONCEPTION"/>
        <s v="DOC RIT STATEMEN"/>
        <s v="DOC RIT ELLEGANCE"/>
        <s v="DOC RIT BRILLIANT"/>
        <s v="SAMPUL SAMSON KWARTO BATIK"/>
        <s v="OIL PASTEL OP 12 S PP CASE SEA WORLD JK"/>
        <s v="OIL PASTEL OP 18 S PP CASE SEA WORLD JK"/>
        <s v="OIL PASTEL OP 24 S PP CASE SEA WORLD JK"/>
        <s v="OIL PASTEL OP 36 S PP CASE SEA WORLD JK"/>
        <s v="OIL PASTEL OP 48 S PP CASE SEA WORLD JK"/>
        <s v="OIL PASTEL OP 55 S PP CASE SEA WORLD JK"/>
        <s v="OIL PASTEL OP 72 S PP CASE SEA WORLD JK"/>
        <s v="OIL PASTEL OP 12 CHC COMPACT JK"/>
        <s v="SCISSORS SC-838 JK"/>
        <s v="KENKO PENCIL CASE PC 0719-UR"/>
        <s v="KENKO COLOR PENCIL CP 12 FNWE NON WOOD ERASABLE"/>
        <s v="KENKO 12 BI COLOR PENCIL CP 12 FBC CLASSIC"/>
        <s v="KENKO 24 COLOR PENCIL CP 24 F TIN CASE CLASSIC"/>
        <s v="KENKO POCKET NOTE PN 403"/>
        <s v="KENKO LIQUID GLUE LG 35 35ML"/>
        <s v="KENKO TAPE DISPENSER TD-201 1&quot; CORE"/>
        <s v="KENKO TAPE DISPENSER TD-321 1&quot; &amp; 3&quot; CORE"/>
        <s v="KENKO LOOSE LEAF B5 LL 100-2670"/>
        <s v="KENKO STAINLESS STEEL RULER 15CM"/>
        <s v="KENKO STAINLESS STEEL RULER 20 CM"/>
        <s v="KENKO STAINLESS STEEL RULER 30 CM"/>
        <s v="KENKO BINDER CLIP NO 155"/>
        <s v="KENKO BINDER CLIP NO.200"/>
        <s v="KENKO CUTTER A300 9MM BLADE"/>
        <s v="KENKO CUTTER L 500 18MM BLADE"/>
        <s v="KENKO CORRECTION FLUID KE 01"/>
        <s v="TITI 24 COLOR TWIST CRAYON TI CP 24 T"/>
        <s v="KENKO BINDER CLIP NO.260"/>
        <s v="PENCIL P 91 2B JK"/>
        <s v="PENCIL P 88 2B JK"/>
        <s v="LABEL LB P2LN 2 BARIS JK"/>
        <s v="COLOR PENCIL CP S24 JK"/>
        <s v="BALLPEN BP 336 MY PASTEL (BLACK) JK"/>
        <s v="GEL PEN GP 243 WHIZ GEL (BLACK) JK"/>
        <s v="GEL PEN GP 266 ITECH 2 BLACK JK"/>
        <s v="PENCIL CASE PC 0719AC-36A/F ANIMAL CALENDER JK"/>
        <s v="PENCIL CASE PC 0719TV-33A/F TRAVEL JK"/>
        <s v="COLOR PENCIL CP 12 PB JK"/>
        <s v="ERASER 526 B40 P JK"/>
        <s v="ERASER EB 30 JK"/>
        <s v="ERASER ER 30 W JK"/>
        <s v="ERASER 526 B20 JK"/>
        <s v="BALLPEN BP 349 12 VOKUS TRANS BLACK JK BONUS"/>
        <s v="PENCIL CASE PC 0719GZ-34A/F GOZZY JK"/>
        <s v="CRAYON PUTAR TWCR-12S JK"/>
        <s v="KENKO BINDER CLIP NO..280 6 PCS/BOX"/>
        <s v="KENKO BINDER CLIP NO..300 (6 PCS/BOX)"/>
        <s v="KENKO BINDER CLIP NO.105"/>
        <s v="KENKO BINDER CLIP NO.107"/>
        <s v="KENKO BINDER CLIP NO.111"/>
        <s v="KENKO LIQUID GLUE LG 50 50ML"/>
        <s v="KENKO GEL PEN K-1 BLACK"/>
        <s v="KENKO GEL PEN HI TECH H 028MM BLACK"/>
        <s v="KENKO GEL PEN HI TECH H 028MM BLUE"/>
        <s v="KENKO GEL PEN KE 303 T GEL TRIANGULAR BLUE"/>
        <s v="KENKO GEL PEN KE 100 BLACK "/>
        <s v="KENKO TRIGONAL CLIP NO.3"/>
        <s v="KENKO JUMBO CLIP NO.5"/>
        <s v="KENKO PUNCH NO.30"/>
        <s v="PIANIKA BLUE LOVELY K-2799-B"/>
        <s v="DOC RIT BOX BATIK"/>
        <s v="MALAM SHINTOENG K 6-12W"/>
        <s v="PENCIL CASE KALENG WB + IS CC-1008"/>
        <s v="BNL TALI AA0321-06/A6-80/BEAR"/>
        <s v="BNL TALI AA0321-09/A6-80/UNIVERSE"/>
        <s v="BNL TALI AA0321-10/A6-80/SR"/>
        <s v="BNL TALI AA0321-11/A7-80/FRUIT"/>
        <s v="BNL TALI AA0321-12/A7-80/GLOWING"/>
        <s v="BNL TALI AA0321-13/A7-80/BALLOON"/>
        <s v="BNL TALI AA0321-18/A7-80/LUCU"/>
        <s v="BNL TALI AA0321-19/A7-80/UNIVERSE"/>
        <s v="BNL TALI AA0321-20/A7-80/SR"/>
        <s v="KENKO HANDY TAPE DISPENSER TDB-2 BESI"/>
        <s v="KENKO CORRECTION TAPE CT 902 CL 12M X 5MM"/>
        <s v="KENKO CORRECTION FLUID KE 107 M"/>
        <s v="KENKO STAPLER HD 10 D PASTEL COLOR"/>
        <s v="KENKO STAPLER HD 50 PASTEL COLOR"/>
        <s v="KENKO CUTTER BLADE A 100 9MM"/>
        <s v="KENKO CUTTER BLADE L 150 18MM"/>
        <s v="ERASER 526 B40BL JK"/>
        <s v="ERASER EB-30 JK"/>
        <s v="ERASER ER30W JK"/>
        <s v="ERASER 526 B-20JK"/>
        <s v="ERASER ER B20 BL JK"/>
        <s v="OIL PASTEL OP12 S PP CASE SEA WORLD JK"/>
        <s v="CRAYON PUTAR TWCR 12 S JK"/>
        <s v="CRAYON PUTAR TWCR 12 MINI JK"/>
        <s v="ERASER 526 B 20 JK"/>
        <s v="GLUE GL R 50 JK"/>
        <s v="LABEL LB 2RL 1 BARIS JK"/>
        <s v="MATH SET MS 402 JK"/>
        <s v="TAPE CUTTER TD-102 JK"/>
        <s v="PENCIL CASE PC 0719TV 33A/F TRAVEL JK"/>
        <s v="PUNCH NO 85 JK"/>
        <s v="PELNA LAPTOP TABLE"/>
        <s v="KENKO STAPLER HD-10S MINI"/>
        <s v="KENKO STAPLES NO.1210 23/10"/>
        <s v="KENKO CUTTER BLADE A100 9MM"/>
        <s v="KENKO PENCIL CASE PC-0719-UR"/>
        <s v="KENKO CORRECTION FLUID KE 108"/>
        <s v="KENKO TAPE DISPENSER TD-323 1&quot; &amp; 3&quot; CORE"/>
        <s v="KENKO MECHANICAL PENCIL MP 01 0.5MM"/>
        <s v="KENKO STAPLER HD-50"/>
        <s v="KENKO POCKET NOTE PN 404"/>
        <s v="P/C MAG AC-1762 (22*7.5)"/>
        <s v="P/C MAG FC-1757 (22*7.5)"/>
        <s v="P/C MAG FX-2210 (22*10) METALIK LEBAR"/>
        <s v="BALLPEN TF 1190 HTM 0.3MM HIGHTECH"/>
        <s v="BALLPEN GEL TF 3115 0.3MM HIGHTECH KNOCK"/>
        <s v="N. TAG D/MRH 301"/>
        <s v="STICKER NAMA FANCY HOLO"/>
        <s v="KENKO SCISSOR SC-848N"/>
        <s v="KENKO MECHANICAL PENCIL MP-07 0.5MM"/>
        <s v="KENKO GLUPEN GLP-01"/>
        <s v="KENKO GEL PEN KE-16 DOT N DOT BLACK"/>
        <s v="KENKO CORRECTION FLUID KE-107M"/>
        <s v="KENKO CORRECTION FLUID KE-108"/>
        <s v="KENKO BALLPEN BP 39 N BLACK"/>
        <s v="KENKO GLUE STICK 8 GR SMALL"/>
        <s v="KENKO GLUE STICK 15 GR MEDIUM"/>
        <s v="CRAYON PUTAR TWCR 12S JK"/>
        <s v="ADHESIVE HOOK ADHK-3010 JK"/>
        <s v="ADHESIVE HOOK ADHK-3020 JK"/>
        <s v="STAMP PAD NO.0 JK"/>
        <s v="BALLPEN BP-342 VOKUS PTL BLACK JK"/>
        <s v="COLOR PENCIL CP S 12 JK"/>
        <s v="TRIGONAL CLIP NO.1 JK"/>
        <s v="HIGHLIGHTER HL -1 YELLOW JK"/>
        <s v="HIGHLIGHTER HL -2 GREEN JK"/>
        <s v="HIGHLIGHTER HL -4PINK JK"/>
        <s v="HIGHLIGHTER HL -5 ORANGE JK"/>
        <s v="ERASER 526-B20 JK"/>
        <s v="ERASER ER-B20BL JK"/>
        <s v="ERASER 526 B40 BL  JK"/>
        <s v="ERASER 526 B40P JK"/>
        <s v="ERASER ER-30W JK"/>
        <s v="SCISSORS SC-848 JK"/>
        <s v="LOOSE LEAF A5-7020 100S JK"/>
        <s v="CRAYON PUTARTWCR 12 S JK"/>
        <s v="CORRECTION FLUID CF-S209 JK"/>
        <s v="CORRECTION FLUID CF-S210 JK"/>
        <s v="GLUE STICK GS 102 15 GRAM JK"/>
        <s v="GLUE STICK GS-103 BATIK JK"/>
        <s v="SCISSORS SC-828 JK"/>
        <s v="GLUE GL R35 JK"/>
        <s v="COLOR PENCIL CP 36 PB JK"/>
        <s v="GLUE STICK GS-102 15 GRAM JK"/>
        <s v="SAMPUL OPP ALEXANDER BOXY"/>
        <s v="CRAYON PUTAR TWCR-12MINI JK" u="1"/>
        <s v="KOJIKO SEGITIGA NO.10" u="1"/>
        <s v="REFILL GEL FANCY VRG-2015 (PRINCESS)" u="1"/>
        <s v="BT 20 CM" u="1"/>
        <s v="TIPE EX CT 909" u="1"/>
        <s v="GEL TIZO FANCY TG30600-E" u="1"/>
        <s v="AGENDA PRO DELUXE BSR PC-122" u="1"/>
        <s v="CUTTER BLADE A100" u="1"/>
        <s v="REFILL GEL FANCY VRG-2020 (HIJAB LOVE)" u="1"/>
        <s v="KENKO PENCIL 2B 0810 FLUORESCENT" u="1"/>
        <s v="GARISAN TF-1990 BUSUR BOLONG (180 DEGREE)" u="1"/>
        <s v="LOOSE LEAF A5 100GR HK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LOOSE LEAF A5-100 RAINBOW GARIS W/HIJAU" u="1"/>
        <s v="MINI POCKET MB-120 WARNA KULIT" u="1"/>
        <s v="MEK PENSIL 2.0 TIZO TM030A-1" u="1"/>
        <s v="SEMPOA 17 T" u="1"/>
        <s v="CLIP FILE C 324 A5 MIX" u="1"/>
        <s v="CLIP FILE C-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EK PENSIL TIZO G-9001" u="1"/>
        <s v="MAP KCG ATOS MRH" u="1"/>
        <s v="KOJIKO SEGITIGA NO 6" u="1"/>
        <s v="B CLIP 107 KENKO" u="1"/>
        <s v="JARUM PENTOL MIKA 38MM (ISI 40)" u="1"/>
        <s v="AC-106 F KUNING" u="1"/>
        <s v="GEL ZHIXIN + REFILL G-3037" u="1"/>
        <s v="PENGGARIS SET PS-9810/ 20CM/ PPK/ UNICORN" u="1"/>
        <s v="GEL ZHIXIN + REFILL G-3130" u="1"/>
        <s v="XDATA DIRECT FILL PEN X-2 HTM" u="1"/>
        <s v="GEL ZHIXIN + REFILL G-3131" u="1"/>
        <s v="GEL ZHIXIN + REFILL G-3132" u="1"/>
        <s v="CORRECTION FLUID CF-S224 JK" u="1"/>
        <s v="GEL ZHIXIN + REFILL G-3133" u="1"/>
        <s v="ZIPPER FILE 192BT WARNA ORANGE" u="1"/>
        <s v="SAMPUL BUKU COKLAT (TEBAL)" u="1"/>
        <s v="GEL ZHIXIN + REFILL G-3135" u="1"/>
        <s v="KENKO CORRECTION FLUID KE-301" u="1"/>
        <s v="ENTER CAT AIR A 129" u="1"/>
        <s v="GEL DEBOZZ 0.5 DB-G05" u="1"/>
        <s v="GEL ZHIXIN + REFILL G-3136" u="1"/>
        <s v="CORR TAPE DMS 304" u="1"/>
        <s v="GEL ZHIXIN + REFILL G-3137" u="1"/>
        <s v="GEL ZHIXIN + REFILL G-3138" u="1"/>
        <s v="SAMPUL BUKU KUNING (TIPIS)" u="1"/>
        <s v="AC-106 F PUTIH SUSU" u="1"/>
        <s v="CORRECTION FLUID CF-S225 JK" u="1"/>
        <s v="BUSINESS FILE SIKA AC-106 HIJAU" u="1"/>
        <s v="ACRYLIC COLOUR TF-AC-004N 12 X 6 ML NEON" u="1"/>
        <s v="USAGI OP 12W" u="1"/>
        <s v="MAP TALI SIKA AC-06 PUTIH" u="1"/>
        <s v="GEL ZHIXIN + REFILL G-3112" u="1"/>
        <s v="ERASER 526-B40BL JK" u="1"/>
        <s v="ENTER BK TABUNGAN" u="1"/>
        <s v="TAPE DISPENSER 801 UNGU" u="1"/>
        <s v="PELNA X02 HITAM" u="1"/>
        <s v="TAPE DISPENSER 805 UNGU" u="1"/>
        <s v="PCK 19-5" u="1"/>
        <s v="PCM EP 9294-1" u="1"/>
        <s v="BULLDOG CLIP 6-145 JK" u="1"/>
        <s v="GEL ZHIXIN + REFILL G-3117" u="1"/>
        <s v="GEL TIZO TG31220" u="1"/>
        <s v="PCM GP-65071/ 8X22.5/ PUA/ UGLT/ D" u="1"/>
        <s v="GEL ZHIXIN + REFILL G-3118" u="1"/>
        <s v="CALCULATOR JOYKO CC-25" u="1"/>
        <s v="GEL ZHIXIN + REFILL G-3119" u="1"/>
        <s v="CALCULATOR JOYKO CC-27" u="1"/>
        <s v="PCM LPY 66-17/ 8 X 23/ PUA/ GLT" u="1"/>
        <s v="BK KAS FOLIO" u="1"/>
        <s v="PCM KT 2220" u="1"/>
        <s v="KENKO PENCIL 2B-6019 ANTIBACTERIAL" u="1"/>
        <s v="GUNTACKER GT-700 JK" u="1"/>
        <s v="MAP KANCING SIKA AC-05 KUNING" u="1"/>
        <s v="REFILL GEL FANCY VRG-2016 (ANIMAL CARNIVAL)" u="1"/>
        <s v="KENKO 12 BI-COLOR PENCIL CP-12 FBC CLASSIC" u="1"/>
        <s v="PC KODE 3SS 3D A 20200" u="1"/>
        <s v="ZIPPER FILE CLEAR HOLDER 555 20 FILE YELLOW" u="1"/>
        <s v="ZIPPER FILE CLEAR HOLDER 555 40 FILE YELLOW" u="1"/>
        <s v="PELNA X03 HITAM" u="1"/>
        <s v="AC-105 F MERAH" u="1"/>
        <s v="GEL ZHIXIN + REFILL G-5034" u="1"/>
        <s v="PENCIL CASE MAGNET + CALCULATOR CC-7806" u="1"/>
        <s v="CALCULATOR JOYKO DTC-1313 CH" u="1"/>
        <s v="KENKO GEL PEN MICROTEC 0.4MM BLACK" u="1"/>
        <s v="ENTER WB (B) 803" u="1"/>
        <s v="KENKO CORRECTION FLUID KE-826 M" u="1"/>
        <s v="KENKO TAPE DISPENSER TD-503 3&quot; CORE" u="1"/>
        <s v="ACRYLIC NT 7 X 20 CM" u="1"/>
        <s v="AGENDA 123 POLOS HITA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GEL ZHIXIN + REFILL G-5016" u="1"/>
        <s v="BALLPEN BP-349-12 VOKUS TRANS BLACK JK BONUS" u="1"/>
        <s v="MAP TALI SIKA AC-06 MERAH" u="1"/>
        <s v="BUKU TAMU GB-2833 R-5 (BATIK) JK" u="1"/>
        <s v="KENKO ERASER ERW-20SQ WHITE" u="1"/>
        <s v="KENKO ERASER ERW-40SQ WHITE" u="1"/>
        <s v="P/C KODE 3SS 3D A 2020" u="1"/>
        <s v="PCK XDA-3348D/8X20/BENTUK/SET/LUCU BIRU" u="1"/>
        <s v="GARISAN BESI 30 YOEKER" u="1"/>
        <s v="GEL PEN TIZO 1.0 T G 340" u="1"/>
        <s v="PCM LPY 66-7" u="1"/>
        <s v="PCM GP-9342-2/ 7 X 21.5/ SET/ BT21" u="1"/>
        <s v="MAP TALI SIKA AC-06 KUNING" u="1"/>
        <s v="PALLET DOP KEPITING 202" u="1"/>
        <s v="MAP ZIPPER JALA HIJAU" u="1"/>
        <s v="BINDER NOTE FPHY001-A5-50" u="1"/>
        <s v="CUTTER BLADE L-150 AM L JK BONUS" u="1"/>
        <s v="KENKO PENCIL 2B-6373 METALLIC" u="1"/>
        <s v="PENCIL CASE PC-0719 PSTL -35 (BLUE) JK" u="1"/>
        <s v="ENTER C/ BOARD ANTI API" u="1"/>
        <s v="KENKO CORRECTION TAPE CT-2001 20M  X 5 MM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PCM KT-2220/ 8 X 23/ PUA/GLT/ D" u="1"/>
        <s v="GEL PEN WEIYADA E681" u="1"/>
        <s v="MAP ZIPPER JALA BIRU" u="1"/>
        <s v="KENKO GLUE STICK 8GR (SMALL)" u="1"/>
        <s v="CALCULATOR JOYKO CC-12CO BLUE" u="1"/>
        <s v="PALET GAMBAR APEL" u="1"/>
        <s v="KENKO TAPE DISPENSER TD-505 3 &quot; CORE" u="1"/>
        <s v="STAPLES (23/10)" u="1"/>
        <s v="KENKO TAPE DISPENSER TD-323 (1&quot; &amp; 3 &quot; CORE)" u="1"/>
        <s v="PC H 797" u="1"/>
        <s v="PUSH PIN PP-30 JK" u="1"/>
        <s v="CRAYON 1012-12 WRN MIX WOMY" u="1"/>
        <s v="KENKO GEL PEN HI-TECH-H 0.28MM BLUE" u="1"/>
        <s v="CELENGAN L" u="1"/>
        <s v="GLUE STICK GS-104 (ANIMAL KINGDOM) JK" u="1"/>
        <s v="SCISSOR SC-828 JK" u="1"/>
        <s v="CUTTER L-500 JK" u="1"/>
        <s v="ISI GW NO 369" u="1"/>
        <s v="MEKANIK 2.0MM TM030-B" u="1"/>
        <s v="ENTER B TAMU BATIK" u="1"/>
        <s v="TAPE DISPENSER 801 BIRU" u="1"/>
        <s v="TAPE DISPENSER 805 BIRU" u="1"/>
        <s v="HIGHLIGHTER 24 PCS TF616" u="1"/>
        <s v="XDATA DIRECT FILL PEN M-1 HTM" u="1"/>
        <s v="CALCULATOR JOYKO CC-12CO GREEN" u="1"/>
        <s v="N TAG D/BIRU 300" u="1"/>
        <s v="CLIP FILE C 323 MIX" u="1"/>
        <s v="PCM EP 9242-2" u="1"/>
        <s v="KENKO POCKET NOTE PN-404" u="1"/>
        <s v="NOTE BOOK EXCLUSIVE 0801" u="1"/>
        <s v="CALCULATOR JOYKO CC-23CO GREEN" u="1"/>
        <s v="BALLPEN TF 3115 0.3MM HIGHTECH KNOCK" u="1"/>
        <s v="CASH BOX CB-26A JK" u="1"/>
        <s v="CALCULATOR JOYKO CC-868" u="1"/>
        <s v="BINDER A5-TSCL-M401 (COLLEGE) JK - U" u="1"/>
        <s v="AG CK KOMBINASI" u="1"/>
        <s v="HBAG LUX MY 02A" u="1"/>
        <s v="CORRECTION FLUID JK-101 JK" u="1"/>
        <s v="PAPER BAG COKLAT TG TEBAL" u="1"/>
        <s v="GLUE GL-R50 JK" u="1"/>
        <s v="SEGITIGA BT NO 10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LABEL LB-P2LN 2 BARIS JK" u="1"/>
        <s v="MAP SCHOOL BAG KOTAK HIJAU MUDA" u="1"/>
        <s v="TP BD 191-26" u="1"/>
        <s v="GEL TIZO FANCY TG30734-E" u="1"/>
        <s v="TITI 12 COLOR OIL PASTEL TI P 12 S " u="1"/>
        <s v="MAP KANCING SIKA AC-05 BIRU" u="1"/>
        <s v="CLEAR HOLDER FOLIO SIKA  MERAH" u="1"/>
        <s v="AC-106 F HIJAU" u="1"/>
        <s v="PALET APEL BUTEK" u="1"/>
        <s v="CORRECTION TAPE CT-507 JK" u="1"/>
        <s v="SCISSOR SC-838 JK" u="1"/>
        <s v="P/C KODE 3SS 3D A 2020 D" u="1"/>
        <s v="P/ C MAG C-1758 (22*7.5)" u="1"/>
        <s v="KENKO 12 COLOR PENCIL CP-12F TIN CASE CLASSIC" u="1"/>
        <s v="GEL TIZO FANCY TG31975-E" u="1"/>
        <s v="PELNA LAPTOP TABEL" u="1"/>
        <s v="ELEC NATIONAL 20M X 120 ROLL" u="1"/>
        <s v="KENKO TAPE DISPENSER TD-323 (1&quot; &amp; 3&quot; CORE)" u="1"/>
        <s v="KOJIKO SEGITIGA NO.8" u="1"/>
        <s v="CUTTER TACO BESAR 88" u="1"/>
        <s v="BNL TALI AA0321-19/A7-80/UNIVERE" u="1"/>
        <s v="LILIN SHINTOENG 12 BTG" u="1"/>
        <s v="ACRYLIC COLOUR TF-1C-003 (18 X 6ML)" u="1"/>
        <s v="BINDER A5-TSED-M503 (EDUCATION) JK - U" u="1"/>
        <s v="GEL TIZO FANCY TG31810-E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GEL TIZO TG 31220" u="1"/>
        <s v="ENTER C/ BOARD KAYU" u="1"/>
        <s v="GLUE GL-R35 JK" u="1"/>
        <s v="COLOR PENCIL CP-12PB JK" u="1"/>
        <s v="LEM STICK  8 GR" u="1"/>
        <s v="PITA JPN LIST GOLD MIX B" u="1"/>
        <s v="TP BD 933" u="1"/>
        <s v="ERASER ER-107 ANIMAL JK" u="1"/>
        <s v="ENTER CAT ACRYLIC PUTIH" u="1"/>
        <s v="KENKO STAPLER HD-10" u="1"/>
        <s v="PENCIL CASE PC-0719 PSTL -35 (GREEN) JK" u="1"/>
        <s v="ISOLASI FANCY" u="1"/>
        <s v="KENKO HEAVY DUTY STAPLER HD-12L/24" u="1"/>
        <s v="PENSIL 2B FANCY KY-PF3064" u="1"/>
        <s v="DISPENSER TD 323" u="1"/>
        <s v="CELENGAN XL" u="1"/>
        <s v="KENKO PENCIL 2B-3181 HITAM CAP MERAH" u="1"/>
        <s v="PCM GP-9294/ 7.8 X 22.5/ PU/ GLT/ UNICORN" u="1"/>
        <s v="GEL 1.0 340 BIRU" u="1"/>
        <s v="PENSIL 2B KAYAGI KY-PF3056" u="1"/>
        <s v="PC H 769" u="1"/>
        <s v="STAPLER HD-10 JK" u="1"/>
        <s v="CORRECTION TAPE CT 522 PTL JK" u="1"/>
        <s v="ENTER WB K 802" u="1"/>
        <s v="SCISSOR SC-848 JK" u="1"/>
        <s v="SULING YAMAHA" u="1"/>
        <s v="CALCULATOR JOYKO CC-37" u="1"/>
        <s v="CALCULATOR JOYKO CC-38" u="1"/>
        <s v="MAP TALI SIKA AC-06 BIRU" u="1"/>
        <s v="KENKO PENCIL 2B-6906 BTK BATIK" u="1"/>
        <s v="MAP KANCING SIKA AC-05 MERAH" u="1"/>
        <s v="KENKO CORRECTION TAPE CT-634 8M X 5MM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KENKO CORRECTION TAPE CT-2001 20 M  X 5 MM" u="1"/>
        <s v="HB-65 GUNINDO" u="1"/>
        <s v="KENKO COLOR CLIP 3100" u="1"/>
        <s v="MAP KCG ATOS BR" u="1"/>
        <s v="CUTTER TACO BSR  88" u="1"/>
        <s v="KENKO CORRECTION TAPE CT-902 12 M X 5 MM" u="1"/>
        <s v="KENKO CORRECTION TAPE CT-905 12 M X 5 MM" u="1"/>
        <s v="KAOS JOYKO (BONUS)" u="1"/>
        <s v="PCK XDA-3348D/8X20/BENTUK/SET/ MM" u="1"/>
        <s v="KENKO GEL PEN KE 303 T GEL TRIANGULAR BLACK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ENTER BT SPIRAL KEMBANG" u="1"/>
        <s v="ZIPPER FILE CLEAR HOLDER 555 20 FILE RED" u="1"/>
        <s v="ZIPPER FILE CLEAR HOLDER 555 40 FILE RED" u="1"/>
        <s v="KENKO CUTTER L-500 (18MM BLADE)" u="1"/>
        <s v="OMM GUNINDO" u="1"/>
        <s v="LILIN SHINTOENG 24 BTG" u="1"/>
        <s v="KENKO CORRECTION TAPE CT-831 *8M X 5MM)" u="1"/>
        <s v="KENKO GEL PEN T-GEL ERASABLE KE-303ER BLACK" u="1"/>
        <s v="TAPE CUTTER TC-113 JK" u="1"/>
        <s v="STAINLESS STEEL SQ SCISSORS 6.0&quot;  (BLACK) SC-SQ06B" u="1"/>
        <s v="CALCULATOR JOYKO CC-8CO BLUE" u="1"/>
        <s v="STABILLO C5-2002 MACARON TWIN HEAD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LABEL LB 1LY 1 BARIS YELLOW JK" u="1"/>
        <s v="BAG 60*70*25 BELT BG15-029" u="1"/>
        <s v="CALCULATOR JOYKO CC-800 CH" u="1"/>
        <s v="CALCULATOR JOYKO CC-810 CH" u="1"/>
        <s v="NOTES 156-8D / ADD TELP" u="1"/>
        <s v="PCM LPY 66-11" u="1"/>
        <s v="MAP L/ CLEAR H SIKA AC-105 PUTIH" u="1"/>
        <s v="MALAM SHINTOENG B 1W POLOS" u="1"/>
        <s v="CALCULATOR JOYKO CC-8CO ORANGE" u="1"/>
        <s v="ENTER WB B 803" u="1"/>
        <s v="SHARPENER B-23 JK" u="1"/>
        <s v="PCM EP 9372" u="1"/>
        <s v="ERASER 526-B40P JK" u="1"/>
        <s v="PCM EP 9373" u="1"/>
        <s v="COLOR PENCIL CP-103 JK" u="1"/>
        <s v="KENKO CUTTER BLADE L-150 (18MM)" u="1"/>
        <s v="PENSIL KAYAGI 2B COKLAT KY-QF122B-2" u="1"/>
        <s v="REFILL GEL FANCY VRG-2017 (SUPERHERO)" u="1"/>
        <s v="PCM EP 9374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CUTTER BLADE L-150 AM (L) JK" u="1"/>
        <s v="PENCIL CASE PC-0719AC-36A/F (ANIMAL CALENDER) JK" u="1"/>
        <s v="OIL PASTEL OP-12 S PP CASE SEA WORLD JK" u="1"/>
        <s v="ERASER ER-B20 BL JK" u="1"/>
        <s v="KENKO GEL PEN KE-100 BLACK" u="1"/>
        <s v="PC 823" u="1"/>
        <s v="ENTER BOXFILE BENTUK" u="1"/>
        <s v="BT BATIK" u="1"/>
        <s v="ENTER C/BOARD ANTI PECAH" u="1"/>
        <s v="TRIGONAL CLIP NO.3 JK" u="1"/>
        <s v="KENKO PENCIL 2B-3282 HITAM BINTANG" u="1"/>
        <s v="GLUE GL-W01 JK" u="1"/>
        <s v="BINDER CLIP 155 JK" u="1"/>
        <s v="GEL TIZO FANCY TG30541-E" u="1"/>
        <s v="KENKO PUNCH NO.85 XL" u="1"/>
        <s v="BUSINESS FILE SIKA AC-106 MERAH" u="1"/>
        <s v="KOJIKO SEGITIGA NO.12" u="1"/>
        <s v="CUTTER A 18 TRANS" u="1"/>
        <s v="SEGITIGA BT NO 12" u="1"/>
        <s v="PCM GP-65084/ 10 X 21/ SET/ SR" u="1"/>
        <s v="PCM GP-65089/ 7.5 X 22/ PUA/ SR" u="1"/>
        <s v="KENKO SCISSOR SC-838N" u="1"/>
        <s v="CLEAR HOLDER FOLIO SIKA BIRU" u="1"/>
        <s v="TAS KARUNG 55 X 65 X 25" u="1"/>
        <s v="TAS KARUNG 50 X 55" u="1"/>
        <s v="GEL TIZO FANCY TG31780-E" u="1"/>
        <s v="PELNA 05" u="1"/>
        <s v="STABILO TIZO 54 PC TF610" u="1"/>
        <s v="KENKO PENCIL 2B-6191 HIJAU CAP HITAM" u="1"/>
        <s v="LABEL LB-P2CY (2 BARIS, YELLOW) JK" u="1"/>
        <s v="PCM GP-7373/ 8 X 23/ PUA/ GLT/ SR" u="1"/>
        <s v="PCM XU 0080" u="1"/>
        <s v="COLOR PENCIL CP-107 JK" u="1"/>
        <s v="LOOSE LEAF A5 100GR VINTAGE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LOOSE LEAF A5 100GR FR" u="1"/>
        <s v="CALCULATOR JOYKO CC-47 CO BLUE" u="1"/>
        <s v="LABELLER MX 5500M 8 DIGITS JK" u="1"/>
        <s v="GLUE STICK 7 X 29" u="1"/>
        <s v="GEL TIZO FANCY TG30900-E" u="1"/>
        <s v="ZIPPER FILE 192BT WARNA YELLOW" u="1"/>
        <s v="KENKO CORRECTION TAPE CT-1505FC (15M X 5MM)" u="1"/>
        <s v="BUSINESS FILE SIKA AC-106 KUNING" u="1"/>
        <s v="CUTTER KENKO L 500" u="1"/>
        <s v="P/C KODE 5SS 15001" u="1"/>
        <s v="MECH PENCIL MP-21 JK" u="1"/>
        <s v="GLUE STICK GS-104 ANIMAL KINGDOM JK" u="1"/>
        <s v="ACRYLIC SISIPAN KERTAS 1/3 FOLIO 11 X 21.5 CM" u="1"/>
        <s v="PAPER BAG / TAS MOTIF BATIK UK KECIL" u="1"/>
        <s v="KEY RING KR-9 JK" u="1"/>
        <s v="CALCULATOR JOYKO CC-12CO YELLOW" u="1"/>
        <s v="AC-105 F KUNING" u="1"/>
        <s v="TIPE*EX JK-101 JK" u="1"/>
        <s v="LETTER TRAY MT 118-3" u="1"/>
        <s v="SDI STAPLES 1204 NO 3" u="1"/>
        <s v="GEL ZHIXIN + REFILL G-3121" u="1"/>
        <s v="P CASE REST A 776" u="1"/>
        <s v="SAMPUL OPP LEM BOXY ALEXANDER" u="1"/>
        <s v="TF BD KLG BD 839" u="1"/>
        <s v="PCM KT-111/ 8X23.5/ PUA/ GLT/ BT21" u="1"/>
        <s v="GEL ZHIXIN + REFILL G-3123" u="1"/>
        <s v="GEL ZHIXIN + REFILL G-3124" u="1"/>
        <s v="CUTTER BLADE L-150 AM L JK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PCM LPY 66-31/ 7.5 X 21.5/ PUA/ BT21" u="1"/>
        <s v="GEL ZHIXIN + REFILL G-3128" u="1"/>
        <s v="MAP L/ CLEAR H SIKA AC-105 MERAH" u="1"/>
        <s v="CALCULATOR JOYKO CC-46" u="1"/>
        <s v="LILIN ANGKA SHINTOENG" u="1"/>
        <s v="GEL ZHIXIN + REFILL G-3129" u="1"/>
        <s v="GEL ZHIXIN + REFILL G-3101" u="1"/>
        <s v="KENKO HEAVY DUTY STAPLER HD-12N/13" u="1"/>
        <s v="ACRYLIC SISIPAN KERTAS A4 T 30 X 21 CM" u="1"/>
        <s v="WATER COLOR WC-4-12 JK" u="1"/>
        <s v="MESIN LABEL MX 5500M" u="1"/>
        <s v="GEL ZHIXIN + REFILL G-3103" u="1"/>
        <s v="BALLPEN GEL TF-3115 0.3MM HIGHTECH KNOCK" u="1"/>
        <s v="HD STAPLER HD-12N/13 JK" u="1"/>
        <s v="GUNINDO FL COKLAT" u="1"/>
        <s v="LL A5-100" u="1"/>
        <s v="KENKO CORRECTION FLUID KE-107 M" u="1"/>
        <s v="GEL ZHIXIN + REFILL G-3108" u="1"/>
        <s v="KENKO PUNCH NO.30 XL" u="1"/>
        <s v="AC-106 F MERAH" u="1"/>
        <s v="ACRYLIC SISIPAN KERTAS A5 T 15 X 21 C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MAP KANCING SIKA AC-05 HIJAU" u="1"/>
        <s v="PENCIL LEAD PL-10 2.0 2B JK" u="1"/>
        <s v="WATER COLOR WC-4-24 JK" u="1"/>
        <s v="ENTER WHITE BOARD 802 (K)" u="1"/>
        <s v="PAPER BAG / TAS MOTIF BATIK UK TANGGUNG" u="1"/>
        <s v="LOOSE LEAF A5-100 LBR DOTED/ TITIK" u="1"/>
        <s v="ZIPPER FILE 192BT WARNA PURPLE" u="1"/>
        <s v="PCM EP 65089" u="1"/>
        <s v="KERTAS CREPE POT KREASI KOALA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CRAYON PUTAR DISNEY PANJANG (N)" u="1"/>
        <s v="GEL 1.0 TG340BI BIRU" u="1"/>
        <s v="GEL ZHIXIN + REFILL G-5009" u="1"/>
        <s v="ACRYLIC COLOUR TF-AC-005P 12 X 6 ML PASTEL" u="1"/>
        <s v="KENKO CLOTH TAPE 24 MM BLUE CORE - BLACK (BT)" u="1"/>
        <s v="KENKO CLOTH TAPE 36 MM BLUE CORE - BLACK (BT)" u="1"/>
        <s v="KENKO CLOTH TAPE 48 MM BLUE CORE - BLACK (BT)" u="1"/>
        <s v="PCM A 1151" u="1"/>
        <s v="MAP KANCING SIKA AC-065 HIJAU" u="1"/>
        <s v="LOOSE LEAF A5-50 LBR RAINBOW GARIS/ HIJAU" u="1"/>
        <s v="SPIDOL 838-12 WRN" u="1"/>
        <s v="PENCIL CASE PC-0618FZ-1 A/D (FRUITZY)" u="1"/>
        <s v="PC A 792" u="1"/>
        <s v="KENKO BINDER CLIP NO.155" u="1"/>
        <s v="DATE STAMP S-68 (LUNAS) JK" u="1"/>
        <s v="TIP KEN KE108" u="1"/>
        <s v="TAS KARUNG 45 X 50" u="1"/>
        <s v="CALCULATOR JOYKO CO-23CO ORANGE" u="1"/>
        <s v="ENTER BOXFILE KCG (BF 567)" u="1"/>
        <s v="GLUE STICK 7 X 30" u="1"/>
        <s v="PC H 837" u="1"/>
        <s v="PCM GP-9373/ 8 X 23/ PUA/ GLT/ ASTRO" u="1"/>
        <s v="KENKO GEL PEN EASY GEL BLACK" u="1"/>
        <s v="GUNTING IDEAL K500" u="1"/>
        <s v="PCM LPY 66-31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KENKO PUSH PIN PN-30 COLOR" u="1"/>
        <s v="MAP L/ CLEAR H SIKA AC-105 BIRU" u="1"/>
        <s v="ZIPPER FILE 192BT WARNA BLUE" u="1"/>
        <s v="PALLET DOP SAKURA 201" u="1"/>
        <s v="PCM GP-9374/ 8 X 23/ PUA/ GLT/ LUCU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LOOSE LEAF A5 100GR TSUM" u="1"/>
        <s v="KENKO CORRECTION FLUID KE-826M" u="1"/>
        <s v="PENGGARIS SET PAYU PS-8805/ 20CM/ PK/ LUCU" u="1"/>
        <s v="P CASE REST H 466" u="1"/>
        <s v="GEL TIZO FANCY TG31037-E" u="1"/>
        <s v="SCISSOR SC-12 JK" u="1"/>
        <s v="KENKO LIQUID GLUE LG-50 50 ML" u="1"/>
        <s v="GEL PEN GP 237 XTECH BLACK JK" u="1"/>
        <s v="GEL PEN GP-265 Q GEL BLACK JK" u="1"/>
        <s v="CALCULATOR JOYKO CC-23CO BLACK" u="1"/>
        <s v="ENTER HANGMAP" u="1"/>
        <s v="BINDER CLIP 300 JK" u="1"/>
        <s v="TP BD BD 931" u="1"/>
        <s v="GARISAN GAMBAR  NO 4 MIKA" u="1"/>
        <s v="ZIPPER FILE 192BT WARNA RED" u="1"/>
        <s v="ENTER ABSEN LEBAR" u="1"/>
        <s v="SPIDOL PM-34 HTM" u="1"/>
        <s v="CORRECTION TAPE CT-520 JK" u="1"/>
        <s v="MASKER U/ BONUS" u="1"/>
        <s v="CORRECTION TAPE CT-522 JK" u="1"/>
        <s v="CUTTER TACO KCL 78" u="1"/>
        <s v="CLIP KENKO NO.3" u="1"/>
        <s v="TRIGONAL CLIP NO 3 JK" u="1"/>
        <s v="SAMPUL SAMSON BOXY FANCY" u="1"/>
        <s v="PCM XU-0080/ 12 X 22/ +PU/ DNY" u="1"/>
        <s v="BALLPEN PROMOSI HM-2220 U/ BONUS" u="1"/>
        <s v="KENKO PENCIL 2B-6800 PLATINUM" u="1"/>
        <s v="PCK 195" u="1"/>
        <s v="KENKO CORRECTION FLUID KE-823M" u="1"/>
        <s v="KENKO CUTTER K-200 (9MM BLADE)" u="1"/>
        <s v="CUTTER SC9A PUTIH" u="1"/>
        <s v="ENTER BUSUR NO.4" u="1"/>
        <s v="MAP KANCING SIKA AC-05 PUTIH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GEL TIZO FANCY TG31830-E" u="1"/>
        <s v="GEL TIZO FANCY TG31831-E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PCM LPY 666-7/ 7.5 X 22/ PUA/ TIMBUL/ D" u="1"/>
        <s v="CLIP BOARD CB-8888 DOVE" u="1"/>
        <s v="CUTTER BLADE A-100 AM S JK" u="1"/>
        <s v="PENSIL 2B FANCY KY-PF3065" u="1"/>
        <s v="PENSIL 2B KAYAGI KY-PF3061" u="1"/>
        <s v="PALET GAMBAR 1011" u="1"/>
        <s v="AGENDA 123 POLOS BIRU" u="1"/>
        <s v="PENSIL 2B KAYAGI KY-PF3062" u="1"/>
        <s v="PCM LPY 66-17" u="1"/>
        <s v="FLASHLIGHT FL-91 JK" u="1"/>
        <s v="MALAM SHINTOENG TG 1W POLOS" u="1"/>
        <s v="MALAM SHINTOENG B 6-12W" u="1"/>
        <s v="PENSIL 2B KAYAGI KY-PF2026" u="1"/>
        <s v="PALET ANGGUR BUTEK" u="1"/>
        <s v="KENKO STAMP PAD NO.0" u="1"/>
        <s v="PENSIL 2B FANCY KY-PF3051" u="1"/>
        <s v="MEKANIK TIZO 2.0 TM030-E" u="1"/>
        <s v="KENKO LOOSE LEAF B5-LL 100-2670" u="1"/>
        <s v="CALCULATOR JOYKO CC-15A" u="1"/>
        <s v="L LEAF A5-7020 (50S) JK" u="1"/>
        <s v="GEL PEN GP 330 BLACK JK" u="1"/>
        <s v="PENCIL CASE MAGNET + ISI CC-1021" u="1"/>
        <s v="CALCULATOR JOYKO CC-19A" u="1"/>
        <s v="MALAM SHINTOENG B 6/12W" u="1"/>
        <s v="CALCULATOR JOYKO CC-56" u="1"/>
        <s v="B CLIP 200" u="1"/>
        <s v="CALCULATOR JOYKO CC-57" u="1"/>
        <s v="PAPER BAG / TAS MOTIF BATIK UK BESAR" u="1"/>
        <s v="B CLIP 155" u="1"/>
        <s v="KENKO GEL PEN HI TECH H 0.28 MM BLUE" u="1"/>
        <s v="PUNCH 30 XL JK" u="1"/>
        <s v="ENTER N TAG D/MERAH" u="1"/>
        <s v="ERASER 526-B40CO JK" u="1"/>
        <s v="CLEAR HOLDER FOLIO SIKA PUTIH" u="1"/>
        <s v="PENCIL P-88 2B JK" u="1"/>
        <s v="CORRECTION TAPE CT-510A JK" u="1"/>
        <s v="ACRYLIC SISIPAN KERTAS A6 T 11 X 16 CM" u="1"/>
        <s v="BALLPEN GEL TF-1190 HTM 0.3MM HIGHTECH" u="1"/>
        <s v="KENKO PUNCH NO.40 XL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MAP KANCING SIKA AC-5 PUTIH" u="1"/>
        <s v="ACRYLIC NT 7 X 10 CM" u="1"/>
        <s v="CLIP FILE C-323 MIX" u="1"/>
        <s v="PCM LPY 66-11/ 8 X 23/ PUA/ D" u="1"/>
        <s v="AC-105 F PUTIH" u="1"/>
        <s v="ACRYLIC COLOUR TF-AC-006M 12 X 6 ML METALIC" u="1"/>
        <s v="PCK XDA-3348D/8X20/BENTUK/SET/TSUM" u="1"/>
        <s v="PENSIL 2B P95 JK" u="1"/>
        <s v="GP TIZO 395-F TG395-F" u="1"/>
        <s v="PENGGARIS SET PS-9811/ 20CM/ PPK/ BT21" u="1"/>
        <s v="ZIPPER FILE 192BT WARNA GREEN" u="1"/>
        <s v="MEK PENSIL 2B 2.0 TM01661" u="1"/>
        <s v="OSS GUNINDO" u="1"/>
        <s v="OSS GUNINDO " u="1"/>
        <s v="KENKO DUAL TIP 24 COLOR BRUSH PEN DBP-24" u="1"/>
        <s v="KENKO DUAL TIP 12 COLOR BRUSH PEN DBP-12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LOOSE LEAF A5-100 LBR RAINBOW GARIS" u="1"/>
        <s v="CRAYON 12W VAN-ART NEW" u="1"/>
        <s v="BINDER A5-TSIM-M478 (IMAGINTN) JK - U" u="1"/>
        <s v="XDATA DIRECT FILL PEN M2 HTM" u="1"/>
        <s v="BALLPEN TF-729 4WR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CUTTER A-300A AUTOLOCK JK" u="1"/>
        <s v="MALAM SHINTOENG K 6/12W" u="1"/>
        <s v="PENSIL 2B P88 JK" u="1"/>
        <s v="GARISAN TF-1991 BUSUR 360 DEGREE (K)" u="1"/>
        <s v="KOJIKO BUSUR 360 K" u="1"/>
        <s v="KENKO PENCIL LEAD PL-05 2B 0.5MM HI-POLYMER" u="1"/>
        <s v="GRS SABLON 290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STAINLESS STEEL SQ SCISSORS 6.0&quot; (COLOR) SC-SQ06C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P/C KODE 4SS A4001" u="1"/>
        <s v="BUSUR 3 1/2 MIKA" u="1"/>
        <s v="STAINLESS STEEL SQ SCISSORS 4.5&quot; (BLACK) SC-SQ04B" u="1"/>
        <s v="ENTER GRS 1M KAYU" u="1"/>
        <s v="STAINLESS STEEL SQ SCISSORS 4.5&quot; (COLOR) SC-SQ04C" u="1"/>
        <s v="PCM EP 65084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90"/>
    </cacheField>
    <cacheField name="QTY" numFmtId="0">
      <sharedItems containsString="0" containsBlank="1" containsNumber="1" containsInteger="1" minValue="7" maxValue="24000"/>
    </cacheField>
    <cacheField name="STN" numFmtId="0">
      <sharedItems containsBlank="1"/>
    </cacheField>
    <cacheField name="HARGA SATUAN" numFmtId="0">
      <sharedItems containsString="0" containsBlank="1" containsNumber="1" minValue="650" maxValue="273000"/>
    </cacheField>
    <cacheField name="HARGA/ CTN" numFmtId="4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"/>
    </cacheField>
    <cacheField name="DISC DLL" numFmtId="43">
      <sharedItems containsString="0" containsBlank="1" containsNumber="1" containsInteger="1" minValue="56500" maxValue="270864"/>
    </cacheField>
    <cacheField name="KETERANGAN" numFmtId="49">
      <sharedItems containsBlank="1"/>
    </cacheField>
    <cacheField name="JUMLAH" numFmtId="0">
      <sharedItems containsMixedTypes="1" containsNumber="1" minValue="19200" maxValue="105600000"/>
    </cacheField>
    <cacheField name="DISC 1-" numFmtId="43">
      <sharedItems containsMixedTypes="1" containsNumber="1" minValue="0" maxValue="9547200"/>
    </cacheField>
    <cacheField name="DISC 2-" numFmtId="43">
      <sharedItems containsMixedTypes="1" containsNumber="1" minValue="0" maxValue="1835865"/>
    </cacheField>
    <cacheField name="DISC" numFmtId="43">
      <sharedItems containsMixedTypes="1" containsNumber="1" minValue="0" maxValue="9547200"/>
    </cacheField>
    <cacheField name="TOTAL" numFmtId="43">
      <sharedItems containsMixedTypes="1" containsNumber="1" minValue="19200" maxValue="105600000"/>
    </cacheField>
    <cacheField name="Column2" numFmtId="43">
      <sharedItems containsNonDate="0" containsString="0" containsBlank="1"/>
    </cacheField>
    <cacheField name="DISC TOTAL" numFmtId="43">
      <sharedItems containsMixedTypes="1" containsNumber="1" minValue="0" maxValue="18038360"/>
    </cacheField>
    <cacheField name="TOTAL INVOICE" numFmtId="43">
      <sharedItems containsMixedTypes="1" containsNumber="1" minValue="0" maxValue="105600000"/>
    </cacheField>
    <cacheField name="HARGA/ CTN_H" numFmtId="3">
      <sharedItems containsMixedTypes="1" containsNumber="1" minValue="0" maxValue="13390000"/>
    </cacheField>
    <cacheField name="JUMLAH_H" numFmtId="43">
      <sharedItems containsMixedTypes="1" containsNumber="1" minValue="19200" maxValue="105600000"/>
    </cacheField>
    <cacheField name="TGL_H" numFmtId="14">
      <sharedItems containsDate="1" containsMixedTypes="1" minDate="2023-07-01T00:00:00" maxDate="2023-07-16T00:00:00" count="14">
        <d v="2023-07-01T00:00:00"/>
        <s v=""/>
        <d v="2023-07-03T00:00:00"/>
        <d v="2023-07-04T00:00:00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</sharedItems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2"/>
    </cacheField>
    <cacheField name="Column1" numFmtId="0">
      <sharedItems containsMixedTypes="1" containsNumber="1" containsInteger="1" minValue="5" maxValue="7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596" count="443">
        <n v="116"/>
        <n v="792"/>
        <s v=""/>
        <n v="510"/>
        <e v="#N/A"/>
        <n v="1563"/>
        <n v="1561"/>
        <n v="1564"/>
        <n v="1568"/>
        <n v="1571"/>
        <n v="1683"/>
        <n v="742"/>
        <n v="110"/>
        <n v="108"/>
        <n v="550"/>
        <n v="374"/>
        <n v="139"/>
        <n v="138"/>
        <n v="137"/>
        <n v="581"/>
        <n v="632"/>
        <n v="1510"/>
        <n v="1671"/>
        <n v="1672"/>
        <n v="573"/>
        <n v="94"/>
        <n v="2010"/>
        <n v="2012"/>
        <n v="2011"/>
        <n v="2009"/>
        <n v="1392"/>
        <n v="1266"/>
        <n v="1271"/>
        <n v="1356"/>
        <n v="1330"/>
        <n v="1310"/>
        <n v="1425"/>
        <n v="1429"/>
        <n v="1415"/>
        <n v="1268"/>
        <n v="1397"/>
        <n v="1229"/>
        <n v="1716"/>
        <n v="1709"/>
        <n v="1700"/>
        <n v="1688"/>
        <n v="1690"/>
        <n v="808"/>
        <n v="1828"/>
        <n v="1818"/>
        <n v="2578"/>
        <n v="2196"/>
        <n v="1605"/>
        <n v="1601"/>
        <n v="1600"/>
        <n v="2221"/>
        <n v="2494"/>
        <n v="2579"/>
        <n v="1725"/>
        <n v="853"/>
        <n v="802"/>
        <n v="1113"/>
        <n v="674"/>
        <n v="681"/>
        <n v="670"/>
        <n v="2199"/>
        <n v="1756"/>
        <n v="1757"/>
        <n v="1758"/>
        <n v="1759"/>
        <n v="1760"/>
        <n v="1761"/>
        <n v="1762"/>
        <n v="1754"/>
        <n v="2214"/>
        <n v="1218"/>
        <n v="1155"/>
        <n v="1168"/>
        <n v="1355"/>
        <n v="1454"/>
        <n v="1453"/>
        <n v="1359"/>
        <n v="1426"/>
        <n v="1427"/>
        <n v="1428"/>
        <n v="1175"/>
        <n v="1176"/>
        <n v="2381"/>
        <n v="1177"/>
        <n v="2026"/>
        <n v="2024"/>
        <n v="1508"/>
        <n v="547"/>
        <n v="82"/>
        <n v="820"/>
        <n v="827"/>
        <n v="2002"/>
        <n v="2014"/>
        <n v="540"/>
        <n v="766"/>
        <n v="767"/>
        <n v="773"/>
        <n v="763"/>
        <n v="2003"/>
        <n v="618"/>
        <n v="1179"/>
        <n v="1181"/>
        <n v="1172"/>
        <n v="1173"/>
        <n v="1174"/>
        <n v="1303"/>
        <n v="1290"/>
        <n v="1291"/>
        <n v="1313"/>
        <n v="1308"/>
        <n v="1460"/>
        <n v="1353"/>
        <n v="1406"/>
        <n v="669"/>
        <n v="2580"/>
        <n v="2581"/>
        <n v="2582"/>
        <n v="2583"/>
        <n v="2584"/>
        <n v="2585"/>
        <n v="2586"/>
        <n v="2587"/>
        <n v="2588"/>
        <n v="2589"/>
        <n v="1335"/>
        <n v="1259"/>
        <n v="1230"/>
        <n v="1441"/>
        <n v="1447"/>
        <n v="1267"/>
        <n v="764"/>
        <n v="774"/>
        <n v="617"/>
        <n v="1029"/>
        <n v="1503"/>
        <n v="1669"/>
        <n v="2332"/>
        <n v="2171"/>
        <n v="1966"/>
        <n v="1443"/>
        <n v="1450"/>
        <n v="1231"/>
        <n v="1455"/>
        <n v="1361"/>
        <n v="1445"/>
        <n v="1398"/>
        <n v="1813"/>
        <n v="1819"/>
        <n v="1825"/>
        <n v="115"/>
        <n v="111"/>
        <n v="2590"/>
        <n v="1418"/>
        <n v="1362"/>
        <n v="2592"/>
        <n v="1309"/>
        <n v="2593"/>
        <n v="1328"/>
        <n v="2594"/>
        <n v="2595"/>
        <n v="2275"/>
        <n v="2596"/>
        <n v="546"/>
        <n v="2444"/>
        <n v="1088"/>
        <n v="1089"/>
        <n v="1091"/>
        <n v="1092"/>
        <n v="2216"/>
        <n v="1569"/>
        <n v="564"/>
        <n v="565"/>
        <n v="1037"/>
        <n v="1038"/>
        <n v="2213"/>
        <n v="1028"/>
        <n v="544"/>
        <n v="2194"/>
        <n v="511" u="1"/>
        <n v="1007" u="1"/>
        <n v="1416" u="1"/>
        <n v="994" u="1"/>
        <n v="1461" u="1"/>
        <n v="1745" u="1"/>
        <n v="768" u="1"/>
        <n v="613" u="1"/>
        <n v="968" u="1"/>
        <n v="1551" u="1"/>
        <n v="600" u="1"/>
        <n v="671" u="1"/>
        <n v="1383" u="1"/>
        <n v="1951" u="1"/>
        <n v="2422" u="1"/>
        <n v="2493" u="1"/>
        <n v="443" u="1"/>
        <n v="1215" u="1"/>
        <n v="1357" u="1"/>
        <n v="1570" u="1"/>
        <n v="574" u="1"/>
        <n v="787" u="1"/>
        <n v="1260" u="1"/>
        <n v="1331" u="1"/>
        <n v="1402" u="1"/>
        <n v="1970" u="1"/>
        <n v="430" u="1"/>
        <n v="561" u="1"/>
        <n v="2015" u="1"/>
        <n v="2195" u="1"/>
        <n v="83" u="1"/>
        <n v="459" u="1"/>
        <n v="548" u="1"/>
        <n v="619" u="1"/>
        <n v="1350" u="1"/>
        <n v="1492" u="1"/>
        <n v="890" u="1"/>
        <n v="1182" u="1"/>
        <n v="1750" u="1"/>
        <n v="2091" u="1"/>
        <n v="375" u="1"/>
        <n v="593" u="1"/>
        <n v="735" u="1"/>
        <n v="1156" u="1"/>
        <n v="1227" u="1"/>
        <n v="1440" u="1"/>
        <n v="1511" u="1"/>
        <n v="1653" u="1"/>
        <n v="793" u="1"/>
        <n v="1272" u="1"/>
        <n v="1698" u="1"/>
        <n v="2129" u="1"/>
        <n v="433" u="1"/>
        <n v="851" u="1"/>
        <n v="1814" u="1"/>
        <n v="2027" u="1"/>
        <n v="1504" u="1"/>
        <n v="1717" u="1"/>
        <n v="2380" u="1"/>
        <n v="541" u="1"/>
        <n v="1336" u="1"/>
        <n v="1407" u="1"/>
        <n v="1691" u="1"/>
        <n v="741" u="1"/>
        <n v="1213" u="1"/>
        <n v="1497" u="1"/>
        <n v="1710" u="1"/>
        <n v="95" u="1"/>
        <n v="1258" u="1"/>
        <n v="1329" u="1"/>
        <n v="1684" u="1"/>
        <n v="1755" u="1"/>
        <n v="1826" u="1"/>
        <n v="2172" u="1"/>
        <n v="844" u="1"/>
        <n v="1090" u="1"/>
        <n v="1232" u="1"/>
        <n v="1587" u="1"/>
        <n v="2013" u="1"/>
        <n v="1419" u="1"/>
        <n v="2423" u="1"/>
        <n v="1180" u="1"/>
        <n v="1393" u="1"/>
        <n v="1535" u="1"/>
        <n v="1606" u="1"/>
        <n v="410" u="1"/>
        <n v="592" u="1"/>
        <n v="734" u="1"/>
        <n v="1509" u="1"/>
        <n v="1554" u="1"/>
        <n v="566" u="1"/>
        <n v="1670" u="1"/>
        <n v="1954" u="1"/>
        <n v="2025" u="1"/>
        <n v="2073" u="1"/>
        <n v="2215" u="1"/>
        <n v="2286" u="1"/>
        <n v="355" u="1"/>
        <n v="979" u="1"/>
        <n v="1360" u="1"/>
        <n v="1502" u="1"/>
        <n v="1573" u="1"/>
        <n v="611" u="1"/>
        <n v="682" u="1"/>
        <n v="1689" u="1"/>
        <n v="107" u="1"/>
        <n v="598" u="1"/>
        <n v="882" u="1"/>
        <n v="727" u="1"/>
        <n v="1495" u="1"/>
        <n v="2220" u="1"/>
        <n v="714" u="1"/>
        <n v="1114" u="1"/>
        <n v="1469" u="1"/>
        <n v="1895" u="1"/>
        <n v="358" u="1"/>
        <n v="500" u="1"/>
        <n v="559" u="1"/>
        <n v="1301" u="1"/>
        <n v="972" u="1"/>
        <n v="1701" u="1"/>
        <n v="604" u="1"/>
        <n v="675" u="1"/>
        <n v="888" u="1"/>
        <n v="1107" u="1"/>
        <n v="1178" u="1"/>
        <n v="1533" u="1"/>
        <n v="445" u="1"/>
        <n v="733" u="1"/>
        <n v="2004" u="1"/>
        <n v="1197" u="1"/>
        <n v="432" u="1"/>
        <n v="991" u="1"/>
        <n v="765" u="1"/>
        <n v="1642" u="1"/>
        <n v="2443" u="1"/>
        <n v="1687" u="1"/>
        <n v="1829" u="1"/>
        <n v="1093" u="1"/>
        <n v="1448" u="1"/>
        <n v="2197" u="1"/>
        <n v="726" u="1"/>
        <n v="1209" u="1"/>
        <n v="2287" u="1"/>
        <n v="435" u="1"/>
        <n v="1254" u="1"/>
        <n v="464" u="1"/>
        <n v="2183" u="1"/>
        <n v="545" u="1"/>
        <n v="971" u="1"/>
        <n v="37" u="1"/>
        <n v="603" u="1"/>
        <n v="1602" u="1"/>
        <n v="1673" u="1"/>
        <n v="732" u="1"/>
        <n v="803" u="1"/>
        <n v="945" u="1"/>
        <n v="1292" u="1"/>
        <n v="1363" u="1"/>
        <n v="1505" u="1"/>
        <n v="719" u="1"/>
        <n v="1550" u="1"/>
        <n v="1763" u="1"/>
        <n v="39" u="1"/>
        <n v="1169" u="1"/>
        <n v="1311" u="1"/>
        <n v="2420" u="1"/>
        <n v="354" u="1"/>
        <n v="551" u="1"/>
        <n v="906" u="1"/>
        <n v="977" u="1"/>
        <n v="1498" u="1"/>
        <n v="1782" u="1"/>
        <n v="2226" u="1"/>
        <n v="1188" u="1"/>
        <n v="1401" u="1"/>
        <n v="1969" u="1"/>
        <n v="412" u="1"/>
        <n v="525" u="1"/>
        <n v="809" u="1"/>
        <n v="1304" u="1"/>
        <n v="1446" u="1"/>
        <n v="2193" u="1"/>
        <n v="867" u="1"/>
        <n v="1491" u="1"/>
        <n v="1562" u="1"/>
        <n v="1633" u="1"/>
        <n v="1846" u="1"/>
        <n v="2070" u="1"/>
        <n v="2212" u="1"/>
        <n v="854" u="1"/>
        <n v="1039" u="1"/>
        <n v="1820" u="1"/>
        <n v="499" u="1"/>
        <n v="1226" u="1"/>
        <n v="828" u="1"/>
        <n v="970" u="1"/>
        <n v="2198" u="1"/>
        <n v="2411" u="1"/>
        <n v="602" u="1"/>
        <n v="815" u="1"/>
        <n v="45" u="1"/>
        <n v="731" u="1"/>
        <n v="1219" u="1"/>
        <n v="1645" u="1"/>
        <n v="860" u="1"/>
        <n v="1548" u="1"/>
        <n v="431" u="1"/>
        <n v="1238" u="1"/>
        <n v="1451" u="1"/>
        <n v="2061" u="1"/>
        <n v="2274" u="1"/>
        <n v="976" u="1"/>
        <n v="1354" u="1"/>
        <n v="1638" u="1"/>
        <n v="2577" u="1"/>
        <n v="821" u="1"/>
        <n v="892" u="1"/>
        <n v="1399" u="1"/>
        <n v="1967" u="1"/>
        <n v="737" u="1"/>
        <n v="1444" u="1"/>
        <n v="2331" u="1"/>
        <n v="582" u="1"/>
        <n v="1205" u="1"/>
        <n v="1276" u="1"/>
        <n v="2421" u="1"/>
        <n v="434" u="1"/>
        <n v="995" u="1"/>
        <n v="1747" u="1"/>
        <n v="1960" u="1"/>
        <n v="840" u="1"/>
        <n v="109" u="1"/>
        <n v="969" u="1"/>
        <n v="1269" u="1"/>
        <n v="1553" u="1"/>
        <n v="30" u="1"/>
        <n v="140" u="1"/>
        <n v="743" u="1"/>
        <n v="885" u="1"/>
        <n v="1030" u="1"/>
        <n v="1314" u="1"/>
        <n v="1456" u="1"/>
        <n v="1953" u="1"/>
        <n v="588" u="1"/>
        <n v="1430" u="1"/>
        <n v="1572" u="1"/>
        <n v="2090" u="1"/>
        <n v="31" u="1"/>
        <n v="633" u="1"/>
        <n v="775" u="1"/>
        <n v="917" u="1"/>
        <n v="2412" u="1"/>
        <n v="1352" u="1"/>
        <n v="1565" u="1"/>
        <n v="2076" u="1"/>
        <n v="117" u="1"/>
        <n v="411" u="1"/>
        <n v="1442" u="1"/>
        <n v="1726" u="1"/>
      </sharedItems>
    </cacheField>
    <cacheField name="Column3" numFmtId="0">
      <sharedItems/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82" maxValue="2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">
  <r>
    <n v="1"/>
    <s v="DUT_0107_23H-2"/>
    <e v="#REF!"/>
    <n v="1"/>
    <d v="2023-07-01T00:00:00"/>
    <s v="DUTA BUANA"/>
    <s v="UNTANA"/>
    <s v="HM/179/06-23H"/>
    <m/>
    <d v="2023-05-28T00:00:00"/>
    <m/>
    <x v="0"/>
    <n v="10"/>
    <n v="600"/>
    <s v="LSN"/>
    <n v="42000"/>
    <m/>
    <s v="60 LSN"/>
    <n v="0.03"/>
    <m/>
    <m/>
    <m/>
    <n v="25200000"/>
    <n v="756000"/>
    <n v="0"/>
    <n v="756000"/>
    <n v="24444000"/>
    <m/>
    <s v=""/>
    <s v=""/>
    <n v="2520000"/>
    <n v="25200000"/>
    <x v="0"/>
    <s v="DUTA BUANA"/>
    <x v="0"/>
    <n v="2"/>
    <n v="5"/>
    <s v="ballpentf20376wrmulticolorpen"/>
    <s v="ballpentf20376wrmulticolorpen25200000.03"/>
    <s v="ballpentf20376wrmulticolorpen25200000.03"/>
    <s v="DUTA BUANAUNTANAHM/179/06-23H45074ballpentf20376wrmulticolorpen"/>
    <e v="#REF!"/>
    <x v="0"/>
    <b v="1"/>
    <s v="60 LSN"/>
    <s v="ballpentf20376wrmulticolorpen60lsn"/>
    <n v="116"/>
  </r>
  <r>
    <s v=""/>
    <s v=""/>
    <s v=""/>
    <n v="1"/>
    <m/>
    <m/>
    <m/>
    <m/>
    <m/>
    <m/>
    <m/>
    <x v="1"/>
    <n v="1"/>
    <n v="60"/>
    <s v="LSN"/>
    <n v="20000"/>
    <m/>
    <s v="60 LSN"/>
    <n v="0.03"/>
    <m/>
    <m/>
    <m/>
    <n v="1200000"/>
    <n v="36000"/>
    <n v="0"/>
    <n v="36000"/>
    <n v="1164000"/>
    <m/>
    <n v="792000"/>
    <n v="25608000"/>
    <n v="1200000"/>
    <n v="1200000"/>
    <x v="0"/>
    <s v="DUTA BUANA"/>
    <x v="0"/>
    <s v=""/>
    <n v="5"/>
    <s v="garisantf360"/>
    <s v="garisantf36012000000.03"/>
    <s v="garisantf36012000000.03"/>
    <s v=""/>
    <s v=""/>
    <x v="1"/>
    <b v="1"/>
    <s v="60 LSN"/>
    <s v="garisantf36060lsn"/>
    <n v="7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"/>
    <s v="GRA_0107_LAN-2"/>
    <e v="#REF!"/>
    <n v="2"/>
    <m/>
    <s v="GRAFINDO"/>
    <s v="UNTANA"/>
    <s v="SURAT JALAN"/>
    <m/>
    <d v="2023-06-30T00:00:00"/>
    <m/>
    <x v="3"/>
    <n v="11"/>
    <n v="660"/>
    <s v="LSN"/>
    <n v="9100"/>
    <m/>
    <s v="60 LSN"/>
    <m/>
    <m/>
    <m/>
    <m/>
    <n v="6006000"/>
    <n v="0"/>
    <n v="0"/>
    <n v="0"/>
    <n v="6006000"/>
    <m/>
    <s v=""/>
    <s v=""/>
    <n v="546000"/>
    <n v="6006000"/>
    <x v="0"/>
    <s v="GRAFINDO"/>
    <x v="0"/>
    <n v="2"/>
    <n v="6"/>
    <s v="clearholderfoliosikaac105fmerah"/>
    <s v="clearholderfoliosikaac105fmerah546000"/>
    <s v="clearholderfoliosikaac105fmerah546000"/>
    <s v="GRAFINDOUNTANASURAT JALAN45107clearholderfoliosikaac105fmerah"/>
    <e v="#REF!"/>
    <x v="3"/>
    <b v="1"/>
    <s v="60 LSN"/>
    <s v="clearholderfoliosikaac105fmerah60lsn"/>
    <n v="510"/>
  </r>
  <r>
    <s v=""/>
    <s v=""/>
    <s v=""/>
    <n v="2"/>
    <m/>
    <m/>
    <m/>
    <m/>
    <m/>
    <m/>
    <m/>
    <x v="4"/>
    <n v="23"/>
    <n v="1380"/>
    <s v="LSN"/>
    <n v="9100"/>
    <m/>
    <s v="60 LSN"/>
    <m/>
    <m/>
    <m/>
    <m/>
    <n v="12558000"/>
    <n v="0"/>
    <n v="0"/>
    <n v="0"/>
    <n v="12558000"/>
    <m/>
    <n v="0"/>
    <n v="18564000"/>
    <n v="546000"/>
    <n v="12558000"/>
    <x v="0"/>
    <s v="GRAFINDO"/>
    <x v="0"/>
    <s v=""/>
    <n v="6"/>
    <s v="clearholderfoliosikaac105fkuning"/>
    <s v="clearholderfoliosikaac105fkuning546000"/>
    <s v="clearholderfoliosikaac105fkuning546000"/>
    <s v=""/>
    <s v=""/>
    <x v="4"/>
    <b v="1"/>
    <s v="60 LSN"/>
    <s v="clearholderfoliosikaac105fkuning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"/>
    <s v="BIN_0107_945-5"/>
    <e v="#REF!"/>
    <n v="3"/>
    <m/>
    <s v="BINTANG JAYA"/>
    <s v="UNTANA"/>
    <s v="SO2023060080945"/>
    <m/>
    <d v="2023-06-27T00:00:00"/>
    <m/>
    <x v="5"/>
    <n v="2"/>
    <n v="300"/>
    <s v="PAK"/>
    <n v="770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n v="5"/>
    <n v="6"/>
    <s v="looseleafa5100lbrkoalamtk"/>
    <s v="looseleafa5100lbrkoalamtk1155000"/>
    <s v="looseleafa5100lbrkoalamtk1155000"/>
    <s v="BINTANG JAYAUNTANASO202306008094545104looseleafa5100lbrkoalamtk"/>
    <e v="#REF!"/>
    <x v="5"/>
    <s v=""/>
    <s v="150 PAK"/>
    <s v="looseleafa5100lbrkoalamtk150pak"/>
    <n v="1563"/>
  </r>
  <r>
    <s v=""/>
    <s v=""/>
    <s v=""/>
    <n v="3"/>
    <m/>
    <m/>
    <m/>
    <m/>
    <m/>
    <m/>
    <m/>
    <x v="6"/>
    <n v="2"/>
    <n v="600"/>
    <s v="PAK"/>
    <n v="385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s v=""/>
    <n v="6"/>
    <s v="looseleafa550lbrkoalamtk"/>
    <s v="looseleafa550lbrkoalamtk1155000"/>
    <s v="looseleafa550lbrkoalamtk1155000"/>
    <s v=""/>
    <s v=""/>
    <x v="6"/>
    <s v=""/>
    <s v="300 PAK"/>
    <s v="looseleafa550lbrkoalamtk300pak"/>
    <n v="1561"/>
  </r>
  <r>
    <s v=""/>
    <s v=""/>
    <s v=""/>
    <n v="3"/>
    <m/>
    <m/>
    <m/>
    <m/>
    <m/>
    <m/>
    <m/>
    <x v="7"/>
    <n v="2"/>
    <n v="320"/>
    <s v="PAK"/>
    <n v="9500"/>
    <m/>
    <m/>
    <m/>
    <m/>
    <m/>
    <m/>
    <n v="3040000"/>
    <n v="0"/>
    <n v="0"/>
    <n v="0"/>
    <n v="3040000"/>
    <m/>
    <s v=""/>
    <s v=""/>
    <n v="1520000"/>
    <n v="3040000"/>
    <x v="0"/>
    <s v="BINTANG JAYA"/>
    <x v="0"/>
    <s v=""/>
    <n v="6"/>
    <s v="looseleafa5100lbrdotedtitik"/>
    <s v="looseleafa5100lbrdotedtitik1520000"/>
    <s v="looseleafa5100lbrdotedtitik1520000"/>
    <s v=""/>
    <s v=""/>
    <x v="7"/>
    <s v=""/>
    <s v="160 PAK"/>
    <s v="looseleafa5100lbrdotedtitik160pak"/>
    <n v="1564"/>
  </r>
  <r>
    <s v=""/>
    <s v=""/>
    <s v=""/>
    <n v="3"/>
    <m/>
    <m/>
    <m/>
    <m/>
    <m/>
    <m/>
    <m/>
    <x v="8"/>
    <n v="1"/>
    <n v="200"/>
    <s v="PAK"/>
    <n v="4750"/>
    <m/>
    <m/>
    <m/>
    <m/>
    <m/>
    <m/>
    <n v="950000"/>
    <n v="0"/>
    <n v="0"/>
    <n v="0"/>
    <n v="950000"/>
    <m/>
    <s v=""/>
    <s v=""/>
    <n v="950000"/>
    <n v="950000"/>
    <x v="0"/>
    <s v="BINTANG JAYA"/>
    <x v="0"/>
    <s v=""/>
    <n v="6"/>
    <s v="looseleafa550lbrdotedtitik"/>
    <s v="looseleafa550lbrdotedtitik950000"/>
    <s v="looseleafa550lbrdotedtitik950000"/>
    <s v=""/>
    <s v=""/>
    <x v="8"/>
    <s v=""/>
    <s v="40 LSN"/>
    <s v="looseleafa550lbrdotedtitik40lsn"/>
    <n v="1568"/>
  </r>
  <r>
    <s v=""/>
    <s v=""/>
    <s v=""/>
    <n v="3"/>
    <m/>
    <m/>
    <m/>
    <m/>
    <m/>
    <m/>
    <m/>
    <x v="9"/>
    <n v="2"/>
    <n v="300"/>
    <s v="PAK"/>
    <n v="10500"/>
    <m/>
    <m/>
    <m/>
    <m/>
    <m/>
    <m/>
    <n v="3150000"/>
    <n v="0"/>
    <n v="0"/>
    <n v="0"/>
    <n v="3150000"/>
    <m/>
    <n v="0"/>
    <n v="11760000"/>
    <n v="1575000"/>
    <n v="3150000"/>
    <x v="0"/>
    <s v="BINTANG JAYA"/>
    <x v="0"/>
    <s v=""/>
    <n v="6"/>
    <s v="looseleafb5100lbrkoalamtk"/>
    <s v="looseleafb5100lbrkoalamtk1575000"/>
    <s v="looseleafb5100lbrkoalamtk1575000"/>
    <s v=""/>
    <s v=""/>
    <x v="9"/>
    <s v=""/>
    <s v="150 PAK"/>
    <s v="looseleafb5100lbrkoalamtk150pak"/>
    <n v="157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"/>
    <s v="SUR_0307_949-1"/>
    <e v="#REF!"/>
    <n v="4"/>
    <d v="2023-07-03T00:00:00"/>
    <s v="SURYA PRATAMA"/>
    <s v="UNTANA"/>
    <s v="F23F000949"/>
    <m/>
    <d v="2023-06-26T00:00:00"/>
    <m/>
    <x v="10"/>
    <n v="4"/>
    <n v="4800"/>
    <s v="PCS"/>
    <n v="2312.5"/>
    <m/>
    <s v="1200 PCS"/>
    <n v="0.2"/>
    <m/>
    <m/>
    <m/>
    <n v="11100000"/>
    <n v="2220000"/>
    <n v="0"/>
    <n v="2220000"/>
    <n v="8880000"/>
    <m/>
    <n v="2220000"/>
    <n v="8880000"/>
    <n v="2775000"/>
    <n v="11100000"/>
    <x v="2"/>
    <s v="SURYA PRATAMA"/>
    <x v="0"/>
    <n v="1"/>
    <n v="6"/>
    <s v="bukumewarnaijjumbofancyangka&amp;huruf"/>
    <s v="bukumewarnaijjumbofancyangka&amp;huruf27750000.2"/>
    <s v="bukumewarnaijjumbofancyangka&amp;huruf27750000.2"/>
    <s v="SURYA PRATAMAUNTANAF23F00094945103bukumewarnaijjumbofancyangka&amp;huruf"/>
    <e v="#REF!"/>
    <x v="4"/>
    <b v="1"/>
    <s v="1200 PCS"/>
    <s v="bukumewarnaijjumbofancyangka&amp;huruf12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"/>
    <s v="SAP_0407_SOS-1"/>
    <e v="#REF!"/>
    <n v="5"/>
    <d v="2023-07-04T00:00:00"/>
    <s v="SAPUTRO"/>
    <s v="UNTANA"/>
    <s v="G-1632.INV.SOS"/>
    <m/>
    <d v="2023-07-03T00:00:00"/>
    <m/>
    <x v="11"/>
    <n v="30"/>
    <n v="300"/>
    <s v="PCS"/>
    <n v="48000"/>
    <m/>
    <s v="10 PCS"/>
    <m/>
    <m/>
    <m/>
    <m/>
    <n v="14400000"/>
    <n v="0"/>
    <n v="0"/>
    <n v="0"/>
    <n v="14400000"/>
    <m/>
    <n v="0"/>
    <n v="14400000"/>
    <n v="480000"/>
    <n v="14400000"/>
    <x v="3"/>
    <s v="SAPUTRO"/>
    <x v="0"/>
    <n v="1"/>
    <n v="7"/>
    <s v="mejaipadimportjumbokarakter"/>
    <s v="mejaipadimportjumbokarakter480000"/>
    <s v="mejaipadimportjumbokarakter480000"/>
    <s v="SAPUTROUNTANAG-1632.INV.SOS45110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"/>
    <s v="ETJ_0407_823-2"/>
    <e v="#REF!"/>
    <n v="6"/>
    <m/>
    <s v="ETJ"/>
    <s v="UNTANA"/>
    <s v="K48.23"/>
    <m/>
    <d v="2023-07-03T00:00:00"/>
    <m/>
    <x v="12"/>
    <n v="5"/>
    <n v="60"/>
    <s v="LSN"/>
    <n v="38000"/>
    <m/>
    <s v="60 LSN"/>
    <m/>
    <m/>
    <m/>
    <m/>
    <n v="2280000"/>
    <n v="0"/>
    <n v="0"/>
    <n v="0"/>
    <n v="2280000"/>
    <m/>
    <s v=""/>
    <s v=""/>
    <n v="456000"/>
    <n v="2280000"/>
    <x v="3"/>
    <s v="ETJ"/>
    <x v="0"/>
    <n v="2"/>
    <n v="7"/>
    <s v="entercboardkayu"/>
    <s v="entercboardkayu456000"/>
    <s v="entercboardkayu456000"/>
    <s v="ETJUNTANAK48.2345110entercboardkayu"/>
    <e v="#REF!"/>
    <x v="11"/>
    <b v="1"/>
    <s v="60 LSN"/>
    <s v="entercboardkayu60lsn"/>
    <e v="#N/A"/>
  </r>
  <r>
    <s v=""/>
    <s v=""/>
    <s v=""/>
    <n v="6"/>
    <m/>
    <m/>
    <m/>
    <m/>
    <m/>
    <m/>
    <m/>
    <x v="13"/>
    <n v="1"/>
    <n v="7000"/>
    <s v="PCS"/>
    <n v="650"/>
    <m/>
    <s v="7000 PCS"/>
    <m/>
    <m/>
    <m/>
    <m/>
    <n v="4550000"/>
    <n v="0"/>
    <n v="0"/>
    <n v="0"/>
    <n v="4550000"/>
    <m/>
    <n v="0"/>
    <n v="6830000"/>
    <n v="4550000"/>
    <n v="4550000"/>
    <x v="3"/>
    <s v="ETJ"/>
    <x v="0"/>
    <s v=""/>
    <n v="7"/>
    <s v="enter12x18"/>
    <s v="enter12x184550000"/>
    <s v="enter12x184550000"/>
    <s v=""/>
    <s v=""/>
    <x v="4"/>
    <b v="1"/>
    <s v="7000 PCS"/>
    <s v="enter12x187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"/>
    <s v="DUT_0407_23H-1"/>
    <e v="#REF!"/>
    <n v="7"/>
    <m/>
    <s v="DUTA BUANA"/>
    <s v="UNTANA"/>
    <s v="HM/186/07-23H"/>
    <m/>
    <d v="2023-07-01T00:00:00"/>
    <m/>
    <x v="14"/>
    <n v="3"/>
    <n v="180"/>
    <s v="LSN"/>
    <n v="21500"/>
    <m/>
    <s v="60 LSN"/>
    <n v="0.03"/>
    <m/>
    <m/>
    <m/>
    <n v="3870000"/>
    <n v="116100"/>
    <n v="0"/>
    <n v="116100"/>
    <n v="3753900"/>
    <m/>
    <n v="116100"/>
    <n v="3753900"/>
    <n v="1290000"/>
    <n v="3870000"/>
    <x v="3"/>
    <s v="DUTA BUANA"/>
    <x v="0"/>
    <n v="1"/>
    <n v="7"/>
    <s v="stabilotf1145livecolourpastel"/>
    <s v="stabilotf1145livecolourpastel12900000.03"/>
    <s v="stabilotf1145livecolourpastel12900000.03"/>
    <s v="DUTA BUANAUNTANAHM/186/07-23H45108stabilotf1145livecolourpastel"/>
    <e v="#REF!"/>
    <x v="4"/>
    <b v="1"/>
    <s v="60 LSN"/>
    <s v="stabilotf1145livecolourpastel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"/>
    <s v="DUT_0407_23H-1"/>
    <e v="#REF!"/>
    <n v="8"/>
    <m/>
    <s v="DUTA BUANA"/>
    <s v="UNTANA"/>
    <s v="HM/185/07-23H"/>
    <m/>
    <d v="2023-07-01T00:00:00"/>
    <m/>
    <x v="15"/>
    <n v="3"/>
    <n v="288"/>
    <s v="LSN"/>
    <n v="26500"/>
    <m/>
    <s v="96 LSN"/>
    <n v="0.03"/>
    <m/>
    <m/>
    <m/>
    <n v="7632000"/>
    <n v="228960"/>
    <n v="0"/>
    <n v="228960"/>
    <n v="7403040"/>
    <m/>
    <n v="228960"/>
    <n v="7403040"/>
    <n v="2544000"/>
    <n v="7632000"/>
    <x v="3"/>
    <s v="DUTA BUANA"/>
    <x v="0"/>
    <n v="1"/>
    <n v="7"/>
    <s v="ballpengeltf1191bodywr03mmhightech"/>
    <s v="ballpengeltf1191bodywr03mmhightech25440000.03"/>
    <s v="ballpengeltf1191bodywr03mmhightech25440000.03"/>
    <s v="DUTA BUANAUNTANAHM/185/07-23H45108ballpengeltf1191bodywr03mmhightech"/>
    <e v="#REF!"/>
    <x v="12"/>
    <b v="1"/>
    <s v="96 LSN"/>
    <s v="ballpengeltf1191bodywr03mmhightech96lsn"/>
    <n v="1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9"/>
    <s v="DUT_0407_23H-2"/>
    <e v="#REF!"/>
    <n v="9"/>
    <m/>
    <s v="DUTA BUANA"/>
    <s v="UNTANA"/>
    <s v="HM/191/07-23H"/>
    <m/>
    <d v="2023-07-04T00:00:00"/>
    <m/>
    <x v="16"/>
    <n v="3"/>
    <n v="288"/>
    <s v="LSN"/>
    <n v="26500"/>
    <m/>
    <s v="96 LSN"/>
    <n v="0.03"/>
    <m/>
    <m/>
    <m/>
    <n v="7632000"/>
    <n v="228960"/>
    <n v="0"/>
    <n v="228960"/>
    <n v="7403040"/>
    <m/>
    <s v=""/>
    <s v=""/>
    <n v="2544000"/>
    <n v="7632000"/>
    <x v="3"/>
    <s v="DUTA BUANA"/>
    <x v="0"/>
    <n v="2"/>
    <n v="7"/>
    <s v="ballpengeltf1191bodywr03mmhightech"/>
    <s v="ballpengeltf1191bodywr03mmhightech25440000.03"/>
    <s v="ballpengeltf1191bodywr03mmhightech25440000.03"/>
    <s v="DUTA BUANAUNTANAHM/191/07-23H45111ballpengeltf1191bodywr03mmhightech"/>
    <e v="#REF!"/>
    <x v="12"/>
    <b v="1"/>
    <s v="96 LSN"/>
    <s v="ballpengeltf1191bodywr03mmhightech96lsn"/>
    <n v="110"/>
  </r>
  <r>
    <s v=""/>
    <s v=""/>
    <s v=""/>
    <n v="9"/>
    <m/>
    <m/>
    <m/>
    <m/>
    <m/>
    <m/>
    <m/>
    <x v="17"/>
    <n v="3"/>
    <n v="288"/>
    <s v="LSN"/>
    <n v="26500"/>
    <m/>
    <s v="96 LSN"/>
    <n v="0.03"/>
    <m/>
    <m/>
    <m/>
    <n v="7632000"/>
    <n v="228960"/>
    <n v="0"/>
    <n v="228960"/>
    <n v="7403040"/>
    <m/>
    <n v="457920"/>
    <n v="14806080"/>
    <n v="2544000"/>
    <n v="7632000"/>
    <x v="3"/>
    <s v="DUTA BUANA"/>
    <x v="0"/>
    <s v=""/>
    <n v="7"/>
    <s v="ballpengeltf1190br03mmhightech"/>
    <s v="ballpengeltf1190br03mmhightech25440000.03"/>
    <s v="ballpengeltf1190br03mmhightech25440000.03"/>
    <s v=""/>
    <s v=""/>
    <x v="13"/>
    <b v="1"/>
    <s v="96 LSN"/>
    <s v="ballpengeltf1190br03mmhightech96lsn"/>
    <n v="1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0"/>
    <s v="SBS_0407_B1M-1"/>
    <e v="#REF!"/>
    <n v="10"/>
    <m/>
    <s v="SBS"/>
    <s v="UNTANA"/>
    <s v="VG0014B1M"/>
    <m/>
    <d v="2023-07-01T00:00:00"/>
    <m/>
    <x v="18"/>
    <n v="5"/>
    <n v="600"/>
    <s v="PCS"/>
    <n v="16325"/>
    <m/>
    <s v="120 PCS"/>
    <m/>
    <m/>
    <m/>
    <m/>
    <n v="9795000"/>
    <n v="0"/>
    <n v="0"/>
    <n v="0"/>
    <n v="9795000"/>
    <m/>
    <n v="0"/>
    <n v="9795000"/>
    <n v="1959000"/>
    <n v="9795000"/>
    <x v="3"/>
    <s v="SBS"/>
    <x v="0"/>
    <n v="1"/>
    <n v="7"/>
    <s v="pcklpy99108x215x453sd"/>
    <s v="pcklpy99108x215x453sd1959000"/>
    <s v="pcklpy99108x215x453sd1959000"/>
    <s v="SBSUNTANAVG0014B1M45108pcklpy99108x215x453sd"/>
    <e v="#REF!"/>
    <x v="4"/>
    <b v="1"/>
    <s v="120 PCS"/>
    <s v="pcklpy99108x215x453sd12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1"/>
    <s v="SBS_0407_LAN-1"/>
    <e v="#REF!"/>
    <n v="11"/>
    <m/>
    <s v="SBS"/>
    <s v="UNTANA"/>
    <s v="SURAT JALAN"/>
    <s v="TH024/6/2023"/>
    <d v="2023-07-03T00:00:00"/>
    <m/>
    <x v="19"/>
    <n v="7"/>
    <m/>
    <m/>
    <m/>
    <m/>
    <m/>
    <m/>
    <m/>
    <m/>
    <m/>
    <s v=""/>
    <s v=""/>
    <s v=""/>
    <s v=""/>
    <s v=""/>
    <m/>
    <n v="0"/>
    <n v="0"/>
    <n v="0"/>
    <s v=""/>
    <x v="3"/>
    <s v="SBS"/>
    <x v="0"/>
    <n v="1"/>
    <n v="7"/>
    <s v="corrtapemt737a"/>
    <s v="corrtapemt737a0"/>
    <s v="corrtapemt737a0"/>
    <s v="SBSUNTANASURAT JALANTH024/6/202345110corrtapemt737a"/>
    <e v="#REF!"/>
    <x v="14"/>
    <s v=""/>
    <s v="48 LSN"/>
    <s v="corrtapemt737a48lsn"/>
    <n v="55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2"/>
    <s v="PPW_0407_LAN-2"/>
    <e v="#REF!"/>
    <n v="12"/>
    <m/>
    <s v="PPW"/>
    <s v="UNTANA"/>
    <s v="SURAT JALAN"/>
    <s v="023/JSW/VII/23"/>
    <d v="2023-07-04T00:00:00"/>
    <m/>
    <x v="20"/>
    <n v="1"/>
    <n v="50"/>
    <s v="DZ"/>
    <n v="39500"/>
    <m/>
    <m/>
    <n v="0.2"/>
    <n v="0.04"/>
    <m/>
    <m/>
    <n v="1975000"/>
    <n v="395000"/>
    <n v="63200"/>
    <n v="458200"/>
    <n v="1516800"/>
    <m/>
    <s v=""/>
    <s v=""/>
    <n v="1975000"/>
    <n v="1975000"/>
    <x v="3"/>
    <s v="PPW"/>
    <x v="0"/>
    <n v="2"/>
    <n v="7"/>
    <s v="bt123a"/>
    <s v="bt123a19750000.20.04"/>
    <s v="bt123a19750000.20.04"/>
    <s v="PPWUNTANASURAT JALAN023/JSW/VII/2345111bt123a"/>
    <e v="#REF!"/>
    <x v="4"/>
    <s v=""/>
    <e v="#N/A"/>
    <e v="#N/A"/>
    <e v="#N/A"/>
  </r>
  <r>
    <s v=""/>
    <s v=""/>
    <s v=""/>
    <n v="12"/>
    <m/>
    <m/>
    <m/>
    <m/>
    <m/>
    <m/>
    <m/>
    <x v="21"/>
    <n v="1"/>
    <n v="20"/>
    <s v="DZ"/>
    <n v="83800"/>
    <m/>
    <m/>
    <n v="0.2"/>
    <n v="0.04"/>
    <m/>
    <m/>
    <n v="1676000"/>
    <n v="335200"/>
    <n v="53632"/>
    <n v="388832"/>
    <n v="1287168"/>
    <m/>
    <n v="847032"/>
    <n v="2803968"/>
    <n v="1676000"/>
    <n v="1676000"/>
    <x v="3"/>
    <s v="PPW"/>
    <x v="0"/>
    <s v=""/>
    <n v="7"/>
    <s v="pgrsbt17206besar"/>
    <s v="pgrsbt17206besar16760000.20.04"/>
    <s v="pgrsbt17206besar16760000.20.04"/>
    <s v=""/>
    <s v="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3"/>
    <s v="PPW_0407_LAN-1"/>
    <e v="#REF!"/>
    <n v="13"/>
    <m/>
    <s v="PPW"/>
    <s v="UNTANA"/>
    <s v="SURAT JALAN"/>
    <s v="0046/HW/VII/23"/>
    <d v="2023-07-04T00:00:00"/>
    <m/>
    <x v="22"/>
    <n v="5"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2678000"/>
    <n v="13390000"/>
    <x v="3"/>
    <s v="PPW"/>
    <x v="0"/>
    <n v="1"/>
    <n v="7"/>
    <s v="bt30cm"/>
    <s v="bt30cm26780000.20.04"/>
    <s v="bt30cm26780000.20.04"/>
    <s v="PPWUNTANASURAT JALAN0046/HW/VII/2345111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4"/>
    <s v="PSM_0407_006-7"/>
    <e v="#REF!"/>
    <n v="14"/>
    <m/>
    <s v="PSM"/>
    <s v="UNTANA"/>
    <s v="PSM-R2307000006"/>
    <m/>
    <d v="2023-07-03T00:00:00"/>
    <m/>
    <x v="23"/>
    <n v="2"/>
    <n v="144"/>
    <s v="LPG"/>
    <n v="110000"/>
    <m/>
    <s v="72 LPG"/>
    <n v="0.2"/>
    <m/>
    <m/>
    <m/>
    <n v="15840000"/>
    <n v="3168000"/>
    <n v="0"/>
    <n v="3168000"/>
    <n v="12672000"/>
    <m/>
    <s v=""/>
    <s v=""/>
    <n v="7920000"/>
    <n v="15840000"/>
    <x v="3"/>
    <s v="PSM"/>
    <x v="0"/>
    <n v="7"/>
    <n v="7"/>
    <s v="balonsmilekuning20x5lks3200sk"/>
    <s v="balonsmilekuning20x5lks3200sk79200000.2"/>
    <s v="balonsmilekuning20x5lks3200sk79200000.2"/>
    <s v="PSMUNTANAPSM-R230700000645110balonsmilekuning20x5lks3200sk"/>
    <e v="#REF!"/>
    <x v="4"/>
    <b v="1"/>
    <s v="72 LPG"/>
    <s v="balonsmilekuning20x5lks3200sk72lpg"/>
    <e v="#N/A"/>
  </r>
  <r>
    <s v=""/>
    <s v=""/>
    <s v=""/>
    <n v="14"/>
    <m/>
    <m/>
    <m/>
    <m/>
    <m/>
    <m/>
    <m/>
    <x v="24"/>
    <n v="2"/>
    <n v="80"/>
    <s v="LPG"/>
    <n v="125000"/>
    <m/>
    <s v="40 LPG"/>
    <n v="0.2"/>
    <m/>
    <m/>
    <m/>
    <n v="10000000"/>
    <n v="2000000"/>
    <n v="0"/>
    <n v="2000000"/>
    <n v="8000000"/>
    <m/>
    <s v=""/>
    <s v=""/>
    <n v="5000000"/>
    <n v="10000000"/>
    <x v="3"/>
    <s v="PSM"/>
    <x v="0"/>
    <s v=""/>
    <n v="7"/>
    <s v="balonfshswarna20x5lkf3200hbw"/>
    <s v="balonfshswarna20x5lkf3200hbw50000000.2"/>
    <s v="balonfshswarna20x5lkf3200hbw50000000.2"/>
    <s v=""/>
    <s v=""/>
    <x v="4"/>
    <b v="1"/>
    <s v="40 LPG"/>
    <s v="balonfshswarna20x5lkf3200hbw40lpg"/>
    <e v="#N/A"/>
  </r>
  <r>
    <s v=""/>
    <s v=""/>
    <s v=""/>
    <n v="14"/>
    <m/>
    <m/>
    <m/>
    <m/>
    <m/>
    <m/>
    <m/>
    <x v="25"/>
    <n v="1"/>
    <n v="50"/>
    <s v="LPG"/>
    <n v="75000"/>
    <m/>
    <s v="50 LPG"/>
    <n v="0.2"/>
    <m/>
    <m/>
    <m/>
    <n v="3750000"/>
    <n v="750000"/>
    <n v="0"/>
    <n v="750000"/>
    <n v="3000000"/>
    <m/>
    <s v=""/>
    <s v=""/>
    <n v="3750000"/>
    <n v="3750000"/>
    <x v="3"/>
    <s v="PSM"/>
    <x v="0"/>
    <s v=""/>
    <n v="7"/>
    <s v="balonmacaron122820x5lkm2800"/>
    <s v="balonmacaron122820x5lkm280037500000.2"/>
    <s v="balonmacaron122820x5lkm280037500000.2"/>
    <s v=""/>
    <s v=""/>
    <x v="16"/>
    <b v="1"/>
    <s v="50 LPG"/>
    <s v="balonmacaron122820x5lkm280050lpg"/>
    <n v="139"/>
  </r>
  <r>
    <s v=""/>
    <s v=""/>
    <s v=""/>
    <n v="14"/>
    <m/>
    <m/>
    <m/>
    <m/>
    <m/>
    <m/>
    <m/>
    <x v="26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macaron102220x5lkm2200"/>
    <s v="balonmacaron102220x5lkm220040500000.2"/>
    <s v="balonmacaron102220x5lkm220040500000.2"/>
    <s v=""/>
    <s v=""/>
    <x v="17"/>
    <b v="1"/>
    <s v="60 LPG"/>
    <s v="balonmacaron102220x5lkm220060lpg"/>
    <n v="138"/>
  </r>
  <r>
    <s v=""/>
    <s v=""/>
    <s v=""/>
    <n v="14"/>
    <m/>
    <m/>
    <m/>
    <m/>
    <m/>
    <m/>
    <m/>
    <x v="27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kilap102220x5lkp2200"/>
    <s v="balonkilap102220x5lkp220040500000.2"/>
    <s v="balonkilap102220x5lkp220040500000.2"/>
    <s v=""/>
    <s v=""/>
    <x v="4"/>
    <b v="1"/>
    <s v="60 LPG"/>
    <s v="balonkilap102220x5lkp220060lpg"/>
    <e v="#N/A"/>
  </r>
  <r>
    <s v=""/>
    <s v=""/>
    <s v=""/>
    <n v="14"/>
    <m/>
    <m/>
    <m/>
    <m/>
    <m/>
    <m/>
    <m/>
    <x v="28"/>
    <n v="2"/>
    <n v="100"/>
    <s v="LPG"/>
    <n v="85000"/>
    <m/>
    <s v="50 LPG"/>
    <n v="0.2"/>
    <m/>
    <m/>
    <m/>
    <n v="8500000"/>
    <n v="1700000"/>
    <n v="0"/>
    <n v="1700000"/>
    <n v="6800000"/>
    <m/>
    <s v=""/>
    <s v=""/>
    <n v="4250000"/>
    <n v="8500000"/>
    <x v="3"/>
    <s v="PSM"/>
    <x v="0"/>
    <s v=""/>
    <n v="7"/>
    <s v="balonkilap123220x5lkp3200"/>
    <s v="balonkilap123220x5lkp320042500000.2"/>
    <s v="balonkilap123220x5lkp320042500000.2"/>
    <s v=""/>
    <s v=""/>
    <x v="4"/>
    <b v="1"/>
    <s v="50 LPG"/>
    <s v="balonkilap123220x5lkp320050lpg"/>
    <e v="#N/A"/>
  </r>
  <r>
    <s v=""/>
    <s v=""/>
    <s v=""/>
    <n v="14"/>
    <m/>
    <m/>
    <m/>
    <m/>
    <m/>
    <m/>
    <m/>
    <x v="29"/>
    <n v="2"/>
    <n v="150"/>
    <s v="LPG"/>
    <n v="80000"/>
    <m/>
    <s v="75 LPG"/>
    <n v="0.2"/>
    <m/>
    <m/>
    <m/>
    <n v="12000000"/>
    <n v="2400000"/>
    <n v="0"/>
    <n v="2400000"/>
    <n v="9600000"/>
    <m/>
    <n v="11638000"/>
    <n v="46552000"/>
    <n v="6000000"/>
    <n v="12000000"/>
    <x v="3"/>
    <s v="PSM"/>
    <x v="0"/>
    <s v=""/>
    <n v="7"/>
    <s v="balonlove102220x5lkl2200"/>
    <s v="balonlove102220x5lkl220060000000.2"/>
    <s v="balonlove102220x5lkl220060000000.2"/>
    <s v=""/>
    <s v=""/>
    <x v="18"/>
    <b v="1"/>
    <s v="75 LPG"/>
    <s v="balonlove102220x5lkl220075lpg"/>
    <n v="13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5"/>
    <s v="ATA_0507_107-7"/>
    <e v="#REF!"/>
    <n v="15"/>
    <d v="2023-07-05T00:00:00"/>
    <s v="ATALI MAKMUR"/>
    <s v="ARTO MORO"/>
    <s v="SA230711107"/>
    <m/>
    <d v="2023-07-03T00:00:00"/>
    <m/>
    <x v="30"/>
    <n v="2"/>
    <n v="1440"/>
    <s v="PCS"/>
    <n v="4800"/>
    <m/>
    <m/>
    <n v="0.125"/>
    <n v="0.05"/>
    <m/>
    <m/>
    <n v="6912000"/>
    <n v="864000"/>
    <n v="302400"/>
    <n v="1166400"/>
    <n v="5745600"/>
    <m/>
    <s v=""/>
    <s v=""/>
    <n v="3456000"/>
    <n v="6912000"/>
    <x v="4"/>
    <s v="ATALI MAKMUR"/>
    <x v="2"/>
    <n v="7"/>
    <n v="7"/>
    <s v="correctiontapect522ptljk"/>
    <s v="correctiontapect522ptljk34560000.1250.05"/>
    <s v="correctiontapect522ptljk34560000.1250.05"/>
    <s v="ATALI MAKMURARTO MOROSA23071110745110correctiontapect522ptljk"/>
    <e v="#REF!"/>
    <x v="19"/>
    <s v=""/>
    <s v="60 LSN"/>
    <s v="correctiontapect522ptljk60lsn"/>
    <n v="581"/>
  </r>
  <r>
    <s v=""/>
    <s v=""/>
    <s v=""/>
    <n v="15"/>
    <m/>
    <m/>
    <m/>
    <m/>
    <m/>
    <m/>
    <m/>
    <x v="31"/>
    <n v="1"/>
    <n v="40"/>
    <s v="DZ"/>
    <n v="49200"/>
    <m/>
    <m/>
    <n v="0.125"/>
    <n v="0.05"/>
    <m/>
    <m/>
    <n v="1968000"/>
    <n v="246000"/>
    <n v="86100"/>
    <n v="332100"/>
    <n v="1635900"/>
    <m/>
    <s v=""/>
    <s v=""/>
    <n v="1968000"/>
    <n v="1968000"/>
    <x v="4"/>
    <s v="ATALI MAKMUR"/>
    <x v="2"/>
    <s v=""/>
    <n v="7"/>
    <s v="cutterbladel150mmhjk"/>
    <s v="cutterbladel150mmhjk19680000.1250.05"/>
    <s v="cutterbladel150mmhjk19680000.1250.05"/>
    <s v=""/>
    <s v=""/>
    <x v="20"/>
    <s v=""/>
    <s v="40 LSN"/>
    <s v="cutterbladel150mmhjk40lsn"/>
    <n v="632"/>
  </r>
  <r>
    <s v=""/>
    <s v=""/>
    <s v=""/>
    <n v="15"/>
    <m/>
    <m/>
    <m/>
    <m/>
    <m/>
    <m/>
    <m/>
    <x v="32"/>
    <n v="1"/>
    <n v="20"/>
    <s v="PCS"/>
    <n v="40500"/>
    <m/>
    <s v="20 PCS"/>
    <n v="0.125"/>
    <n v="0.05"/>
    <m/>
    <m/>
    <n v="810000"/>
    <n v="101250"/>
    <n v="35437.5"/>
    <n v="136687.5"/>
    <n v="673312.5"/>
    <m/>
    <s v=""/>
    <s v=""/>
    <n v="810000"/>
    <n v="810000"/>
    <x v="4"/>
    <s v="ATALI MAKMUR"/>
    <x v="2"/>
    <s v=""/>
    <n v="7"/>
    <s v="labellermx5500m8digitsjk"/>
    <s v="labellermx5500m8digitsjk8100000.1250.05"/>
    <s v="labellermx5500m8digitsjk8100000.1250.05"/>
    <s v=""/>
    <s v=""/>
    <x v="21"/>
    <b v="1"/>
    <s v="20 PCS"/>
    <s v="labellermx5500m8digitsjk20pcs"/>
    <n v="1510"/>
  </r>
  <r>
    <s v=""/>
    <s v=""/>
    <s v=""/>
    <n v="15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4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15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4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15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4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15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3105787.5"/>
    <n v="14518612.5"/>
    <n v="158400"/>
    <n v="158400"/>
    <x v="4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6"/>
    <s v="ATA_0507_032-4"/>
    <e v="#REF!"/>
    <n v="16"/>
    <m/>
    <s v="ATALI MAKMUR"/>
    <s v="ARTO MORO"/>
    <s v="SA230711032"/>
    <m/>
    <d v="2023-07-01T00:00:00"/>
    <m/>
    <x v="37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n v="4"/>
    <n v="7"/>
    <s v="pencilcasepc0719pstl35greenjk"/>
    <s v="pencilcasepc0719pstl35greenjk13824000.1250.05"/>
    <s v="pencilcasepc0719pstl35greenjk13824000.1250.05"/>
    <s v="ATALI MAKMURARTO MOROSA23071103245108pencilcasepc0719pstl35greenjk"/>
    <e v="#REF!"/>
    <x v="26"/>
    <s v=""/>
    <s v="288 PCS"/>
    <s v="pencilcasepc0719pstl35greenjk288pcs"/>
    <n v="2010"/>
  </r>
  <r>
    <s v=""/>
    <s v=""/>
    <s v=""/>
    <n v="16"/>
    <m/>
    <m/>
    <m/>
    <m/>
    <m/>
    <m/>
    <m/>
    <x v="38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urplejk"/>
    <s v="pencilcasepc0719pstl35purplejk13824000.1250.05"/>
    <s v="pencilcasepc0719pstl35purplejk13824000.1250.05"/>
    <s v=""/>
    <s v=""/>
    <x v="27"/>
    <s v=""/>
    <s v="288 PCS"/>
    <s v="pencilcasepc0719pstl35purplejk288pcs"/>
    <n v="2012"/>
  </r>
  <r>
    <s v=""/>
    <s v=""/>
    <s v=""/>
    <n v="16"/>
    <m/>
    <m/>
    <m/>
    <m/>
    <m/>
    <m/>
    <m/>
    <x v="39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inkjk"/>
    <s v="pencilcasepc0719pstl35pinkjk13824000.1250.05"/>
    <s v="pencilcasepc0719pstl35pinkjk13824000.1250.05"/>
    <s v=""/>
    <s v=""/>
    <x v="28"/>
    <s v=""/>
    <s v="288 PCS"/>
    <s v="pencilcasepc0719pstl35pinkjk288pcs"/>
    <n v="2011"/>
  </r>
  <r>
    <s v=""/>
    <s v=""/>
    <s v=""/>
    <n v="16"/>
    <m/>
    <m/>
    <m/>
    <m/>
    <m/>
    <m/>
    <m/>
    <x v="40"/>
    <n v="1"/>
    <n v="288"/>
    <s v="PCS"/>
    <n v="4800"/>
    <m/>
    <m/>
    <n v="0.125"/>
    <n v="0.05"/>
    <m/>
    <m/>
    <n v="1382400"/>
    <n v="172800"/>
    <n v="60480"/>
    <n v="233280"/>
    <n v="1149120"/>
    <m/>
    <n v="933120"/>
    <n v="4596480"/>
    <n v="1382400"/>
    <n v="1382400"/>
    <x v="4"/>
    <s v="ATALI MAKMUR"/>
    <x v="2"/>
    <s v=""/>
    <n v="7"/>
    <s v="pencilcasepc0719pstl35bluejk"/>
    <s v="pencilcasepc0719pstl35bluejk13824000.1250.05"/>
    <s v="pencilcasepc0719pstl35bluejk13824000.1250.05"/>
    <s v=""/>
    <s v=""/>
    <x v="29"/>
    <s v=""/>
    <s v="288 PCS"/>
    <s v="pencilcasepc0719pstl35bluejk288pcs"/>
    <n v="200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7"/>
    <s v="KEN_0507_111-6"/>
    <e v="#REF!"/>
    <n v="17"/>
    <m/>
    <s v="KENKO SINAR INDONESIA"/>
    <s v="ARTO MORO"/>
    <s v="23070111"/>
    <m/>
    <d v="2023-07-03T00:00:00"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4"/>
    <s v="KENKO SINAR INDONESIA"/>
    <x v="2"/>
    <n v="6"/>
    <n v="7"/>
    <s v="kenkopencilcasepc0719ur"/>
    <s v="kenkopencilcasepc0719ur14976000.17"/>
    <s v="kenkopencilcasepc0719ur14976000.17"/>
    <s v="KENKO SINAR INDONESIAARTO MORO2307011145110kenkopencilcasepc0719ur"/>
    <e v="#REF!"/>
    <x v="30"/>
    <s v=""/>
    <s v="24 LSN"/>
    <s v="kenkopencilcasepc0719ur24lsn"/>
    <n v="1392"/>
  </r>
  <r>
    <s v=""/>
    <s v=""/>
    <s v=""/>
    <n v="17"/>
    <m/>
    <m/>
    <m/>
    <m/>
    <m/>
    <m/>
    <m/>
    <x v="42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4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17"/>
    <m/>
    <m/>
    <m/>
    <m/>
    <m/>
    <m/>
    <m/>
    <x v="43"/>
    <n v="2"/>
    <m/>
    <m/>
    <m/>
    <n v="2952000"/>
    <m/>
    <n v="0.17"/>
    <m/>
    <m/>
    <m/>
    <n v="5904000"/>
    <n v="1003680.0000000001"/>
    <n v="0"/>
    <n v="1003680.0000000001"/>
    <n v="4900320"/>
    <m/>
    <s v=""/>
    <s v=""/>
    <n v="2952000"/>
    <s v=""/>
    <x v="4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17"/>
    <m/>
    <m/>
    <m/>
    <m/>
    <m/>
    <m/>
    <m/>
    <x v="44"/>
    <n v="2"/>
    <m/>
    <m/>
    <m/>
    <n v="504000"/>
    <m/>
    <n v="0.17"/>
    <m/>
    <m/>
    <m/>
    <n v="1008000"/>
    <n v="171360"/>
    <n v="0"/>
    <n v="171360"/>
    <n v="836640"/>
    <m/>
    <s v=""/>
    <s v=""/>
    <n v="504000"/>
    <s v=""/>
    <x v="4"/>
    <s v="KENKO SINAR INDONESIA"/>
    <x v="2"/>
    <s v=""/>
    <n v="7"/>
    <s v="kenkoliquidgluelg5050ml"/>
    <s v="kenkoliquidgluelg5050ml5040000.17"/>
    <s v="kenkoliquidgluelg5050ml5040000.17"/>
    <s v=""/>
    <s v=""/>
    <x v="33"/>
    <s v=""/>
    <s v="20 LSN"/>
    <s v="kenkoliquidgluelg5050ml20lsn"/>
    <n v="1356"/>
  </r>
  <r>
    <s v=""/>
    <s v=""/>
    <s v=""/>
    <n v="17"/>
    <m/>
    <m/>
    <m/>
    <m/>
    <m/>
    <m/>
    <m/>
    <x v="45"/>
    <n v="3"/>
    <m/>
    <m/>
    <m/>
    <n v="2376000"/>
    <m/>
    <n v="0.17"/>
    <m/>
    <m/>
    <m/>
    <n v="7128000"/>
    <n v="1211760"/>
    <n v="0"/>
    <n v="1211760"/>
    <n v="5916240"/>
    <m/>
    <s v=""/>
    <s v=""/>
    <n v="2376000"/>
    <s v=""/>
    <x v="4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17"/>
    <m/>
    <m/>
    <m/>
    <m/>
    <m/>
    <m/>
    <m/>
    <x v="46"/>
    <n v="2"/>
    <m/>
    <m/>
    <m/>
    <n v="3542400"/>
    <m/>
    <n v="0.17"/>
    <m/>
    <m/>
    <m/>
    <n v="7084800"/>
    <n v="1204416"/>
    <n v="0"/>
    <n v="1204416"/>
    <n v="5880384"/>
    <m/>
    <n v="4391100"/>
    <n v="21438900"/>
    <n v="3542400"/>
    <s v=""/>
    <x v="4"/>
    <s v="KENKO SINAR INDONESIA"/>
    <x v="2"/>
    <s v=""/>
    <n v="7"/>
    <s v="kenkogelpenke200black"/>
    <s v="kenkogelpenke200black35424000.17"/>
    <s v="kenkogelpenke200black35424000.17"/>
    <s v=""/>
    <s v=""/>
    <x v="35"/>
    <s v=""/>
    <s v="12 GRS"/>
    <s v="kenkogelpenke200black12grs"/>
    <n v="13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8"/>
    <s v="KEN_0507_063-6"/>
    <e v="#REF!"/>
    <n v="18"/>
    <m/>
    <s v="KENKO SINAR INDONESIA"/>
    <s v="ARTO MORO"/>
    <s v="23070063"/>
    <m/>
    <d v="2023-07-01T00:00:00"/>
    <m/>
    <x v="47"/>
    <n v="1"/>
    <m/>
    <m/>
    <m/>
    <n v="5220000"/>
    <m/>
    <n v="0.17"/>
    <m/>
    <m/>
    <m/>
    <n v="5220000"/>
    <n v="887400.00000000012"/>
    <n v="0"/>
    <n v="887400.00000000012"/>
    <n v="4332600"/>
    <m/>
    <s v=""/>
    <s v=""/>
    <n v="5220000"/>
    <s v=""/>
    <x v="4"/>
    <s v="KENKO SINAR INDONESIA"/>
    <x v="2"/>
    <n v="6"/>
    <n v="7"/>
    <s v="kenkostainlesssteelruler100cm"/>
    <s v="kenkostainlesssteelruler100cm52200000.17"/>
    <s v="kenkostainlesssteelruler100cm52200000.17"/>
    <s v="KENKO SINAR INDONESIAARTO MORO2307006345108kenkostainlesssteelruler100cm"/>
    <e v="#REF!"/>
    <x v="36"/>
    <s v=""/>
    <s v="10 LSN"/>
    <s v="kenkostainlesssteelruler100cm10lsn"/>
    <n v="1425"/>
  </r>
  <r>
    <s v=""/>
    <s v=""/>
    <s v=""/>
    <n v="18"/>
    <m/>
    <m/>
    <m/>
    <m/>
    <m/>
    <m/>
    <m/>
    <x v="48"/>
    <n v="1"/>
    <m/>
    <m/>
    <m/>
    <n v="1632000"/>
    <m/>
    <n v="0.17"/>
    <m/>
    <m/>
    <m/>
    <n v="1632000"/>
    <n v="277440"/>
    <n v="0"/>
    <n v="277440"/>
    <n v="1354560"/>
    <m/>
    <s v=""/>
    <s v=""/>
    <n v="1632000"/>
    <s v=""/>
    <x v="4"/>
    <s v="KENKO SINAR INDONESIA"/>
    <x v="2"/>
    <s v=""/>
    <n v="7"/>
    <s v="kenkostainlesssteelruler40cm"/>
    <s v="kenkostainlesssteelruler40cm16320000.17"/>
    <s v="kenkostainlesssteelruler40cm16320000.17"/>
    <s v=""/>
    <s v=""/>
    <x v="37"/>
    <s v=""/>
    <s v="10 LSN"/>
    <s v="kenkostainlesssteelruler40cm10lsn"/>
    <n v="1429"/>
  </r>
  <r>
    <s v=""/>
    <s v=""/>
    <s v=""/>
    <n v="18"/>
    <m/>
    <m/>
    <m/>
    <m/>
    <m/>
    <m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4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18"/>
    <m/>
    <m/>
    <m/>
    <m/>
    <m/>
    <m/>
    <m/>
    <x v="50"/>
    <n v="6"/>
    <m/>
    <m/>
    <m/>
    <n v="3888000"/>
    <m/>
    <n v="0.17"/>
    <m/>
    <m/>
    <m/>
    <n v="23328000"/>
    <n v="3965760.0000000005"/>
    <n v="0"/>
    <n v="3965760.0000000005"/>
    <n v="19362240"/>
    <m/>
    <s v=""/>
    <s v=""/>
    <n v="3888000"/>
    <s v=""/>
    <x v="4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18"/>
    <m/>
    <m/>
    <m/>
    <m/>
    <m/>
    <m/>
    <m/>
    <x v="5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4"/>
    <s v="KENKO SINAR INDONESIA"/>
    <x v="2"/>
    <s v=""/>
    <n v="7"/>
    <s v="kenkopocketnotepn403"/>
    <s v="kenkopocketnotepn4037416000.17"/>
    <s v="kenkopocketnotepn4037416000.17"/>
    <s v=""/>
    <s v=""/>
    <x v="40"/>
    <s v=""/>
    <s v="12 LSN"/>
    <s v="kenkopocketnotepn40312lsn"/>
    <n v="1397"/>
  </r>
  <r>
    <s v=""/>
    <s v=""/>
    <s v=""/>
    <n v="18"/>
    <m/>
    <m/>
    <m/>
    <m/>
    <m/>
    <m/>
    <m/>
    <x v="52"/>
    <n v="15"/>
    <m/>
    <m/>
    <m/>
    <n v="1954800"/>
    <m/>
    <n v="0.17"/>
    <m/>
    <m/>
    <m/>
    <n v="29322000"/>
    <n v="4984740"/>
    <n v="0"/>
    <n v="4984740"/>
    <n v="24337260"/>
    <m/>
    <n v="10481112"/>
    <n v="51172488"/>
    <n v="1954800"/>
    <s v=""/>
    <x v="4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9"/>
    <s v="DBS_0507_623-6"/>
    <e v="#REF!"/>
    <n v="19"/>
    <d v="2023-07-05T00:00:00"/>
    <s v="DB STATIONERY"/>
    <s v="UNTANA"/>
    <s v="JUF676/23"/>
    <m/>
    <d v="2023-06-30T00:00:00"/>
    <m/>
    <x v="53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n v="6"/>
    <n v="6"/>
    <s v="mektizo20tm030c"/>
    <s v="mektizo20tm030c2784000"/>
    <s v="mektizo20tm030c2784000"/>
    <s v="DB STATIONERYUNTANAJUF676/2345107mektizo20tm030c"/>
    <e v="#REF!"/>
    <x v="42"/>
    <b v="1"/>
    <s v="96 LSN"/>
    <s v="mektizo20tm030c96lsn"/>
    <n v="1716"/>
  </r>
  <r>
    <s v=""/>
    <s v=""/>
    <s v=""/>
    <n v="19"/>
    <m/>
    <m/>
    <m/>
    <m/>
    <m/>
    <m/>
    <m/>
    <x v="54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f"/>
    <s v="mekpensil20tizotm030f2784000"/>
    <s v="mekpensil20tizotm030f2784000"/>
    <s v=""/>
    <s v=""/>
    <x v="43"/>
    <b v="1"/>
    <s v="96 LSN"/>
    <s v="mekpensil20tizotm030f96lsn"/>
    <n v="1709"/>
  </r>
  <r>
    <s v=""/>
    <s v=""/>
    <s v=""/>
    <n v="19"/>
    <m/>
    <m/>
    <m/>
    <m/>
    <m/>
    <m/>
    <m/>
    <x v="55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g"/>
    <s v="mekpensil20tizotm030g2784000"/>
    <s v="mekpensil20tizotm030g2784000"/>
    <s v=""/>
    <s v=""/>
    <x v="44"/>
    <b v="1"/>
    <s v="96 LSN"/>
    <s v="mekpensil20tizotm030g96lsn"/>
    <n v="1700"/>
  </r>
  <r>
    <s v=""/>
    <s v=""/>
    <s v=""/>
    <n v="19"/>
    <m/>
    <m/>
    <m/>
    <m/>
    <m/>
    <m/>
    <m/>
    <x v="56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h"/>
    <s v="mekpensil20tizotm030h2784000"/>
    <s v="mekpensil20tizotm030h2784000"/>
    <s v=""/>
    <s v=""/>
    <x v="45"/>
    <b v="1"/>
    <s v="96 LSN"/>
    <s v="mekpensil20tizotm030h96lsn"/>
    <n v="1688"/>
  </r>
  <r>
    <s v=""/>
    <s v=""/>
    <s v=""/>
    <n v="19"/>
    <m/>
    <m/>
    <m/>
    <m/>
    <m/>
    <m/>
    <m/>
    <x v="57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m01800"/>
    <s v="mekpensil20tm018002784000"/>
    <s v="mekpensil20tm018002784000"/>
    <s v=""/>
    <s v=""/>
    <x v="46"/>
    <b v="1"/>
    <s v="96 LSN"/>
    <s v="mekpensil20tm0180096lsn"/>
    <n v="1690"/>
  </r>
  <r>
    <s v=""/>
    <s v=""/>
    <s v=""/>
    <n v="19"/>
    <m/>
    <m/>
    <m/>
    <m/>
    <m/>
    <m/>
    <m/>
    <x v="58"/>
    <n v="10"/>
    <n v="1200"/>
    <s v="LSN"/>
    <n v="25500"/>
    <m/>
    <s v="120 LSN"/>
    <m/>
    <m/>
    <m/>
    <m/>
    <n v="30600000"/>
    <n v="0"/>
    <n v="0"/>
    <n v="0"/>
    <n v="30600000"/>
    <m/>
    <n v="0"/>
    <n v="44520000"/>
    <n v="3060000"/>
    <n v="30600000"/>
    <x v="4"/>
    <s v="DB STATIONERY"/>
    <x v="0"/>
    <s v=""/>
    <n v="6"/>
    <s v="geldebozz05dbg05"/>
    <s v="geldebozz05dbg053060000"/>
    <s v="geldebozz05dbg053060000"/>
    <s v=""/>
    <s v=""/>
    <x v="47"/>
    <b v="1"/>
    <s v="120 LSN"/>
    <s v="geldebozz05dbg05120lsn"/>
    <n v="8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0"/>
    <s v="MSI_0507_547-1"/>
    <e v="#REF!"/>
    <n v="20"/>
    <m/>
    <s v="MSI"/>
    <s v="UNTANA"/>
    <s v="23/VI/547"/>
    <m/>
    <d v="2023-06-30T00:00:00"/>
    <m/>
    <x v="59"/>
    <n v="26"/>
    <n v="4992"/>
    <s v="LSN"/>
    <n v="11000"/>
    <m/>
    <s v="192 LSN"/>
    <m/>
    <m/>
    <m/>
    <m/>
    <n v="54912000"/>
    <n v="0"/>
    <n v="0"/>
    <n v="0"/>
    <n v="54912000"/>
    <m/>
    <n v="0"/>
    <n v="54912000"/>
    <n v="2112000"/>
    <n v="54912000"/>
    <x v="4"/>
    <s v="MSI"/>
    <x v="0"/>
    <n v="1"/>
    <n v="6"/>
    <s v="gelpenzuixuahy1020hitam"/>
    <s v="gelpenzuixuahy1020hitam2112000"/>
    <s v="gelpenzuixuahy1020hitam2112000"/>
    <s v="MSIUNTANA23/VI/547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1"/>
    <s v="MSI_0507_548-1"/>
    <e v="#REF!"/>
    <n v="21"/>
    <m/>
    <s v="MSI"/>
    <s v="UNTANA"/>
    <s v="23/VI/548"/>
    <m/>
    <d v="2023-06-30T00:00:00"/>
    <m/>
    <x v="59"/>
    <n v="50"/>
    <n v="9600"/>
    <s v="LSN"/>
    <n v="11000"/>
    <m/>
    <s v="192 LSN"/>
    <m/>
    <m/>
    <m/>
    <m/>
    <n v="105600000"/>
    <n v="0"/>
    <n v="0"/>
    <n v="0"/>
    <n v="105600000"/>
    <m/>
    <n v="0"/>
    <n v="105600000"/>
    <n v="2112000"/>
    <n v="105600000"/>
    <x v="4"/>
    <s v="MSI"/>
    <x v="0"/>
    <n v="1"/>
    <n v="6"/>
    <s v="gelpenzuixuahy1020hitam"/>
    <s v="gelpenzuixuahy1020hitam2112000"/>
    <s v="gelpenzuixuahy1020hitam2112000"/>
    <s v="MSIUNTANA23/VI/548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2"/>
    <s v="MSI_0507_541-1"/>
    <e v="#REF!"/>
    <n v="22"/>
    <m/>
    <s v="MSI"/>
    <s v="UNTANA"/>
    <s v="23/VI/541"/>
    <m/>
    <d v="2023-06-30T00:00:00"/>
    <m/>
    <x v="60"/>
    <n v="15"/>
    <n v="24000"/>
    <s v="PAK"/>
    <n v="1500"/>
    <m/>
    <s v="1600 PAK"/>
    <m/>
    <m/>
    <m/>
    <m/>
    <n v="36000000"/>
    <n v="0"/>
    <n v="0"/>
    <n v="0"/>
    <n v="36000000"/>
    <m/>
    <n v="0"/>
    <n v="36000000"/>
    <n v="2400000"/>
    <n v="36000000"/>
    <x v="4"/>
    <s v="MSI"/>
    <x v="0"/>
    <n v="1"/>
    <n v="6"/>
    <s v="refillisipencilbensialantu1132"/>
    <s v="refillisipencilbensialantu11322400000"/>
    <s v="refillisipencilbensialantu11322400000"/>
    <s v="MSIUNTANA23/VI/54145107refillisipencilbensialantu1132"/>
    <e v="#REF!"/>
    <x v="4"/>
    <b v="1"/>
    <s v="1600 PAK"/>
    <s v="refillisipencilbensialantu11321600pak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3"/>
    <s v="SAM_0607_257-3"/>
    <e v="#REF!"/>
    <n v="23"/>
    <d v="2023-07-06T00:00:00"/>
    <s v="SAMUDERA ANGKASA JAYA"/>
    <s v="ARTO MORO"/>
    <s v="JL-55257"/>
    <m/>
    <d v="2023-07-03T00:00:00"/>
    <m/>
    <x v="61"/>
    <n v="10"/>
    <n v="1920"/>
    <s v="PCS"/>
    <n v="9250"/>
    <m/>
    <s v="192 PCS"/>
    <n v="7.0000000000000007E-2"/>
    <m/>
    <m/>
    <m/>
    <n v="17760000"/>
    <n v="1243200.0000000002"/>
    <n v="0"/>
    <n v="1243200.0000000002"/>
    <n v="16516800"/>
    <m/>
    <s v=""/>
    <s v=""/>
    <n v="1776000"/>
    <n v="17760000"/>
    <x v="5"/>
    <s v="SAMUDERA ANGKASA JAYA"/>
    <x v="2"/>
    <n v="3"/>
    <n v="7"/>
    <s v="pcmagfy682222*75"/>
    <s v="pcmagfy682222*7517760000.07"/>
    <s v="pcmagfy682222*7517760000.07"/>
    <s v="SAMUDERA ANGKASA JAYAARTO MOROJL-5525745110pcmagfy682222*75"/>
    <e v="#REF!"/>
    <x v="48"/>
    <b v="1"/>
    <s v="192 PCS"/>
    <s v="pcmagfy682222*75192pcs"/>
    <n v="1828"/>
  </r>
  <r>
    <s v=""/>
    <s v=""/>
    <s v=""/>
    <n v="23"/>
    <m/>
    <m/>
    <m/>
    <m/>
    <m/>
    <m/>
    <m/>
    <x v="62"/>
    <n v="21"/>
    <n v="4032"/>
    <s v="PCS"/>
    <n v="9250"/>
    <m/>
    <s v="192 PCS"/>
    <n v="7.0000000000000007E-2"/>
    <m/>
    <m/>
    <m/>
    <n v="37296000"/>
    <n v="2610720.0000000005"/>
    <n v="0"/>
    <n v="2610720.0000000005"/>
    <n v="34685280"/>
    <m/>
    <s v=""/>
    <s v=""/>
    <n v="1776000"/>
    <n v="37296000"/>
    <x v="5"/>
    <s v="SAMUDERA ANGKASA JAYA"/>
    <x v="2"/>
    <s v=""/>
    <n v="7"/>
    <s v="pcmagc2755122*75"/>
    <s v="pcmagc2755122*7517760000.07"/>
    <s v="pcmagc2755122*7517760000.07"/>
    <s v=""/>
    <s v=""/>
    <x v="49"/>
    <b v="1"/>
    <s v="192 PCS"/>
    <s v="pcmagc2755122*75192pcs"/>
    <n v="1818"/>
  </r>
  <r>
    <s v=""/>
    <s v=""/>
    <s v=""/>
    <n v="23"/>
    <m/>
    <m/>
    <m/>
    <m/>
    <m/>
    <m/>
    <m/>
    <x v="63"/>
    <n v="26"/>
    <n v="4992"/>
    <s v="PCS"/>
    <n v="9500"/>
    <m/>
    <s v="192 PCS"/>
    <n v="7.0000000000000007E-2"/>
    <m/>
    <m/>
    <m/>
    <n v="47424000"/>
    <n v="3319680.0000000005"/>
    <n v="0"/>
    <n v="3319680.0000000005"/>
    <n v="44104320"/>
    <m/>
    <n v="7173600.0000000019"/>
    <n v="95306400"/>
    <n v="1824000"/>
    <n v="47424000"/>
    <x v="5"/>
    <s v="SAMUDERA ANGKASA JAYA"/>
    <x v="2"/>
    <s v=""/>
    <n v="7"/>
    <s v="pcmagjh220a23*85"/>
    <s v="pcmagjh220a23*8518240000.07"/>
    <s v="pcmagjh220a23*8518240000.07"/>
    <s v=""/>
    <s v=""/>
    <x v="50"/>
    <b v="1"/>
    <s v="192 PCS"/>
    <s v="pcmagjh220a23*85192pcs"/>
    <n v="257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4"/>
    <s v="PAR_0607_-1"/>
    <e v="#REF!"/>
    <n v="24"/>
    <m/>
    <s v="PARAMA"/>
    <s v="UNTANA"/>
    <m/>
    <m/>
    <d v="2023-07-01T00:00:00"/>
    <m/>
    <x v="64"/>
    <n v="15"/>
    <n v="2700"/>
    <s v="PCS"/>
    <n v="7555"/>
    <m/>
    <m/>
    <n v="0.1"/>
    <n v="0.1"/>
    <m/>
    <m/>
    <n v="20398500"/>
    <n v="2039850"/>
    <n v="1835865"/>
    <n v="3875715"/>
    <n v="16522785"/>
    <m/>
    <n v="3875715"/>
    <n v="16522785"/>
    <n v="1359900"/>
    <n v="20398500"/>
    <x v="5"/>
    <s v="PARAMA"/>
    <x v="0"/>
    <n v="1"/>
    <n v="7"/>
    <s v="sampulsamsonboxybatik"/>
    <s v="sampulsamsonboxybatik13599000.10.1"/>
    <s v="sampulsamsonboxybatik13599000.10.1"/>
    <s v="PARAMAUNTANA45108sampulsamsonboxybatik"/>
    <e v="#REF!"/>
    <x v="51"/>
    <s v=""/>
    <s v="360 PCS"/>
    <s v="sampulsamsonboxybatik360pcs"/>
    <n v="21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5"/>
    <s v="HAN_0607_069-3"/>
    <e v="#REF!"/>
    <n v="25"/>
    <d v="2023-07-06T00:00:00"/>
    <s v="HANSA"/>
    <s v="UNTANA"/>
    <s v="HN072023069"/>
    <m/>
    <d v="2023-07-06T00:00:00"/>
    <m/>
    <x v="65"/>
    <m/>
    <n v="12"/>
    <s v="PCS"/>
    <n v="4550"/>
    <m/>
    <m/>
    <m/>
    <m/>
    <m/>
    <m/>
    <n v="54600"/>
    <n v="0"/>
    <n v="0"/>
    <n v="0"/>
    <n v="54600"/>
    <m/>
    <s v=""/>
    <s v=""/>
    <n v="54600"/>
    <n v="54600"/>
    <x v="5"/>
    <s v="HANSA"/>
    <x v="0"/>
    <n v="3"/>
    <n v="7"/>
    <s v="malamshintoengtg612w"/>
    <s v="malamshintoengtg612w54600"/>
    <s v="malamshintoengtg612w4550"/>
    <s v="HANSAUNTANAHN07202306945113malamshintoengtg612w"/>
    <e v="#REF!"/>
    <x v="52"/>
    <s v=""/>
    <s v="210 PCS"/>
    <s v="malamshintoengtg612w210pcs"/>
    <n v="1605"/>
  </r>
  <r>
    <s v=""/>
    <s v=""/>
    <s v=""/>
    <n v="25"/>
    <m/>
    <m/>
    <m/>
    <m/>
    <m/>
    <m/>
    <m/>
    <x v="66"/>
    <m/>
    <n v="12"/>
    <s v="PCS"/>
    <n v="1600"/>
    <m/>
    <m/>
    <m/>
    <m/>
    <m/>
    <m/>
    <n v="19200"/>
    <n v="0"/>
    <n v="0"/>
    <n v="0"/>
    <n v="19200"/>
    <m/>
    <s v=""/>
    <s v=""/>
    <n v="19200"/>
    <n v="19200"/>
    <x v="5"/>
    <s v="HANSA"/>
    <x v="0"/>
    <s v=""/>
    <n v="7"/>
    <s v="malamshintoengk612w"/>
    <s v="malamshintoengk612w19200"/>
    <s v="malamshintoengk612w1600"/>
    <s v=""/>
    <s v=""/>
    <x v="53"/>
    <s v=""/>
    <s v="480 PCS"/>
    <s v="malamshintoengk612w480pcs"/>
    <n v="1601"/>
  </r>
  <r>
    <s v=""/>
    <s v=""/>
    <s v=""/>
    <n v="25"/>
    <m/>
    <m/>
    <m/>
    <m/>
    <m/>
    <m/>
    <m/>
    <x v="67"/>
    <m/>
    <n v="12"/>
    <s v="PCS"/>
    <n v="1600"/>
    <m/>
    <m/>
    <m/>
    <m/>
    <m/>
    <m/>
    <n v="19200"/>
    <n v="0"/>
    <n v="0"/>
    <n v="0"/>
    <n v="19200"/>
    <m/>
    <n v="0"/>
    <n v="93000"/>
    <n v="19200"/>
    <n v="19200"/>
    <x v="5"/>
    <s v="HANSA"/>
    <x v="0"/>
    <s v=""/>
    <n v="7"/>
    <s v="malamshintoengk1wpolos"/>
    <s v="malamshintoengk1wpolos19200"/>
    <s v="malamshintoengk1wpolos1600"/>
    <s v=""/>
    <s v=""/>
    <x v="54"/>
    <s v=""/>
    <s v="480 PCS"/>
    <s v="malamshintoengk1wpolos480pcs"/>
    <n v="160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6"/>
    <s v="ETJ_0607_423-1"/>
    <e v="#REF!"/>
    <n v="26"/>
    <m/>
    <s v="ETJ"/>
    <s v="UNTANA"/>
    <s v="K54.23"/>
    <m/>
    <d v="2023-07-04T00:00:00"/>
    <m/>
    <x v="68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erah301"/>
    <s v="ntagdmerah3012800000"/>
    <s v="ntagdmerah3012800000"/>
    <s v="ETJUNTANAK54.2345111ntagdmerah301"/>
    <e v="#REF!"/>
    <x v="4"/>
    <b v="1"/>
    <s v="4000 PCS"/>
    <s v="ntagdmerah3014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7"/>
    <s v="SAP_0607_651-1"/>
    <e v="#REF!"/>
    <n v="27"/>
    <m/>
    <s v="SAPUTRO"/>
    <s v="UNTANA"/>
    <s v="G-1651"/>
    <m/>
    <d v="2023-07-04T00:00:00"/>
    <m/>
    <x v="69"/>
    <n v="20"/>
    <n v="200"/>
    <s v="PCS"/>
    <n v="48000"/>
    <m/>
    <m/>
    <m/>
    <m/>
    <m/>
    <m/>
    <n v="9600000"/>
    <n v="0"/>
    <n v="0"/>
    <n v="0"/>
    <n v="9600000"/>
    <m/>
    <n v="0"/>
    <n v="9600000"/>
    <n v="480000"/>
    <n v="9600000"/>
    <x v="5"/>
    <s v="SAPUTRO"/>
    <x v="0"/>
    <n v="1"/>
    <n v="7"/>
    <s v="mejaipadimportkarakter"/>
    <s v="mejaipadimportkarakter480000"/>
    <s v="mejaipadimportkarakter480000"/>
    <s v="SAPUTROUNTANAG-165145111mejaipadimportkarakter"/>
    <e v="#REF!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8"/>
    <s v="SDI_0707_067-3"/>
    <e v="#REF!"/>
    <n v="28"/>
    <d v="2023-07-07T00:00:00"/>
    <s v="SDI"/>
    <s v="ARTO MORO"/>
    <s v="SINV99-230700000067"/>
    <m/>
    <d v="2023-07-05T00:00:00"/>
    <m/>
    <x v="70"/>
    <n v="1"/>
    <n v="30"/>
    <s v="LSN"/>
    <n v="124324.32"/>
    <m/>
    <s v="30 LSN"/>
    <n v="0.17499999999999999"/>
    <m/>
    <m/>
    <m/>
    <n v="3729729.6"/>
    <n v="652702.67999999993"/>
    <n v="0"/>
    <n v="652702.67999999993"/>
    <n v="3077026.92"/>
    <m/>
    <s v=""/>
    <s v=""/>
    <n v="3729729.6"/>
    <n v="3729729.6"/>
    <x v="6"/>
    <s v="SDI"/>
    <x v="2"/>
    <n v="3"/>
    <n v="7"/>
    <s v="sdistapler1102"/>
    <s v="sdistapler11023729729.60.175"/>
    <s v="sdistapler11023729729.60.175"/>
    <s v="SDIARTO MOROSINV99-23070000006745112sdistapler1102"/>
    <e v="#REF!"/>
    <x v="55"/>
    <b v="1"/>
    <s v="30 LSN"/>
    <s v="sdistapler110230lsn"/>
    <e v="#N/A"/>
  </r>
  <r>
    <s v=""/>
    <s v=""/>
    <s v=""/>
    <n v="28"/>
    <m/>
    <m/>
    <m/>
    <m/>
    <m/>
    <m/>
    <m/>
    <x v="71"/>
    <n v="1"/>
    <n v="48"/>
    <s v="LSN"/>
    <n v="54594.59"/>
    <m/>
    <s v="48 LSN"/>
    <n v="0.15"/>
    <m/>
    <m/>
    <m/>
    <n v="2620540.3199999998"/>
    <n v="393081.04799999995"/>
    <n v="0"/>
    <n v="393081.04799999995"/>
    <n v="2227459.2719999999"/>
    <m/>
    <s v=""/>
    <s v=""/>
    <n v="2620540.3199999998"/>
    <n v="2620540.3199999998"/>
    <x v="6"/>
    <s v="SDI"/>
    <x v="2"/>
    <s v=""/>
    <n v="7"/>
    <s v="zrmcuttera300alock"/>
    <s v="zrmcuttera300alock2620540.320.15"/>
    <s v="zrmcuttera300alock2620540.320.15"/>
    <s v=""/>
    <s v=""/>
    <x v="56"/>
    <b v="1"/>
    <s v="48 LSN"/>
    <s v="zrmcuttera300alock48lsn"/>
    <n v="2494"/>
  </r>
  <r>
    <s v=""/>
    <s v=""/>
    <s v=""/>
    <n v="28"/>
    <m/>
    <m/>
    <m/>
    <m/>
    <m/>
    <m/>
    <m/>
    <x v="72"/>
    <n v="1"/>
    <n v="24"/>
    <s v="LSN"/>
    <n v="129729.73"/>
    <m/>
    <s v="24 LSN"/>
    <n v="0.15"/>
    <m/>
    <m/>
    <m/>
    <n v="3113513.52"/>
    <n v="467027.02799999999"/>
    <n v="0"/>
    <n v="467027.02799999999"/>
    <n v="2646486.4920000001"/>
    <m/>
    <n v="1512810.7559999998"/>
    <n v="7950972.6840000004"/>
    <n v="3113513.52"/>
    <n v="3113513.52"/>
    <x v="6"/>
    <s v="SDI"/>
    <x v="2"/>
    <s v=""/>
    <n v="7"/>
    <s v="zrmcutterl500"/>
    <s v="zrmcutterl5003113513.520.15"/>
    <s v="zrmcutterl5003113513.520.15"/>
    <s v=""/>
    <s v=""/>
    <x v="57"/>
    <b v="1"/>
    <s v="24 LSN"/>
    <s v="zrmcutterl50024lsn"/>
    <n v="2579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9"/>
    <s v="ETJ_0607_423-1"/>
    <e v="#REF!"/>
    <n v="29"/>
    <d v="2023-07-06T00:00:00"/>
    <s v="ETJ"/>
    <s v="UNTANA"/>
    <s v="K54.23"/>
    <m/>
    <d v="2023-07-04T00:00:00"/>
    <m/>
    <x v="73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rh301"/>
    <s v="ntagdmrh3012800000"/>
    <s v="ntagdmrh3012800000"/>
    <s v="ETJUNTANAK54.2345111ntagdmrh301"/>
    <e v="#REF!"/>
    <x v="58"/>
    <b v="1"/>
    <s v="4000 PCS"/>
    <s v="ntagdmrh3014000pcs"/>
    <n v="1725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0"/>
    <s v="GLO_0707_ 41-1"/>
    <e v="#REF!"/>
    <n v="30"/>
    <d v="2023-07-07T00:00:00"/>
    <s v="GLORY"/>
    <s v="UNTANA"/>
    <s v="F 41"/>
    <m/>
    <d v="2023-07-07T00:00:00"/>
    <m/>
    <x v="74"/>
    <n v="1"/>
    <n v="7"/>
    <s v="DZ"/>
    <n v="161000"/>
    <m/>
    <m/>
    <m/>
    <m/>
    <n v="56500"/>
    <m/>
    <n v="1127000"/>
    <n v="0"/>
    <n v="0"/>
    <n v="0"/>
    <n v="1127000"/>
    <m/>
    <n v="56500"/>
    <n v="1070500"/>
    <n v="1127000"/>
    <n v="1127000"/>
    <x v="6"/>
    <s v="GLORY"/>
    <x v="0"/>
    <n v="1"/>
    <n v="7"/>
    <s v="btbatik15"/>
    <s v="btbatik151127000"/>
    <s v="btbatik151127000"/>
    <s v="GLORYUNTANAF 4145114btbatik15"/>
    <e v="#REF!"/>
    <x v="4"/>
    <s v=""/>
    <e v="#N/A"/>
    <e v="#N/A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1"/>
    <s v="DBS_0707_923-7"/>
    <e v="#REF!"/>
    <n v="31"/>
    <d v="2023-07-07T00:00:00"/>
    <s v="DB STATIONERY"/>
    <s v="UNTANA"/>
    <s v="JUG099/23"/>
    <m/>
    <d v="2023-07-05T00:00:00"/>
    <m/>
    <x v="75"/>
    <n v="10"/>
    <n v="960"/>
    <s v="LSN"/>
    <n v="31500"/>
    <m/>
    <s v="96 LSN"/>
    <m/>
    <m/>
    <m/>
    <m/>
    <n v="30240000"/>
    <n v="0"/>
    <n v="0"/>
    <n v="0"/>
    <n v="30240000"/>
    <m/>
    <s v=""/>
    <s v=""/>
    <n v="3024000"/>
    <n v="30240000"/>
    <x v="6"/>
    <s v="DB STATIONERY"/>
    <x v="0"/>
    <n v="7"/>
    <n v="7"/>
    <s v="gelpentizo10tg340"/>
    <s v="gelpentizo10tg3403024000"/>
    <s v="gelpentizo10tg3403024000"/>
    <s v="DB STATIONERYUNTANAJUG099/2345112gelpentizo10tg340"/>
    <e v="#REF!"/>
    <x v="59"/>
    <b v="1"/>
    <s v="96 LSN"/>
    <s v="gelpentizo10tg34096lsn"/>
    <n v="853"/>
  </r>
  <r>
    <s v=""/>
    <s v=""/>
    <s v=""/>
    <n v="31"/>
    <m/>
    <m/>
    <m/>
    <m/>
    <m/>
    <m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6"/>
    <s v="DB STATIONERY"/>
    <x v="0"/>
    <s v=""/>
    <n v="7"/>
    <s v="gel10340birutg340bi"/>
    <s v="gel10340birutg340bi3024000"/>
    <s v="gel10340birutg340bi3024000"/>
    <s v=""/>
    <s v=""/>
    <x v="60"/>
    <b v="1"/>
    <s v="96 LSN"/>
    <s v="gel10340birutg340bi96lsn"/>
    <n v="802"/>
  </r>
  <r>
    <s v=""/>
    <s v=""/>
    <s v=""/>
    <n v="31"/>
    <m/>
    <m/>
    <m/>
    <m/>
    <m/>
    <m/>
    <m/>
    <x v="77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pensil202tizotm030a1"/>
    <s v="mekpensil202tizotm030a12784000"/>
    <s v="mekpensil202tizotm030a12784000"/>
    <s v=""/>
    <s v=""/>
    <x v="4"/>
    <b v="1"/>
    <s v="96 LSN"/>
    <s v="mekpensil202tizotm030a196lsn"/>
    <e v="#N/A"/>
  </r>
  <r>
    <s v=""/>
    <s v=""/>
    <s v=""/>
    <n v="31"/>
    <m/>
    <m/>
    <m/>
    <m/>
    <m/>
    <m/>
    <m/>
    <x v="53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tizo20tm030c"/>
    <s v="mektizo20tm030c2784000"/>
    <s v="mektizo20tm030c2784000"/>
    <s v=""/>
    <s v=""/>
    <x v="42"/>
    <b v="1"/>
    <s v="96 LSN"/>
    <s v="mektizo20tm030c96lsn"/>
    <n v="1716"/>
  </r>
  <r>
    <s v=""/>
    <s v=""/>
    <s v=""/>
    <n v="31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s v=""/>
    <s v=""/>
    <n v="912000"/>
    <n v="3648000"/>
    <x v="6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n v="31"/>
    <m/>
    <m/>
    <m/>
    <m/>
    <m/>
    <m/>
    <m/>
    <x v="79"/>
    <n v="1"/>
    <n v="96"/>
    <s v="LSN"/>
    <n v="43500"/>
    <m/>
    <s v="96 LSN"/>
    <m/>
    <m/>
    <m/>
    <m/>
    <n v="4176000"/>
    <n v="0"/>
    <n v="0"/>
    <n v="0"/>
    <n v="4176000"/>
    <m/>
    <s v=""/>
    <s v=""/>
    <n v="4176000"/>
    <n v="4176000"/>
    <x v="6"/>
    <s v="DB STATIONERY"/>
    <x v="0"/>
    <s v=""/>
    <n v="7"/>
    <s v="geltizoretro05tg670"/>
    <s v="geltizoretro05tg6704176000"/>
    <s v="geltizoretro05tg6704176000"/>
    <s v=""/>
    <s v=""/>
    <x v="4"/>
    <b v="1"/>
    <s v="96 LSN"/>
    <s v="geltizoretro05tg67096lsn"/>
    <e v="#N/A"/>
  </r>
  <r>
    <s v=""/>
    <s v=""/>
    <s v=""/>
    <n v="31"/>
    <m/>
    <m/>
    <m/>
    <m/>
    <m/>
    <m/>
    <m/>
    <x v="80"/>
    <n v="5"/>
    <n v="60"/>
    <s v="PCS"/>
    <n v="55000"/>
    <m/>
    <s v="12 PCS"/>
    <m/>
    <m/>
    <m/>
    <m/>
    <n v="3300000"/>
    <n v="0"/>
    <n v="0"/>
    <n v="0"/>
    <n v="3300000"/>
    <m/>
    <n v="0"/>
    <n v="67620000"/>
    <n v="660000"/>
    <n v="3300000"/>
    <x v="6"/>
    <s v="DB STATIONERY"/>
    <x v="0"/>
    <s v=""/>
    <n v="7"/>
    <s v="tdokumen2trayjs2001"/>
    <s v="tdokumen2trayjs2001660000"/>
    <s v="tdokumen2trayjs2001660000"/>
    <s v=""/>
    <s v=""/>
    <x v="4"/>
    <b v="1"/>
    <s v="12 PCS"/>
    <s v="tdokumen2trayjs200112pcs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2"/>
    <s v="DBS_0607_523-2"/>
    <e v="#REF!"/>
    <n v="32"/>
    <d v="2023-07-06T00:00:00"/>
    <s v="DB STATIONERY"/>
    <s v="UNTANA"/>
    <s v="JUG035/23"/>
    <m/>
    <d v="2023-07-03T00:00:00"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5"/>
    <s v="DB STATIONERY"/>
    <x v="0"/>
    <n v="2"/>
    <n v="7"/>
    <s v="gel10340birutg340bi"/>
    <s v="gel10340birutg340bi3024000"/>
    <s v="gel10340birutg340bi3024000"/>
    <s v="DB STATIONERYUNTANAJUG035/2345110gel10340birutg340bi"/>
    <e v="#REF!"/>
    <x v="60"/>
    <b v="1"/>
    <s v="96 LSN"/>
    <s v="gel10340birutg340bi96lsn"/>
    <n v="802"/>
  </r>
  <r>
    <s v=""/>
    <s v=""/>
    <s v=""/>
    <n v="32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n v="0"/>
    <n v="18768000"/>
    <n v="912000"/>
    <n v="3648000"/>
    <x v="5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3"/>
    <s v="COM_0707_712-6"/>
    <e v="#REF!"/>
    <n v="33"/>
    <d v="2023-07-07T00:00:00"/>
    <s v="COMBI"/>
    <s v="UNTANA"/>
    <s v="0712"/>
    <m/>
    <d v="2023-07-07T00:00:00"/>
    <m/>
    <x v="81"/>
    <n v="1"/>
    <n v="8"/>
    <s v="DZ"/>
    <n v="180000"/>
    <m/>
    <m/>
    <m/>
    <m/>
    <m/>
    <m/>
    <n v="1440000"/>
    <n v="0"/>
    <n v="0"/>
    <n v="0"/>
    <n v="1440000"/>
    <m/>
    <s v=""/>
    <s v=""/>
    <n v="1440000"/>
    <n v="1440000"/>
    <x v="6"/>
    <s v="COMBI"/>
    <x v="0"/>
    <n v="6"/>
    <n v="7"/>
    <s v="docritinfinity"/>
    <s v="docritinfinity1440000"/>
    <s v="docritinfinity1440000"/>
    <s v="COMBIUNTANA071245114docritinfinity"/>
    <e v="#REF!"/>
    <x v="62"/>
    <s v=""/>
    <s v="8 LSN"/>
    <s v="docritinfinity8lsn"/>
    <n v="674"/>
  </r>
  <r>
    <s v=""/>
    <s v=""/>
    <s v=""/>
    <n v="33"/>
    <m/>
    <m/>
    <m/>
    <m/>
    <m/>
    <m/>
    <m/>
    <x v="82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prestige"/>
    <s v="docritprestige1560000"/>
    <s v="docritprestige1560000"/>
    <s v=""/>
    <s v=""/>
    <x v="63"/>
    <s v=""/>
    <s v="5 LSN"/>
    <s v="docritprestige5lsn"/>
    <n v="681"/>
  </r>
  <r>
    <s v=""/>
    <s v=""/>
    <s v=""/>
    <n v="33"/>
    <m/>
    <m/>
    <m/>
    <m/>
    <m/>
    <m/>
    <m/>
    <x v="83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conception"/>
    <s v="docritconception1560000"/>
    <s v="docritconception1560000"/>
    <s v=""/>
    <s v=""/>
    <x v="4"/>
    <s v=""/>
    <e v="#N/A"/>
    <e v="#N/A"/>
    <e v="#N/A"/>
  </r>
  <r>
    <s v=""/>
    <s v=""/>
    <s v=""/>
    <n v="33"/>
    <m/>
    <m/>
    <m/>
    <m/>
    <m/>
    <m/>
    <m/>
    <x v="84"/>
    <n v="1"/>
    <n v="7"/>
    <s v="DZ"/>
    <n v="240000"/>
    <m/>
    <m/>
    <m/>
    <m/>
    <m/>
    <m/>
    <n v="1680000"/>
    <n v="0"/>
    <n v="0"/>
    <n v="0"/>
    <n v="1680000"/>
    <m/>
    <s v=""/>
    <s v=""/>
    <n v="1680000"/>
    <n v="1680000"/>
    <x v="6"/>
    <s v="COMBI"/>
    <x v="0"/>
    <s v=""/>
    <n v="7"/>
    <s v="docritstatemen"/>
    <s v="docritstatemen1680000"/>
    <s v="docritstatemen1680000"/>
    <s v=""/>
    <s v=""/>
    <x v="4"/>
    <s v=""/>
    <e v="#N/A"/>
    <e v="#N/A"/>
    <e v="#N/A"/>
  </r>
  <r>
    <s v=""/>
    <s v=""/>
    <s v=""/>
    <n v="33"/>
    <m/>
    <m/>
    <m/>
    <m/>
    <m/>
    <m/>
    <m/>
    <x v="85"/>
    <n v="1"/>
    <n v="7"/>
    <s v="DZ"/>
    <n v="273000"/>
    <m/>
    <m/>
    <m/>
    <m/>
    <m/>
    <m/>
    <n v="1911000"/>
    <n v="0"/>
    <n v="0"/>
    <n v="0"/>
    <n v="1911000"/>
    <m/>
    <s v=""/>
    <s v=""/>
    <n v="1911000"/>
    <n v="1911000"/>
    <x v="6"/>
    <s v="COMBI"/>
    <x v="0"/>
    <s v=""/>
    <n v="7"/>
    <s v="docritellegance"/>
    <s v="docritellegance1911000"/>
    <s v="docritellegance1911000"/>
    <s v=""/>
    <s v=""/>
    <x v="4"/>
    <s v=""/>
    <e v="#N/A"/>
    <e v="#N/A"/>
    <e v="#N/A"/>
  </r>
  <r>
    <s v=""/>
    <s v=""/>
    <s v=""/>
    <n v="33"/>
    <m/>
    <m/>
    <m/>
    <m/>
    <m/>
    <m/>
    <m/>
    <x v="86"/>
    <n v="1"/>
    <n v="8"/>
    <s v="DZ"/>
    <n v="213000"/>
    <m/>
    <m/>
    <m/>
    <m/>
    <m/>
    <m/>
    <n v="1704000"/>
    <n v="0"/>
    <n v="0"/>
    <n v="0"/>
    <n v="1704000"/>
    <m/>
    <n v="0"/>
    <n v="9855000"/>
    <n v="1704000"/>
    <n v="1704000"/>
    <x v="6"/>
    <s v="COMBI"/>
    <x v="0"/>
    <s v=""/>
    <n v="7"/>
    <s v="docritbrilliant"/>
    <s v="docritbrilliant1704000"/>
    <s v="docritbrilliant1704000"/>
    <s v=""/>
    <s v=""/>
    <x v="64"/>
    <s v=""/>
    <s v="8 LSN"/>
    <s v="docritbrilliant8lsn"/>
    <n v="670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4"/>
    <s v="PAR_0807_-2"/>
    <e v="#REF!"/>
    <n v="34"/>
    <d v="2023-07-08T00:00:00"/>
    <s v="PARAMA"/>
    <s v="UNTANA"/>
    <m/>
    <m/>
    <d v="2023-07-04T00:00:00"/>
    <m/>
    <x v="87"/>
    <n v="10"/>
    <n v="2400"/>
    <s v="PCS"/>
    <n v="5485"/>
    <m/>
    <s v="240 PCS"/>
    <n v="0.1"/>
    <n v="0.1"/>
    <m/>
    <m/>
    <n v="13164000"/>
    <n v="1316400"/>
    <n v="1184760"/>
    <n v="2501160"/>
    <n v="10662840"/>
    <m/>
    <s v=""/>
    <s v=""/>
    <n v="1316400"/>
    <n v="13164000"/>
    <x v="7"/>
    <s v="PARAMA"/>
    <x v="0"/>
    <n v="2"/>
    <n v="7"/>
    <s v="sampulsamsonkwartobatik"/>
    <s v="sampulsamsonkwartobatik13164000.10.1"/>
    <s v="sampulsamsonkwartobatik13164000.10.1"/>
    <s v="PARAMAUNTANA45111sampulsamsonkwartobatik"/>
    <e v="#REF!"/>
    <x v="65"/>
    <b v="1"/>
    <s v="240 PCS"/>
    <s v="sampulsamsonkwartobatik240pcs"/>
    <n v="2199"/>
  </r>
  <r>
    <s v=""/>
    <s v=""/>
    <s v=""/>
    <n v="34"/>
    <m/>
    <m/>
    <m/>
    <m/>
    <m/>
    <m/>
    <m/>
    <x v="64"/>
    <n v="10"/>
    <n v="1800"/>
    <s v="PCS"/>
    <n v="7552.7777777777774"/>
    <m/>
    <s v="180 PCS"/>
    <n v="0.1"/>
    <n v="0.1"/>
    <m/>
    <m/>
    <n v="13595000"/>
    <n v="1359500"/>
    <n v="1223550"/>
    <n v="2583050"/>
    <n v="11011950"/>
    <m/>
    <n v="5084210"/>
    <n v="21674790"/>
    <n v="1359500"/>
    <n v="13595000"/>
    <x v="7"/>
    <s v="PARAMA"/>
    <x v="0"/>
    <s v=""/>
    <n v="7"/>
    <s v="sampulsamsonboxybatik"/>
    <s v="sampulsamsonboxybatik13595000.10.1"/>
    <s v="sampulsamsonboxybatik13595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5"/>
    <s v="ATA_0707_218-6"/>
    <e v="#REF!"/>
    <n v="35"/>
    <d v="2023-07-07T00:00:00"/>
    <s v="ATALI MAKMUR"/>
    <s v="ARTO MORO"/>
    <s v="SA230711218"/>
    <m/>
    <d v="2023-07-04T00:00:00"/>
    <m/>
    <x v="88"/>
    <n v="5"/>
    <n v="720"/>
    <s v="SET"/>
    <n v="11900"/>
    <m/>
    <m/>
    <n v="0.125"/>
    <n v="0.05"/>
    <m/>
    <m/>
    <n v="8568000"/>
    <n v="1071000"/>
    <n v="374850"/>
    <n v="1445850"/>
    <n v="7122150"/>
    <m/>
    <s v=""/>
    <s v=""/>
    <n v="1713600"/>
    <n v="8568000"/>
    <x v="6"/>
    <s v="ATALI MAKMUR"/>
    <x v="2"/>
    <n v="6"/>
    <n v="7"/>
    <s v="oilpastelop12sppcaseseaworldjk"/>
    <s v="oilpastelop12sppcaseseaworldjk17136000.1250.05"/>
    <s v="oilpastelop12sppcaseseaworldjk17136000.1250.05"/>
    <s v="ATALI MAKMURARTO MOROSA23071121845111oilpastelop12sppcaseseaworldjk"/>
    <e v="#REF!"/>
    <x v="66"/>
    <s v=""/>
    <s v="12 LSN"/>
    <s v="oilpastelop12sppcaseseaworldjk12lsn"/>
    <n v="1756"/>
  </r>
  <r>
    <s v=""/>
    <s v=""/>
    <s v=""/>
    <n v="35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6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3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5"/>
    <m/>
    <m/>
    <m/>
    <m/>
    <m/>
    <m/>
    <m/>
    <x v="91"/>
    <n v="3"/>
    <n v="108"/>
    <s v="SET"/>
    <n v="41500"/>
    <m/>
    <m/>
    <n v="0.125"/>
    <n v="0.05"/>
    <m/>
    <m/>
    <n v="4482000"/>
    <n v="560250"/>
    <n v="196087.5"/>
    <n v="756337.5"/>
    <n v="3725662.5"/>
    <m/>
    <s v=""/>
    <s v=""/>
    <n v="1494000"/>
    <n v="4482000"/>
    <x v="6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35"/>
    <m/>
    <m/>
    <m/>
    <m/>
    <m/>
    <m/>
    <m/>
    <x v="92"/>
    <n v="2"/>
    <n v="48"/>
    <s v="SET"/>
    <n v="58900"/>
    <m/>
    <m/>
    <n v="0.125"/>
    <n v="0.05"/>
    <m/>
    <m/>
    <n v="2827200"/>
    <n v="353400"/>
    <n v="123690"/>
    <n v="477090"/>
    <n v="2350110"/>
    <m/>
    <s v=""/>
    <s v=""/>
    <n v="1413600"/>
    <n v="2827200"/>
    <x v="6"/>
    <s v="ATALI MAKMUR"/>
    <x v="2"/>
    <s v=""/>
    <n v="7"/>
    <s v="oilpastelop48sppcaseseaworldjk"/>
    <s v="oilpastelop48sppcaseseaworldjk14136000.1250.05"/>
    <s v="oilpastelop48sppcaseseaworldjk14136000.1250.05"/>
    <s v=""/>
    <s v=""/>
    <x v="70"/>
    <s v=""/>
    <s v="4 BOX (6 SET)"/>
    <s v="oilpastelop48sppcaseseaworldjk4box6set"/>
    <n v="1760"/>
  </r>
  <r>
    <s v=""/>
    <s v=""/>
    <s v=""/>
    <n v="35"/>
    <m/>
    <m/>
    <m/>
    <m/>
    <m/>
    <m/>
    <m/>
    <x v="93"/>
    <n v="3"/>
    <n v="72"/>
    <s v="SET"/>
    <n v="66900"/>
    <m/>
    <m/>
    <n v="0.125"/>
    <n v="0.05"/>
    <m/>
    <m/>
    <n v="4816800"/>
    <n v="602100"/>
    <n v="210735"/>
    <n v="812835"/>
    <n v="4003965"/>
    <m/>
    <n v="6088162.5"/>
    <n v="29989837.5"/>
    <n v="1605600"/>
    <n v="4816800"/>
    <x v="6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6"/>
    <s v="ATA_0707_161-9"/>
    <e v="#REF!"/>
    <n v="36"/>
    <m/>
    <s v="ATALI MAKMUR"/>
    <s v="ARTO MORO"/>
    <s v="SA230711161"/>
    <m/>
    <d v="2023-07-04T00:00:00"/>
    <m/>
    <x v="88"/>
    <n v="2"/>
    <n v="288"/>
    <s v="SET"/>
    <n v="11900"/>
    <m/>
    <m/>
    <n v="0.125"/>
    <n v="0.05"/>
    <m/>
    <m/>
    <n v="3427200"/>
    <n v="428400"/>
    <n v="149940"/>
    <n v="578340"/>
    <n v="2848860"/>
    <m/>
    <s v=""/>
    <s v=""/>
    <n v="1713600"/>
    <n v="3427200"/>
    <x v="6"/>
    <s v="ATALI MAKMUR"/>
    <x v="2"/>
    <n v="9"/>
    <n v="7"/>
    <s v="oilpastelop12sppcaseseaworldjk"/>
    <s v="oilpastelop12sppcaseseaworldjk17136000.1250.05"/>
    <s v="oilpastelop12sppcaseseaworldjk17136000.1250.05"/>
    <s v="ATALI MAKMURARTO MOROSA23071116145111oilpastelop12sppcaseseaworldjk"/>
    <e v="#REF!"/>
    <x v="66"/>
    <s v=""/>
    <s v="12 LSN"/>
    <s v="oilpastelop12sppcaseseaworldjk12lsn"/>
    <n v="1756"/>
  </r>
  <r>
    <s v=""/>
    <s v=""/>
    <s v=""/>
    <n v="36"/>
    <m/>
    <m/>
    <m/>
    <m/>
    <m/>
    <m/>
    <m/>
    <x v="90"/>
    <n v="7"/>
    <n v="336"/>
    <s v="SET"/>
    <n v="29600"/>
    <m/>
    <m/>
    <n v="0.125"/>
    <n v="0.05"/>
    <m/>
    <m/>
    <n v="9945600"/>
    <n v="1243200"/>
    <n v="435120"/>
    <n v="1678320"/>
    <n v="8267280"/>
    <m/>
    <s v=""/>
    <s v=""/>
    <n v="1420800"/>
    <n v="99456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6"/>
    <m/>
    <m/>
    <m/>
    <m/>
    <m/>
    <m/>
    <m/>
    <x v="94"/>
    <n v="1"/>
    <n v="24"/>
    <s v="SET"/>
    <n v="96000"/>
    <m/>
    <m/>
    <n v="0.125"/>
    <n v="0.05"/>
    <m/>
    <m/>
    <n v="2304000"/>
    <n v="288000"/>
    <n v="100800"/>
    <n v="388800"/>
    <n v="1915200"/>
    <m/>
    <s v=""/>
    <s v=""/>
    <n v="2304000"/>
    <n v="2304000"/>
    <x v="6"/>
    <s v="ATALI MAKMUR"/>
    <x v="2"/>
    <s v=""/>
    <n v="7"/>
    <s v="oilpastelop72sppcaseseaworldjk"/>
    <s v="oilpastelop72sppcaseseaworldjk23040000.1250.05"/>
    <s v="oilpastelop72sppcaseseaworldjk23040000.1250.05"/>
    <s v=""/>
    <s v=""/>
    <x v="72"/>
    <s v=""/>
    <s v="4 BOX (6 SET)"/>
    <s v="oilpastelop72sppcaseseaworldjk4box6set"/>
    <n v="1762"/>
  </r>
  <r>
    <s v=""/>
    <s v=""/>
    <s v=""/>
    <n v="36"/>
    <m/>
    <m/>
    <m/>
    <m/>
    <m/>
    <m/>
    <m/>
    <x v="95"/>
    <n v="2"/>
    <n v="288"/>
    <s v="SET"/>
    <n v="11600"/>
    <m/>
    <m/>
    <n v="0.125"/>
    <n v="0.05"/>
    <m/>
    <m/>
    <n v="3340800"/>
    <n v="417600"/>
    <n v="146160"/>
    <n v="563760"/>
    <n v="2777040"/>
    <m/>
    <s v=""/>
    <s v=""/>
    <n v="1670400"/>
    <n v="3340800"/>
    <x v="6"/>
    <s v="ATALI MAKMUR"/>
    <x v="2"/>
    <s v=""/>
    <n v="7"/>
    <s v="oilpastelop12chccompactjk"/>
    <s v="oilpastelop12chccompactjk16704000.1250.05"/>
    <s v="oilpastelop12chccompactjk16704000.1250.05"/>
    <s v=""/>
    <s v=""/>
    <x v="73"/>
    <s v=""/>
    <s v="12 LSN"/>
    <s v="oilpastelop12chccompactjk12lsn"/>
    <n v="1754"/>
  </r>
  <r>
    <s v=""/>
    <s v=""/>
    <s v=""/>
    <n v="36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6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36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6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36"/>
    <m/>
    <m/>
    <m/>
    <m/>
    <m/>
    <m/>
    <m/>
    <x v="96"/>
    <n v="1"/>
    <n v="144"/>
    <s v="PCS"/>
    <n v="6500"/>
    <m/>
    <m/>
    <n v="0.125"/>
    <n v="0.05"/>
    <m/>
    <m/>
    <n v="936000"/>
    <n v="117000"/>
    <n v="40950"/>
    <n v="157950"/>
    <n v="778050"/>
    <m/>
    <s v=""/>
    <s v=""/>
    <n v="936000"/>
    <n v="936000"/>
    <x v="6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36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6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36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4837770"/>
    <n v="23050230"/>
    <n v="158400"/>
    <n v="158400"/>
    <x v="6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7"/>
    <s v="KEN_0707_246-4"/>
    <e v="#REF!"/>
    <n v="37"/>
    <m/>
    <s v="KENKO SINAR INDONESIA"/>
    <s v="ARTO MORO"/>
    <s v="23070246"/>
    <s v="SA 42805"/>
    <d v="2023-07-05T00:00:00"/>
    <m/>
    <x v="97"/>
    <n v="10"/>
    <m/>
    <m/>
    <m/>
    <n v="1497600"/>
    <m/>
    <n v="0.17"/>
    <m/>
    <m/>
    <m/>
    <n v="14976000"/>
    <n v="2545920"/>
    <n v="0"/>
    <n v="2545920"/>
    <n v="12430080"/>
    <m/>
    <s v=""/>
    <s v=""/>
    <n v="1497600"/>
    <s v=""/>
    <x v="6"/>
    <s v="KENKO SINAR INDONESIA"/>
    <x v="2"/>
    <n v="4"/>
    <n v="7"/>
    <s v="kenkopencilcasepc0719ur"/>
    <s v="kenkopencilcasepc0719ur14976000.17"/>
    <s v="kenkopencilcasepc0719ur14976000.17"/>
    <s v="KENKO SINAR INDONESIAARTO MORO23070246SA 4280545112kenkopencilcasepc0719ur"/>
    <e v="#REF!"/>
    <x v="30"/>
    <s v=""/>
    <s v="24 LSN"/>
    <s v="kenkopencilcasepc0719ur24lsn"/>
    <n v="1392"/>
  </r>
  <r>
    <s v=""/>
    <s v=""/>
    <s v=""/>
    <n v="37"/>
    <m/>
    <m/>
    <m/>
    <m/>
    <s v="SA 42807"/>
    <m/>
    <m/>
    <x v="98"/>
    <n v="12"/>
    <m/>
    <m/>
    <m/>
    <n v="2016000"/>
    <m/>
    <n v="0.17"/>
    <m/>
    <m/>
    <m/>
    <n v="24192000"/>
    <n v="4112640.0000000005"/>
    <n v="0"/>
    <n v="4112640.0000000005"/>
    <n v="20079360"/>
    <m/>
    <s v=""/>
    <s v=""/>
    <n v="2016000"/>
    <s v=""/>
    <x v="6"/>
    <s v="KENKO SINAR INDONESIA"/>
    <x v="2"/>
    <s v=""/>
    <n v="7"/>
    <s v="kenkocolorpencilcp12fnwenonwooderasable"/>
    <s v="kenkocolorpencilcp12fnwenonwooderasable20160000.17"/>
    <s v="kenkocolorpencilcp12fnwenonwooderasable20160000.17"/>
    <s v=""/>
    <s v=""/>
    <x v="75"/>
    <s v=""/>
    <s v="16 LSN"/>
    <s v="kenkocolorpencilcp12fnwenonwooderasable16lsn"/>
    <n v="1218"/>
  </r>
  <r>
    <s v=""/>
    <s v=""/>
    <s v=""/>
    <n v="37"/>
    <m/>
    <m/>
    <m/>
    <m/>
    <m/>
    <m/>
    <m/>
    <x v="99"/>
    <n v="3"/>
    <m/>
    <m/>
    <m/>
    <n v="3571200"/>
    <m/>
    <n v="0.17"/>
    <m/>
    <m/>
    <m/>
    <n v="10713600"/>
    <n v="1821312.0000000002"/>
    <n v="0"/>
    <n v="1821312.0000000002"/>
    <n v="8892288"/>
    <m/>
    <s v=""/>
    <s v=""/>
    <n v="3571200"/>
    <s v=""/>
    <x v="6"/>
    <s v="KENKO SINAR INDONESIA"/>
    <x v="2"/>
    <s v=""/>
    <n v="7"/>
    <s v="kenko12bicolorpencilcp12fbcclassic"/>
    <s v="kenko12bicolorpencilcp12fbcclassic35712000.17"/>
    <s v="kenko12bicolorpencilcp12fbcclassic35712000.17"/>
    <s v=""/>
    <s v=""/>
    <x v="76"/>
    <s v=""/>
    <s v="24 LSN"/>
    <s v="kenko12bicolorpencilcp12fbcclassic24lsn"/>
    <n v="1155"/>
  </r>
  <r>
    <s v=""/>
    <s v=""/>
    <s v=""/>
    <n v="37"/>
    <m/>
    <m/>
    <m/>
    <m/>
    <m/>
    <m/>
    <m/>
    <x v="100"/>
    <n v="2"/>
    <m/>
    <m/>
    <m/>
    <n v="2040000"/>
    <m/>
    <n v="0.17"/>
    <m/>
    <m/>
    <m/>
    <n v="4080000"/>
    <n v="693600"/>
    <n v="0"/>
    <n v="693600"/>
    <n v="3386400"/>
    <m/>
    <n v="9173472"/>
    <n v="44788128"/>
    <n v="2040000"/>
    <s v=""/>
    <x v="6"/>
    <s v="KENKO SINAR INDONESIA"/>
    <x v="2"/>
    <s v=""/>
    <n v="7"/>
    <s v="kenko24colorpencilcp24ftincaseclassic"/>
    <s v="kenko24colorpencilcp24ftincaseclassic20400000.17"/>
    <s v="kenko24colorpencilcp24ftincaseclassic20400000.17"/>
    <s v=""/>
    <s v=""/>
    <x v="77"/>
    <s v=""/>
    <s v="10 BOX (6 SET)"/>
    <s v="kenko24colorpencilcp24ftincaseclassic10box6set"/>
    <n v="11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8"/>
    <s v="KEN_0707_241-10"/>
    <e v="#REF!"/>
    <n v="38"/>
    <m/>
    <s v="KENKO SINAR INDONESIA"/>
    <s v="ARTO MORO"/>
    <s v="23070241"/>
    <s v="SA 42789"/>
    <d v="2023-07-05T00:00:00"/>
    <m/>
    <x v="10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6"/>
    <s v="KENKO SINAR INDONESIA"/>
    <x v="2"/>
    <n v="10"/>
    <n v="7"/>
    <s v="kenkopocketnotepn403"/>
    <s v="kenkopocketnotepn4037416000.17"/>
    <s v="kenkopocketnotepn4037416000.17"/>
    <s v="KENKO SINAR INDONESIAARTO MORO23070241SA 4278945112kenkopocketnotepn403"/>
    <e v="#REF!"/>
    <x v="40"/>
    <s v=""/>
    <s v="12 LSN"/>
    <s v="kenkopocketnotepn40312lsn"/>
    <n v="1397"/>
  </r>
  <r>
    <s v=""/>
    <s v=""/>
    <s v=""/>
    <n v="38"/>
    <m/>
    <m/>
    <m/>
    <m/>
    <m/>
    <m/>
    <m/>
    <x v="102"/>
    <n v="1"/>
    <m/>
    <m/>
    <m/>
    <n v="396000"/>
    <m/>
    <n v="0.17"/>
    <m/>
    <m/>
    <m/>
    <n v="396000"/>
    <n v="67320"/>
    <n v="0"/>
    <n v="67320"/>
    <n v="328680"/>
    <m/>
    <s v=""/>
    <s v=""/>
    <n v="396000"/>
    <s v=""/>
    <x v="6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n v="38"/>
    <m/>
    <m/>
    <m/>
    <m/>
    <m/>
    <m/>
    <m/>
    <x v="103"/>
    <n v="1"/>
    <m/>
    <m/>
    <m/>
    <n v="372000"/>
    <s v="24 PCS"/>
    <n v="0.17"/>
    <m/>
    <m/>
    <m/>
    <n v="372000"/>
    <n v="63240.000000000007"/>
    <n v="0"/>
    <n v="63240.000000000007"/>
    <n v="308760"/>
    <m/>
    <s v=""/>
    <s v=""/>
    <n v="372000"/>
    <s v=""/>
    <x v="6"/>
    <s v="KENKO SINAR INDONESIA"/>
    <x v="2"/>
    <s v=""/>
    <n v="7"/>
    <s v="kenkotapedispensertd2011core"/>
    <s v="kenkotapedispensertd2011core3720000.17"/>
    <s v="kenkotapedispensertd2011core3720000.17"/>
    <s v=""/>
    <s v=""/>
    <x v="79"/>
    <b v="1"/>
    <s v="24 PCS"/>
    <s v="kenkotapedispensertd2011core24pcs"/>
    <n v="1454"/>
  </r>
  <r>
    <s v=""/>
    <s v=""/>
    <s v=""/>
    <n v="38"/>
    <m/>
    <m/>
    <m/>
    <m/>
    <m/>
    <m/>
    <m/>
    <x v="104"/>
    <n v="1"/>
    <m/>
    <m/>
    <m/>
    <n v="444000"/>
    <s v="24 PCS"/>
    <n v="0.17"/>
    <m/>
    <m/>
    <m/>
    <n v="444000"/>
    <n v="75480"/>
    <n v="0"/>
    <n v="75480"/>
    <n v="368520"/>
    <m/>
    <s v=""/>
    <s v=""/>
    <n v="444000"/>
    <s v=""/>
    <x v="6"/>
    <s v="KENKO SINAR INDONESIA"/>
    <x v="2"/>
    <s v=""/>
    <n v="7"/>
    <s v="kenkotapedispensertd3211&amp;3core"/>
    <s v="kenkotapedispensertd3211&amp;3core4440000.17"/>
    <s v="kenkotapedispensertd3211&amp;3core4440000.17"/>
    <s v=""/>
    <s v=""/>
    <x v="80"/>
    <b v="1"/>
    <s v="24 PCS"/>
    <s v="kenkotapedispensertd3211&amp;3core24pcs"/>
    <n v="1453"/>
  </r>
  <r>
    <s v=""/>
    <s v=""/>
    <s v=""/>
    <n v="38"/>
    <m/>
    <m/>
    <m/>
    <m/>
    <m/>
    <m/>
    <m/>
    <x v="105"/>
    <n v="1"/>
    <m/>
    <m/>
    <m/>
    <n v="1040000"/>
    <s v="80 PCS"/>
    <n v="0.17"/>
    <m/>
    <m/>
    <m/>
    <n v="1040000"/>
    <n v="176800"/>
    <n v="0"/>
    <n v="176800"/>
    <n v="863200"/>
    <m/>
    <s v=""/>
    <s v=""/>
    <n v="1040000"/>
    <s v=""/>
    <x v="6"/>
    <s v="KENKO SINAR INDONESIA"/>
    <x v="2"/>
    <s v=""/>
    <n v="7"/>
    <s v="kenkolooseleafb5ll1002670"/>
    <s v="kenkolooseleafb5ll100267010400000.17"/>
    <s v="kenkolooseleafb5ll100267010400000.17"/>
    <s v=""/>
    <s v=""/>
    <x v="81"/>
    <b v="1"/>
    <s v="80 PCS"/>
    <s v="kenkolooseleafb5ll100267080pcs"/>
    <n v="1359"/>
  </r>
  <r>
    <s v=""/>
    <s v=""/>
    <s v=""/>
    <n v="38"/>
    <m/>
    <m/>
    <m/>
    <m/>
    <m/>
    <m/>
    <m/>
    <x v="106"/>
    <n v="1"/>
    <m/>
    <m/>
    <m/>
    <n v="1890000"/>
    <m/>
    <n v="0.17"/>
    <m/>
    <m/>
    <m/>
    <n v="1890000"/>
    <n v="321300"/>
    <n v="0"/>
    <n v="321300"/>
    <n v="1568700"/>
    <m/>
    <s v=""/>
    <s v=""/>
    <n v="1890000"/>
    <s v=""/>
    <x v="6"/>
    <s v="KENKO SINAR INDONESIA"/>
    <x v="2"/>
    <s v=""/>
    <n v="7"/>
    <s v="kenkostainlesssteelruler15cm"/>
    <s v="kenkostainlesssteelruler15cm18900000.17"/>
    <s v="kenkostainlesssteelruler15cm18900000.17"/>
    <s v=""/>
    <s v=""/>
    <x v="82"/>
    <s v=""/>
    <s v="50 LSN"/>
    <s v="kenkostainlesssteelruler15cm50lsn"/>
    <n v="1426"/>
  </r>
  <r>
    <s v=""/>
    <s v=""/>
    <s v=""/>
    <n v="38"/>
    <m/>
    <m/>
    <m/>
    <m/>
    <m/>
    <m/>
    <m/>
    <x v="107"/>
    <n v="1"/>
    <m/>
    <m/>
    <m/>
    <n v="1770000"/>
    <m/>
    <n v="0.17"/>
    <m/>
    <m/>
    <m/>
    <n v="1770000"/>
    <n v="300900"/>
    <n v="0"/>
    <n v="300900"/>
    <n v="1469100"/>
    <m/>
    <s v=""/>
    <s v=""/>
    <n v="1770000"/>
    <s v=""/>
    <x v="6"/>
    <s v="KENKO SINAR INDONESIA"/>
    <x v="2"/>
    <s v=""/>
    <n v="7"/>
    <s v="kenkostainlesssteelruler20cm"/>
    <s v="kenkostainlesssteelruler20cm17700000.17"/>
    <s v="kenkostainlesssteelruler20cm17700000.17"/>
    <s v=""/>
    <s v=""/>
    <x v="83"/>
    <s v=""/>
    <s v="25 LSN"/>
    <s v="kenkostainlesssteelruler20cm25lsn"/>
    <n v="1427"/>
  </r>
  <r>
    <s v=""/>
    <s v=""/>
    <s v=""/>
    <n v="38"/>
    <m/>
    <m/>
    <m/>
    <m/>
    <m/>
    <m/>
    <m/>
    <x v="108"/>
    <n v="1"/>
    <m/>
    <m/>
    <m/>
    <n v="2100000"/>
    <m/>
    <n v="0.17"/>
    <m/>
    <m/>
    <m/>
    <n v="2100000"/>
    <n v="357000"/>
    <n v="0"/>
    <n v="357000"/>
    <n v="1743000"/>
    <m/>
    <s v=""/>
    <s v=""/>
    <n v="2100000"/>
    <s v=""/>
    <x v="6"/>
    <s v="KENKO SINAR INDONESIA"/>
    <x v="2"/>
    <s v=""/>
    <n v="7"/>
    <s v="kenkostainlesssteelruler30cm"/>
    <s v="kenkostainlesssteelruler30cm21000000.17"/>
    <s v="kenkostainlesssteelruler30cm21000000.17"/>
    <s v=""/>
    <s v=""/>
    <x v="84"/>
    <s v=""/>
    <s v="25 LSN"/>
    <s v="kenkostainlesssteelruler30cm25lsn"/>
    <n v="1428"/>
  </r>
  <r>
    <s v=""/>
    <s v=""/>
    <s v=""/>
    <n v="38"/>
    <m/>
    <m/>
    <m/>
    <m/>
    <m/>
    <m/>
    <m/>
    <x v="109"/>
    <n v="1"/>
    <m/>
    <m/>
    <m/>
    <n v="1380000"/>
    <s v="20 GRS"/>
    <n v="0.17"/>
    <m/>
    <m/>
    <m/>
    <n v="1380000"/>
    <n v="234600.00000000003"/>
    <n v="0"/>
    <n v="234600.00000000003"/>
    <n v="1145400"/>
    <m/>
    <s v=""/>
    <s v=""/>
    <n v="1380000"/>
    <s v=""/>
    <x v="6"/>
    <s v="KENKO SINAR INDONESIA"/>
    <x v="2"/>
    <s v=""/>
    <n v="7"/>
    <s v="kenkobinderclipno155"/>
    <s v="kenkobinderclipno15513800000.17"/>
    <s v="kenkobinderclipno15513800000.17"/>
    <s v=""/>
    <s v=""/>
    <x v="85"/>
    <b v="1"/>
    <s v="20 GRS"/>
    <s v="kenkobinderclipno15520grs"/>
    <n v="1175"/>
  </r>
  <r>
    <s v=""/>
    <s v=""/>
    <s v=""/>
    <n v="38"/>
    <m/>
    <m/>
    <m/>
    <m/>
    <m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n v="1926712"/>
    <n v="9406888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9"/>
    <s v="KEN_0707_242-7"/>
    <e v="#REF!"/>
    <n v="39"/>
    <m/>
    <s v="KENKO SINAR INDONESIA"/>
    <s v="ARTO MORO"/>
    <s v="23070242"/>
    <s v="SA 42791"/>
    <d v="2023-07-05T00:00:00"/>
    <m/>
    <x v="111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6"/>
    <s v="KENKO SINAR INDONESIA"/>
    <x v="2"/>
    <n v="7"/>
    <n v="7"/>
    <s v="kenkocuttera3009mmblade"/>
    <s v="kenkocuttera3009mmblade17100000.17"/>
    <s v="kenkocuttera3009mmblade17100000.17"/>
    <s v="KENKO SINAR INDONESIAARTO MORO23070242SA 4279145112kenkocuttera3009mmblade"/>
    <e v="#REF!"/>
    <x v="31"/>
    <s v=""/>
    <s v="30 LSN"/>
    <s v="kenkocuttera3009mmblade30lsn"/>
    <n v="1266"/>
  </r>
  <r>
    <s v=""/>
    <s v=""/>
    <s v=""/>
    <n v="39"/>
    <m/>
    <m/>
    <m/>
    <m/>
    <m/>
    <m/>
    <m/>
    <x v="112"/>
    <n v="1"/>
    <m/>
    <m/>
    <m/>
    <n v="2952000"/>
    <m/>
    <n v="0.17"/>
    <m/>
    <m/>
    <m/>
    <n v="2952000"/>
    <n v="501840.00000000006"/>
    <n v="0"/>
    <n v="501840.00000000006"/>
    <n v="2450160"/>
    <m/>
    <s v=""/>
    <s v=""/>
    <n v="2952000"/>
    <s v=""/>
    <x v="6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39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6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39"/>
    <m/>
    <m/>
    <m/>
    <m/>
    <m/>
    <m/>
    <m/>
    <x v="114"/>
    <n v="2"/>
    <m/>
    <m/>
    <m/>
    <n v="3600000"/>
    <m/>
    <n v="0.17"/>
    <m/>
    <m/>
    <m/>
    <n v="7200000"/>
    <n v="1224000"/>
    <n v="0"/>
    <n v="1224000"/>
    <n v="5976000"/>
    <m/>
    <s v=""/>
    <s v="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n v="39"/>
    <m/>
    <m/>
    <m/>
    <m/>
    <s v="SA 42807"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s v=""/>
    <s v="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n v="39"/>
    <m/>
    <m/>
    <m/>
    <m/>
    <m/>
    <m/>
    <m/>
    <x v="115"/>
    <n v="1"/>
    <m/>
    <m/>
    <m/>
    <n v="900000"/>
    <s v="5 GRS"/>
    <n v="0.17"/>
    <m/>
    <m/>
    <m/>
    <n v="900000"/>
    <n v="153000"/>
    <n v="0"/>
    <n v="153000"/>
    <n v="747000"/>
    <m/>
    <s v=""/>
    <s v=""/>
    <n v="900000"/>
    <s v=""/>
    <x v="6"/>
    <s v="KENKO SINAR INDONESIA"/>
    <x v="2"/>
    <s v=""/>
    <n v="7"/>
    <s v="kenkobinderclipno260"/>
    <s v="kenkobinderclipno2609000000.17"/>
    <s v="kenkobinderclipno2609000000.17"/>
    <s v=""/>
    <s v=""/>
    <x v="88"/>
    <b v="1"/>
    <s v="5 GRS"/>
    <s v="kenkobinderclipno2605grs"/>
    <n v="1177"/>
  </r>
  <r>
    <s v=""/>
    <s v=""/>
    <s v=""/>
    <n v="39"/>
    <m/>
    <m/>
    <m/>
    <m/>
    <s v="SA 42803"/>
    <m/>
    <m/>
    <x v="114"/>
    <n v="10"/>
    <m/>
    <m/>
    <m/>
    <n v="3600000"/>
    <m/>
    <n v="0.17"/>
    <m/>
    <m/>
    <m/>
    <n v="36000000"/>
    <n v="6120000"/>
    <n v="0"/>
    <n v="6120000"/>
    <n v="29880000"/>
    <m/>
    <n v="10819752"/>
    <n v="52825848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0"/>
    <s v="ATA_0807_160-9"/>
    <e v="#REF!"/>
    <n v="40"/>
    <d v="2023-07-08T00:00:00"/>
    <s v="ATALI MAKMUR"/>
    <s v="ARTO MORO"/>
    <s v="SA230711160"/>
    <m/>
    <d v="2023-07-04T00:00:00"/>
    <m/>
    <x v="116"/>
    <n v="3"/>
    <n v="90"/>
    <s v="GRS"/>
    <n v="99000"/>
    <m/>
    <s v="30 GRS"/>
    <n v="0.125"/>
    <n v="0.05"/>
    <m/>
    <m/>
    <n v="8910000"/>
    <n v="1113750"/>
    <n v="389812.5"/>
    <n v="1503562.5"/>
    <n v="7406437.5"/>
    <m/>
    <s v=""/>
    <s v=""/>
    <n v="2970000"/>
    <n v="8910000"/>
    <x v="7"/>
    <s v="ATALI MAKMUR"/>
    <x v="2"/>
    <n v="9"/>
    <n v="7"/>
    <s v="pencilp912bjk"/>
    <s v="pencilp912bjk29700000.1250.05"/>
    <s v="pencilp912bjk29700000.1250.05"/>
    <s v="ATALI MAKMURARTO MOROSA23071116045111pencilp912bjk"/>
    <e v="#REF!"/>
    <x v="89"/>
    <b v="1"/>
    <s v="30 GRS"/>
    <s v="pencilp912bjk30grs"/>
    <n v="2026"/>
  </r>
  <r>
    <s v=""/>
    <s v=""/>
    <s v=""/>
    <n v="40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7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40"/>
    <m/>
    <m/>
    <m/>
    <m/>
    <m/>
    <m/>
    <m/>
    <x v="118"/>
    <n v="2"/>
    <n v="1000"/>
    <s v="ROL"/>
    <n v="3050"/>
    <m/>
    <m/>
    <n v="0.125"/>
    <n v="0.05"/>
    <m/>
    <m/>
    <n v="3050000"/>
    <n v="381250"/>
    <n v="133437.5"/>
    <n v="514687.5"/>
    <n v="2535312.5"/>
    <m/>
    <s v=""/>
    <s v=""/>
    <n v="1525000"/>
    <n v="3050000"/>
    <x v="7"/>
    <s v="ATALI MAKMUR"/>
    <x v="2"/>
    <s v=""/>
    <n v="7"/>
    <s v="labellbp2ln2barisjk"/>
    <s v="labellbp2ln2barisjk15250000.1250.05"/>
    <s v="labellbp2ln2barisjk15250000.1250.05"/>
    <s v=""/>
    <s v=""/>
    <x v="91"/>
    <s v=""/>
    <s v="50 PAK (10 ROL)"/>
    <s v="labellbp2ln2barisjk50pak10rol"/>
    <n v="1508"/>
  </r>
  <r>
    <s v=""/>
    <s v=""/>
    <s v=""/>
    <n v="40"/>
    <m/>
    <m/>
    <m/>
    <m/>
    <m/>
    <m/>
    <m/>
    <x v="119"/>
    <n v="1"/>
    <n v="144"/>
    <s v="SET"/>
    <n v="13800"/>
    <m/>
    <m/>
    <n v="0.125"/>
    <n v="0.05"/>
    <m/>
    <m/>
    <n v="1987200"/>
    <n v="248400"/>
    <n v="86940"/>
    <n v="335340"/>
    <n v="1651860"/>
    <m/>
    <s v=""/>
    <s v=""/>
    <n v="1987200"/>
    <n v="1987200"/>
    <x v="7"/>
    <s v="ATALI MAKMUR"/>
    <x v="2"/>
    <s v=""/>
    <n v="7"/>
    <s v="colorpencilcps24jk"/>
    <s v="colorpencilcps24jk19872000.1250.05"/>
    <s v="colorpencilcps24jk19872000.1250.05"/>
    <s v=""/>
    <s v=""/>
    <x v="92"/>
    <s v=""/>
    <s v="12 BOX (12 SET)"/>
    <s v="colorpencilcps24jk12box12set"/>
    <n v="547"/>
  </r>
  <r>
    <s v=""/>
    <s v=""/>
    <s v=""/>
    <n v="40"/>
    <m/>
    <m/>
    <m/>
    <m/>
    <m/>
    <m/>
    <m/>
    <x v="120"/>
    <n v="1"/>
    <n v="144"/>
    <s v="DZ"/>
    <n v="7200"/>
    <m/>
    <m/>
    <n v="0.125"/>
    <n v="0.05"/>
    <m/>
    <m/>
    <n v="1036800"/>
    <n v="129600"/>
    <n v="45360"/>
    <n v="174960"/>
    <n v="861840"/>
    <m/>
    <s v=""/>
    <s v=""/>
    <n v="1036800"/>
    <n v="1036800"/>
    <x v="7"/>
    <s v="ATALI MAKMUR"/>
    <x v="2"/>
    <s v=""/>
    <n v="7"/>
    <s v="ballpenbp336mypastelblackjk"/>
    <s v="ballpenbp336mypastelblackjk10368000.1250.05"/>
    <s v="ballpenbp336mypastelblackjk10368000.1250.05"/>
    <s v=""/>
    <s v=""/>
    <x v="93"/>
    <s v=""/>
    <s v="144 LSN"/>
    <s v="ballpenbp336mypastelblackjk144lsn"/>
    <n v="82"/>
  </r>
  <r>
    <s v=""/>
    <s v=""/>
    <s v=""/>
    <n v="40"/>
    <m/>
    <m/>
    <m/>
    <m/>
    <m/>
    <m/>
    <m/>
    <x v="121"/>
    <n v="1"/>
    <n v="144"/>
    <s v="DZ"/>
    <n v="24600"/>
    <m/>
    <m/>
    <n v="0.125"/>
    <n v="0.05"/>
    <m/>
    <m/>
    <n v="3542400"/>
    <n v="442800"/>
    <n v="154980"/>
    <n v="597780"/>
    <n v="2944620"/>
    <m/>
    <s v=""/>
    <s v=""/>
    <n v="3542400"/>
    <n v="3542400"/>
    <x v="7"/>
    <s v="ATALI MAKMUR"/>
    <x v="2"/>
    <s v=""/>
    <n v="7"/>
    <s v="gelpengp243whizgelblackjk"/>
    <s v="gelpengp243whizgelblackjk35424000.1250.05"/>
    <s v="gelpengp243whizgelblackjk35424000.1250.05"/>
    <s v=""/>
    <s v=""/>
    <x v="94"/>
    <s v=""/>
    <s v="144 LSN"/>
    <s v="gelpengp243whizgelblackjk144lsn"/>
    <n v="820"/>
  </r>
  <r>
    <s v=""/>
    <s v=""/>
    <s v=""/>
    <n v="40"/>
    <m/>
    <m/>
    <m/>
    <m/>
    <m/>
    <m/>
    <m/>
    <x v="122"/>
    <n v="1"/>
    <n v="144"/>
    <s v="DZ"/>
    <n v="27600"/>
    <m/>
    <m/>
    <n v="0.125"/>
    <n v="0.05"/>
    <m/>
    <m/>
    <n v="3974400"/>
    <n v="496800"/>
    <n v="173880"/>
    <n v="670680"/>
    <n v="3303720"/>
    <m/>
    <s v=""/>
    <s v=""/>
    <n v="3974400"/>
    <n v="3974400"/>
    <x v="7"/>
    <s v="ATALI MAKMUR"/>
    <x v="2"/>
    <s v=""/>
    <n v="7"/>
    <s v="gelpengp266itech2blackjk"/>
    <s v="gelpengp266itech2blackjk39744000.1250.05"/>
    <s v="gelpengp266itech2blackjk39744000.1250.05"/>
    <s v=""/>
    <s v=""/>
    <x v="95"/>
    <s v=""/>
    <s v="144 LSN"/>
    <s v="gelpengp266itech2blackjk144lsn"/>
    <n v="827"/>
  </r>
  <r>
    <s v=""/>
    <s v=""/>
    <s v=""/>
    <n v="40"/>
    <m/>
    <m/>
    <m/>
    <m/>
    <m/>
    <m/>
    <m/>
    <x v="123"/>
    <n v="1"/>
    <n v="288"/>
    <s v="[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0"/>
    <m/>
    <m/>
    <m/>
    <m/>
    <m/>
    <m/>
    <m/>
    <x v="124"/>
    <n v="2"/>
    <n v="576"/>
    <s v="PCS"/>
    <n v="4800"/>
    <m/>
    <s v="288 PCS"/>
    <n v="0.125"/>
    <n v="0.05"/>
    <m/>
    <m/>
    <n v="2764800"/>
    <n v="345600"/>
    <n v="120960"/>
    <n v="466560"/>
    <n v="2298240"/>
    <m/>
    <n v="5553900"/>
    <n v="27358100"/>
    <n v="1382400"/>
    <n v="27648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1"/>
    <s v="ATA_0807_255-8"/>
    <e v="#REF!"/>
    <n v="41"/>
    <m/>
    <s v="ATALI MAKMUR"/>
    <s v="ARTO MORO"/>
    <s v="SA230711255"/>
    <m/>
    <d v="2023-07-05T00:00:00"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7"/>
    <s v="ATALI MAKMUR"/>
    <x v="2"/>
    <n v="8"/>
    <n v="7"/>
    <s v="oilpastelop12sppcaseseaworldjk"/>
    <s v="oilpastelop12sppcaseseaworldjk17136000.1250.05"/>
    <s v="oilpastelop12sppcaseseaworldjk17136000.1250.05"/>
    <s v="ATALI MAKMURARTO MOROSA23071125545112oilpastelop12sppcaseseaworldjk"/>
    <e v="#REF!"/>
    <x v="66"/>
    <s v=""/>
    <s v="12 LSN"/>
    <s v="oilpastelop12sppcaseseaworldjk12lsn"/>
    <n v="1756"/>
  </r>
  <r>
    <s v=""/>
    <s v=""/>
    <s v=""/>
    <n v="41"/>
    <m/>
    <m/>
    <m/>
    <m/>
    <m/>
    <m/>
    <m/>
    <x v="125"/>
    <n v="13"/>
    <n v="1872"/>
    <s v="SET"/>
    <n v="10600"/>
    <m/>
    <m/>
    <n v="0.125"/>
    <n v="0.05"/>
    <m/>
    <m/>
    <n v="19843200"/>
    <n v="2480400"/>
    <n v="868140"/>
    <n v="3348540"/>
    <n v="16494660"/>
    <m/>
    <s v=""/>
    <s v=""/>
    <n v="1526400"/>
    <n v="19843200"/>
    <x v="7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41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7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41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7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41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7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41"/>
    <m/>
    <m/>
    <m/>
    <m/>
    <m/>
    <m/>
    <m/>
    <x v="129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7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41"/>
    <m/>
    <m/>
    <m/>
    <m/>
    <m/>
    <m/>
    <m/>
    <x v="35"/>
    <n v="4"/>
    <n v="192"/>
    <s v="DZ"/>
    <n v="36000"/>
    <m/>
    <m/>
    <n v="0.125"/>
    <n v="0.05"/>
    <m/>
    <m/>
    <n v="6912000"/>
    <n v="864000"/>
    <n v="302400"/>
    <n v="1166400"/>
    <n v="5745600"/>
    <m/>
    <s v=""/>
    <s v=""/>
    <n v="1728000"/>
    <n v="6912000"/>
    <x v="7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41"/>
    <m/>
    <m/>
    <m/>
    <m/>
    <m/>
    <m/>
    <m/>
    <x v="130"/>
    <m/>
    <n v="24"/>
    <s v="DZ"/>
    <n v="13200"/>
    <m/>
    <m/>
    <n v="0.1"/>
    <n v="0.05"/>
    <n v="270864"/>
    <m/>
    <n v="316800"/>
    <n v="31680"/>
    <n v="14256"/>
    <n v="45936"/>
    <n v="270864"/>
    <m/>
    <n v="9347658.75"/>
    <n v="44485341.25"/>
    <n v="316800"/>
    <n v="316800"/>
    <x v="7"/>
    <s v="ATALI MAKMUR"/>
    <x v="2"/>
    <s v=""/>
    <n v="7"/>
    <s v="ballpenbp34912vokustransblackjkbonus"/>
    <s v="ballpenbp34912vokustransblackjkbonus3168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2"/>
    <s v="ATA_0807_292-5"/>
    <e v="#REF!"/>
    <n v="42"/>
    <m/>
    <s v="ATALI MAKMUR"/>
    <s v="ARTO MORO"/>
    <s v="SA230711292"/>
    <m/>
    <d v="2023-07-05T00:00:00"/>
    <m/>
    <x v="88"/>
    <n v="8"/>
    <n v="1152"/>
    <s v="SET"/>
    <n v="11900"/>
    <m/>
    <m/>
    <n v="0.125"/>
    <n v="0.05"/>
    <m/>
    <m/>
    <n v="13708800"/>
    <n v="1713600"/>
    <n v="599760"/>
    <n v="2313360"/>
    <n v="11395440"/>
    <m/>
    <s v=""/>
    <s v=""/>
    <n v="1713600"/>
    <n v="13708800"/>
    <x v="7"/>
    <s v="ATALI MAKMUR"/>
    <x v="2"/>
    <n v="5"/>
    <n v="7"/>
    <s v="oilpastelop12sppcaseseaworldjk"/>
    <s v="oilpastelop12sppcaseseaworldjk17136000.1250.05"/>
    <s v="oilpastelop12sppcaseseaworldjk17136000.1250.05"/>
    <s v="ATALI MAKMURARTO MOROSA23071129245112oilpastelop12sppcaseseaworldjk"/>
    <e v="#REF!"/>
    <x v="66"/>
    <s v=""/>
    <s v="12 LSN"/>
    <s v="oilpastelop12sppcaseseaworldjk12lsn"/>
    <n v="1756"/>
  </r>
  <r>
    <s v=""/>
    <s v=""/>
    <s v=""/>
    <n v="42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2"/>
    <m/>
    <m/>
    <m/>
    <m/>
    <m/>
    <m/>
    <m/>
    <x v="131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gz34afgozzyjk"/>
    <s v="pencilcasepc0719gz34afgozzyjk13824000.1250.05"/>
    <s v="pencilcasepc0719gz34afgozzyjk13824000.1250.05"/>
    <s v=""/>
    <s v=""/>
    <x v="103"/>
    <b v="1"/>
    <s v="288 PCS"/>
    <s v="pencilcasepc0719gz34afgozzyjk288pcs"/>
    <n v="2003"/>
  </r>
  <r>
    <s v=""/>
    <s v=""/>
    <s v=""/>
    <n v="42"/>
    <m/>
    <m/>
    <m/>
    <m/>
    <m/>
    <m/>
    <m/>
    <x v="124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42"/>
    <m/>
    <m/>
    <m/>
    <m/>
    <m/>
    <m/>
    <m/>
    <x v="132"/>
    <n v="2"/>
    <n v="288"/>
    <s v="SET"/>
    <n v="23900"/>
    <m/>
    <m/>
    <n v="0.125"/>
    <n v="0.05"/>
    <m/>
    <m/>
    <n v="6883200"/>
    <n v="860400"/>
    <n v="301140"/>
    <n v="1161540"/>
    <n v="5721660"/>
    <m/>
    <n v="4174740"/>
    <n v="20564460"/>
    <n v="3441600"/>
    <n v="6883200"/>
    <x v="7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3"/>
    <s v="KEN_0807_383-8"/>
    <e v="#REF!"/>
    <n v="43"/>
    <m/>
    <s v="KENKO SINAR INDONESIA"/>
    <s v="ARTO MORO"/>
    <s v="23070383"/>
    <s v="SA 42834"/>
    <d v="2023-07-06T00:00:00"/>
    <m/>
    <x v="109"/>
    <n v="3"/>
    <m/>
    <m/>
    <m/>
    <n v="1380000"/>
    <m/>
    <n v="0.17"/>
    <m/>
    <m/>
    <m/>
    <n v="4140000"/>
    <n v="703800"/>
    <n v="0"/>
    <n v="703800"/>
    <n v="3436200"/>
    <m/>
    <s v=""/>
    <s v=""/>
    <n v="1380000"/>
    <s v=""/>
    <x v="7"/>
    <s v="KENKO SINAR INDONESIA"/>
    <x v="2"/>
    <n v="8"/>
    <n v="7"/>
    <s v="kenkobinderclipno155"/>
    <s v="kenkobinderclipno15513800000.17"/>
    <s v="kenkobinderclipno15513800000.17"/>
    <s v="KENKO SINAR INDONESIAARTO MORO23070383SA 4283445113kenkobinderclipno155"/>
    <e v="#REF!"/>
    <x v="85"/>
    <s v=""/>
    <s v="20 GRS"/>
    <s v="kenkobinderclipno15520grs"/>
    <n v="1175"/>
  </r>
  <r>
    <s v=""/>
    <s v=""/>
    <s v=""/>
    <n v="43"/>
    <m/>
    <m/>
    <m/>
    <m/>
    <m/>
    <m/>
    <m/>
    <x v="110"/>
    <n v="5"/>
    <m/>
    <m/>
    <m/>
    <n v="1200000"/>
    <m/>
    <n v="0.17"/>
    <m/>
    <m/>
    <m/>
    <n v="6000000"/>
    <n v="1020000.0000000001"/>
    <n v="0"/>
    <n v="1020000.0000000001"/>
    <n v="4980000"/>
    <m/>
    <s v=""/>
    <s v=""/>
    <n v="1200000"/>
    <s v=""/>
    <x v="7"/>
    <s v="KENKO SINAR INDONESIA"/>
    <x v="2"/>
    <s v=""/>
    <n v="7"/>
    <s v="kenkobinderclipno200"/>
    <s v="kenkobinderclipno20012000000.17"/>
    <s v="kenkobinderclipno20012000000.17"/>
    <s v=""/>
    <s v=""/>
    <x v="86"/>
    <s v=""/>
    <s v="10 GRS"/>
    <s v="kenkobinderclipno20010grs"/>
    <n v="1176"/>
  </r>
  <r>
    <s v=""/>
    <s v=""/>
    <s v=""/>
    <n v="43"/>
    <m/>
    <m/>
    <m/>
    <m/>
    <m/>
    <m/>
    <m/>
    <x v="115"/>
    <n v="8"/>
    <m/>
    <m/>
    <m/>
    <n v="900000"/>
    <m/>
    <n v="0.17"/>
    <m/>
    <m/>
    <m/>
    <n v="7200000"/>
    <n v="1224000"/>
    <n v="0"/>
    <n v="1224000"/>
    <n v="5976000"/>
    <m/>
    <s v=""/>
    <s v=""/>
    <n v="900000"/>
    <s v=""/>
    <x v="7"/>
    <s v="KENKO SINAR INDONESIA"/>
    <x v="2"/>
    <s v=""/>
    <n v="7"/>
    <s v="kenkobinderclipno260"/>
    <s v="kenkobinderclipno2609000000.17"/>
    <s v="kenkobinderclipno2609000000.17"/>
    <s v=""/>
    <s v=""/>
    <x v="88"/>
    <s v=""/>
    <s v="5 GRS"/>
    <s v="kenkobinderclipno2605grs"/>
    <n v="1177"/>
  </r>
  <r>
    <s v=""/>
    <s v=""/>
    <s v=""/>
    <n v="43"/>
    <m/>
    <m/>
    <m/>
    <m/>
    <m/>
    <m/>
    <m/>
    <x v="133"/>
    <n v="2"/>
    <m/>
    <m/>
    <m/>
    <n v="1548000"/>
    <s v="72 BOX (6 PCS)"/>
    <n v="0.17"/>
    <m/>
    <m/>
    <m/>
    <n v="3096000"/>
    <n v="526320"/>
    <n v="0"/>
    <n v="526320"/>
    <n v="2569680"/>
    <m/>
    <s v=""/>
    <s v=""/>
    <n v="1548000"/>
    <s v=""/>
    <x v="7"/>
    <s v="KENKO SINAR INDONESIA"/>
    <x v="2"/>
    <s v=""/>
    <n v="7"/>
    <s v="kenkobinderclipno2806pcsbox"/>
    <s v="kenkobinderclipno2806pcsbox15480000.17"/>
    <s v="kenkobinderclipno2806pcsbox15480000.17"/>
    <s v=""/>
    <s v=""/>
    <x v="105"/>
    <b v="1"/>
    <s v="72 BOX (6 PCS)"/>
    <s v="kenkobinderclipno2806pcsbox72box6pcs"/>
    <n v="1179"/>
  </r>
  <r>
    <s v=""/>
    <s v=""/>
    <s v=""/>
    <n v="43"/>
    <m/>
    <m/>
    <m/>
    <m/>
    <m/>
    <m/>
    <m/>
    <x v="134"/>
    <n v="2"/>
    <m/>
    <m/>
    <m/>
    <n v="2059200"/>
    <s v="48 BOX (6 PCS)"/>
    <n v="0.17"/>
    <m/>
    <m/>
    <m/>
    <n v="4118400"/>
    <n v="700128"/>
    <n v="0"/>
    <n v="700128"/>
    <n v="3418272"/>
    <m/>
    <s v=""/>
    <s v=""/>
    <n v="2059200"/>
    <s v=""/>
    <x v="7"/>
    <s v="KENKO SINAR INDONESIA"/>
    <x v="2"/>
    <s v=""/>
    <n v="7"/>
    <s v="kenkobinderclipno3006pcsbox"/>
    <s v="kenkobinderclipno3006pcsbox20592000.17"/>
    <s v="kenkobinderclipno3006pcsbox20592000.17"/>
    <s v=""/>
    <s v=""/>
    <x v="106"/>
    <b v="1"/>
    <s v="48 BOX (6 PCS)"/>
    <s v="kenkobinderclipno3006pcsbox48box6pcs"/>
    <n v="1181"/>
  </r>
  <r>
    <s v=""/>
    <s v=""/>
    <s v=""/>
    <n v="43"/>
    <m/>
    <m/>
    <m/>
    <m/>
    <m/>
    <m/>
    <m/>
    <x v="135"/>
    <n v="3"/>
    <m/>
    <m/>
    <m/>
    <n v="1440000"/>
    <m/>
    <n v="0.17"/>
    <m/>
    <m/>
    <m/>
    <n v="4320000"/>
    <n v="734400"/>
    <n v="0"/>
    <n v="734400"/>
    <n v="3585600"/>
    <m/>
    <s v=""/>
    <s v=""/>
    <n v="1440000"/>
    <s v=""/>
    <x v="7"/>
    <s v="KENKO SINAR INDONESIA"/>
    <x v="2"/>
    <s v=""/>
    <n v="7"/>
    <s v="kenkobinderclipno105"/>
    <s v="kenkobinderclipno10514400000.17"/>
    <s v="kenkobinderclipno10514400000.17"/>
    <s v=""/>
    <s v=""/>
    <x v="107"/>
    <s v=""/>
    <s v="50 GRS"/>
    <s v="kenkobinderclipno10550grs"/>
    <n v="1172"/>
  </r>
  <r>
    <s v=""/>
    <s v=""/>
    <s v=""/>
    <n v="43"/>
    <m/>
    <m/>
    <m/>
    <m/>
    <m/>
    <m/>
    <m/>
    <x v="136"/>
    <n v="2"/>
    <m/>
    <m/>
    <m/>
    <n v="1590000"/>
    <m/>
    <n v="0.17"/>
    <m/>
    <m/>
    <m/>
    <n v="3180000"/>
    <n v="540600"/>
    <n v="0"/>
    <n v="540600"/>
    <n v="2639400"/>
    <m/>
    <s v=""/>
    <s v=""/>
    <n v="1590000"/>
    <s v=""/>
    <x v="7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43"/>
    <m/>
    <m/>
    <m/>
    <m/>
    <m/>
    <m/>
    <m/>
    <x v="137"/>
    <n v="2"/>
    <m/>
    <m/>
    <m/>
    <n v="1476000"/>
    <m/>
    <n v="0.17"/>
    <m/>
    <m/>
    <m/>
    <n v="2952000"/>
    <n v="501840.00000000006"/>
    <n v="0"/>
    <n v="501840.00000000006"/>
    <n v="2450160"/>
    <m/>
    <n v="5951088"/>
    <n v="29055312"/>
    <n v="1476000"/>
    <s v=""/>
    <x v="7"/>
    <s v="KENKO SINAR INDONESIA"/>
    <x v="2"/>
    <s v=""/>
    <e v="#REF!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4"/>
    <s v="KEN_0807_366-9"/>
    <e v="#REF!"/>
    <n v="44"/>
    <m/>
    <s v="KENKO SINAR INDONESIA"/>
    <s v="ARTO MORO"/>
    <s v="23070366"/>
    <s v="SA 42814"/>
    <d v="2023-07-06T00:00:00"/>
    <m/>
    <x v="138"/>
    <n v="1"/>
    <m/>
    <m/>
    <m/>
    <n v="504000"/>
    <m/>
    <n v="0.17"/>
    <m/>
    <m/>
    <m/>
    <n v="504000"/>
    <n v="85680"/>
    <n v="0"/>
    <n v="85680"/>
    <n v="418320"/>
    <m/>
    <s v=""/>
    <s v=""/>
    <n v="504000"/>
    <s v=""/>
    <x v="7"/>
    <s v="KENKO SINAR INDONESIA"/>
    <x v="2"/>
    <n v="9"/>
    <n v="7"/>
    <s v="kenkoliquidgluelg5050ml"/>
    <s v="kenkoliquidgluelg5050ml5040000.17"/>
    <s v="kenkoliquidgluelg5050ml5040000.17"/>
    <s v="KENKO SINAR INDONESIAARTO MORO23070366SA 4281445113kenkoliquidgluelg5050ml"/>
    <e v="#REF!"/>
    <x v="33"/>
    <s v=""/>
    <s v="20 LSN"/>
    <s v="kenkoliquidgluelg5050ml20lsn"/>
    <n v="1356"/>
  </r>
  <r>
    <s v=""/>
    <s v=""/>
    <s v=""/>
    <n v="44"/>
    <m/>
    <m/>
    <m/>
    <m/>
    <m/>
    <m/>
    <m/>
    <x v="139"/>
    <n v="2"/>
    <m/>
    <m/>
    <m/>
    <n v="5702400"/>
    <m/>
    <n v="0.17"/>
    <m/>
    <m/>
    <m/>
    <n v="11404800"/>
    <n v="1938816.0000000002"/>
    <n v="0"/>
    <n v="1938816.0000000002"/>
    <n v="9465984"/>
    <m/>
    <s v=""/>
    <s v=""/>
    <n v="5702400"/>
    <s v=""/>
    <x v="7"/>
    <s v="KENKO SINAR INDONESIA"/>
    <x v="2"/>
    <s v=""/>
    <n v="7"/>
    <s v="kenkogelpenk1black"/>
    <s v="kenkogelpenk1black57024000.17"/>
    <s v="kenkogelpenk1black57024000.17"/>
    <s v=""/>
    <s v=""/>
    <x v="110"/>
    <s v=""/>
    <s v="12 GRS"/>
    <s v="kenkogelpenk1black12grs"/>
    <n v="1303"/>
  </r>
  <r>
    <s v=""/>
    <s v=""/>
    <s v=""/>
    <n v="44"/>
    <m/>
    <m/>
    <m/>
    <m/>
    <m/>
    <m/>
    <m/>
    <x v="140"/>
    <n v="10"/>
    <m/>
    <m/>
    <m/>
    <n v="5616000"/>
    <m/>
    <n v="0.17"/>
    <m/>
    <m/>
    <m/>
    <n v="56160000"/>
    <n v="9547200"/>
    <n v="0"/>
    <n v="9547200"/>
    <n v="46612800"/>
    <m/>
    <s v=""/>
    <s v=""/>
    <n v="5616000"/>
    <s v=""/>
    <x v="7"/>
    <s v="KENKO SINAR INDONESIA"/>
    <x v="2"/>
    <s v=""/>
    <n v="7"/>
    <s v="kenkogelpenhitechh028mmblack"/>
    <s v="kenkogelpenhitechh028mmblack56160000.17"/>
    <s v="kenkogelpenhitechh028mmblack56160000.17"/>
    <s v=""/>
    <s v=""/>
    <x v="111"/>
    <s v=""/>
    <s v="12 GRS"/>
    <s v="kenkogelpenhitechh028mmblack12grs"/>
    <n v="1290"/>
  </r>
  <r>
    <s v=""/>
    <s v=""/>
    <s v=""/>
    <n v="44"/>
    <m/>
    <m/>
    <m/>
    <m/>
    <m/>
    <m/>
    <m/>
    <x v="141"/>
    <n v="3"/>
    <m/>
    <m/>
    <m/>
    <n v="5616000"/>
    <m/>
    <n v="0.17"/>
    <m/>
    <m/>
    <m/>
    <n v="16848000"/>
    <n v="2864160"/>
    <n v="0"/>
    <n v="2864160"/>
    <n v="13983840"/>
    <m/>
    <s v=""/>
    <s v=""/>
    <n v="5616000"/>
    <s v=""/>
    <x v="7"/>
    <s v="KENKO SINAR INDONESIA"/>
    <x v="2"/>
    <s v=""/>
    <n v="7"/>
    <s v="kenkogelpenhitechh028mmblue"/>
    <s v="kenkogelpenhitechh028mmblue56160000.17"/>
    <s v="kenkogelpenhitechh028mmblue56160000.17"/>
    <s v=""/>
    <s v=""/>
    <x v="112"/>
    <s v=""/>
    <s v="12 GRS"/>
    <s v="kenkogelpenhitechh028mmblue12grs"/>
    <n v="1291"/>
  </r>
  <r>
    <s v=""/>
    <s v=""/>
    <s v=""/>
    <n v="44"/>
    <m/>
    <m/>
    <m/>
    <m/>
    <m/>
    <m/>
    <m/>
    <x v="142"/>
    <n v="4"/>
    <m/>
    <m/>
    <m/>
    <n v="3110400"/>
    <m/>
    <n v="0.17"/>
    <m/>
    <m/>
    <m/>
    <n v="12441600"/>
    <n v="2115072"/>
    <n v="0"/>
    <n v="2115072"/>
    <n v="10326528"/>
    <m/>
    <s v=""/>
    <s v=""/>
    <n v="3110400"/>
    <s v=""/>
    <x v="7"/>
    <s v="KENKO SINAR INDONESIA"/>
    <x v="2"/>
    <s v=""/>
    <n v="7"/>
    <s v="kenkogelpenke303tgeltriangularblue"/>
    <s v="kenkogelpenke303tgeltriangularblue31104000.17"/>
    <s v="kenkogelpenke303tgeltriangularblue31104000.17"/>
    <s v=""/>
    <s v=""/>
    <x v="113"/>
    <s v=""/>
    <s v="12 GRS"/>
    <s v="kenkogelpenke303tgeltriangularblue12grs"/>
    <n v="1313"/>
  </r>
  <r>
    <s v=""/>
    <s v=""/>
    <s v=""/>
    <n v="44"/>
    <m/>
    <m/>
    <m/>
    <m/>
    <m/>
    <m/>
    <m/>
    <x v="143"/>
    <n v="2"/>
    <m/>
    <m/>
    <m/>
    <n v="2764800"/>
    <m/>
    <n v="0.17"/>
    <m/>
    <m/>
    <m/>
    <n v="5529600"/>
    <n v="940032.00000000012"/>
    <n v="0"/>
    <n v="940032.00000000012"/>
    <n v="4589568"/>
    <m/>
    <s v=""/>
    <s v=""/>
    <n v="2764800"/>
    <s v=""/>
    <x v="7"/>
    <s v="KENKO SINAR INDONESIA"/>
    <x v="2"/>
    <s v=""/>
    <n v="7"/>
    <s v="kenkogelpenke100black"/>
    <s v="kenkogelpenke100black27648000.17"/>
    <s v="kenkogelpenke100black27648000.17"/>
    <s v=""/>
    <s v=""/>
    <x v="114"/>
    <s v=""/>
    <s v="12 GRS"/>
    <s v="kenkogelpenke100black12grs"/>
    <n v="1308"/>
  </r>
  <r>
    <s v=""/>
    <s v=""/>
    <s v=""/>
    <n v="44"/>
    <m/>
    <m/>
    <m/>
    <m/>
    <m/>
    <m/>
    <m/>
    <x v="144"/>
    <n v="1"/>
    <m/>
    <m/>
    <m/>
    <n v="800000"/>
    <m/>
    <n v="0.17"/>
    <m/>
    <m/>
    <m/>
    <n v="800000"/>
    <n v="136000"/>
    <n v="0"/>
    <n v="136000"/>
    <n v="664000"/>
    <m/>
    <s v=""/>
    <s v=""/>
    <n v="800000"/>
    <s v=""/>
    <x v="7"/>
    <s v="KENKO SINAR INDONESIA"/>
    <x v="2"/>
    <s v=""/>
    <n v="7"/>
    <s v="kenkotrigonalclipno3"/>
    <s v="kenkotrigonalclipno38000000.17"/>
    <s v="kenkotrigonalclipno38000000.17"/>
    <s v=""/>
    <s v=""/>
    <x v="115"/>
    <s v=""/>
    <s v="50 PAK (10 BOX)"/>
    <s v="kenkotrigonalclipno350pak10box"/>
    <n v="1460"/>
  </r>
  <r>
    <s v=""/>
    <s v=""/>
    <s v=""/>
    <n v="44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7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44"/>
    <m/>
    <m/>
    <m/>
    <m/>
    <m/>
    <m/>
    <m/>
    <x v="146"/>
    <n v="1"/>
    <m/>
    <m/>
    <m/>
    <n v="1560000"/>
    <m/>
    <n v="0.17"/>
    <m/>
    <m/>
    <m/>
    <n v="1560000"/>
    <n v="265200"/>
    <n v="0"/>
    <n v="265200"/>
    <n v="1294800"/>
    <m/>
    <n v="18038360"/>
    <n v="88069640"/>
    <n v="1560000"/>
    <s v=""/>
    <x v="7"/>
    <s v="KENKO SINAR INDONESIA"/>
    <x v="2"/>
    <s v=""/>
    <n v="7"/>
    <s v="kenkopunchno30"/>
    <s v="kenkopunchno3015600000.17"/>
    <s v="kenkopunchno3015600000.17"/>
    <s v=""/>
    <s v=""/>
    <x v="117"/>
    <s v=""/>
    <s v="10 LSN"/>
    <s v="kenkopunchno3010lsn"/>
    <n v="140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5"/>
    <s v="SAP_1107_SOS-1"/>
    <e v="#REF!"/>
    <n v="45"/>
    <d v="2023-07-11T00:00:00"/>
    <s v="SAPUTRO"/>
    <s v="UNTANA"/>
    <s v="G-1705 INVSOS"/>
    <m/>
    <d v="2023-07-07T00:00:00"/>
    <m/>
    <x v="11"/>
    <n v="50"/>
    <n v="500"/>
    <s v="PCS"/>
    <n v="48000"/>
    <m/>
    <s v="10 PCS"/>
    <m/>
    <m/>
    <m/>
    <m/>
    <n v="24000000"/>
    <n v="0"/>
    <n v="0"/>
    <n v="0"/>
    <n v="24000000"/>
    <m/>
    <n v="0"/>
    <n v="24000000"/>
    <n v="480000"/>
    <n v="24000000"/>
    <x v="8"/>
    <s v="SAPUTRO"/>
    <x v="0"/>
    <n v="1"/>
    <n v="7"/>
    <s v="mejaipadimportjumbokarakter"/>
    <s v="mejaipadimportjumbokarakter480000"/>
    <s v="mejaipadimportjumbokarakter480000"/>
    <s v="SAPUTROUNTANAG-1705 INVSOS45114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6"/>
    <s v="LES_0807_253-1"/>
    <e v="#REF!"/>
    <n v="46"/>
    <d v="2023-07-08T00:00:00"/>
    <s v="LESTARI"/>
    <s v="UNTANA"/>
    <s v="448253"/>
    <m/>
    <d v="2023-07-03T00:00:00"/>
    <m/>
    <x v="147"/>
    <n v="90"/>
    <n v="900"/>
    <s v="SET"/>
    <n v="75000"/>
    <m/>
    <s v="10 SET"/>
    <m/>
    <m/>
    <m/>
    <s v="90 C =&gt; 23 C"/>
    <n v="67500000"/>
    <n v="0"/>
    <n v="0"/>
    <n v="0"/>
    <n v="67500000"/>
    <m/>
    <n v="0"/>
    <n v="67500000"/>
    <n v="750000"/>
    <n v="67500000"/>
    <x v="7"/>
    <s v="LESTARI"/>
    <x v="0"/>
    <n v="1"/>
    <n v="7"/>
    <s v="pianikabluelovelyk2799b"/>
    <s v="pianikabluelovelyk2799b750000"/>
    <s v="pianikabluelovelyk2799b750000"/>
    <s v="LESTARIUNTANA44825345110pianikabluelovelyk2799b"/>
    <e v="#REF!"/>
    <x v="4"/>
    <b v="1"/>
    <s v="10 SET"/>
    <s v="pianikabluelovelyk2799b10set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7"/>
    <s v="PAR_0807_715-1"/>
    <e v="#REF!"/>
    <n v="47"/>
    <m/>
    <s v="PARAMA"/>
    <s v="UNTANA"/>
    <s v="0715"/>
    <m/>
    <d v="2023-07-08T00:00:00"/>
    <m/>
    <x v="148"/>
    <n v="1"/>
    <n v="8"/>
    <s v="DZ"/>
    <n v="168000"/>
    <m/>
    <m/>
    <m/>
    <m/>
    <m/>
    <m/>
    <n v="1344000"/>
    <n v="0"/>
    <n v="0"/>
    <n v="0"/>
    <n v="1344000"/>
    <m/>
    <n v="0"/>
    <n v="1344000"/>
    <n v="1344000"/>
    <n v="1344000"/>
    <x v="7"/>
    <s v="PARAMA"/>
    <x v="0"/>
    <n v="1"/>
    <n v="7"/>
    <s v="docritboxbatik"/>
    <s v="docritboxbatik1344000"/>
    <s v="docritboxbatik1344000"/>
    <s v="PARAMAUNTANA071545115docritboxbatik"/>
    <e v="#REF!"/>
    <x v="118"/>
    <s v=""/>
    <s v="8 LSN"/>
    <s v="docritboxbatik8lsn"/>
    <n v="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8"/>
    <s v="HAN_1007_096-1"/>
    <e v="#REF!"/>
    <n v="48"/>
    <d v="2023-07-10T00:00:00"/>
    <s v="HANSA"/>
    <s v="UNTANA"/>
    <s v="HN072023096"/>
    <m/>
    <d v="2023-07-10T00:00:00"/>
    <m/>
    <x v="149"/>
    <n v="3"/>
    <n v="1440"/>
    <s v="PCS"/>
    <n v="1600"/>
    <m/>
    <s v="480 PCS"/>
    <m/>
    <m/>
    <m/>
    <m/>
    <n v="2304000"/>
    <n v="0"/>
    <n v="0"/>
    <n v="0"/>
    <n v="2304000"/>
    <m/>
    <n v="0"/>
    <n v="2304000"/>
    <n v="768000"/>
    <n v="2304000"/>
    <x v="9"/>
    <s v="HANSA"/>
    <x v="0"/>
    <n v="1"/>
    <n v="7"/>
    <s v="malamshintoengk612w"/>
    <s v="malamshintoengk612w768000"/>
    <s v="malamshintoengk612w768000"/>
    <s v="HANSAUNTANAHN07202309645117malamshintoengk612w"/>
    <e v="#REF!"/>
    <x v="53"/>
    <b v="1"/>
    <s v="480 PCS"/>
    <s v="malamshintoengk612w480pcs"/>
    <n v="160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9"/>
    <s v="BIN_1007_193-1"/>
    <e v="#REF!"/>
    <n v="49"/>
    <m/>
    <s v="BINTANG JAYA"/>
    <s v="UNTANA"/>
    <s v="SI.2023.07.00193"/>
    <m/>
    <d v="2023-07-08T00:00:00"/>
    <m/>
    <x v="150"/>
    <n v="20"/>
    <n v="1440"/>
    <s v="PCS"/>
    <n v="13000"/>
    <m/>
    <s v="72 PCS"/>
    <m/>
    <m/>
    <m/>
    <m/>
    <n v="18720000"/>
    <n v="0"/>
    <n v="0"/>
    <n v="0"/>
    <n v="18720000"/>
    <m/>
    <n v="0"/>
    <n v="18720000"/>
    <n v="936000"/>
    <n v="18720000"/>
    <x v="9"/>
    <s v="BINTANG JAYA"/>
    <x v="0"/>
    <n v="1"/>
    <n v="7"/>
    <s v="pencilcasekalengwbiscc1008"/>
    <s v="pencilcasekalengwbiscc1008936000"/>
    <s v="pencilcasekalengwbiscc1008936000"/>
    <s v="BINTANG JAYAUNTANASI.2023.07.0019345115pencilcasekalengwbiscc1008"/>
    <e v="#REF!"/>
    <x v="119"/>
    <b v="1"/>
    <s v="72 PCS"/>
    <s v="pencilcasekalengwbiscc100872pcs"/>
    <n v="258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0"/>
    <s v="SBS_1007_B1M-3"/>
    <e v="#REF!"/>
    <n v="50"/>
    <m/>
    <s v="SBS"/>
    <s v="UNTANA"/>
    <s v="VG0229B1M"/>
    <m/>
    <d v="2023-07-06T00:00:00"/>
    <m/>
    <x v="151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n v="3"/>
    <n v="7"/>
    <s v="bnltaliaa032106a680bear"/>
    <s v="bnltaliaa032106a680bear2088000"/>
    <s v="bnltaliaa032106a680bear2088000"/>
    <s v="SBSUNTANAVG0229B1M45113bnltaliaa032106a680bear"/>
    <e v="#REF!"/>
    <x v="120"/>
    <b v="1"/>
    <s v="240 PCS"/>
    <s v="bnltaliaa032106a680bear240pcs"/>
    <n v="2581"/>
  </r>
  <r>
    <s v=""/>
    <s v=""/>
    <s v=""/>
    <n v="50"/>
    <m/>
    <m/>
    <m/>
    <m/>
    <m/>
    <m/>
    <m/>
    <x v="152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s v=""/>
    <n v="7"/>
    <s v="bnltaliaa032109a680universe"/>
    <s v="bnltaliaa032109a680universe2088000"/>
    <s v="bnltaliaa032109a680universe2088000"/>
    <s v=""/>
    <s v=""/>
    <x v="121"/>
    <b v="1"/>
    <s v="240 PCS"/>
    <s v="bnltaliaa032109a680universe240pcs"/>
    <n v="2582"/>
  </r>
  <r>
    <s v=""/>
    <s v=""/>
    <s v=""/>
    <n v="50"/>
    <m/>
    <m/>
    <m/>
    <m/>
    <m/>
    <m/>
    <m/>
    <x v="153"/>
    <n v="2"/>
    <n v="480"/>
    <s v="PCS"/>
    <n v="8700"/>
    <m/>
    <s v="240 PCS"/>
    <m/>
    <m/>
    <m/>
    <m/>
    <n v="4176000"/>
    <n v="0"/>
    <n v="0"/>
    <n v="0"/>
    <n v="4176000"/>
    <m/>
    <n v="0"/>
    <n v="12528000"/>
    <n v="2088000"/>
    <n v="4176000"/>
    <x v="9"/>
    <s v="SBS"/>
    <x v="0"/>
    <s v=""/>
    <n v="7"/>
    <s v="bnltaliaa032110a680sr"/>
    <s v="bnltaliaa032110a680sr2088000"/>
    <s v="bnltaliaa032110a680sr2088000"/>
    <s v=""/>
    <s v=""/>
    <x v="122"/>
    <b v="1"/>
    <s v="240 PCS"/>
    <s v="bnltaliaa032110a680sr240pcs"/>
    <n v="25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1"/>
    <s v="SBS_1007_B1M-6"/>
    <e v="#REF!"/>
    <n v="51"/>
    <m/>
    <s v="SBS"/>
    <s v="UNTANA"/>
    <s v="VG0230B1M"/>
    <m/>
    <d v="2023-07-06T00:00:00"/>
    <m/>
    <x v="154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n v="6"/>
    <n v="7"/>
    <s v="bnltaliaa032111a780fruit"/>
    <s v="bnltaliaa032111a780fruit2592000"/>
    <s v="bnltaliaa032111a780fruit2592000"/>
    <s v="SBSUNTANAVG0230B1M45113bnltaliaa032111a780fruit"/>
    <e v="#REF!"/>
    <x v="123"/>
    <b v="1"/>
    <s v="384 PCS"/>
    <s v="bnltaliaa032111a780fruit384pcs"/>
    <n v="2584"/>
  </r>
  <r>
    <s v=""/>
    <s v=""/>
    <s v=""/>
    <n v="51"/>
    <m/>
    <m/>
    <m/>
    <m/>
    <m/>
    <m/>
    <m/>
    <x v="155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2a780glowing"/>
    <s v="bnltaliaa032112a780glowing2592000"/>
    <s v="bnltaliaa032112a780glowing2592000"/>
    <s v=""/>
    <s v=""/>
    <x v="124"/>
    <b v="1"/>
    <s v="384 PCS"/>
    <s v="bnltaliaa032112a780glowing384pcs"/>
    <n v="2585"/>
  </r>
  <r>
    <s v=""/>
    <s v=""/>
    <s v=""/>
    <n v="51"/>
    <m/>
    <m/>
    <m/>
    <m/>
    <m/>
    <m/>
    <m/>
    <x v="156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3a780balloon"/>
    <s v="bnltaliaa032113a780balloon2592000"/>
    <s v="bnltaliaa032113a780balloon2592000"/>
    <s v=""/>
    <s v=""/>
    <x v="125"/>
    <b v="1"/>
    <s v="384 PCS"/>
    <s v="bnltaliaa032113a780balloon384pcs"/>
    <n v="2586"/>
  </r>
  <r>
    <s v=""/>
    <s v=""/>
    <s v=""/>
    <n v="51"/>
    <m/>
    <m/>
    <m/>
    <m/>
    <m/>
    <m/>
    <m/>
    <x v="157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8a780lucu"/>
    <s v="bnltaliaa032118a780lucu2592000"/>
    <s v="bnltaliaa032118a780lucu2592000"/>
    <s v=""/>
    <s v=""/>
    <x v="126"/>
    <b v="1"/>
    <s v="384 PCS"/>
    <s v="bnltaliaa032118a780lucu384pcs"/>
    <n v="2587"/>
  </r>
  <r>
    <s v=""/>
    <s v=""/>
    <s v=""/>
    <n v="51"/>
    <m/>
    <m/>
    <m/>
    <m/>
    <m/>
    <m/>
    <m/>
    <x v="158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9a780universe"/>
    <s v="bnltaliaa032119a780universe2592000"/>
    <s v="bnltaliaa032119a780universe2592000"/>
    <s v=""/>
    <s v=""/>
    <x v="127"/>
    <b v="1"/>
    <s v="384 PCS"/>
    <s v="bnltaliaa032119a780universe384pcs"/>
    <n v="2588"/>
  </r>
  <r>
    <s v=""/>
    <s v=""/>
    <s v=""/>
    <n v="51"/>
    <m/>
    <m/>
    <m/>
    <m/>
    <m/>
    <m/>
    <m/>
    <x v="159"/>
    <n v="2"/>
    <n v="768"/>
    <s v="PCS"/>
    <n v="6750"/>
    <m/>
    <s v="384 PCS"/>
    <m/>
    <m/>
    <m/>
    <m/>
    <n v="5184000"/>
    <n v="0"/>
    <n v="0"/>
    <n v="0"/>
    <n v="5184000"/>
    <m/>
    <n v="0"/>
    <n v="31104000"/>
    <n v="2592000"/>
    <n v="5184000"/>
    <x v="9"/>
    <s v="SBS"/>
    <x v="0"/>
    <s v=""/>
    <n v="7"/>
    <s v="bnltaliaa032120a780sr"/>
    <s v="bnltaliaa032120a780sr2592000"/>
    <s v="bnltaliaa032120a780sr2592000"/>
    <s v=""/>
    <s v=""/>
    <x v="128"/>
    <b v="1"/>
    <s v="384 PCS"/>
    <s v="bnltaliaa032120a780sr384pcs"/>
    <n v="258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2"/>
    <s v="KEN_1007_535-7"/>
    <e v="#REF!"/>
    <n v="52"/>
    <m/>
    <s v="KENKO SINAR INDONESIA"/>
    <s v="ARTO MORO"/>
    <s v="23070535"/>
    <m/>
    <d v="2023-07-07T00:00:00"/>
    <m/>
    <x v="113"/>
    <n v="18"/>
    <m/>
    <m/>
    <m/>
    <n v="1954800"/>
    <m/>
    <n v="0.17"/>
    <m/>
    <m/>
    <m/>
    <n v="35186400"/>
    <n v="5981688"/>
    <n v="0"/>
    <n v="5981688"/>
    <n v="29204712"/>
    <m/>
    <s v=""/>
    <s v=""/>
    <n v="1954800"/>
    <s v=""/>
    <x v="9"/>
    <s v="KENKO SINAR INDONESIA"/>
    <x v="2"/>
    <n v="7"/>
    <n v="7"/>
    <s v="kenkocorrectionfluidke01"/>
    <s v="kenkocorrectionfluidke0119548000.17"/>
    <s v="kenkocorrectionfluidke0119548000.17"/>
    <s v="KENKO SINAR INDONESIAARTO MORO2307053545114kenkocorrectionfluidke01"/>
    <e v="#REF!"/>
    <x v="41"/>
    <s v=""/>
    <s v="36 LSN"/>
    <s v="kenkocorrectionfluidke0136lsn"/>
    <n v="1229"/>
  </r>
  <r>
    <s v=""/>
    <s v=""/>
    <s v=""/>
    <n v="52"/>
    <m/>
    <m/>
    <m/>
    <m/>
    <m/>
    <m/>
    <m/>
    <x v="160"/>
    <n v="1"/>
    <m/>
    <m/>
    <m/>
    <n v="2112000"/>
    <m/>
    <n v="0.17"/>
    <m/>
    <m/>
    <m/>
    <n v="2112000"/>
    <n v="359040"/>
    <n v="0"/>
    <n v="359040"/>
    <n v="1752960"/>
    <m/>
    <s v=""/>
    <s v=""/>
    <n v="2112000"/>
    <s v=""/>
    <x v="9"/>
    <s v="KENKO SINAR INDONESIA"/>
    <x v="2"/>
    <s v=""/>
    <n v="7"/>
    <s v="kenkohandytapedispensertdb2besi"/>
    <s v="kenkohandytapedispensertdb2besi21120000.17"/>
    <s v="kenkohandytapedispensertdb2besi21120000.17"/>
    <s v=""/>
    <s v=""/>
    <x v="129"/>
    <s v=""/>
    <s v="8 LSN"/>
    <s v="kenkohandytapedispensertdb2besi8lsn"/>
    <n v="1335"/>
  </r>
  <r>
    <s v=""/>
    <s v=""/>
    <s v=""/>
    <n v="52"/>
    <m/>
    <m/>
    <m/>
    <m/>
    <m/>
    <m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9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2"/>
    <m/>
    <m/>
    <m/>
    <m/>
    <m/>
    <m/>
    <m/>
    <x v="161"/>
    <n v="3"/>
    <m/>
    <m/>
    <m/>
    <n v="2880000"/>
    <m/>
    <n v="0.17"/>
    <m/>
    <m/>
    <m/>
    <n v="8640000"/>
    <n v="1468800"/>
    <n v="0"/>
    <n v="1468800"/>
    <n v="7171200"/>
    <m/>
    <s v=""/>
    <s v=""/>
    <n v="2880000"/>
    <s v=""/>
    <x v="9"/>
    <s v="KENKO SINAR INDONESIA"/>
    <x v="2"/>
    <s v=""/>
    <n v="7"/>
    <s v="kenkocorrectiontapect902cl12mx5mm"/>
    <s v="kenkocorrectiontapect902cl12mx5mm28800000.17"/>
    <s v="kenkocorrectiontapect902cl12mx5mm28800000.17"/>
    <s v=""/>
    <s v=""/>
    <x v="130"/>
    <s v=""/>
    <s v="48 LSN"/>
    <s v="kenkocorrectiontapect902cl12mx5mm48lsn"/>
    <n v="1259"/>
  </r>
  <r>
    <s v=""/>
    <s v=""/>
    <s v=""/>
    <n v="52"/>
    <m/>
    <m/>
    <m/>
    <m/>
    <m/>
    <m/>
    <m/>
    <x v="162"/>
    <n v="1"/>
    <m/>
    <m/>
    <m/>
    <n v="2008800"/>
    <m/>
    <n v="0.17"/>
    <m/>
    <m/>
    <m/>
    <n v="2008800"/>
    <n v="341496"/>
    <n v="0"/>
    <n v="341496"/>
    <n v="1667304"/>
    <m/>
    <s v=""/>
    <s v=""/>
    <n v="2008800"/>
    <s v=""/>
    <x v="9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2"/>
    <m/>
    <m/>
    <m/>
    <m/>
    <m/>
    <m/>
    <m/>
    <x v="163"/>
    <n v="2"/>
    <m/>
    <m/>
    <m/>
    <n v="2352000"/>
    <m/>
    <n v="0.17"/>
    <m/>
    <m/>
    <m/>
    <n v="4704000"/>
    <n v="799680"/>
    <n v="0"/>
    <n v="799680"/>
    <n v="3904320"/>
    <m/>
    <s v=""/>
    <s v=""/>
    <n v="2352000"/>
    <s v=""/>
    <x v="9"/>
    <s v="KENKO SINAR INDONESIA"/>
    <x v="2"/>
    <s v=""/>
    <n v="7"/>
    <s v="kenkostaplerhd10dpastelcolor"/>
    <s v="kenkostaplerhd10dpastelcolor23520000.17"/>
    <s v="kenkostaplerhd10dpastelcolor23520000.17"/>
    <s v=""/>
    <s v=""/>
    <x v="132"/>
    <s v=""/>
    <s v="20 LSN"/>
    <s v="kenkostaplerhd10dpastelcolor20lsn"/>
    <n v="1441"/>
  </r>
  <r>
    <s v=""/>
    <s v=""/>
    <s v=""/>
    <n v="52"/>
    <m/>
    <m/>
    <m/>
    <m/>
    <m/>
    <m/>
    <m/>
    <x v="164"/>
    <n v="2"/>
    <m/>
    <m/>
    <m/>
    <n v="2280000"/>
    <m/>
    <n v="0.17"/>
    <m/>
    <m/>
    <m/>
    <n v="4560000"/>
    <n v="775200"/>
    <n v="0"/>
    <n v="775200"/>
    <n v="3784800"/>
    <m/>
    <n v="10235088"/>
    <n v="49971312"/>
    <n v="2280000"/>
    <s v=""/>
    <x v="9"/>
    <s v="KENKO SINAR INDONESIA"/>
    <x v="2"/>
    <s v=""/>
    <n v="7"/>
    <s v="kenkostaplerhd50pastelcolor"/>
    <s v="kenkostaplerhd50pastelcolor22800000.17"/>
    <s v="kenkostaplerhd50pastelcolor22800000.17"/>
    <s v=""/>
    <s v=""/>
    <x v="133"/>
    <s v=""/>
    <s v="20 BOX (6 PCS)"/>
    <s v="kenkostaplerhd50pastelcolor20box6pcs"/>
    <n v="144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3"/>
    <s v="KEN_1007_709-2"/>
    <e v="#REF!"/>
    <n v="53"/>
    <m/>
    <s v="KENKO SINAR INDONESIA"/>
    <s v="ARTO MORO"/>
    <s v="23070709"/>
    <m/>
    <d v="2023-07-08T00:00:00"/>
    <m/>
    <x v="165"/>
    <n v="2"/>
    <m/>
    <m/>
    <m/>
    <n v="3888000"/>
    <m/>
    <n v="0.17"/>
    <m/>
    <m/>
    <m/>
    <n v="7776000"/>
    <n v="1321920"/>
    <n v="0"/>
    <n v="1321920"/>
    <n v="6454080"/>
    <m/>
    <s v=""/>
    <s v=""/>
    <n v="3888000"/>
    <s v=""/>
    <x v="9"/>
    <s v="KENKO SINAR INDONESIA"/>
    <x v="2"/>
    <n v="2"/>
    <n v="7"/>
    <s v="kenkocutterbladea1009mm"/>
    <s v="kenkocutterbladea1009mm38880000.17"/>
    <s v="kenkocutterbladea1009mm38880000.17"/>
    <s v="KENKO SINAR INDONESIAARTO MORO2307070945115kenkocutterbladea1009mm"/>
    <e v="#REF!"/>
    <x v="134"/>
    <s v=""/>
    <s v="120 LSN"/>
    <s v="kenkocutterbladea1009mm120lsn"/>
    <n v="1267"/>
  </r>
  <r>
    <s v=""/>
    <s v=""/>
    <s v=""/>
    <n v="53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n v="4626720"/>
    <n v="22589280"/>
    <n v="3888000"/>
    <s v=""/>
    <x v="9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4"/>
    <s v="ATA_1007_590-7"/>
    <e v="#REF!"/>
    <n v="54"/>
    <m/>
    <s v="ATALI MAKMUR"/>
    <s v="ARTO MORO"/>
    <s v="SA230711590"/>
    <m/>
    <d v="2023-07-07T00:00:00"/>
    <m/>
    <x v="117"/>
    <n v="5"/>
    <n v="150"/>
    <s v="GRS"/>
    <n v="104400"/>
    <m/>
    <s v="30 GRS"/>
    <n v="0.125"/>
    <n v="0.05"/>
    <m/>
    <m/>
    <n v="15660000"/>
    <n v="1957500"/>
    <n v="685125"/>
    <n v="2642625"/>
    <n v="13017375"/>
    <m/>
    <s v=""/>
    <s v=""/>
    <n v="3132000"/>
    <n v="15660000"/>
    <x v="9"/>
    <s v="ATALI MAKMUR"/>
    <x v="2"/>
    <n v="7"/>
    <n v="7"/>
    <s v="pencilp882bjk"/>
    <s v="pencilp882bjk31320000.1250.05"/>
    <s v="pencilp882bjk31320000.1250.05"/>
    <s v="ATALI MAKMURARTO MOROSA23071159045114pencilp882bjk"/>
    <e v="#REF!"/>
    <x v="90"/>
    <b v="1"/>
    <s v="30 GRS"/>
    <s v="pencilp882bjk30grs"/>
    <n v="2024"/>
  </r>
  <r>
    <s v=""/>
    <s v=""/>
    <s v=""/>
    <n v="54"/>
    <m/>
    <m/>
    <m/>
    <m/>
    <m/>
    <m/>
    <m/>
    <x v="126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4"/>
    <m/>
    <m/>
    <m/>
    <m/>
    <m/>
    <m/>
    <m/>
    <x v="167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54"/>
    <m/>
    <m/>
    <m/>
    <m/>
    <m/>
    <m/>
    <m/>
    <x v="16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4"/>
    <m/>
    <m/>
    <m/>
    <m/>
    <m/>
    <m/>
    <m/>
    <x v="169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4"/>
    <m/>
    <m/>
    <m/>
    <m/>
    <m/>
    <m/>
    <m/>
    <x v="17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4"/>
    <m/>
    <m/>
    <m/>
    <m/>
    <m/>
    <m/>
    <m/>
    <x v="171"/>
    <n v="2"/>
    <n v="100"/>
    <s v="BOX"/>
    <n v="34100"/>
    <m/>
    <m/>
    <n v="0.125"/>
    <n v="0.05"/>
    <m/>
    <m/>
    <n v="3410000"/>
    <n v="426250"/>
    <n v="149187.5"/>
    <n v="575437.5"/>
    <n v="2834562.5"/>
    <m/>
    <n v="8218125"/>
    <n v="40481875"/>
    <n v="1705000"/>
    <n v="3410000"/>
    <x v="9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5"/>
    <s v="ATA_1007_611-12"/>
    <e v="#REF!"/>
    <n v="55"/>
    <m/>
    <s v="ATALI MAKMUR"/>
    <s v="ARTO MORO"/>
    <s v="SA230711611"/>
    <m/>
    <d v="2023-07-07T00:00:00"/>
    <m/>
    <x v="172"/>
    <n v="7"/>
    <n v="1008"/>
    <s v="SET"/>
    <n v="11900"/>
    <m/>
    <m/>
    <n v="0.125"/>
    <n v="0.05"/>
    <m/>
    <m/>
    <n v="11995200"/>
    <n v="1499400"/>
    <n v="524790"/>
    <n v="2024190"/>
    <n v="9971010"/>
    <m/>
    <s v=""/>
    <s v=""/>
    <n v="1713600"/>
    <n v="11995200"/>
    <x v="9"/>
    <s v="ATALI MAKMUR"/>
    <x v="2"/>
    <n v="12"/>
    <n v="7"/>
    <s v="oilpastelop12sppcaseseaworldjk"/>
    <s v="oilpastelop12sppcaseseaworldjk17136000.1250.05"/>
    <s v="oilpastelop12sppcaseseaworldjk17136000.1250.05"/>
    <s v="ATALI MAKMURARTO MOROSA23071161145114oilpastelop12sppcaseseaworldjk"/>
    <e v="#REF!"/>
    <x v="66"/>
    <s v=""/>
    <s v="12 LSN"/>
    <s v="oilpastelop12sppcaseseaworldjk12lsn"/>
    <n v="1756"/>
  </r>
  <r>
    <s v=""/>
    <s v=""/>
    <s v=""/>
    <n v="55"/>
    <m/>
    <m/>
    <m/>
    <m/>
    <m/>
    <m/>
    <m/>
    <x v="89"/>
    <n v="1"/>
    <n v="72"/>
    <s v="SET"/>
    <n v="23000"/>
    <m/>
    <m/>
    <n v="0.125"/>
    <n v="0.05"/>
    <m/>
    <m/>
    <n v="1656000"/>
    <n v="207000"/>
    <n v="72450"/>
    <n v="279450"/>
    <n v="1376550"/>
    <m/>
    <s v=""/>
    <s v=""/>
    <n v="1656000"/>
    <n v="1656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5"/>
    <m/>
    <m/>
    <m/>
    <m/>
    <m/>
    <m/>
    <m/>
    <x v="91"/>
    <n v="1"/>
    <n v="36"/>
    <s v="SET"/>
    <n v="41500"/>
    <m/>
    <m/>
    <n v="0.125"/>
    <n v="0.05"/>
    <m/>
    <m/>
    <n v="1494000"/>
    <n v="186750"/>
    <n v="65362.5"/>
    <n v="252112.5"/>
    <n v="1241887.5"/>
    <m/>
    <s v=""/>
    <s v=""/>
    <n v="1494000"/>
    <n v="1494000"/>
    <x v="9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55"/>
    <m/>
    <m/>
    <m/>
    <m/>
    <m/>
    <m/>
    <m/>
    <x v="93"/>
    <n v="1"/>
    <n v="24"/>
    <s v="SET"/>
    <n v="66900"/>
    <m/>
    <m/>
    <n v="0.125"/>
    <n v="0.05"/>
    <m/>
    <m/>
    <n v="1605600"/>
    <n v="200700"/>
    <n v="70245"/>
    <n v="270945"/>
    <n v="1334655"/>
    <m/>
    <s v=""/>
    <s v=""/>
    <n v="1605600"/>
    <n v="1605600"/>
    <x v="9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n v="55"/>
    <m/>
    <m/>
    <m/>
    <m/>
    <m/>
    <m/>
    <m/>
    <x v="173"/>
    <n v="2"/>
    <n v="288"/>
    <s v="SET"/>
    <n v="23900"/>
    <m/>
    <m/>
    <n v="0.125"/>
    <n v="0.05"/>
    <m/>
    <m/>
    <n v="6883200"/>
    <n v="860400"/>
    <n v="301140"/>
    <n v="1161540"/>
    <n v="5721660"/>
    <m/>
    <s v=""/>
    <s v=""/>
    <n v="3441600"/>
    <n v="6883200"/>
    <x v="9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n v="55"/>
    <m/>
    <m/>
    <m/>
    <m/>
    <m/>
    <m/>
    <m/>
    <x v="174"/>
    <n v="2"/>
    <n v="288"/>
    <s v="SET"/>
    <n v="18600"/>
    <m/>
    <m/>
    <n v="0.125"/>
    <n v="0.05"/>
    <m/>
    <m/>
    <n v="5356800"/>
    <n v="669600"/>
    <n v="234360"/>
    <n v="903960"/>
    <n v="4452840"/>
    <m/>
    <s v=""/>
    <s v=""/>
    <n v="2678400"/>
    <n v="5356800"/>
    <x v="9"/>
    <s v="ATALI MAKMUR"/>
    <x v="2"/>
    <s v=""/>
    <n v="7"/>
    <s v="crayonputartwcr12minijk"/>
    <s v="crayonputartwcr12minijk26784000.1250.05"/>
    <s v="crayonputartwcr12minijk26784000.1250.05"/>
    <s v=""/>
    <s v=""/>
    <x v="137"/>
    <s v=""/>
    <s v="12 LSN"/>
    <s v="crayonputartwcr12minijk12lsn"/>
    <n v="617"/>
  </r>
  <r>
    <s v=""/>
    <s v=""/>
    <s v=""/>
    <n v="55"/>
    <m/>
    <m/>
    <m/>
    <m/>
    <m/>
    <m/>
    <m/>
    <x v="126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5"/>
    <m/>
    <m/>
    <m/>
    <m/>
    <m/>
    <m/>
    <m/>
    <x v="175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5"/>
    <m/>
    <m/>
    <m/>
    <m/>
    <m/>
    <m/>
    <m/>
    <x v="176"/>
    <n v="2"/>
    <n v="576"/>
    <s v="PCS"/>
    <n v="2150"/>
    <m/>
    <m/>
    <n v="0.125"/>
    <n v="0.05"/>
    <m/>
    <m/>
    <n v="1238400"/>
    <n v="154800"/>
    <n v="54180"/>
    <n v="208980"/>
    <n v="1029420"/>
    <m/>
    <s v=""/>
    <s v=""/>
    <n v="619200"/>
    <n v="12384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5"/>
    <m/>
    <m/>
    <m/>
    <m/>
    <m/>
    <m/>
    <m/>
    <x v="177"/>
    <n v="1"/>
    <n v="1000"/>
    <s v="ROL"/>
    <n v="2050"/>
    <m/>
    <m/>
    <n v="0.125"/>
    <n v="0.05"/>
    <m/>
    <m/>
    <n v="2050000"/>
    <n v="256250"/>
    <n v="89687.5"/>
    <n v="345937.5"/>
    <n v="1704062.5"/>
    <m/>
    <s v=""/>
    <s v=""/>
    <n v="2050000"/>
    <n v="2050000"/>
    <x v="9"/>
    <s v="ATALI MAKMUR"/>
    <x v="2"/>
    <s v=""/>
    <n v="7"/>
    <s v="labellb2rl1barisjk"/>
    <s v="labellb2rl1barisjk20500000.1250.05"/>
    <s v="labellb2rl1barisjk20500000.1250.05"/>
    <s v=""/>
    <s v=""/>
    <x v="139"/>
    <s v=""/>
    <s v="100 PAK (10 ROL)"/>
    <s v="labellb2rl1barisjk100pak10rol"/>
    <n v="1503"/>
  </r>
  <r>
    <s v=""/>
    <s v=""/>
    <s v=""/>
    <n v="55"/>
    <m/>
    <m/>
    <m/>
    <m/>
    <m/>
    <m/>
    <m/>
    <x v="178"/>
    <n v="1"/>
    <n v="288"/>
    <s v="SET"/>
    <n v="12000"/>
    <m/>
    <m/>
    <n v="0.125"/>
    <n v="0.05"/>
    <m/>
    <m/>
    <n v="3456000"/>
    <n v="432000"/>
    <n v="151200"/>
    <n v="583200"/>
    <n v="2872800"/>
    <m/>
    <n v="8282115"/>
    <n v="40797085"/>
    <n v="3456000"/>
    <n v="3456000"/>
    <x v="9"/>
    <s v="ATALI MAKMUR"/>
    <x v="2"/>
    <s v=""/>
    <n v="7"/>
    <s v="mathsetms402jk"/>
    <s v="mathsetms402jk34560000.1250.05"/>
    <s v="mathsetms402jk34560000.1250.05"/>
    <s v=""/>
    <s v=""/>
    <x v="140"/>
    <s v=""/>
    <s v="12 BOX (24 SET)"/>
    <s v="mathsetms402jk12box24set"/>
    <n v="1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6"/>
    <s v="ATA_1007_537-9"/>
    <e v="#REF!"/>
    <n v="56"/>
    <m/>
    <s v="ATALI MAKMUR"/>
    <s v="ARTO MORO"/>
    <s v="SA230711537"/>
    <m/>
    <d v="2023-07-07T00:00:00"/>
    <m/>
    <x v="179"/>
    <n v="1"/>
    <n v="24"/>
    <s v="PCS"/>
    <n v="11100"/>
    <m/>
    <s v="24 PCS"/>
    <n v="0.125"/>
    <n v="0.05"/>
    <m/>
    <m/>
    <n v="266400"/>
    <n v="33300"/>
    <n v="11655"/>
    <n v="44955"/>
    <n v="221445"/>
    <m/>
    <s v=""/>
    <s v=""/>
    <n v="266400"/>
    <n v="266400"/>
    <x v="9"/>
    <s v="ATALI MAKMUR"/>
    <x v="2"/>
    <n v="9"/>
    <n v="7"/>
    <s v="tapecuttertd102jk"/>
    <s v="tapecuttertd102jk2664000.1250.05"/>
    <s v="tapecuttertd102jk2664000.1250.05"/>
    <s v="ATALI MAKMURARTO MOROSA23071153745114tapecuttertd102jk"/>
    <e v="#REF!"/>
    <x v="141"/>
    <b v="1"/>
    <s v="24 PCS"/>
    <s v="tapecuttertd102jk24pcs"/>
    <n v="2332"/>
  </r>
  <r>
    <s v=""/>
    <s v=""/>
    <s v=""/>
    <n v="56"/>
    <m/>
    <m/>
    <m/>
    <m/>
    <m/>
    <m/>
    <m/>
    <x v="116"/>
    <n v="2"/>
    <n v="60"/>
    <s v="GRS"/>
    <n v="99000"/>
    <m/>
    <s v="30 GRS"/>
    <n v="0.125"/>
    <n v="0.05"/>
    <m/>
    <m/>
    <n v="5940000"/>
    <n v="742500"/>
    <n v="259875"/>
    <n v="1002375"/>
    <n v="4937625"/>
    <m/>
    <s v=""/>
    <s v=""/>
    <n v="2970000"/>
    <n v="5940000"/>
    <x v="9"/>
    <s v="ATALI MAKMUR"/>
    <x v="2"/>
    <s v=""/>
    <n v="7"/>
    <s v="pencilp912bjk"/>
    <s v="pencilp912bjk29700000.1250.05"/>
    <s v="pencilp912bjk29700000.1250.05"/>
    <s v=""/>
    <s v=""/>
    <x v="89"/>
    <b v="1"/>
    <s v="30 GRS"/>
    <s v="pencilp912bjk30grs"/>
    <n v="2026"/>
  </r>
  <r>
    <s v=""/>
    <s v=""/>
    <s v=""/>
    <n v="56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9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56"/>
    <m/>
    <m/>
    <m/>
    <m/>
    <m/>
    <m/>
    <m/>
    <x v="128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6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6"/>
    <m/>
    <m/>
    <m/>
    <m/>
    <m/>
    <m/>
    <m/>
    <x v="176"/>
    <n v="5"/>
    <n v="1440"/>
    <s v="PCS"/>
    <n v="2150"/>
    <m/>
    <m/>
    <n v="0.125"/>
    <n v="0.05"/>
    <m/>
    <m/>
    <n v="3096000"/>
    <n v="387000"/>
    <n v="135450"/>
    <n v="522450"/>
    <n v="2573550"/>
    <m/>
    <s v=""/>
    <s v=""/>
    <n v="619200"/>
    <n v="3096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6"/>
    <m/>
    <m/>
    <m/>
    <m/>
    <m/>
    <m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9"/>
    <s v="ATALI MAKMUR"/>
    <x v="2"/>
    <s v=""/>
    <n v="7"/>
    <s v="oilpastelop12sppcaseseaworldjk"/>
    <s v="oilpastelop12sppcaseseaworldjk17136000.1250.05"/>
    <s v="oilpastelop12sppcaseseaworldjk17136000.1250.05"/>
    <s v=""/>
    <s v=""/>
    <x v="66"/>
    <s v=""/>
    <s v="12 LSN"/>
    <s v="oilpastelop12sppcaseseaworldjk12lsn"/>
    <n v="1756"/>
  </r>
  <r>
    <s v=""/>
    <s v=""/>
    <s v=""/>
    <n v="56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6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1250630"/>
    <n v="55419770"/>
    <n v="1420800"/>
    <n v="14208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7"/>
    <s v="ATA_1007_402-11"/>
    <e v="#REF!"/>
    <n v="57"/>
    <m/>
    <s v="ATALI MAKMUR"/>
    <s v="ARTO MORO"/>
    <s v="SA230711402"/>
    <m/>
    <d v="2023-07-06T00:00:00"/>
    <m/>
    <x v="88"/>
    <n v="14"/>
    <n v="2016"/>
    <s v="SET"/>
    <n v="11900"/>
    <m/>
    <m/>
    <n v="0.125"/>
    <n v="0.05"/>
    <m/>
    <m/>
    <n v="23990400"/>
    <n v="2998800"/>
    <n v="1049580"/>
    <n v="4048380"/>
    <n v="19942020"/>
    <m/>
    <s v=""/>
    <s v=""/>
    <n v="1713600"/>
    <n v="23990400"/>
    <x v="9"/>
    <s v="ATALI MAKMUR"/>
    <x v="2"/>
    <n v="11"/>
    <n v="7"/>
    <s v="oilpastelop12sppcaseseaworldjk"/>
    <s v="oilpastelop12sppcaseseaworldjk17136000.1250.05"/>
    <s v="oilpastelop12sppcaseseaworldjk17136000.1250.05"/>
    <s v="ATALI MAKMURARTO MOROSA23071140245113oilpastelop12sppcaseseaworldjk"/>
    <e v="#REF!"/>
    <x v="66"/>
    <s v=""/>
    <s v="12 LSN"/>
    <s v="oilpastelop12sppcaseseaworldjk12lsn"/>
    <n v="1756"/>
  </r>
  <r>
    <s v=""/>
    <s v=""/>
    <s v=""/>
    <n v="57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7"/>
    <m/>
    <m/>
    <m/>
    <m/>
    <m/>
    <m/>
    <m/>
    <x v="90"/>
    <n v="3"/>
    <n v="144"/>
    <s v="SET"/>
    <n v="29600"/>
    <m/>
    <m/>
    <n v="0.125"/>
    <n v="0.05"/>
    <m/>
    <m/>
    <n v="4262400"/>
    <n v="532800"/>
    <n v="186480"/>
    <n v="719280"/>
    <n v="3543120"/>
    <m/>
    <s v=""/>
    <s v=""/>
    <n v="1420800"/>
    <n v="42624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7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7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7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7"/>
    <m/>
    <m/>
    <m/>
    <m/>
    <m/>
    <m/>
    <m/>
    <x v="129"/>
    <n v="3"/>
    <n v="150"/>
    <s v="BOX"/>
    <n v="34100"/>
    <m/>
    <m/>
    <n v="0.125"/>
    <n v="0.05"/>
    <m/>
    <m/>
    <n v="5115000"/>
    <n v="639375"/>
    <n v="223781.25"/>
    <n v="863156.25"/>
    <n v="4251843.75"/>
    <m/>
    <s v=""/>
    <s v=""/>
    <n v="1705000"/>
    <n v="511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7"/>
    <m/>
    <m/>
    <m/>
    <m/>
    <m/>
    <m/>
    <m/>
    <x v="180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57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57"/>
    <m/>
    <m/>
    <m/>
    <m/>
    <m/>
    <m/>
    <m/>
    <x v="181"/>
    <n v="2"/>
    <n v="48"/>
    <s v="PCS"/>
    <n v="40000"/>
    <m/>
    <s v="24 PCS"/>
    <n v="0.125"/>
    <n v="0.05"/>
    <m/>
    <m/>
    <n v="1920000"/>
    <n v="240000"/>
    <n v="84000"/>
    <n v="324000"/>
    <n v="1596000"/>
    <m/>
    <s v=""/>
    <s v=""/>
    <n v="960000"/>
    <n v="1920000"/>
    <x v="9"/>
    <s v="ATALI MAKMUR"/>
    <x v="2"/>
    <s v=""/>
    <n v="7"/>
    <s v="punchno85jk"/>
    <s v="punchno85jk9600000.1250.05"/>
    <s v="punchno85jk9600000.1250.05"/>
    <s v=""/>
    <s v=""/>
    <x v="142"/>
    <b v="1"/>
    <s v="24 PCS"/>
    <s v="punchno85jk24pcs"/>
    <n v="2171"/>
  </r>
  <r>
    <s v=""/>
    <s v=""/>
    <s v=""/>
    <n v="57"/>
    <m/>
    <m/>
    <m/>
    <m/>
    <m/>
    <m/>
    <m/>
    <x v="176"/>
    <n v="10"/>
    <n v="2880"/>
    <s v="PCS"/>
    <n v="2150"/>
    <m/>
    <m/>
    <n v="0.125"/>
    <n v="0.05"/>
    <m/>
    <m/>
    <n v="6192000"/>
    <n v="774000"/>
    <n v="270900"/>
    <n v="1044900"/>
    <n v="5147100"/>
    <m/>
    <n v="9912307.5"/>
    <n v="48827292.5"/>
    <n v="619200"/>
    <n v="6192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8"/>
    <s v="ETJ_1307_-2"/>
    <e v="#REF!"/>
    <n v="58"/>
    <d v="2023-07-13T00:00:00"/>
    <s v="ETJ"/>
    <s v="UNTANA"/>
    <m/>
    <m/>
    <d v="2023-07-08T00:00:00"/>
    <m/>
    <x v="182"/>
    <n v="60"/>
    <n v="600"/>
    <s v="PCS"/>
    <n v="57000"/>
    <m/>
    <s v="10 PCS"/>
    <m/>
    <m/>
    <m/>
    <m/>
    <n v="34200000"/>
    <n v="0"/>
    <n v="0"/>
    <n v="0"/>
    <n v="34200000"/>
    <m/>
    <s v=""/>
    <s v=""/>
    <n v="570000"/>
    <n v="34200000"/>
    <x v="10"/>
    <s v="ETJ"/>
    <x v="0"/>
    <n v="2"/>
    <n v="7"/>
    <s v="pelnalaptoptable"/>
    <s v="pelnalaptoptable570000"/>
    <s v="pelnalaptoptable570000"/>
    <s v="ETJUNTANA45115pelnalaptoptable"/>
    <e v="#REF!"/>
    <x v="143"/>
    <b v="1"/>
    <s v="10 PCS"/>
    <s v="pelnalaptoptable10pcs"/>
    <n v="1966"/>
  </r>
  <r>
    <s v=""/>
    <s v=""/>
    <s v=""/>
    <n v="58"/>
    <m/>
    <m/>
    <m/>
    <m/>
    <m/>
    <m/>
    <m/>
    <x v="182"/>
    <n v="3"/>
    <n v="30"/>
    <s v="PCS"/>
    <m/>
    <m/>
    <s v="10 PCS"/>
    <m/>
    <m/>
    <m/>
    <s v="BONUS"/>
    <s v=""/>
    <s v=""/>
    <s v=""/>
    <s v=""/>
    <s v=""/>
    <m/>
    <n v="0"/>
    <n v="34200000"/>
    <n v="0"/>
    <s v=""/>
    <x v="10"/>
    <s v="ETJ"/>
    <x v="0"/>
    <s v=""/>
    <n v="7"/>
    <s v="pelnalaptoptable"/>
    <s v="pelnalaptoptable0"/>
    <s v="pelnalaptoptable0"/>
    <s v=""/>
    <s v=""/>
    <x v="143"/>
    <b v="1"/>
    <s v="10 PCS"/>
    <s v="pelnalaptoptable10pcs"/>
    <n v="196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9"/>
    <s v="KEN_1207_809-11"/>
    <e v="#REF!"/>
    <n v="59"/>
    <d v="2023-07-12T00:00:00"/>
    <s v="KENKO SINAR INDONESIA"/>
    <s v="ARTO MORO"/>
    <s v="23070809"/>
    <s v="SA 42908"/>
    <d v="2023-07-10T00:00:00"/>
    <m/>
    <x v="183"/>
    <n v="2"/>
    <m/>
    <m/>
    <m/>
    <n v="1740000"/>
    <m/>
    <n v="0.17"/>
    <m/>
    <m/>
    <m/>
    <n v="3480000"/>
    <n v="591600"/>
    <n v="0"/>
    <n v="591600"/>
    <n v="2888400"/>
    <m/>
    <s v=""/>
    <s v=""/>
    <n v="1740000"/>
    <s v=""/>
    <x v="11"/>
    <s v="KENKO SINAR INDONESIA"/>
    <x v="2"/>
    <n v="11"/>
    <n v="7"/>
    <s v="kenkostaplerhd10smini"/>
    <s v="kenkostaplerhd10smini17400000.17"/>
    <s v="kenkostaplerhd10smini17400000.17"/>
    <s v="KENKO SINAR INDONESIAARTO MORO23070809SA 4290845117kenkostaplerhd10smini"/>
    <e v="#REF!"/>
    <x v="144"/>
    <s v=""/>
    <s v="25 LSN"/>
    <s v="kenkostaplerhd10smini25lsn"/>
    <n v="1443"/>
  </r>
  <r>
    <s v=""/>
    <s v=""/>
    <s v=""/>
    <n v="59"/>
    <m/>
    <m/>
    <m/>
    <m/>
    <m/>
    <m/>
    <m/>
    <x v="184"/>
    <n v="3"/>
    <m/>
    <m/>
    <m/>
    <n v="840000"/>
    <m/>
    <n v="0.17"/>
    <m/>
    <m/>
    <m/>
    <n v="2520000"/>
    <n v="428400.00000000006"/>
    <n v="0"/>
    <n v="428400.00000000006"/>
    <n v="2091600"/>
    <m/>
    <s v=""/>
    <s v=""/>
    <n v="840000"/>
    <s v=""/>
    <x v="11"/>
    <s v="KENKO SINAR INDONESIA"/>
    <x v="2"/>
    <s v=""/>
    <n v="7"/>
    <s v="kenkostaplesno12102310"/>
    <s v="kenkostaplesno121023108400000.17"/>
    <s v="kenkostaplesno121023108400000.17"/>
    <s v=""/>
    <s v=""/>
    <x v="145"/>
    <s v=""/>
    <s v="20 PAK (10 BOX)"/>
    <s v="kenkostaplesno1210231020pak10box"/>
    <n v="1450"/>
  </r>
  <r>
    <s v=""/>
    <s v=""/>
    <s v=""/>
    <n v="59"/>
    <m/>
    <m/>
    <m/>
    <m/>
    <m/>
    <m/>
    <m/>
    <x v="185"/>
    <n v="1"/>
    <m/>
    <m/>
    <m/>
    <n v="3888000"/>
    <m/>
    <n v="0.17"/>
    <m/>
    <m/>
    <m/>
    <n v="3888000"/>
    <n v="660960"/>
    <n v="0"/>
    <n v="660960"/>
    <n v="3227040"/>
    <m/>
    <s v=""/>
    <s v=""/>
    <n v="3888000"/>
    <s v=""/>
    <x v="11"/>
    <s v="KENKO SINAR INDONESIA"/>
    <x v="2"/>
    <s v=""/>
    <n v="7"/>
    <s v="kenkocutterbladea1009mm"/>
    <s v="kenkocutterbladea1009mm38880000.17"/>
    <s v="kenkocutterbladea1009mm38880000.17"/>
    <s v=""/>
    <s v=""/>
    <x v="134"/>
    <s v=""/>
    <s v="120 LSN"/>
    <s v="kenkocutterbladea1009mm120lsn"/>
    <n v="1267"/>
  </r>
  <r>
    <s v=""/>
    <s v=""/>
    <s v=""/>
    <n v="59"/>
    <m/>
    <m/>
    <m/>
    <m/>
    <m/>
    <m/>
    <m/>
    <x v="186"/>
    <n v="1"/>
    <m/>
    <m/>
    <m/>
    <n v="1497600"/>
    <m/>
    <n v="0.17"/>
    <m/>
    <m/>
    <m/>
    <n v="1497600"/>
    <n v="254592.00000000003"/>
    <n v="0"/>
    <n v="254592.00000000003"/>
    <n v="1243008"/>
    <m/>
    <s v=""/>
    <s v=""/>
    <n v="1497600"/>
    <s v=""/>
    <x v="11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9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11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59"/>
    <m/>
    <m/>
    <m/>
    <m/>
    <m/>
    <m/>
    <m/>
    <x v="136"/>
    <n v="1"/>
    <m/>
    <m/>
    <m/>
    <n v="1590000"/>
    <m/>
    <n v="0.17"/>
    <m/>
    <m/>
    <m/>
    <n v="1590000"/>
    <n v="270300"/>
    <n v="0"/>
    <n v="270300"/>
    <n v="1319700"/>
    <m/>
    <s v=""/>
    <s v=""/>
    <n v="1590000"/>
    <s v=""/>
    <x v="11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59"/>
    <m/>
    <m/>
    <m/>
    <m/>
    <m/>
    <m/>
    <m/>
    <x v="137"/>
    <n v="1"/>
    <m/>
    <m/>
    <m/>
    <n v="1476000"/>
    <m/>
    <n v="0.17"/>
    <m/>
    <m/>
    <m/>
    <n v="1476000"/>
    <n v="250920.00000000003"/>
    <n v="0"/>
    <n v="250920.00000000003"/>
    <n v="1225080"/>
    <m/>
    <s v=""/>
    <s v=""/>
    <n v="1476000"/>
    <s v=""/>
    <x v="11"/>
    <s v="KENKO SINAR INDONESIA"/>
    <x v="2"/>
    <s v=""/>
    <n v="7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n v="59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s v=""/>
    <s v=""/>
    <n v="3888000"/>
    <s v=""/>
    <x v="11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59"/>
    <m/>
    <m/>
    <m/>
    <m/>
    <m/>
    <m/>
    <m/>
    <x v="162"/>
    <n v="2"/>
    <m/>
    <m/>
    <m/>
    <n v="2008800"/>
    <m/>
    <n v="0.17"/>
    <m/>
    <m/>
    <m/>
    <n v="4017600"/>
    <n v="682992"/>
    <n v="0"/>
    <n v="682992"/>
    <n v="3334608"/>
    <m/>
    <s v=""/>
    <s v=""/>
    <n v="2008800"/>
    <s v=""/>
    <x v="11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9"/>
    <m/>
    <m/>
    <m/>
    <m/>
    <m/>
    <m/>
    <m/>
    <x v="187"/>
    <n v="2"/>
    <m/>
    <m/>
    <m/>
    <n v="1695600"/>
    <m/>
    <n v="0.17"/>
    <m/>
    <m/>
    <m/>
    <n v="3391200"/>
    <n v="576504"/>
    <n v="0"/>
    <n v="576504"/>
    <n v="2814696"/>
    <m/>
    <s v=""/>
    <s v=""/>
    <n v="1695600"/>
    <s v=""/>
    <x v="11"/>
    <s v="KENKO SINAR INDONESIA"/>
    <x v="2"/>
    <s v=""/>
    <n v="7"/>
    <s v="kenkocorrectionfluidke108"/>
    <s v="kenkocorrectionfluidke10816956000.17"/>
    <s v="kenkocorrectionfluidke10816956000.17"/>
    <s v=""/>
    <s v=""/>
    <x v="146"/>
    <s v=""/>
    <s v="36 LSN"/>
    <s v="kenkocorrectionfluidke10836lsn"/>
    <n v="1231"/>
  </r>
  <r>
    <s v=""/>
    <s v=""/>
    <s v=""/>
    <n v="59"/>
    <m/>
    <m/>
    <m/>
    <m/>
    <s v="SA 42927"/>
    <m/>
    <m/>
    <x v="188"/>
    <n v="10"/>
    <m/>
    <m/>
    <m/>
    <n v="462000"/>
    <m/>
    <n v="0.17"/>
    <m/>
    <m/>
    <m/>
    <n v="4620000"/>
    <n v="785400"/>
    <n v="0"/>
    <n v="785400"/>
    <n v="3834600"/>
    <m/>
    <n v="7952668"/>
    <n v="38827732"/>
    <n v="462000"/>
    <s v=""/>
    <x v="11"/>
    <s v="KENKO SINAR INDONESIA"/>
    <x v="2"/>
    <s v=""/>
    <n v="7"/>
    <s v="kenkotapedispensertd3231&amp;3core"/>
    <s v="kenkotapedispensertd3231&amp;3core4620000.17"/>
    <s v="kenkotapedispensertd3231&amp;3core4620000.17"/>
    <s v=""/>
    <s v=""/>
    <x v="147"/>
    <s v=""/>
    <s v="24 PCS"/>
    <s v="kenkotapedispensertd3231&amp;3core24pcs"/>
    <n v="14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0"/>
    <s v="KEN_1207_865-5"/>
    <e v="#REF!"/>
    <n v="60"/>
    <m/>
    <s v="KENKO SINAR INDONESIA"/>
    <s v="ARTO MORO"/>
    <s v="23070865"/>
    <s v="SA 42939"/>
    <d v="2023-07-11T00:00:00"/>
    <m/>
    <x v="189"/>
    <n v="2"/>
    <m/>
    <m/>
    <m/>
    <n v="7430400"/>
    <m/>
    <n v="0.17"/>
    <m/>
    <m/>
    <m/>
    <n v="14860800"/>
    <n v="2526336"/>
    <n v="0"/>
    <n v="2526336"/>
    <n v="12334464"/>
    <m/>
    <s v=""/>
    <s v=""/>
    <n v="7430400"/>
    <s v=""/>
    <x v="11"/>
    <s v="KENKO SINAR INDONESIA"/>
    <x v="2"/>
    <n v="5"/>
    <n v="7"/>
    <s v="kenkomechanicalpencilmp0105mm"/>
    <s v="kenkomechanicalpencilmp0105mm74304000.17"/>
    <s v="kenkomechanicalpencilmp0105mm74304000.17"/>
    <s v="KENKO SINAR INDONESIAARTO MORO23070865SA 4293945118kenkomechanicalpencilmp0105mm"/>
    <e v="#REF!"/>
    <x v="148"/>
    <s v=""/>
    <s v="12 GRS"/>
    <s v="kenkomechanicalpencilmp0105mm12grs"/>
    <n v="1361"/>
  </r>
  <r>
    <s v=""/>
    <s v=""/>
    <s v=""/>
    <n v="60"/>
    <m/>
    <m/>
    <m/>
    <m/>
    <m/>
    <m/>
    <m/>
    <x v="190"/>
    <n v="2"/>
    <m/>
    <m/>
    <m/>
    <n v="2280000"/>
    <m/>
    <n v="0.17"/>
    <m/>
    <m/>
    <m/>
    <n v="4560000"/>
    <n v="775200"/>
    <n v="0"/>
    <n v="775200"/>
    <n v="3784800"/>
    <m/>
    <s v=""/>
    <s v=""/>
    <n v="2280000"/>
    <s v=""/>
    <x v="11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0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11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0"/>
    <m/>
    <m/>
    <m/>
    <m/>
    <m/>
    <m/>
    <m/>
    <x v="191"/>
    <n v="1"/>
    <m/>
    <m/>
    <m/>
    <n v="804000"/>
    <m/>
    <n v="0.17"/>
    <m/>
    <m/>
    <m/>
    <n v="804000"/>
    <n v="136680"/>
    <n v="0"/>
    <n v="136680"/>
    <n v="667320"/>
    <m/>
    <s v=""/>
    <s v=""/>
    <n v="804000"/>
    <s v=""/>
    <x v="11"/>
    <s v="KENKO SINAR INDONESIA"/>
    <x v="2"/>
    <s v=""/>
    <n v="7"/>
    <s v="kenkopocketnotepn404"/>
    <s v="kenkopocketnotepn4048040000.17"/>
    <s v="kenkopocketnotepn4048040000.17"/>
    <s v=""/>
    <s v=""/>
    <x v="150"/>
    <s v=""/>
    <s v="20 LSN"/>
    <s v="kenkopocketnotepn40420lsn"/>
    <n v="1398"/>
  </r>
  <r>
    <s v=""/>
    <s v=""/>
    <s v=""/>
    <n v="60"/>
    <m/>
    <m/>
    <m/>
    <m/>
    <s v="SA 42959"/>
    <m/>
    <m/>
    <x v="102"/>
    <n v="3"/>
    <m/>
    <m/>
    <m/>
    <n v="396000"/>
    <m/>
    <n v="0.17"/>
    <m/>
    <m/>
    <m/>
    <n v="1188000"/>
    <n v="201960"/>
    <n v="0"/>
    <n v="201960"/>
    <n v="986040"/>
    <m/>
    <n v="5966388"/>
    <n v="29130012"/>
    <n v="396000"/>
    <s v=""/>
    <x v="11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1"/>
    <s v="SAM_1207_372-3"/>
    <e v="#REF!"/>
    <n v="61"/>
    <m/>
    <s v="SAMUDERA ANGKASA JAYA"/>
    <s v="ARTO MORO"/>
    <s v="JL-55372"/>
    <m/>
    <d v="2023-07-07T00:00:00"/>
    <m/>
    <x v="192"/>
    <n v="3"/>
    <n v="432"/>
    <s v="PCS"/>
    <n v="9250"/>
    <m/>
    <s v="144 PCS"/>
    <n v="7.0000000000000007E-2"/>
    <m/>
    <m/>
    <m/>
    <n v="3996000"/>
    <n v="279720"/>
    <n v="0"/>
    <n v="279720"/>
    <n v="3716280"/>
    <m/>
    <s v=""/>
    <s v=""/>
    <n v="1332000"/>
    <n v="3996000"/>
    <x v="11"/>
    <s v="SAMUDERA ANGKASA JAYA"/>
    <x v="2"/>
    <n v="3"/>
    <n v="7"/>
    <s v="pcmagac176222*75"/>
    <s v="pcmagac176222*7513320000.07"/>
    <s v="pcmagac176222*7513320000.07"/>
    <s v="SAMUDERA ANGKASA JAYAARTO MOROJL-5537245114pcmagac176222*75"/>
    <e v="#REF!"/>
    <x v="151"/>
    <b v="1"/>
    <s v="144 PCS"/>
    <s v="pcmagac176222*75144pcs"/>
    <n v="1813"/>
  </r>
  <r>
    <s v=""/>
    <s v=""/>
    <s v=""/>
    <n v="61"/>
    <m/>
    <m/>
    <m/>
    <m/>
    <m/>
    <m/>
    <m/>
    <x v="193"/>
    <n v="2"/>
    <n v="288"/>
    <s v="PCS"/>
    <n v="9250"/>
    <m/>
    <s v="144 PCS"/>
    <n v="7.0000000000000007E-2"/>
    <m/>
    <m/>
    <m/>
    <n v="2664000"/>
    <n v="186480.00000000003"/>
    <n v="0"/>
    <n v="186480.00000000003"/>
    <n v="2477520"/>
    <m/>
    <s v=""/>
    <s v=""/>
    <n v="1332000"/>
    <n v="2664000"/>
    <x v="11"/>
    <s v="SAMUDERA ANGKASA JAYA"/>
    <x v="2"/>
    <s v=""/>
    <n v="7"/>
    <s v="pcmagfc175722*75"/>
    <s v="pcmagfc175722*7513320000.07"/>
    <s v="pcmagfc175722*7513320000.07"/>
    <s v=""/>
    <s v=""/>
    <x v="152"/>
    <b v="1"/>
    <s v="144 PCS"/>
    <s v="pcmagfc175722*75144pcs"/>
    <n v="1819"/>
  </r>
  <r>
    <s v=""/>
    <s v=""/>
    <s v=""/>
    <n v="61"/>
    <m/>
    <m/>
    <m/>
    <m/>
    <m/>
    <m/>
    <m/>
    <x v="194"/>
    <n v="1"/>
    <n v="120"/>
    <s v="PCS"/>
    <n v="11500"/>
    <m/>
    <s v="120 PCS"/>
    <n v="7.0000000000000007E-2"/>
    <m/>
    <m/>
    <m/>
    <n v="1380000"/>
    <n v="96600.000000000015"/>
    <n v="0"/>
    <n v="96600.000000000015"/>
    <n v="1283400"/>
    <m/>
    <n v="562800"/>
    <n v="7477200"/>
    <n v="1380000"/>
    <n v="1380000"/>
    <x v="11"/>
    <s v="SAMUDERA ANGKASA JAYA"/>
    <x v="2"/>
    <s v=""/>
    <n v="7"/>
    <s v="pcmagfx221022*10metaliklebar"/>
    <s v="pcmagfx221022*10metaliklebar13800000.07"/>
    <s v="pcmagfx221022*10metaliklebar13800000.07"/>
    <s v=""/>
    <s v=""/>
    <x v="153"/>
    <b v="1"/>
    <s v="120 PCS"/>
    <s v="pcmagfx221022*10metaliklebar120pcs"/>
    <n v="18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2"/>
    <s v="DUT_1207_23H-1"/>
    <e v="#REF!"/>
    <n v="62"/>
    <m/>
    <s v="DUTA BUANA"/>
    <s v="UNTANA"/>
    <s v="HM/194/07-23H"/>
    <m/>
    <d v="2023-07-10T00:00:00"/>
    <m/>
    <x v="195"/>
    <n v="7"/>
    <n v="672"/>
    <s v="LSN"/>
    <n v="26500"/>
    <m/>
    <s v="96 LSN"/>
    <n v="0.03"/>
    <m/>
    <m/>
    <m/>
    <n v="17808000"/>
    <n v="534240"/>
    <n v="0"/>
    <n v="534240"/>
    <n v="17273760"/>
    <m/>
    <n v="534240"/>
    <n v="17273760"/>
    <n v="2544000"/>
    <n v="17808000"/>
    <x v="11"/>
    <s v="DUTA BUANA"/>
    <x v="0"/>
    <n v="1"/>
    <n v="7"/>
    <s v="ballpentf1190htm03mmhightech"/>
    <s v="ballpentf1190htm03mmhightech25440000.03"/>
    <s v="ballpentf1190htm03mmhightech25440000.03"/>
    <s v="DUTA BUANAUNTANAHM/194/07-23H45117ballpentf1190htm03mmhightech"/>
    <e v="#REF!"/>
    <x v="154"/>
    <b v="1"/>
    <s v="96 LSN"/>
    <s v="ballpentf1190htm03mmhightech96lsn"/>
    <n v="11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3"/>
    <s v="DUT_1207_23H-1"/>
    <e v="#REF!"/>
    <n v="63"/>
    <m/>
    <s v="DUTA BUANA"/>
    <s v="UNTANA"/>
    <s v="HM/199/07-23H"/>
    <m/>
    <d v="2023-07-11T00:00:00"/>
    <m/>
    <x v="196"/>
    <n v="5"/>
    <n v="480"/>
    <s v="LSN"/>
    <n v="30500"/>
    <m/>
    <s v="96 LSN"/>
    <n v="0.03"/>
    <m/>
    <m/>
    <m/>
    <n v="14640000"/>
    <n v="439200"/>
    <n v="0"/>
    <n v="439200"/>
    <n v="14200800"/>
    <m/>
    <n v="439200"/>
    <n v="14200800"/>
    <n v="2928000"/>
    <n v="14640000"/>
    <x v="11"/>
    <s v="DUTA BUANA"/>
    <x v="0"/>
    <n v="1"/>
    <n v="7"/>
    <s v="ballpengeltf311503mmhightechknock"/>
    <s v="ballpengeltf311503mmhightechknock29280000.03"/>
    <s v="ballpengeltf311503mmhightechknock29280000.03"/>
    <s v="DUTA BUANAUNTANAHM/199/07-23H45118ballpengeltf311503mmhightechknock"/>
    <e v="#REF!"/>
    <x v="155"/>
    <b v="1"/>
    <s v="96 LSN"/>
    <s v="ballpengeltf311503mmhightechknock96lsn"/>
    <n v="11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4"/>
    <s v="ETJ_1207_523-1"/>
    <e v="#REF!"/>
    <n v="64"/>
    <m/>
    <s v="ETJ"/>
    <s v="UNTANA"/>
    <s v="KZ5.23"/>
    <m/>
    <d v="2023-07-07T00:00:00"/>
    <m/>
    <x v="197"/>
    <n v="3"/>
    <n v="12000"/>
    <s v="PCS"/>
    <n v="700"/>
    <m/>
    <s v="4000 PCS"/>
    <m/>
    <m/>
    <m/>
    <m/>
    <n v="8400000"/>
    <n v="0"/>
    <n v="0"/>
    <n v="0"/>
    <n v="8400000"/>
    <m/>
    <n v="0"/>
    <n v="8400000"/>
    <n v="2800000"/>
    <n v="8400000"/>
    <x v="11"/>
    <s v="ETJ"/>
    <x v="0"/>
    <n v="1"/>
    <n v="7"/>
    <s v="ntagdmrh301"/>
    <s v="ntagdmrh3012800000"/>
    <s v="ntagdmrh3012800000"/>
    <s v="ETJUNTANAKZ5.2345114ntagdmrh301"/>
    <e v="#REF!"/>
    <x v="58"/>
    <b v="1"/>
    <s v="4000 PCS"/>
    <s v="ntagdmrh3014000pcs"/>
    <n v="17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5"/>
    <s v="SAP_1507_331-2"/>
    <e v="#REF!"/>
    <n v="65"/>
    <d v="2023-07-15T00:00:00"/>
    <s v="SAPUTRO"/>
    <s v="UNTANA"/>
    <s v="F23G000331"/>
    <m/>
    <d v="2023-07-10T00:00:00"/>
    <m/>
    <x v="198"/>
    <n v="9"/>
    <n v="22680"/>
    <s v="PCS"/>
    <n v="1625"/>
    <m/>
    <s v="2520 PCS"/>
    <n v="0.2"/>
    <n v="2.5000000000000001E-2"/>
    <m/>
    <m/>
    <n v="36855000"/>
    <n v="7371000"/>
    <n v="737100"/>
    <n v="8108100"/>
    <n v="28746900"/>
    <m/>
    <s v=""/>
    <s v=""/>
    <n v="4095000"/>
    <n v="36855000"/>
    <x v="12"/>
    <s v="SAPUTRO"/>
    <x v="0"/>
    <n v="2"/>
    <n v="7"/>
    <s v="stickernamafancyholo"/>
    <s v="stickernamafancyholo40950000.20.025"/>
    <s v="stickernamafancyholo40950000.20.025"/>
    <s v="SAPUTROUNTANAF23G00033145117stickernamafancyholo"/>
    <e v="#REF!"/>
    <x v="156"/>
    <b v="1"/>
    <s v="2520 PCS"/>
    <s v="stickernamafancyholo2520pcs"/>
    <n v="2590"/>
  </r>
  <r>
    <s v=""/>
    <s v=""/>
    <s v=""/>
    <n v="65"/>
    <m/>
    <m/>
    <m/>
    <m/>
    <m/>
    <m/>
    <m/>
    <x v="198"/>
    <n v="4"/>
    <n v="15120"/>
    <s v="PCS"/>
    <n v="1625"/>
    <m/>
    <s v="3780 PCS"/>
    <n v="0.2"/>
    <n v="2.5000000000000001E-2"/>
    <m/>
    <m/>
    <n v="24570000"/>
    <n v="4914000"/>
    <n v="491400"/>
    <n v="5405400"/>
    <n v="19164600"/>
    <m/>
    <n v="13513500"/>
    <n v="47911500"/>
    <n v="6142500"/>
    <n v="24570000"/>
    <x v="12"/>
    <s v="SAPUTRO"/>
    <x v="0"/>
    <s v=""/>
    <n v="7"/>
    <s v="stickernamafancyholo"/>
    <s v="stickernamafancyholo61425000.20.025"/>
    <s v="stickernamafancyholo61425000.20.025"/>
    <s v=""/>
    <s v=""/>
    <x v="156"/>
    <b v="1"/>
    <s v="3780 PCS"/>
    <s v="stickernamafancyholo3780pcs"/>
    <n v="259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6"/>
    <s v="KEN_1407_030-7"/>
    <e v="#REF!"/>
    <n v="66"/>
    <d v="2023-07-14T00:00:00"/>
    <s v="KENKO SINAR INDONESIA"/>
    <s v="ARTO MORO"/>
    <s v="23071030"/>
    <m/>
    <d v="2023-07-12T00:00:00"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13"/>
    <s v="KENKO SINAR INDONESIA"/>
    <x v="2"/>
    <n v="7"/>
    <n v="7"/>
    <s v="kenkoscissorsc828"/>
    <s v="kenkoscissorsc82814100000.17"/>
    <s v="kenkoscissorsc82814100000.17"/>
    <s v="KENKO SINAR INDONESIAARTO MORO2307103045119kenkoscissorsc828"/>
    <e v="#REF!"/>
    <x v="38"/>
    <s v=""/>
    <s v="25 LSN"/>
    <s v="kenkoscissorsc82825lsn"/>
    <n v="1415"/>
  </r>
  <r>
    <s v=""/>
    <s v=""/>
    <s v=""/>
    <n v="66"/>
    <m/>
    <m/>
    <m/>
    <m/>
    <m/>
    <m/>
    <m/>
    <x v="199"/>
    <n v="1"/>
    <m/>
    <m/>
    <m/>
    <n v="1188000"/>
    <m/>
    <n v="0.17"/>
    <m/>
    <m/>
    <m/>
    <n v="1188000"/>
    <n v="201960"/>
    <n v="0"/>
    <n v="201960"/>
    <n v="98604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6"/>
    <m/>
    <m/>
    <m/>
    <m/>
    <m/>
    <m/>
    <m/>
    <x v="52"/>
    <n v="6"/>
    <m/>
    <m/>
    <m/>
    <n v="1954800"/>
    <m/>
    <n v="0.17"/>
    <m/>
    <m/>
    <m/>
    <n v="11728800"/>
    <n v="1993896.0000000002"/>
    <n v="0"/>
    <n v="1993896.0000000002"/>
    <n v="9734904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6"/>
    <m/>
    <m/>
    <m/>
    <m/>
    <m/>
    <m/>
    <m/>
    <x v="111"/>
    <n v="3"/>
    <m/>
    <m/>
    <m/>
    <n v="1710000"/>
    <m/>
    <n v="0.17"/>
    <m/>
    <m/>
    <m/>
    <n v="5130000"/>
    <n v="872100.00000000012"/>
    <n v="0"/>
    <n v="872100.00000000012"/>
    <n v="4257900"/>
    <m/>
    <s v=""/>
    <s v=""/>
    <n v="1710000"/>
    <s v=""/>
    <x v="13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66"/>
    <m/>
    <m/>
    <m/>
    <m/>
    <m/>
    <m/>
    <m/>
    <x v="200"/>
    <n v="1"/>
    <m/>
    <m/>
    <m/>
    <n v="3196800"/>
    <m/>
    <n v="0.17"/>
    <m/>
    <m/>
    <m/>
    <n v="3196800"/>
    <n v="543456"/>
    <n v="0"/>
    <n v="543456"/>
    <n v="2653344"/>
    <m/>
    <s v=""/>
    <s v=""/>
    <n v="3196800"/>
    <s v=""/>
    <x v="13"/>
    <s v="KENKO SINAR INDONESIA"/>
    <x v="2"/>
    <s v=""/>
    <n v="7"/>
    <s v="kenkomechanicalpencilmp0705mm"/>
    <s v="kenkomechanicalpencilmp0705mm31968000.17"/>
    <s v="kenkomechanicalpencilmp0705mm31968000.17"/>
    <s v=""/>
    <s v=""/>
    <x v="158"/>
    <s v=""/>
    <s v="12 GRS"/>
    <s v="kenkomechanicalpencilmp0705mm12grs"/>
    <n v="1362"/>
  </r>
  <r>
    <s v=""/>
    <s v=""/>
    <s v=""/>
    <n v="66"/>
    <m/>
    <m/>
    <m/>
    <m/>
    <m/>
    <m/>
    <m/>
    <x v="201"/>
    <n v="1"/>
    <m/>
    <m/>
    <m/>
    <n v="6912000"/>
    <m/>
    <n v="0.17"/>
    <m/>
    <m/>
    <m/>
    <n v="6912000"/>
    <n v="1175040"/>
    <n v="0"/>
    <n v="1175040"/>
    <n v="5736960"/>
    <m/>
    <s v=""/>
    <s v=""/>
    <n v="6912000"/>
    <s v=""/>
    <x v="13"/>
    <s v="KENKO SINAR INDONESIA"/>
    <x v="2"/>
    <s v=""/>
    <n v="7"/>
    <s v="kenkoglupenglp01"/>
    <s v="kenkoglupenglp0169120000.17"/>
    <s v="kenkoglupenglp0169120000.17"/>
    <s v=""/>
    <s v=""/>
    <x v="159"/>
    <s v=""/>
    <s v="12 GRS (12 LSN)"/>
    <s v="kenkoglupenglp0112grs12lsn"/>
    <n v="2592"/>
  </r>
  <r>
    <s v=""/>
    <s v=""/>
    <s v=""/>
    <n v="66"/>
    <m/>
    <m/>
    <m/>
    <m/>
    <m/>
    <m/>
    <m/>
    <x v="183"/>
    <n v="2"/>
    <m/>
    <m/>
    <m/>
    <n v="1860000"/>
    <m/>
    <n v="0.17"/>
    <m/>
    <m/>
    <m/>
    <n v="3720000"/>
    <n v="632400"/>
    <n v="0"/>
    <n v="632400"/>
    <n v="3087600"/>
    <m/>
    <n v="5658552"/>
    <n v="27627048"/>
    <n v="1860000"/>
    <s v=""/>
    <x v="13"/>
    <s v="KENKO SINAR INDONESIA"/>
    <x v="2"/>
    <s v=""/>
    <n v="7"/>
    <s v="kenkostaplerhd10smini"/>
    <s v="kenkostaplerhd10smini18600000.17"/>
    <s v="kenkostaplerhd10smini18600000.17"/>
    <s v=""/>
    <s v=""/>
    <x v="144"/>
    <s v=""/>
    <s v="25 LSN"/>
    <s v="kenkostaplerhd10smini25lsn"/>
    <n v="144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7"/>
    <s v="KEN_1407_173-6"/>
    <e v="#REF!"/>
    <n v="67"/>
    <m/>
    <s v="KENKO SINAR INDONESIA"/>
    <s v="ARTO MORO"/>
    <s v="23071173"/>
    <m/>
    <d v="2023-07-13T00:00:00"/>
    <m/>
    <x v="202"/>
    <n v="3"/>
    <m/>
    <m/>
    <m/>
    <n v="3758400"/>
    <m/>
    <n v="0.17"/>
    <m/>
    <m/>
    <m/>
    <n v="11275200"/>
    <n v="1916784.0000000002"/>
    <n v="0"/>
    <n v="1916784.0000000002"/>
    <n v="9358416"/>
    <m/>
    <s v=""/>
    <s v=""/>
    <n v="3758400"/>
    <s v=""/>
    <x v="13"/>
    <s v="KENKO SINAR INDONESIA"/>
    <x v="2"/>
    <n v="6"/>
    <n v="7"/>
    <s v="kenkogelpenke16dotndotblack"/>
    <s v="kenkogelpenke16dotndotblack37584000.17"/>
    <s v="kenkogelpenke16dotndotblack37584000.17"/>
    <s v="KENKO SINAR INDONESIAARTO MORO2307117345120kenkogelpenke16dotndotblack"/>
    <e v="#REF!"/>
    <x v="160"/>
    <s v=""/>
    <s v="12 GRS"/>
    <s v="kenkogelpenke16dotndotblack12grs"/>
    <n v="1309"/>
  </r>
  <r>
    <s v=""/>
    <s v=""/>
    <s v=""/>
    <n v="67"/>
    <m/>
    <m/>
    <m/>
    <m/>
    <m/>
    <m/>
    <m/>
    <x v="203"/>
    <n v="5"/>
    <m/>
    <m/>
    <m/>
    <n v="2008800"/>
    <m/>
    <n v="0.17"/>
    <m/>
    <m/>
    <m/>
    <n v="10044000"/>
    <n v="1707480.0000000002"/>
    <n v="0"/>
    <n v="1707480.0000000002"/>
    <n v="8336520"/>
    <m/>
    <s v=""/>
    <s v=""/>
    <n v="2008800"/>
    <s v=""/>
    <x v="13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67"/>
    <m/>
    <m/>
    <m/>
    <m/>
    <m/>
    <m/>
    <m/>
    <x v="45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7"/>
    <m/>
    <m/>
    <m/>
    <m/>
    <m/>
    <m/>
    <m/>
    <x v="49"/>
    <n v="2"/>
    <m/>
    <m/>
    <m/>
    <n v="1410000"/>
    <m/>
    <n v="0.17"/>
    <m/>
    <m/>
    <m/>
    <n v="2820000"/>
    <n v="479400.00000000006"/>
    <n v="0"/>
    <n v="479400.00000000006"/>
    <n v="2340600"/>
    <m/>
    <s v=""/>
    <s v=""/>
    <n v="1410000"/>
    <s v=""/>
    <x v="13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67"/>
    <m/>
    <m/>
    <m/>
    <m/>
    <m/>
    <m/>
    <m/>
    <x v="199"/>
    <n v="2"/>
    <m/>
    <m/>
    <m/>
    <n v="1188000"/>
    <m/>
    <n v="0.17"/>
    <m/>
    <m/>
    <m/>
    <n v="2376000"/>
    <n v="403920"/>
    <n v="0"/>
    <n v="403920"/>
    <n v="197208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7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n v="5461624"/>
    <n v="26665576"/>
    <n v="860000"/>
    <s v=""/>
    <x v="13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8"/>
    <s v="KEN_1407_162-6"/>
    <e v="#REF!"/>
    <n v="68"/>
    <m/>
    <s v="KENKO SINAR INDONESIA"/>
    <s v="ARTO MORO"/>
    <s v="23071162"/>
    <m/>
    <d v="2023-07-13T00:00:00"/>
    <m/>
    <x v="204"/>
    <n v="3"/>
    <m/>
    <m/>
    <m/>
    <n v="1695600"/>
    <m/>
    <n v="0.17"/>
    <m/>
    <m/>
    <m/>
    <n v="5086800"/>
    <n v="864756.00000000012"/>
    <n v="0"/>
    <n v="864756.00000000012"/>
    <n v="4222044"/>
    <m/>
    <s v=""/>
    <s v=""/>
    <n v="1695600"/>
    <s v=""/>
    <x v="13"/>
    <s v="KENKO SINAR INDONESIA"/>
    <x v="2"/>
    <n v="6"/>
    <n v="7"/>
    <s v="kenkocorrectionfluidke108"/>
    <s v="kenkocorrectionfluidke10816956000.17"/>
    <s v="kenkocorrectionfluidke10816956000.17"/>
    <s v="KENKO SINAR INDONESIAARTO MORO2307116245120kenkocorrectionfluidke108"/>
    <e v="#REF!"/>
    <x v="146"/>
    <s v=""/>
    <s v="36 LSN"/>
    <s v="kenkocorrectionfluidke10836lsn"/>
    <n v="1231"/>
  </r>
  <r>
    <s v=""/>
    <s v=""/>
    <s v=""/>
    <n v="68"/>
    <m/>
    <m/>
    <m/>
    <m/>
    <m/>
    <m/>
    <m/>
    <x v="52"/>
    <n v="2"/>
    <m/>
    <m/>
    <m/>
    <n v="1954800"/>
    <m/>
    <n v="0.17"/>
    <m/>
    <m/>
    <m/>
    <n v="3909600"/>
    <n v="664632"/>
    <n v="0"/>
    <n v="664632"/>
    <n v="3244968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8"/>
    <m/>
    <m/>
    <m/>
    <m/>
    <m/>
    <m/>
    <m/>
    <x v="205"/>
    <n v="2"/>
    <m/>
    <m/>
    <m/>
    <n v="1468800"/>
    <m/>
    <n v="0.17"/>
    <m/>
    <m/>
    <m/>
    <n v="2937600"/>
    <n v="499392.00000000006"/>
    <n v="0"/>
    <n v="499392.00000000006"/>
    <n v="2438208"/>
    <m/>
    <s v=""/>
    <s v=""/>
    <n v="1468800"/>
    <s v=""/>
    <x v="13"/>
    <s v="KENKO SINAR INDONESIA"/>
    <x v="2"/>
    <s v=""/>
    <n v="7"/>
    <s v="kenkoballpenbp39nblack"/>
    <s v="kenkoballpenbp39nblack14688000.17"/>
    <s v="kenkoballpenbp39nblack14688000.17"/>
    <s v=""/>
    <s v=""/>
    <x v="161"/>
    <s v=""/>
    <s v="144 LSN"/>
    <s v="kenkoballpenbp39nblack144lsn"/>
    <n v="2593"/>
  </r>
  <r>
    <s v=""/>
    <s v=""/>
    <s v=""/>
    <n v="68"/>
    <m/>
    <m/>
    <m/>
    <m/>
    <m/>
    <m/>
    <m/>
    <x v="190"/>
    <n v="1"/>
    <m/>
    <m/>
    <m/>
    <n v="2280000"/>
    <m/>
    <n v="0.17"/>
    <m/>
    <m/>
    <m/>
    <n v="2280000"/>
    <n v="387600"/>
    <n v="0"/>
    <n v="387600"/>
    <n v="1892400"/>
    <m/>
    <s v=""/>
    <s v=""/>
    <n v="2280000"/>
    <s v=""/>
    <x v="13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8"/>
    <m/>
    <m/>
    <m/>
    <m/>
    <m/>
    <m/>
    <m/>
    <x v="206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8"/>
    <m/>
    <m/>
    <m/>
    <m/>
    <m/>
    <m/>
    <m/>
    <x v="207"/>
    <n v="3"/>
    <m/>
    <m/>
    <m/>
    <n v="2592000"/>
    <m/>
    <n v="0.17"/>
    <m/>
    <m/>
    <m/>
    <n v="7776000"/>
    <n v="1321920"/>
    <n v="0"/>
    <n v="1321920"/>
    <n v="6454080"/>
    <m/>
    <n v="4546140"/>
    <n v="22195860"/>
    <n v="2592000"/>
    <s v=""/>
    <x v="13"/>
    <s v="KENKO SINAR INDONESIA"/>
    <x v="2"/>
    <s v=""/>
    <n v="7"/>
    <s v="kenkogluestick15grmedium"/>
    <s v="kenkogluestick15grmedium25920000.17"/>
    <s v="kenkogluestick15grmedium25920000.17"/>
    <s v=""/>
    <s v=""/>
    <x v="162"/>
    <s v=""/>
    <s v="36 BOX (20 PCS)"/>
    <s v="kenkogluestick15grmedium36box20pcs"/>
    <n v="132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9"/>
    <s v="ATA_1407_837-5"/>
    <e v="#REF!"/>
    <n v="69"/>
    <m/>
    <s v="ATALI MAKMUR"/>
    <s v="ARTO MORO"/>
    <s v="SA230711837"/>
    <m/>
    <d v="2023-07-11T00:00:00"/>
    <m/>
    <x v="208"/>
    <n v="1"/>
    <n v="144"/>
    <s v="SET"/>
    <n v="23900"/>
    <m/>
    <m/>
    <n v="0.125"/>
    <n v="0.05"/>
    <m/>
    <m/>
    <n v="3441600"/>
    <n v="430200"/>
    <n v="150570"/>
    <n v="580770"/>
    <n v="2860830"/>
    <m/>
    <s v=""/>
    <s v=""/>
    <n v="3441600"/>
    <n v="3441600"/>
    <x v="13"/>
    <s v="ATALI MAKMUR"/>
    <x v="2"/>
    <n v="5"/>
    <n v="7"/>
    <s v="crayonputartwcr12sjk"/>
    <s v="crayonputartwcr12sjk34416000.1250.05"/>
    <s v="crayonputartwcr12sjk34416000.1250.05"/>
    <s v="ATALI MAKMURARTO MOROSA23071183745118crayonputartwcr12sjk"/>
    <e v="#REF!"/>
    <x v="104"/>
    <s v=""/>
    <s v="12 LSN"/>
    <s v="crayonputartwcr12sjk12lsn"/>
    <n v="618"/>
  </r>
  <r>
    <s v=""/>
    <s v=""/>
    <s v=""/>
    <n v="69"/>
    <m/>
    <m/>
    <m/>
    <m/>
    <m/>
    <m/>
    <m/>
    <x v="209"/>
    <n v="1"/>
    <n v="160"/>
    <s v="CAD"/>
    <n v="5400"/>
    <m/>
    <m/>
    <n v="0.125"/>
    <n v="0.05"/>
    <m/>
    <m/>
    <n v="864000"/>
    <n v="108000"/>
    <n v="37800"/>
    <n v="145800"/>
    <n v="718200"/>
    <m/>
    <s v=""/>
    <s v=""/>
    <n v="864000"/>
    <n v="864000"/>
    <x v="13"/>
    <s v="ATALI MAKMUR"/>
    <x v="2"/>
    <s v=""/>
    <n v="7"/>
    <s v="adhesivehookadhk3010jk"/>
    <s v="adhesivehookadhk3010jk8640000.1250.05"/>
    <s v="adhesivehookadhk3010jk8640000.1250.05"/>
    <s v=""/>
    <s v=""/>
    <x v="163"/>
    <s v=""/>
    <s v="4 BOX (40 CAD)"/>
    <s v="adhesivehookadhk3010jk4box40cad"/>
    <n v="2594"/>
  </r>
  <r>
    <s v=""/>
    <s v=""/>
    <s v=""/>
    <n v="69"/>
    <m/>
    <m/>
    <m/>
    <m/>
    <m/>
    <m/>
    <m/>
    <x v="210"/>
    <n v="1"/>
    <n v="160"/>
    <s v="CAD"/>
    <n v="4600"/>
    <m/>
    <m/>
    <n v="0.125"/>
    <n v="0.05"/>
    <m/>
    <m/>
    <n v="736000"/>
    <n v="92000"/>
    <n v="32200"/>
    <n v="124200"/>
    <n v="611800"/>
    <m/>
    <s v=""/>
    <s v=""/>
    <n v="736000"/>
    <n v="736000"/>
    <x v="13"/>
    <s v="ATALI MAKMUR"/>
    <x v="2"/>
    <s v=""/>
    <n v="7"/>
    <s v="adhesivehookadhk3020jk"/>
    <s v="adhesivehookadhk3020jk7360000.1250.05"/>
    <s v="adhesivehookadhk3020jk7360000.1250.05"/>
    <s v=""/>
    <s v=""/>
    <x v="164"/>
    <s v=""/>
    <s v="4 BOX (40 CAD)"/>
    <s v="adhesivehookadhk3020jk4box40cad"/>
    <n v="2595"/>
  </r>
  <r>
    <s v=""/>
    <s v=""/>
    <s v=""/>
    <n v="69"/>
    <m/>
    <m/>
    <m/>
    <m/>
    <m/>
    <m/>
    <m/>
    <x v="211"/>
    <n v="1"/>
    <n v="216"/>
    <s v="PCS"/>
    <n v="4900"/>
    <m/>
    <m/>
    <n v="0.125"/>
    <n v="0.05"/>
    <m/>
    <m/>
    <n v="1058400"/>
    <n v="132300"/>
    <n v="46305"/>
    <n v="178605"/>
    <n v="879795"/>
    <m/>
    <s v=""/>
    <s v=""/>
    <n v="1058400"/>
    <n v="1058400"/>
    <x v="13"/>
    <s v="ATALI MAKMUR"/>
    <x v="2"/>
    <s v=""/>
    <n v="7"/>
    <s v="stamppadno0jk"/>
    <s v="stamppadno0jk10584000.1250.05"/>
    <s v="stamppadno0jk10584000.1250.05"/>
    <s v=""/>
    <s v=""/>
    <x v="165"/>
    <s v=""/>
    <s v="18 LSN"/>
    <s v="stamppadno0jk18lsn"/>
    <n v="2275"/>
  </r>
  <r>
    <s v=""/>
    <s v=""/>
    <s v=""/>
    <n v="69"/>
    <m/>
    <m/>
    <m/>
    <m/>
    <m/>
    <m/>
    <m/>
    <x v="212"/>
    <n v="1"/>
    <n v="144"/>
    <s v="DZ"/>
    <n v="13200"/>
    <m/>
    <m/>
    <n v="0.125"/>
    <n v="0.05"/>
    <m/>
    <m/>
    <n v="1900800"/>
    <n v="237600"/>
    <n v="83160"/>
    <n v="320760"/>
    <n v="1580040"/>
    <m/>
    <n v="1350135"/>
    <n v="6650665"/>
    <n v="1900800"/>
    <n v="1900800"/>
    <x v="13"/>
    <s v="ATALI MAKMUR"/>
    <x v="2"/>
    <s v=""/>
    <n v="7"/>
    <s v="ballpenbp342vokusptlblackjk"/>
    <s v="ballpenbp342vokusptlblackjk19008000.1250.05"/>
    <s v="ballpenbp342vokusptlblackjk19008000.1250.05"/>
    <s v=""/>
    <s v=""/>
    <x v="166"/>
    <s v=""/>
    <s v="144 LSN"/>
    <s v="ballpenbp342vokusptlblackjk144lsn"/>
    <n v="25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0"/>
    <s v="ATA_1407_970-7"/>
    <e v="#REF!"/>
    <n v="70"/>
    <m/>
    <s v="ATALI MAKMUR"/>
    <s v="ARTO MORO"/>
    <s v="SA230711970"/>
    <m/>
    <d v="2023-07-12T00:00:00"/>
    <m/>
    <x v="213"/>
    <n v="1"/>
    <n v="288"/>
    <s v="SET"/>
    <n v="6700"/>
    <m/>
    <m/>
    <n v="0.125"/>
    <n v="0.05"/>
    <m/>
    <m/>
    <n v="1929600"/>
    <n v="241200"/>
    <n v="84420"/>
    <n v="325620"/>
    <n v="1603980"/>
    <m/>
    <s v=""/>
    <s v=""/>
    <n v="1929600"/>
    <n v="1929600"/>
    <x v="13"/>
    <s v="ATALI MAKMUR"/>
    <x v="2"/>
    <n v="7"/>
    <n v="7"/>
    <s v="colorpencilcps12jk"/>
    <s v="colorpencilcps12jk19296000.1250.05"/>
    <s v="colorpencilcps12jk19296000.1250.05"/>
    <s v="ATALI MAKMURARTO MOROSA23071197045119colorpencilcps12jk"/>
    <e v="#REF!"/>
    <x v="167"/>
    <s v=""/>
    <s v="12 BOX (24 SET)"/>
    <s v="colorpencilcps12jk12box24set"/>
    <n v="546"/>
  </r>
  <r>
    <s v=""/>
    <s v=""/>
    <s v=""/>
    <n v="70"/>
    <m/>
    <m/>
    <m/>
    <m/>
    <m/>
    <m/>
    <m/>
    <x v="125"/>
    <n v="1"/>
    <n v="144"/>
    <s v="SET"/>
    <n v="10600"/>
    <m/>
    <m/>
    <n v="0.125"/>
    <n v="0.05"/>
    <m/>
    <m/>
    <n v="1526400"/>
    <n v="190800"/>
    <n v="66780"/>
    <n v="257580"/>
    <n v="1268820"/>
    <m/>
    <s v=""/>
    <s v=""/>
    <n v="1526400"/>
    <n v="1526400"/>
    <x v="13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70"/>
    <m/>
    <m/>
    <m/>
    <m/>
    <m/>
    <m/>
    <m/>
    <x v="214"/>
    <n v="1"/>
    <n v="500"/>
    <s v="BOX"/>
    <n v="1850"/>
    <m/>
    <m/>
    <n v="0.125"/>
    <n v="0.05"/>
    <m/>
    <m/>
    <n v="925000"/>
    <n v="115625"/>
    <n v="40468.75"/>
    <n v="156093.75"/>
    <n v="768906.25"/>
    <m/>
    <s v=""/>
    <s v=""/>
    <n v="925000"/>
    <n v="925000"/>
    <x v="13"/>
    <s v="ATALI MAKMUR"/>
    <x v="2"/>
    <s v=""/>
    <n v="7"/>
    <s v="trigonalclipno1jk"/>
    <s v="trigonalclipno1jk9250000.1250.05"/>
    <s v="trigonalclipno1jk9250000.1250.05"/>
    <s v=""/>
    <s v=""/>
    <x v="168"/>
    <s v=""/>
    <s v="500 BOX"/>
    <s v="trigonalclipno1jk500box"/>
    <n v="2444"/>
  </r>
  <r>
    <s v=""/>
    <s v=""/>
    <s v=""/>
    <n v="70"/>
    <m/>
    <m/>
    <m/>
    <m/>
    <m/>
    <m/>
    <m/>
    <x v="215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1yellowjk"/>
    <s v="highlighterhl1yellowjk6660000.1250.05"/>
    <s v="highlighterhl1yellowjk37000.1250.05"/>
    <s v=""/>
    <s v=""/>
    <x v="169"/>
    <s v=""/>
    <s v="72 BOX (10 PCS)"/>
    <s v="highlighterhl1yellowjk72box10pcs"/>
    <n v="1088"/>
  </r>
  <r>
    <s v=""/>
    <s v=""/>
    <s v=""/>
    <n v="70"/>
    <m/>
    <m/>
    <m/>
    <m/>
    <m/>
    <m/>
    <m/>
    <x v="216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2greenjk"/>
    <s v="highlighterhl2greenjk6660000.1250.05"/>
    <s v="highlighterhl2greenjk37000.1250.05"/>
    <s v=""/>
    <s v=""/>
    <x v="170"/>
    <s v=""/>
    <s v="72 BOX (10 PCS)"/>
    <s v="highlighterhl2greenjk72box10pcs"/>
    <n v="1089"/>
  </r>
  <r>
    <s v=""/>
    <s v=""/>
    <s v=""/>
    <n v="70"/>
    <m/>
    <m/>
    <m/>
    <m/>
    <m/>
    <m/>
    <m/>
    <x v="217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4pinkjk"/>
    <s v="highlighterhl4pinkjk6660000.1250.05"/>
    <s v="highlighterhl4pinkjk37000.1250.05"/>
    <s v=""/>
    <s v=""/>
    <x v="171"/>
    <s v=""/>
    <s v="72 BOX (10 PCS)"/>
    <s v="highlighterhl4pinkjk72box10pcs"/>
    <n v="1091"/>
  </r>
  <r>
    <s v=""/>
    <s v=""/>
    <s v=""/>
    <n v="70"/>
    <m/>
    <m/>
    <m/>
    <m/>
    <m/>
    <m/>
    <m/>
    <x v="218"/>
    <m/>
    <n v="180"/>
    <s v="PCS"/>
    <n v="3700"/>
    <m/>
    <m/>
    <n v="0.125"/>
    <n v="0.05"/>
    <m/>
    <m/>
    <n v="666000"/>
    <n v="83250"/>
    <n v="29137.5"/>
    <n v="112387.5"/>
    <n v="553612.5"/>
    <m/>
    <n v="1188843.75"/>
    <n v="5856156.25"/>
    <n v="666000"/>
    <n v="666000"/>
    <x v="13"/>
    <s v="ATALI MAKMUR"/>
    <x v="2"/>
    <s v=""/>
    <n v="7"/>
    <s v="highlighterhl5orangejk"/>
    <s v="highlighterhl5orangejk6660000.1250.05"/>
    <s v="highlighterhl5orangejk37000.1250.05"/>
    <s v=""/>
    <s v=""/>
    <x v="172"/>
    <s v=""/>
    <s v="72 BOX (10 PCS)"/>
    <s v="highlighterhl5orangejk72box10pcs"/>
    <n v="10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1"/>
    <s v="ATA_1407_914-2"/>
    <e v="#REF!"/>
    <n v="71"/>
    <m/>
    <s v="ATALI MAKMUR"/>
    <s v="ARTO MORO"/>
    <s v="SA230711914"/>
    <m/>
    <d v="2023-07-11T00:00:00"/>
    <m/>
    <x v="30"/>
    <n v="5"/>
    <n v="3600"/>
    <s v="PCS"/>
    <n v="4800"/>
    <m/>
    <m/>
    <n v="0.125"/>
    <n v="0.05"/>
    <m/>
    <m/>
    <n v="17280000"/>
    <n v="2160000"/>
    <n v="756000"/>
    <n v="2916000"/>
    <n v="14364000"/>
    <m/>
    <s v=""/>
    <s v=""/>
    <n v="3456000"/>
    <n v="17280000"/>
    <x v="13"/>
    <s v="ATALI MAKMUR"/>
    <x v="2"/>
    <n v="2"/>
    <n v="7"/>
    <s v="correctiontapect522ptljk"/>
    <s v="correctiontapect522ptljk34560000.1250.05"/>
    <s v="correctiontapect522ptljk34560000.1250.05"/>
    <s v="ATALI MAKMURARTO MOROSA23071191445118correctiontapect522ptljk"/>
    <e v="#REF!"/>
    <x v="19"/>
    <s v=""/>
    <s v="60 LSN"/>
    <s v="correctiontapect522ptljk60lsn"/>
    <n v="581"/>
  </r>
  <r>
    <s v=""/>
    <s v=""/>
    <s v=""/>
    <n v="71"/>
    <m/>
    <m/>
    <m/>
    <m/>
    <m/>
    <m/>
    <m/>
    <x v="117"/>
    <n v="5"/>
    <n v="150"/>
    <s v="GRS"/>
    <n v="104400"/>
    <m/>
    <m/>
    <n v="0.125"/>
    <n v="0.05"/>
    <m/>
    <m/>
    <n v="15660000"/>
    <n v="1957500"/>
    <n v="685125"/>
    <n v="2642625"/>
    <n v="13017375"/>
    <m/>
    <n v="5558625"/>
    <n v="27381375"/>
    <n v="3132000"/>
    <n v="15660000"/>
    <x v="13"/>
    <s v="ATALI MAKMUR"/>
    <x v="2"/>
    <s v=""/>
    <n v="7"/>
    <s v="pencilp882bjk"/>
    <s v="pencilp882bjk31320000.1250.05"/>
    <s v="pencilp882bjk31320000.1250.05"/>
    <s v=""/>
    <s v=""/>
    <x v="90"/>
    <s v=""/>
    <s v="30 GRS"/>
    <s v="pencilp882bjk30grs"/>
    <n v="202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2"/>
    <s v="ATA_1407_838-9"/>
    <e v="#REF!"/>
    <n v="72"/>
    <m/>
    <s v="ATALI MAKMUR"/>
    <s v="ARTO MORO"/>
    <s v="SA230711838"/>
    <m/>
    <d v="2023-07-11T00:00:00"/>
    <m/>
    <x v="219"/>
    <n v="10"/>
    <n v="500"/>
    <s v="BOX"/>
    <n v="34100"/>
    <m/>
    <m/>
    <n v="0.125"/>
    <n v="0.05"/>
    <m/>
    <m/>
    <n v="17050000"/>
    <n v="2131250"/>
    <n v="745937.5"/>
    <n v="2877187.5"/>
    <n v="14172812.5"/>
    <m/>
    <s v=""/>
    <s v=""/>
    <n v="1705000"/>
    <n v="17050000"/>
    <x v="13"/>
    <s v="ATALI MAKMUR"/>
    <x v="2"/>
    <n v="9"/>
    <n v="7"/>
    <s v="eraser526b20jk"/>
    <s v="eraser526b20jk17050000.1250.05"/>
    <s v="eraser526b20jk17050000.1250.05"/>
    <s v="ATALI MAKMURARTO MOROSA23071183845118eraser526b20jk"/>
    <e v="#REF!"/>
    <x v="102"/>
    <s v=""/>
    <s v="50 BOX (20 PCS)"/>
    <s v="eraser526b20jk50box20pcs"/>
    <n v="763"/>
  </r>
  <r>
    <s v=""/>
    <s v=""/>
    <s v=""/>
    <n v="72"/>
    <m/>
    <m/>
    <m/>
    <m/>
    <m/>
    <m/>
    <m/>
    <x v="22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13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n v="72"/>
    <m/>
    <m/>
    <m/>
    <m/>
    <m/>
    <m/>
    <m/>
    <x v="221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13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72"/>
    <m/>
    <m/>
    <m/>
    <m/>
    <m/>
    <m/>
    <m/>
    <x v="222"/>
    <n v="10"/>
    <n v="500"/>
    <s v="BOX"/>
    <n v="28300"/>
    <m/>
    <m/>
    <n v="0.125"/>
    <n v="0.05"/>
    <m/>
    <m/>
    <n v="14150000"/>
    <n v="1768750"/>
    <n v="619062.5"/>
    <n v="2387812.5"/>
    <n v="11762187.5"/>
    <m/>
    <s v=""/>
    <s v=""/>
    <n v="1415000"/>
    <n v="14150000"/>
    <x v="13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72"/>
    <m/>
    <m/>
    <m/>
    <m/>
    <m/>
    <m/>
    <m/>
    <x v="223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72"/>
    <m/>
    <m/>
    <m/>
    <m/>
    <m/>
    <m/>
    <m/>
    <x v="127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72"/>
    <m/>
    <m/>
    <m/>
    <m/>
    <m/>
    <m/>
    <m/>
    <x v="224"/>
    <n v="5"/>
    <n v="720"/>
    <s v="PCS"/>
    <n v="9750"/>
    <m/>
    <m/>
    <n v="0.125"/>
    <n v="0.05"/>
    <m/>
    <m/>
    <n v="7020000"/>
    <n v="877500"/>
    <n v="307125"/>
    <n v="1184625"/>
    <n v="5835375"/>
    <m/>
    <s v=""/>
    <s v=""/>
    <n v="1404000"/>
    <n v="7020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n v="72"/>
    <m/>
    <m/>
    <m/>
    <m/>
    <m/>
    <m/>
    <m/>
    <x v="225"/>
    <n v="3"/>
    <n v="288"/>
    <s v="PAK"/>
    <n v="7000"/>
    <m/>
    <m/>
    <n v="0.125"/>
    <n v="0.05"/>
    <m/>
    <m/>
    <n v="2016000"/>
    <n v="252000"/>
    <n v="88200"/>
    <n v="340200"/>
    <n v="1675800"/>
    <m/>
    <s v=""/>
    <s v=""/>
    <n v="672000"/>
    <n v="2016000"/>
    <x v="13"/>
    <s v="ATALI MAKMUR"/>
    <x v="2"/>
    <s v=""/>
    <n v="7"/>
    <s v="looseleafa57020100sjk"/>
    <s v="looseleafa57020100sjk6720000.1250.05"/>
    <s v="looseleafa57020100sjk6720000.1250.05"/>
    <s v=""/>
    <s v=""/>
    <x v="174"/>
    <s v=""/>
    <s v="96 PAK"/>
    <s v="looseleafa57020100sjk96pak"/>
    <n v="1569"/>
  </r>
  <r>
    <s v=""/>
    <s v=""/>
    <s v=""/>
    <n v="72"/>
    <m/>
    <m/>
    <m/>
    <m/>
    <m/>
    <m/>
    <m/>
    <x v="226"/>
    <n v="1"/>
    <n v="144"/>
    <s v="SET"/>
    <n v="23900"/>
    <m/>
    <m/>
    <n v="0.125"/>
    <n v="0.05"/>
    <m/>
    <m/>
    <n v="3441600"/>
    <n v="430200"/>
    <n v="150570"/>
    <n v="580770"/>
    <n v="2860830"/>
    <m/>
    <n v="12703095"/>
    <n v="62574505"/>
    <n v="3441600"/>
    <n v="3441600"/>
    <x v="13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3"/>
    <s v="ATA_1407_938-2"/>
    <e v="#REF!"/>
    <n v="73"/>
    <m/>
    <s v="ATALI MAKMUR"/>
    <s v="ARTO MORO"/>
    <s v="SA230711938"/>
    <m/>
    <d v="2023-07-12T00:00:00"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s v=""/>
    <s v=""/>
    <n v="1420800"/>
    <n v="14208000"/>
    <x v="13"/>
    <s v="ATALI MAKMUR"/>
    <x v="2"/>
    <n v="2"/>
    <n v="7"/>
    <s v="oilpastelop24sppcaseseaworldjk"/>
    <s v="oilpastelop24sppcaseseaworldjk14208000.1250.05"/>
    <s v="oilpastelop24sppcaseseaworldjk14208000.1250.05"/>
    <s v="ATALI MAKMURARTO MOROSA23071193845119oilpastelop24sppcaseseaworldjk"/>
    <e v="#REF!"/>
    <x v="68"/>
    <s v=""/>
    <s v="8 BOX (6 SET)"/>
    <s v="oilpastelop24sppcaseseaworldjk8box6set"/>
    <n v="1758"/>
  </r>
  <r>
    <s v=""/>
    <s v=""/>
    <s v=""/>
    <n v="73"/>
    <m/>
    <m/>
    <m/>
    <m/>
    <m/>
    <m/>
    <m/>
    <x v="91"/>
    <n v="10"/>
    <n v="360"/>
    <s v="SET"/>
    <n v="41500"/>
    <m/>
    <m/>
    <n v="0.125"/>
    <n v="0.05"/>
    <m/>
    <m/>
    <n v="14940000"/>
    <n v="1867500"/>
    <n v="653625"/>
    <n v="2521125"/>
    <n v="12418875"/>
    <m/>
    <n v="4918725"/>
    <n v="24229275"/>
    <n v="1494000"/>
    <n v="14940000"/>
    <x v="13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4"/>
    <s v="ATA_1407_734-3"/>
    <e v="#REF!"/>
    <n v="74"/>
    <m/>
    <s v="ATALI MAKMUR"/>
    <s v="ARTO MORO"/>
    <s v="SA230711734"/>
    <m/>
    <d v="2023-07-10T00:00:00"/>
    <m/>
    <x v="88"/>
    <n v="20"/>
    <n v="2880"/>
    <s v="SET"/>
    <n v="11900"/>
    <m/>
    <m/>
    <n v="0.125"/>
    <n v="0.05"/>
    <m/>
    <m/>
    <n v="34272000"/>
    <n v="4284000"/>
    <n v="1499400"/>
    <n v="5783400"/>
    <n v="28488600"/>
    <m/>
    <s v=""/>
    <s v=""/>
    <n v="1713600"/>
    <n v="34272000"/>
    <x v="13"/>
    <s v="ATALI MAKMUR"/>
    <x v="2"/>
    <n v="3"/>
    <n v="7"/>
    <s v="oilpastelop12sppcaseseaworldjk"/>
    <s v="oilpastelop12sppcaseseaworldjk17136000.1250.05"/>
    <s v="oilpastelop12sppcaseseaworldjk17136000.1250.05"/>
    <s v="ATALI MAKMURARTO MOROSA23071173445117oilpastelop12sppcaseseaworldjk"/>
    <e v="#REF!"/>
    <x v="66"/>
    <s v=""/>
    <s v="12 LSN"/>
    <s v="oilpastelop12sppcaseseaworldjk12lsn"/>
    <n v="1756"/>
  </r>
  <r>
    <s v=""/>
    <s v=""/>
    <s v=""/>
    <n v="74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13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74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0975500"/>
    <n v="54064500"/>
    <n v="1420800"/>
    <n v="14208000"/>
    <x v="13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5"/>
    <s v="ATA_1407_735-2"/>
    <e v="#REF!"/>
    <n v="75"/>
    <m/>
    <s v="ATALI MAKMUR"/>
    <s v="ARTO MORO"/>
    <s v="SA230711735"/>
    <m/>
    <d v="2023-07-10T00:00:00"/>
    <m/>
    <x v="227"/>
    <n v="5"/>
    <n v="180"/>
    <s v="DZ"/>
    <n v="41400"/>
    <m/>
    <m/>
    <n v="0.125"/>
    <n v="0.05"/>
    <m/>
    <m/>
    <n v="7452000"/>
    <n v="931500"/>
    <n v="326025"/>
    <n v="1257525"/>
    <n v="6194475"/>
    <m/>
    <s v=""/>
    <s v=""/>
    <n v="1490400"/>
    <n v="7452000"/>
    <x v="13"/>
    <s v="ATALI MAKMUR"/>
    <x v="2"/>
    <n v="2"/>
    <n v="7"/>
    <s v="correctionfluidcfs209jk"/>
    <s v="correctionfluidcfs209jk14904000.1250.05"/>
    <s v="correctionfluidcfs209jk14904000.1250.05"/>
    <s v="ATALI MAKMURARTO MOROSA23071173545117correctionfluidcfs209jk"/>
    <e v="#REF!"/>
    <x v="175"/>
    <s v=""/>
    <s v="36 LSN"/>
    <s v="correctionfluidcfs209jk36lsn"/>
    <n v="564"/>
  </r>
  <r>
    <s v=""/>
    <s v=""/>
    <s v=""/>
    <n v="75"/>
    <m/>
    <m/>
    <m/>
    <m/>
    <m/>
    <m/>
    <m/>
    <x v="228"/>
    <n v="5"/>
    <n v="180"/>
    <s v="DZ"/>
    <n v="43200"/>
    <m/>
    <m/>
    <n v="0.125"/>
    <n v="0.05"/>
    <m/>
    <m/>
    <n v="7776000"/>
    <n v="972000"/>
    <n v="340200"/>
    <n v="1312200"/>
    <n v="6463800"/>
    <m/>
    <n v="2569725"/>
    <n v="12658275"/>
    <n v="1555200"/>
    <n v="7776000"/>
    <x v="13"/>
    <s v="ATALI MAKMUR"/>
    <x v="2"/>
    <s v=""/>
    <n v="7"/>
    <s v="correctionfluidcfs210jk"/>
    <s v="correctionfluidcfs210jk15552000.1250.05"/>
    <s v="correctionfluidcfs210jk15552000.1250.05"/>
    <s v=""/>
    <s v=""/>
    <x v="176"/>
    <s v=""/>
    <s v="36 LSN"/>
    <s v="correctionfluidcfs210jk36lsn"/>
    <n v="56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6"/>
    <s v="ATA_1407_783-5"/>
    <e v="#REF!"/>
    <n v="76"/>
    <m/>
    <s v="ATALI MAKMUR"/>
    <s v="ARTO MORO"/>
    <s v="SA230711783"/>
    <m/>
    <d v="2023-07-10T00:00:00"/>
    <m/>
    <x v="229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n v="5"/>
    <n v="7"/>
    <s v="gluestickgs10215gramjk"/>
    <s v="gluestickgs10215gramjk19008000.1250.05"/>
    <s v="gluestickgs10215gramjk19008000.1250.05"/>
    <s v="ATALI MAKMURARTO MOROSA23071178345117gluestickgs10215gramjk"/>
    <e v="#REF!"/>
    <x v="177"/>
    <s v=""/>
    <s v="24 BOX (24 PCS)"/>
    <s v="gluestickgs10215gramjk24box24pcs"/>
    <n v="1037"/>
  </r>
  <r>
    <s v=""/>
    <s v=""/>
    <s v=""/>
    <n v="76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s v=""/>
    <s v="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n v="76"/>
    <m/>
    <m/>
    <m/>
    <m/>
    <m/>
    <m/>
    <m/>
    <x v="231"/>
    <n v="5"/>
    <n v="720"/>
    <s v="PCS"/>
    <n v="4350"/>
    <m/>
    <m/>
    <n v="0.125"/>
    <n v="0.05"/>
    <m/>
    <m/>
    <n v="3132000"/>
    <n v="391500"/>
    <n v="137025"/>
    <n v="528525"/>
    <n v="2603475"/>
    <m/>
    <s v=""/>
    <s v=""/>
    <n v="626400"/>
    <n v="3132000"/>
    <x v="13"/>
    <s v="ATALI MAKMUR"/>
    <x v="2"/>
    <s v=""/>
    <n v="7"/>
    <s v="scissorssc828jk"/>
    <s v="scissorssc828jk6264000.1250.05"/>
    <s v="scissorssc828jk6264000.1250.05"/>
    <s v=""/>
    <s v=""/>
    <x v="179"/>
    <s v=""/>
    <s v="12 LSN"/>
    <s v="scissorssc828jk12lsn"/>
    <n v="2213"/>
  </r>
  <r>
    <s v=""/>
    <s v=""/>
    <s v=""/>
    <n v="76"/>
    <m/>
    <m/>
    <m/>
    <m/>
    <m/>
    <m/>
    <m/>
    <x v="96"/>
    <n v="5"/>
    <n v="720"/>
    <s v="PCS"/>
    <n v="6500"/>
    <m/>
    <m/>
    <n v="0.125"/>
    <n v="0.05"/>
    <m/>
    <m/>
    <n v="4680000"/>
    <n v="585000"/>
    <n v="204750"/>
    <n v="789750"/>
    <n v="3890250"/>
    <m/>
    <s v=""/>
    <s v=""/>
    <n v="936000"/>
    <n v="4680000"/>
    <x v="13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76"/>
    <m/>
    <m/>
    <m/>
    <m/>
    <m/>
    <m/>
    <m/>
    <x v="224"/>
    <n v="2"/>
    <n v="288"/>
    <s v="PCS"/>
    <n v="9750"/>
    <m/>
    <m/>
    <n v="0.125"/>
    <n v="0.05"/>
    <m/>
    <m/>
    <n v="2808000"/>
    <n v="351000"/>
    <n v="122850"/>
    <n v="473850"/>
    <n v="2334150"/>
    <m/>
    <n v="2448225"/>
    <n v="12059775"/>
    <n v="1404000"/>
    <n v="2808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7"/>
    <s v="ATA_1407_666-4"/>
    <e v="#REF!"/>
    <n v="77"/>
    <m/>
    <s v="ATALI MAKMUR"/>
    <s v="ARTO MORO"/>
    <s v="SA230711666"/>
    <m/>
    <d v="2023-07-08T00:00:00"/>
    <m/>
    <x v="232"/>
    <n v="12"/>
    <n v="6912"/>
    <s v="PCS"/>
    <n v="1550"/>
    <m/>
    <m/>
    <n v="0.125"/>
    <n v="0.05"/>
    <m/>
    <m/>
    <n v="10713600"/>
    <n v="1339200"/>
    <n v="468720"/>
    <n v="1807920"/>
    <n v="8905680"/>
    <m/>
    <s v=""/>
    <s v=""/>
    <n v="892800"/>
    <n v="10713600"/>
    <x v="13"/>
    <s v="ATALI MAKMUR"/>
    <x v="2"/>
    <n v="4"/>
    <n v="7"/>
    <s v="glueglr35jk"/>
    <s v="glueglr35jk8928000.1250.05"/>
    <s v="glueglr35jk8928000.1250.05"/>
    <s v="ATALI MAKMURARTO MOROSA23071166645115glueglr35jk"/>
    <e v="#REF!"/>
    <x v="180"/>
    <s v=""/>
    <s v="48 LSN"/>
    <s v="glueglr35jk48lsn"/>
    <n v="1028"/>
  </r>
  <r>
    <s v=""/>
    <s v=""/>
    <s v=""/>
    <n v="77"/>
    <m/>
    <m/>
    <m/>
    <m/>
    <m/>
    <m/>
    <m/>
    <x v="233"/>
    <n v="2"/>
    <n v="96"/>
    <s v="SET"/>
    <n v="35000"/>
    <m/>
    <m/>
    <n v="0.125"/>
    <n v="0.05"/>
    <m/>
    <m/>
    <n v="3360000"/>
    <n v="420000"/>
    <n v="147000"/>
    <n v="567000"/>
    <n v="2793000"/>
    <m/>
    <s v=""/>
    <s v=""/>
    <n v="1680000"/>
    <n v="3360000"/>
    <x v="13"/>
    <s v="ATALI MAKMUR"/>
    <x v="2"/>
    <s v=""/>
    <n v="7"/>
    <s v="colorpencilcp36pbjk"/>
    <s v="colorpencilcp36pbjk16800000.1250.05"/>
    <s v="colorpencilcp36pbjk16800000.1250.05"/>
    <s v=""/>
    <s v=""/>
    <x v="181"/>
    <s v=""/>
    <s v="8 BOX (6 SET)"/>
    <s v="colorpencilcp36pbjk8box6set"/>
    <n v="544"/>
  </r>
  <r>
    <s v=""/>
    <s v=""/>
    <s v=""/>
    <n v="77"/>
    <m/>
    <m/>
    <m/>
    <m/>
    <m/>
    <m/>
    <m/>
    <x v="234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s v=""/>
    <n v="7"/>
    <s v="gluestickgs10215gramjk"/>
    <s v="gluestickgs10215gramjk19008000.1250.05"/>
    <s v="gluestickgs10215gramjk19008000.1250.05"/>
    <s v=""/>
    <s v=""/>
    <x v="177"/>
    <s v=""/>
    <s v="24 BOX (24 PCS)"/>
    <s v="gluestickgs10215gramjk24box24pcs"/>
    <n v="1037"/>
  </r>
  <r>
    <s v=""/>
    <s v=""/>
    <s v=""/>
    <n v="77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n v="3031020"/>
    <n v="14930580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8"/>
    <s v="PPW_1407_I23-1"/>
    <e v="#REF!"/>
    <n v="78"/>
    <m/>
    <s v="PPW"/>
    <s v="UNTANA"/>
    <s v="0195/HW/VII/23"/>
    <m/>
    <d v="2023-07-12T00:00:00"/>
    <m/>
    <x v="22"/>
    <m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13390000"/>
    <n v="13390000"/>
    <x v="13"/>
    <s v="PPW"/>
    <x v="0"/>
    <n v="1"/>
    <n v="7"/>
    <s v="bt30cm"/>
    <s v="bt30cm133900000.20.04"/>
    <s v="bt30cm267800.20.04"/>
    <s v="PPWUNTANA0195/HW/VII/2345119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9"/>
    <s v="PAR_1507_-2"/>
    <e v="#REF!"/>
    <n v="79"/>
    <d v="2023-07-15T00:00:00"/>
    <s v="PARAMA"/>
    <s v="UNTANA"/>
    <m/>
    <m/>
    <d v="2023-07-13T00:00:00"/>
    <m/>
    <x v="87"/>
    <n v="5"/>
    <n v="1200"/>
    <s v="PCS"/>
    <n v="5485"/>
    <m/>
    <s v="240 PCS"/>
    <n v="0.1"/>
    <n v="0.1"/>
    <m/>
    <m/>
    <n v="6582000"/>
    <n v="658200"/>
    <n v="592380"/>
    <n v="1250580"/>
    <n v="5331420"/>
    <m/>
    <s v=""/>
    <s v=""/>
    <n v="1316400"/>
    <n v="6582000"/>
    <x v="12"/>
    <s v="PARAMA"/>
    <x v="0"/>
    <n v="2"/>
    <n v="7"/>
    <s v="sampulsamsonkwartobatik"/>
    <s v="sampulsamsonkwartobatik13164000.10.1"/>
    <s v="sampulsamsonkwartobatik13164000.10.1"/>
    <s v="PARAMAUNTANA45120sampulsamsonkwartobatik"/>
    <e v="#REF!"/>
    <x v="65"/>
    <b v="1"/>
    <s v="240 PCS"/>
    <s v="sampulsamsonkwartobatik240pcs"/>
    <n v="2199"/>
  </r>
  <r>
    <s v=""/>
    <s v=""/>
    <s v=""/>
    <n v="79"/>
    <m/>
    <m/>
    <m/>
    <m/>
    <m/>
    <m/>
    <m/>
    <x v="64"/>
    <n v="5"/>
    <n v="900"/>
    <s v="PCS"/>
    <n v="7555"/>
    <m/>
    <s v="180 PCS"/>
    <n v="0.1"/>
    <n v="0.1"/>
    <m/>
    <m/>
    <n v="6799500"/>
    <n v="679950"/>
    <n v="611955"/>
    <n v="1291905"/>
    <n v="5507595"/>
    <m/>
    <n v="2542485"/>
    <n v="10839015"/>
    <n v="1359900"/>
    <n v="6799500"/>
    <x v="12"/>
    <s v="PARAMA"/>
    <x v="0"/>
    <s v=""/>
    <n v="7"/>
    <s v="sampulsamsonboxybatik"/>
    <s v="sampulsamsonboxybatik13599000.10.1"/>
    <s v="sampulsamsonboxybatik13599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0"/>
    <s v="ALP_1407_N03-1"/>
    <e v="#REF!"/>
    <n v="80"/>
    <d v="2023-07-14T00:00:00"/>
    <s v="ALPINDO"/>
    <s v="UNTANA"/>
    <s v="SYN03"/>
    <m/>
    <d v="2023-07-12T00:00:00"/>
    <m/>
    <x v="235"/>
    <n v="5"/>
    <n v="1500"/>
    <s v="PAK"/>
    <n v="8500"/>
    <m/>
    <s v="300 PAK"/>
    <m/>
    <m/>
    <m/>
    <m/>
    <n v="12750000"/>
    <n v="0"/>
    <n v="0"/>
    <n v="0"/>
    <n v="12750000"/>
    <m/>
    <n v="0"/>
    <n v="12750000"/>
    <n v="2550000"/>
    <n v="12750000"/>
    <x v="13"/>
    <s v="ALPINDO"/>
    <x v="0"/>
    <n v="1"/>
    <n v="7"/>
    <s v="sampuloppalexanderboxy"/>
    <s v="sampuloppalexanderboxy2550000"/>
    <s v="sampuloppalexanderboxy2550000"/>
    <s v="ALPINDOUNTANASYN0345119sampuloppalexanderboxy"/>
    <e v="#REF!"/>
    <x v="182"/>
    <b v="1"/>
    <s v="300 PAK"/>
    <s v="sampuloppalexanderboxy300pak"/>
    <n v="21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175" firstHeaderRow="1" firstDataRow="1" firstDataCol="1" rowPageCount="1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9">
        <item m="1" x="444"/>
        <item m="1" x="656"/>
        <item m="1" x="644"/>
        <item m="1" x="314"/>
        <item m="1" x="564"/>
        <item m="1" x="293"/>
        <item m="1" x="366"/>
        <item m="1" x="493"/>
        <item m="1" x="487"/>
        <item m="1" x="385"/>
        <item m="1" x="469"/>
        <item m="1" x="525"/>
        <item m="1" x="872"/>
        <item x="82"/>
        <item m="1" x="435"/>
        <item m="1" x="763"/>
        <item m="1" x="391"/>
        <item m="1" x="489"/>
        <item m="1" x="299"/>
        <item m="1" x="563"/>
        <item m="1" x="694"/>
        <item m="1" x="556"/>
        <item m="1" x="455"/>
        <item m="1" x="330"/>
        <item m="1" x="833"/>
        <item m="1" x="662"/>
        <item m="1" x="246"/>
        <item m="1" x="858"/>
        <item m="1" x="677"/>
        <item x="75"/>
        <item m="1" x="447"/>
        <item m="1" x="449"/>
        <item x="204"/>
        <item m="1" x="492"/>
        <item m="1" x="873"/>
        <item m="1" x="384"/>
        <item x="202"/>
        <item x="46"/>
        <item m="1" x="504"/>
        <item m="1" x="518"/>
        <item m="1" x="245"/>
        <item m="1" x="470"/>
        <item m="1" x="567"/>
        <item m="1" x="360"/>
        <item m="1" x="483"/>
        <item m="1" x="571"/>
        <item m="1" x="463"/>
        <item m="1" x="436"/>
        <item m="1" x="667"/>
        <item m="1" x="336"/>
        <item m="1" x="318"/>
        <item x="11"/>
        <item m="1" x="551"/>
        <item m="1" x="552"/>
        <item m="1" x="553"/>
        <item m="1" x="554"/>
        <item m="1" x="773"/>
        <item m="1" x="356"/>
        <item m="1" x="709"/>
        <item m="1" x="526"/>
        <item m="1" x="502"/>
        <item m="1" x="752"/>
        <item m="1" x="350"/>
        <item m="1" x="809"/>
        <item m="1" x="850"/>
        <item m="1" x="822"/>
        <item m="1" x="683"/>
        <item m="1" x="392"/>
        <item m="1" x="853"/>
        <item m="1" x="445"/>
        <item m="1" x="300"/>
        <item m="1" x="393"/>
        <item m="1" x="854"/>
        <item m="1" x="450"/>
        <item m="1" x="302"/>
        <item x="2"/>
        <item m="1" x="236"/>
        <item m="1" x="735"/>
        <item m="1" x="510"/>
        <item m="1" x="418"/>
        <item m="1" x="387"/>
        <item m="1" x="429"/>
        <item m="1" x="478"/>
        <item m="1" x="569"/>
        <item m="1" x="248"/>
        <item m="1" x="541"/>
        <item x="219"/>
        <item m="1" x="298"/>
        <item x="220"/>
        <item m="1" x="636"/>
        <item m="1" x="805"/>
        <item m="1" x="251"/>
        <item m="1" x="766"/>
        <item m="1" x="523"/>
        <item m="1" x="527"/>
        <item m="1" x="530"/>
        <item m="1" x="834"/>
        <item m="1" x="421"/>
        <item m="1" x="460"/>
        <item m="1" x="342"/>
        <item m="1" x="730"/>
        <item m="1" x="595"/>
        <item m="1" x="761"/>
        <item m="1" x="871"/>
        <item m="1" x="655"/>
        <item m="1" x="720"/>
        <item m="1" x="273"/>
        <item m="1" x="825"/>
        <item m="1" x="339"/>
        <item x="87"/>
        <item m="1" x="702"/>
        <item x="64"/>
        <item m="1" x="741"/>
        <item m="1" x="270"/>
        <item m="1" x="711"/>
        <item m="1" x="544"/>
        <item m="1" x="658"/>
        <item x="144"/>
        <item x="145"/>
        <item m="1" x="524"/>
        <item x="146"/>
        <item m="1" x="466"/>
        <item m="1" x="782"/>
        <item m="1" x="432"/>
        <item m="1" x="851"/>
        <item m="1" x="347"/>
        <item m="1" x="593"/>
        <item m="1" x="496"/>
        <item m="1" x="706"/>
        <item m="1" x="864"/>
        <item m="1" x="865"/>
        <item m="1" x="348"/>
        <item m="1" x="747"/>
        <item x="49"/>
        <item m="1" x="578"/>
        <item x="199"/>
        <item x="190"/>
        <item m="1" x="639"/>
        <item x="51"/>
        <item x="137"/>
        <item m="1" x="380"/>
        <item x="108"/>
        <item m="1" x="719"/>
        <item m="1" x="585"/>
        <item m="1" x="875"/>
        <item m="1" x="329"/>
        <item m="1" x="744"/>
        <item m="1" x="316"/>
        <item x="115"/>
        <item m="1" x="716"/>
        <item m="1" x="505"/>
        <item m="1" x="506"/>
        <item m="1" x="507"/>
        <item m="1" x="508"/>
        <item m="1" x="860"/>
        <item x="52"/>
        <item m="1" x="415"/>
        <item m="1" x="803"/>
        <item m="1" x="787"/>
        <item m="1" x="549"/>
        <item m="1" x="490"/>
        <item m="1" x="802"/>
        <item x="132"/>
        <item m="1" x="559"/>
        <item m="1" x="713"/>
        <item m="1" x="586"/>
        <item m="1" x="765"/>
        <item m="1" x="346"/>
        <item m="1" x="566"/>
        <item m="1" x="456"/>
        <item m="1" x="790"/>
        <item m="1" x="792"/>
        <item m="1" x="794"/>
        <item m="1" x="645"/>
        <item m="1" x="592"/>
        <item m="1" x="475"/>
        <item m="1" x="746"/>
        <item m="1" x="400"/>
        <item m="1" x="239"/>
        <item x="22"/>
        <item m="1" x="465"/>
        <item m="1" x="377"/>
        <item m="1" x="337"/>
        <item m="1" x="430"/>
        <item x="214"/>
        <item m="1" x="317"/>
        <item m="1" x="767"/>
        <item m="1" x="660"/>
        <item m="1" x="263"/>
        <item m="1" x="598"/>
        <item m="1" x="382"/>
        <item m="1" x="690"/>
        <item m="1" x="428"/>
        <item m="1" x="558"/>
        <item m="1" x="753"/>
        <item m="1" x="361"/>
        <item m="1" x="464"/>
        <item m="1" x="265"/>
        <item m="1" x="756"/>
        <item m="1" x="252"/>
        <item m="1" x="278"/>
        <item m="1" x="292"/>
        <item m="1" x="480"/>
        <item m="1" x="481"/>
        <item m="1" x="627"/>
        <item m="1" x="786"/>
        <item m="1" x="521"/>
        <item m="1" x="883"/>
        <item m="1" x="537"/>
        <item m="1" x="654"/>
        <item m="1" x="376"/>
        <item m="1" x="396"/>
        <item m="1" x="611"/>
        <item m="1" x="531"/>
        <item m="1" x="341"/>
        <item m="1" x="331"/>
        <item m="1" x="340"/>
        <item m="1" x="785"/>
        <item m="1" x="648"/>
        <item m="1" x="680"/>
        <item m="1" x="681"/>
        <item m="1" x="682"/>
        <item m="1" x="810"/>
        <item m="1" x="379"/>
        <item m="1" x="243"/>
        <item m="1" x="555"/>
        <item m="1" x="240"/>
        <item m="1" x="698"/>
        <item m="1" x="448"/>
        <item m="1" x="874"/>
        <item m="1" x="737"/>
        <item m="1" x="309"/>
        <item m="1" x="643"/>
        <item m="1" x="887"/>
        <item m="1" x="297"/>
        <item m="1" x="673"/>
        <item m="1" x="288"/>
        <item m="1" x="286"/>
        <item m="1" x="282"/>
        <item m="1" x="279"/>
        <item m="1" x="277"/>
        <item m="1" x="276"/>
        <item m="1" x="274"/>
        <item m="1" x="637"/>
        <item m="1" x="633"/>
        <item m="1" x="630"/>
        <item m="1" x="626"/>
        <item m="1" x="624"/>
        <item m="1" x="622"/>
        <item m="1" x="621"/>
        <item m="1" x="616"/>
        <item m="1" x="311"/>
        <item m="1" x="257"/>
        <item m="1" x="784"/>
        <item m="1" x="717"/>
        <item x="53"/>
        <item x="54"/>
        <item x="55"/>
        <item x="56"/>
        <item m="1" x="827"/>
        <item m="1" x="670"/>
        <item m="1" x="307"/>
        <item m="1" x="824"/>
        <item m="1" x="671"/>
        <item m="1" x="675"/>
        <item m="1" x="678"/>
        <item m="1" x="638"/>
        <item m="1" x="306"/>
        <item m="1" x="472"/>
        <item m="1" x="820"/>
        <item m="1" x="370"/>
        <item m="1" x="528"/>
        <item m="1" x="731"/>
        <item m="1" x="703"/>
        <item m="1" x="264"/>
        <item m="1" x="657"/>
        <item m="1" x="876"/>
        <item m="1" x="602"/>
        <item m="1" x="755"/>
        <item m="1" x="371"/>
        <item x="223"/>
        <item m="1" x="740"/>
        <item m="1" x="836"/>
        <item m="1" x="629"/>
        <item m="1" x="488"/>
        <item m="1" x="726"/>
        <item m="1" x="453"/>
        <item m="1" x="388"/>
        <item m="1" x="557"/>
        <item m="1" x="516"/>
        <item m="1" x="829"/>
        <item m="1" x="646"/>
        <item m="1" x="441"/>
        <item m="1" x="543"/>
        <item m="1" x="589"/>
        <item m="1" x="764"/>
        <item m="1" x="610"/>
        <item m="1" x="687"/>
        <item m="1" x="723"/>
        <item m="1" x="367"/>
        <item m="1" x="886"/>
        <item m="1" x="305"/>
        <item m="1" x="519"/>
        <item m="1" x="413"/>
        <item m="1" x="568"/>
        <item m="1" x="594"/>
        <item m="1" x="625"/>
        <item m="1" x="597"/>
        <item m="1" x="365"/>
        <item m="1" x="416"/>
        <item m="1" x="635"/>
        <item m="1" x="532"/>
        <item m="1" x="714"/>
        <item m="1" x="548"/>
        <item m="1" x="757"/>
        <item m="1" x="668"/>
        <item m="1" x="869"/>
        <item m="1" x="628"/>
        <item m="1" x="358"/>
        <item m="1" x="835"/>
        <item m="1" x="258"/>
        <item m="1" x="398"/>
        <item m="1" x="259"/>
        <item x="81"/>
        <item m="1" x="838"/>
        <item m="1" x="512"/>
        <item m="1" x="322"/>
        <item m="1" x="862"/>
        <item m="1" x="839"/>
        <item m="1" x="513"/>
        <item m="1" x="323"/>
        <item m="1" x="863"/>
        <item x="149"/>
        <item x="67"/>
        <item m="1" x="778"/>
        <item x="65"/>
        <item m="1" x="536"/>
        <item m="1" x="779"/>
        <item m="1" x="840"/>
        <item m="1" x="389"/>
        <item m="1" x="550"/>
        <item m="1" x="411"/>
        <item m="1" x="261"/>
        <item m="1" x="606"/>
        <item m="1" x="539"/>
        <item x="139"/>
        <item m="1" x="815"/>
        <item m="1" x="338"/>
        <item m="1" x="284"/>
        <item m="1" x="672"/>
        <item m="1" x="880"/>
        <item m="1" x="325"/>
        <item m="1" x="612"/>
        <item m="1" x="374"/>
        <item m="1" x="357"/>
        <item m="1" x="705"/>
        <item m="1" x="754"/>
        <item m="1" x="631"/>
        <item m="1" x="262"/>
        <item m="1" x="459"/>
        <item m="1" x="807"/>
        <item m="1" x="254"/>
        <item m="1" x="424"/>
        <item m="1" x="484"/>
        <item m="1" x="615"/>
        <item x="125"/>
        <item m="1" x="409"/>
        <item m="1" x="843"/>
        <item m="1" x="808"/>
        <item m="1" x="452"/>
        <item m="1" x="442"/>
        <item m="1" x="406"/>
        <item m="1" x="386"/>
        <item m="1" x="446"/>
        <item m="1" x="417"/>
        <item m="1" x="751"/>
        <item m="1" x="491"/>
        <item m="1" x="509"/>
        <item m="1" x="404"/>
        <item m="1" x="695"/>
        <item m="1" x="846"/>
        <item m="1" x="383"/>
        <item m="1" x="451"/>
        <item m="1" x="884"/>
        <item m="1" x="580"/>
        <item m="1" x="581"/>
        <item m="1" x="692"/>
        <item m="1" x="414"/>
        <item m="1" x="308"/>
        <item m="1" x="832"/>
        <item m="1" x="620"/>
        <item m="1" x="669"/>
        <item m="1" x="712"/>
        <item m="1" x="408"/>
        <item m="1" x="420"/>
        <item m="1" x="486"/>
        <item m="1" x="870"/>
        <item m="1" x="250"/>
        <item m="1" x="369"/>
        <item m="1" x="745"/>
        <item m="1" x="848"/>
        <item m="1" x="688"/>
        <item m="1" x="696"/>
        <item m="1" x="381"/>
        <item m="1" x="562"/>
        <item m="1" x="238"/>
        <item m="1" x="319"/>
        <item m="1" x="546"/>
        <item m="1" x="591"/>
        <item m="1" x="701"/>
        <item m="1" x="244"/>
        <item m="1" x="849"/>
        <item m="1" x="431"/>
        <item m="1" x="479"/>
        <item m="1" x="852"/>
        <item m="1" x="758"/>
        <item m="1" x="495"/>
        <item m="1" x="574"/>
        <item m="1" x="762"/>
        <item m="1" x="440"/>
        <item m="1" x="708"/>
        <item m="1" x="826"/>
        <item m="1" x="732"/>
        <item m="1" x="601"/>
        <item m="1" x="665"/>
        <item m="1" x="280"/>
        <item m="1" x="474"/>
        <item m="1" x="497"/>
        <item m="1" x="267"/>
        <item m="1" x="715"/>
        <item m="1" x="798"/>
        <item m="1" x="642"/>
        <item m="1" x="823"/>
        <item m="1" x="613"/>
        <item m="1" x="734"/>
        <item m="1" x="617"/>
        <item m="1" x="721"/>
        <item m="1" x="674"/>
        <item m="1" x="814"/>
        <item m="1" x="813"/>
        <item m="1" x="812"/>
        <item m="1" x="811"/>
        <item m="1" x="699"/>
        <item m="1" x="368"/>
        <item m="1" x="253"/>
        <item m="1" x="438"/>
        <item m="1" x="498"/>
        <item m="1" x="738"/>
        <item m="1" x="364"/>
        <item m="1" x="857"/>
        <item m="1" x="868"/>
        <item m="1" x="458"/>
        <item m="1" x="796"/>
        <item m="1" x="793"/>
        <item m="1" x="249"/>
        <item m="1" x="885"/>
        <item m="1" x="647"/>
        <item m="1" x="653"/>
        <item m="1" x="866"/>
        <item m="1" x="704"/>
        <item m="1" x="468"/>
        <item m="1" x="269"/>
        <item m="1" x="604"/>
        <item m="1" x="837"/>
        <item m="1" x="739"/>
        <item m="1" x="691"/>
        <item m="1" x="689"/>
        <item x="110"/>
        <item m="1" x="517"/>
        <item m="1" x="847"/>
        <item m="1" x="561"/>
        <item x="136"/>
        <item m="1" x="514"/>
        <item m="1" x="407"/>
        <item m="1" x="335"/>
        <item m="1" x="584"/>
        <item m="1" x="394"/>
        <item x="45"/>
        <item m="1" x="503"/>
        <item m="1" x="494"/>
        <item m="1" x="797"/>
        <item m="1" x="363"/>
        <item m="1" x="500"/>
        <item m="1" x="320"/>
        <item m="1" x="590"/>
        <item m="1" x="596"/>
        <item m="1" x="247"/>
        <item m="1" x="718"/>
        <item m="1" x="287"/>
        <item m="1" x="781"/>
        <item m="1" x="427"/>
        <item m="1" x="303"/>
        <item m="1" x="614"/>
        <item m="1" x="750"/>
        <item m="1" x="659"/>
        <item m="1" x="482"/>
        <item m="1" x="345"/>
        <item m="1" x="296"/>
        <item m="1" x="816"/>
        <item m="1" x="818"/>
        <item m="1" x="260"/>
        <item m="1" x="351"/>
        <item m="1" x="327"/>
        <item m="1" x="795"/>
        <item m="1" x="609"/>
        <item m="1" x="663"/>
        <item m="1" x="454"/>
        <item m="1" x="285"/>
        <item m="1" x="390"/>
        <item m="1" x="619"/>
        <item m="1" x="434"/>
        <item m="1" x="301"/>
        <item m="1" x="324"/>
        <item m="1" x="583"/>
        <item m="1" x="343"/>
        <item m="1" x="326"/>
        <item m="1" x="649"/>
        <item m="1" x="272"/>
        <item m="1" x="289"/>
        <item m="1" x="722"/>
        <item m="1" x="759"/>
        <item m="1" x="760"/>
        <item m="1" x="582"/>
        <item m="1" x="422"/>
        <item m="1" x="443"/>
        <item m="1" x="433"/>
        <item m="1" x="600"/>
        <item m="1" x="241"/>
        <item m="1" x="570"/>
        <item m="1" x="423"/>
        <item x="103"/>
        <item m="1" x="332"/>
        <item m="1" x="378"/>
        <item m="1" x="650"/>
        <item m="1" x="806"/>
        <item x="50"/>
        <item m="1" x="724"/>
        <item m="1" x="499"/>
        <item m="1" x="266"/>
        <item m="1" x="355"/>
        <item m="1" x="679"/>
        <item m="1" x="294"/>
        <item m="1" x="821"/>
        <item m="1" x="743"/>
        <item m="1" x="522"/>
        <item x="17"/>
        <item m="1" x="736"/>
        <item m="1" x="599"/>
        <item m="1" x="359"/>
        <item m="1" x="770"/>
        <item m="1" x="623"/>
        <item m="1" x="855"/>
        <item m="1" x="501"/>
        <item m="1" x="419"/>
        <item m="1" x="457"/>
        <item m="1" x="729"/>
        <item m="1" x="344"/>
        <item x="230"/>
        <item m="1" x="607"/>
        <item m="1" x="800"/>
        <item m="1" x="560"/>
        <item x="168"/>
        <item m="1" x="461"/>
        <item m="1" x="405"/>
        <item m="1" x="312"/>
        <item m="1" x="310"/>
        <item m="1" x="727"/>
        <item m="1" x="402"/>
        <item m="1" x="693"/>
        <item m="1" x="777"/>
        <item m="1" x="283"/>
        <item m="1" x="375"/>
        <item m="1" x="362"/>
        <item m="1" x="565"/>
        <item m="1" x="861"/>
        <item m="1" x="749"/>
        <item m="1" x="511"/>
        <item m="1" x="728"/>
        <item m="1" x="397"/>
        <item m="1" x="462"/>
        <item m="1" x="477"/>
        <item m="1" x="538"/>
        <item m="1" x="268"/>
        <item m="1" x="437"/>
        <item m="1" x="237"/>
        <item m="1" x="573"/>
        <item m="1" x="295"/>
        <item m="1" x="733"/>
        <item m="1" x="878"/>
        <item m="1" x="859"/>
        <item m="1" x="676"/>
        <item m="1" x="845"/>
        <item m="1" x="291"/>
        <item m="1" x="271"/>
        <item m="1" x="651"/>
        <item m="1" x="801"/>
        <item m="1" x="579"/>
        <item m="1" x="425"/>
        <item m="1" x="412"/>
        <item m="1" x="575"/>
        <item m="1" x="321"/>
        <item m="1" x="572"/>
        <item m="1" x="603"/>
        <item m="1" x="535"/>
        <item m="1" x="634"/>
        <item m="1" x="707"/>
        <item m="1" x="352"/>
        <item m="1" x="373"/>
        <item m="1" x="545"/>
        <item m="1" x="783"/>
        <item m="1" x="771"/>
        <item m="1" x="467"/>
        <item m="1" x="775"/>
        <item m="1" x="473"/>
        <item m="1" x="772"/>
        <item m="1" x="780"/>
        <item m="1" x="534"/>
        <item m="1" x="776"/>
        <item m="1" x="700"/>
        <item m="1" x="353"/>
        <item m="1" x="588"/>
        <item m="1" x="399"/>
        <item m="1" x="315"/>
        <item m="1" x="540"/>
        <item m="1" x="542"/>
        <item m="1" x="547"/>
        <item m="1" x="666"/>
        <item m="1" x="882"/>
        <item m="1" x="304"/>
        <item m="1" x="725"/>
        <item m="1" x="328"/>
        <item m="1" x="831"/>
        <item m="1" x="830"/>
        <item m="1" x="485"/>
        <item x="42"/>
        <item x="43"/>
        <item m="1" x="684"/>
        <item m="1" x="290"/>
        <item m="1" x="281"/>
        <item m="1" x="576"/>
        <item m="1" x="577"/>
        <item m="1" x="471"/>
        <item m="1" x="354"/>
        <item m="1" x="587"/>
        <item m="1" x="697"/>
        <item m="1" x="710"/>
        <item m="1" x="372"/>
        <item m="1" x="819"/>
        <item m="1" x="313"/>
        <item m="1" x="632"/>
        <item m="1" x="768"/>
        <item m="1" x="742"/>
        <item m="1" x="789"/>
        <item m="1" x="881"/>
        <item m="1" x="867"/>
        <item m="1" x="879"/>
        <item m="1" x="520"/>
        <item m="1" x="842"/>
        <item m="1" x="856"/>
        <item m="1" x="791"/>
        <item m="1" x="529"/>
        <item x="177"/>
        <item x="231"/>
        <item x="96"/>
        <item x="224"/>
        <item m="1" x="476"/>
        <item m="1" x="788"/>
        <item m="1" x="641"/>
        <item m="1" x="661"/>
        <item m="1" x="774"/>
        <item m="1" x="334"/>
        <item m="1" x="242"/>
        <item m="1" x="769"/>
        <item m="1" x="256"/>
        <item m="1" x="401"/>
        <item m="1" x="533"/>
        <item m="1" x="410"/>
        <item m="1" x="817"/>
        <item m="1" x="333"/>
        <item m="1" x="608"/>
        <item m="1" x="640"/>
        <item m="1" x="652"/>
        <item m="1" x="804"/>
        <item x="6"/>
        <item m="1" x="841"/>
        <item m="1" x="255"/>
        <item m="1" x="685"/>
        <item x="5"/>
        <item m="1" x="664"/>
        <item x="8"/>
        <item x="9"/>
        <item m="1" x="349"/>
        <item m="1" x="877"/>
        <item m="1" x="605"/>
        <item m="1" x="686"/>
        <item m="1" x="395"/>
        <item m="1" x="844"/>
        <item m="1" x="275"/>
        <item m="1" x="426"/>
        <item m="1" x="828"/>
        <item m="1" x="515"/>
        <item m="1" x="748"/>
        <item x="0"/>
        <item x="1"/>
        <item x="3"/>
        <item x="4"/>
        <item x="7"/>
        <item x="10"/>
        <item x="12"/>
        <item x="13"/>
        <item x="14"/>
        <item x="15"/>
        <item x="16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57"/>
        <item x="58"/>
        <item x="59"/>
        <item x="60"/>
        <item x="61"/>
        <item x="62"/>
        <item x="63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4"/>
        <item x="105"/>
        <item x="106"/>
        <item x="107"/>
        <item x="109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3"/>
        <item x="134"/>
        <item x="135"/>
        <item x="138"/>
        <item x="140"/>
        <item x="141"/>
        <item x="142"/>
        <item x="143"/>
        <item x="147"/>
        <item x="148"/>
        <item x="150"/>
        <item x="151"/>
        <item x="152"/>
        <item x="153"/>
        <item x="154"/>
        <item x="155"/>
        <item x="156"/>
        <item x="157"/>
        <item m="1" x="439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m="1" x="403"/>
        <item m="1" x="799"/>
        <item x="198"/>
        <item x="200"/>
        <item x="201"/>
        <item x="203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21"/>
        <item x="222"/>
        <item x="225"/>
        <item x="226"/>
        <item x="227"/>
        <item x="228"/>
        <item x="229"/>
        <item x="232"/>
        <item x="233"/>
        <item x="234"/>
        <item m="1" x="618"/>
        <item x="158"/>
        <item x="196"/>
        <item x="197"/>
        <item x="2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59">
    <i>
      <x v="32"/>
    </i>
    <i>
      <x v="36"/>
    </i>
    <i>
      <x v="37"/>
    </i>
    <i>
      <x v="86"/>
    </i>
    <i>
      <x v="88"/>
    </i>
    <i>
      <x v="117"/>
    </i>
    <i>
      <x v="118"/>
    </i>
    <i>
      <x v="120"/>
    </i>
    <i>
      <x v="133"/>
    </i>
    <i>
      <x v="135"/>
    </i>
    <i>
      <x v="136"/>
    </i>
    <i>
      <x v="138"/>
    </i>
    <i>
      <x v="139"/>
    </i>
    <i>
      <x v="141"/>
    </i>
    <i>
      <x v="148"/>
    </i>
    <i>
      <x v="155"/>
    </i>
    <i>
      <x v="162"/>
    </i>
    <i>
      <x v="184"/>
    </i>
    <i>
      <x v="280"/>
    </i>
    <i>
      <x v="345"/>
    </i>
    <i>
      <x v="365"/>
    </i>
    <i>
      <x v="467"/>
    </i>
    <i>
      <x v="471"/>
    </i>
    <i>
      <x v="477"/>
    </i>
    <i>
      <x v="530"/>
    </i>
    <i>
      <x v="535"/>
    </i>
    <i>
      <x v="557"/>
    </i>
    <i>
      <x v="561"/>
    </i>
    <i>
      <x v="634"/>
    </i>
    <i>
      <x v="635"/>
    </i>
    <i>
      <x v="661"/>
    </i>
    <i>
      <x v="662"/>
    </i>
    <i>
      <x v="663"/>
    </i>
    <i>
      <x v="664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43"/>
    </i>
    <i>
      <x v="744"/>
    </i>
    <i>
      <x v="745"/>
    </i>
    <i>
      <x v="749"/>
    </i>
    <i>
      <x v="750"/>
    </i>
    <i>
      <x v="751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Items count="1">
    <i/>
  </colItems>
  <pageFields count="1">
    <pageField fld="34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V1274" headerRowDxfId="256" dataDxfId="255" totalsRowDxfId="254">
  <autoFilter ref="A2:AV1274"/>
  <sortState ref="A3:AQ910">
    <sortCondition ref="AG2:AG910"/>
  </sortState>
  <tableColumns count="48">
    <tableColumn id="36" name="ID" totalsRowLabel="Total" dataDxfId="253" totalsRowDxfId="25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1" totalsRowDxfId="25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9" totalsRowDxfId="248">
      <calculatedColumnFormula>IF(NOTA[[#This Row],[ID_P]]="","",MATCH(NOTA[[#This Row],[ID_P]],[1]!B_MSK[N_ID],0))</calculatedColumnFormula>
    </tableColumn>
    <tableColumn id="37" name="ID_H" dataDxfId="247" totalsRowDxfId="24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45"/>
    <tableColumn id="3" name="SUPPLIER" dataDxfId="244" totalsRowDxfId="243"/>
    <tableColumn id="4" name="FAKTUR" dataDxfId="242" totalsRowDxfId="241"/>
    <tableColumn id="5" name="NO.NOTA" dataDxfId="240" totalsRowDxfId="239"/>
    <tableColumn id="6" name="NO.SJ" dataDxfId="238" totalsRowDxfId="237"/>
    <tableColumn id="7" name="TGL.NOTA" dataDxfId="236" totalsRowDxfId="235"/>
    <tableColumn id="8" name="B" dataDxfId="234" totalsRowDxfId="233"/>
    <tableColumn id="9" name="NAMA BARANG" dataDxfId="232" totalsRowDxfId="231"/>
    <tableColumn id="10" name="C" dataDxfId="230" totalsRowDxfId="229"/>
    <tableColumn id="12" name="QTY" dataDxfId="228" totalsRowDxfId="227"/>
    <tableColumn id="13" name="STN" dataDxfId="226" totalsRowDxfId="225"/>
    <tableColumn id="14" name="HARGA SATUAN" dataDxfId="224" totalsRowDxfId="223"/>
    <tableColumn id="16" name="HARGA/ CTN" dataDxfId="222" totalsRowDxfId="221"/>
    <tableColumn id="17" name="QTY/ CTN" dataDxfId="220" totalsRowDxfId="219"/>
    <tableColumn id="18" name="DISC 1" dataDxfId="218" totalsRowDxfId="217"/>
    <tableColumn id="19" name="DISC 2" dataDxfId="216" totalsRowDxfId="215"/>
    <tableColumn id="11" name="DISC DLL" dataDxfId="214" totalsRowDxfId="213"/>
    <tableColumn id="31" name="KETERANGAN" dataDxfId="212" totalsRowDxfId="211"/>
    <tableColumn id="20" name="JUMLAH" dataDxfId="210" totalsRowDxfId="20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8" totalsRowDxfId="207">
      <calculatedColumnFormula>IF(NOTA[[#This Row],[JUMLAH]]="","",NOTA[[#This Row],[JUMLAH]]*NOTA[[#This Row],[DISC 1]])</calculatedColumnFormula>
    </tableColumn>
    <tableColumn id="22" name="DISC 2-" dataDxfId="206" totalsRowDxfId="205">
      <calculatedColumnFormula>IF(NOTA[[#This Row],[JUMLAH]]="","",(NOTA[[#This Row],[JUMLAH]]-NOTA[[#This Row],[DISC 1-]])*NOTA[[#This Row],[DISC 2]])</calculatedColumnFormula>
    </tableColumn>
    <tableColumn id="25" name="DISC" dataDxfId="204" totalsRowDxfId="203">
      <calculatedColumnFormula>IF(NOTA[[#This Row],[JUMLAH]]="","",NOTA[[#This Row],[DISC 1-]]+NOTA[[#This Row],[DISC 2-]])</calculatedColumnFormula>
    </tableColumn>
    <tableColumn id="26" name="TOTAL" dataDxfId="202" totalsRowDxfId="201">
      <calculatedColumnFormula>IF(NOTA[[#This Row],[JUMLAH]]="","",NOTA[[#This Row],[JUMLAH]]-NOTA[[#This Row],[DISC]])</calculatedColumnFormula>
    </tableColumn>
    <tableColumn id="43" name="Column2" dataDxfId="200" totalsRowDxfId="199"/>
    <tableColumn id="33" name="DISC TOTAL" dataDxfId="198" totalsRowDxfId="19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96" totalsRowDxfId="19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4" totalsRowDxfId="19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2" totalsRowDxfId="191">
      <calculatedColumnFormula>IF(OR(NOTA[[#This Row],[QTY]]="",NOTA[[#This Row],[HARGA SATUAN]]="",),"",NOTA[[#This Row],[QTY]]*NOTA[[#This Row],[HARGA SATUAN]])</calculatedColumnFormula>
    </tableColumn>
    <tableColumn id="27" name="TGL_H" dataDxfId="190" totalsRowDxfId="18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88" totalsRowDxfId="18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86" totalsRowDxfId="185">
      <calculatedColumnFormula>IF(NOTA[[#This Row],[ID_H]]="","",IF(NOTA[[#This Row],[FAKTUR]]="",INDIRECT(ADDRESS(ROW()-1,COLUMN())),NOTA[[#This Row],[FAKTUR]]))</calculatedColumnFormula>
    </tableColumn>
    <tableColumn id="30" name="qb" dataDxfId="184">
      <calculatedColumnFormula>IF(NOTA[[#This Row],[ID]]="","",COUNTIF(NOTA[ID_H],NOTA[[#This Row],[ID_H]]))</calculatedColumnFormula>
    </tableColumn>
    <tableColumn id="29" name="Column1" dataDxfId="183">
      <calculatedColumnFormula>IF(NOTA[[#This Row],[TGL.NOTA]]="",IF(NOTA[[#This Row],[SUPPLIER_H]]="","",AK2),MONTH(NOTA[[#This Row],[TGL.NOTA]]))</calculatedColumnFormula>
    </tableColumn>
    <tableColumn id="38" name="CONCAT1" dataDxfId="18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8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78">
      <calculatedColumnFormula>IF(NOTA[[#This Row],[CONCAT4]]="","",_xlfn.IFNA(MATCH(NOTA[[#This Row],[CONCAT4]],[2]!RAW[CONCAT_H],0),FALSE))</calculatedColumnFormula>
    </tableColumn>
    <tableColumn id="39" name="//DB" dataDxfId="177">
      <calculatedColumnFormula>IF(NOTA[[#This Row],[CONCAT1]]="","",MATCH(NOTA[[#This Row],[CONCAT1]],[3]!db[NB NOTA_C],0))</calculatedColumnFormula>
    </tableColumn>
    <tableColumn id="47" name="Column3" dataDxfId="176">
      <calculatedColumnFormula>IF(NOTA[[#This Row],[QTY/ CTN]]="","",TRUE)</calculatedColumnFormula>
    </tableColumn>
    <tableColumn id="44" name="QTY/ CTN_H" dataDxfId="175" totalsRowDxfId="17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73" totalsRowDxfId="17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1" totalsRowDxfId="170">
      <calculatedColumnFormula>IF(NOTA[[#This Row],[ID_H]]="","",MATCH(NOTA[[#This Row],[NB NOTA_C_QTY]],[4]!db[NB NOTA_C_QTY+F],0))</calculatedColumnFormula>
    </tableColumn>
    <tableColumn id="48" name="ID BARANG" dataDxfId="169" totalsRowDxfId="168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3">
  <autoFilter ref="A2:M6"/>
  <tableColumns count="13">
    <tableColumn id="1" name="//NOTA" dataDxfId="4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9">
      <calculatedColumnFormula>IF(LIE[[#This Row],[//PAJAK]]="","",INDEX(INDIRECT("PAJAK["&amp;LIE[#Headers]&amp;"]"),LIE[[#This Row],[//PAJAK]]-1))</calculatedColumnFormula>
    </tableColumn>
    <tableColumn id="5" name="TGL.MASUK" dataDxfId="38">
      <calculatedColumnFormula>IF(LIE[[#This Row],[//PAJAK]]="","",INDEX(INDIRECT("PAJAK["&amp;LIE[#Headers]&amp;"]"),LIE[[#This Row],[//PAJAK]]-1))</calculatedColumnFormula>
    </tableColumn>
    <tableColumn id="6" name="TGL.NOTA" dataDxfId="37">
      <calculatedColumnFormula>IF(LIE[[#This Row],[//PAJAK]]="","",INDEX(INDIRECT("PAJAK["&amp;LIE[#Headers]&amp;"]"),LIE[[#This Row],[//PAJAK]]-1))</calculatedColumnFormula>
    </tableColumn>
    <tableColumn id="7" name="NO.NOTA" dataDxfId="36">
      <calculatedColumnFormula>IF(LIE[[#This Row],[//PAJAK]]="","",INDEX(INDIRECT("PAJAK["&amp;LIE[#Headers]&amp;"]"),LIE[[#This Row],[//PAJAK]]-1))</calculatedColumnFormula>
    </tableColumn>
    <tableColumn id="8" name="NO.SJ" dataDxfId="35">
      <calculatedColumnFormula>IF(LIE[[#This Row],[//PAJAK]]="","",INDEX(INDIRECT("PAJAK["&amp;LIE[#Headers]&amp;"]"),LIE[[#This Row],[//PAJAK]]-1))</calculatedColumnFormula>
    </tableColumn>
    <tableColumn id="9" name="SUB TOTAL" dataDxfId="34">
      <calculatedColumnFormula>IF(LIE[[#This Row],[//PAJAK]]="","",INDEX(PAJAK[SUB T-DISC],LIE[[#This Row],[//PAJAK]]-1)*1.11)</calculatedColumnFormula>
    </tableColumn>
    <tableColumn id="10" name="DISKON" dataDxfId="33">
      <calculatedColumnFormula>IF(LIE[[#This Row],[//PAJAK]]="","",INDEX(PAJAK[DISC DLL],LIE[[#This Row],[//PAJAK]]-1))</calculatedColumnFormula>
    </tableColumn>
    <tableColumn id="11" name="DPP" dataDxfId="32">
      <calculatedColumnFormula>(LIE[[#This Row],[SUB TOTAL]]-LIE[[#This Row],[DISKON]])/1.11</calculatedColumnFormula>
    </tableColumn>
    <tableColumn id="12" name="PPN (11%)" dataDxfId="31">
      <calculatedColumnFormula>LIE[[#This Row],[DPP]]*11%</calculatedColumnFormula>
    </tableColumn>
    <tableColumn id="13" name="TOTAL" dataDxfId="3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9">
  <autoFilter ref="A2:M8"/>
  <tableColumns count="13">
    <tableColumn id="1" name="//NOTA" dataDxfId="2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5">
      <calculatedColumnFormula>IF(LMA[[#This Row],[//PAJAK]]="","",INDEX(INDIRECT("PAJAK["&amp;LMA[#Headers]&amp;"]"),LMA[[#This Row],[//PAJAK]]-1))</calculatedColumnFormula>
    </tableColumn>
    <tableColumn id="5" name="TGL.MASUK" dataDxfId="24">
      <calculatedColumnFormula>IF(LMA[[#This Row],[//PAJAK]]="","",INDEX(INDIRECT("PAJAK["&amp;LMA[#Headers]&amp;"]"),LMA[[#This Row],[//PAJAK]]-1))</calculatedColumnFormula>
    </tableColumn>
    <tableColumn id="6" name="TGL.NOTA" dataDxfId="23">
      <calculatedColumnFormula>IF(LMA[[#This Row],[//PAJAK]]="","",INDEX(INDIRECT("PAJAK["&amp;LMA[#Headers]&amp;"]"),LMA[[#This Row],[//PAJAK]]-1))</calculatedColumnFormula>
    </tableColumn>
    <tableColumn id="7" name="NO.NOTA" dataDxfId="22">
      <calculatedColumnFormula>IF(LMA[[#This Row],[//PAJAK]]="","",INDEX(INDIRECT("PAJAK["&amp;LMA[#Headers]&amp;"]"),LMA[[#This Row],[//PAJAK]]-1))</calculatedColumnFormula>
    </tableColumn>
    <tableColumn id="8" name="NO.SJ" dataDxfId="21">
      <calculatedColumnFormula>IF(LMA[[#This Row],[//PAJAK]]="","",INDEX(INDIRECT("PAJAK["&amp;LMA[#Headers]&amp;"]"),LMA[[#This Row],[//PAJAK]]-1))</calculatedColumnFormula>
    </tableColumn>
    <tableColumn id="9" name="SUB TOTAL" dataDxfId="20">
      <calculatedColumnFormula>IF(LMA[[#This Row],[//PAJAK]]="","",INDEX(PAJAK[SUB T-DISC],LMA[[#This Row],[//PAJAK]]-1)-LMA[[#This Row],[DISKON]])*1.11</calculatedColumnFormula>
    </tableColumn>
    <tableColumn id="10" name="DISKON" dataDxfId="19">
      <calculatedColumnFormula>IF(LMA[[#This Row],[//PAJAK]]="","",INDEX(PAJAK[DISC DLL],LMA[[#This Row],[//PAJAK]]-1))</calculatedColumnFormula>
    </tableColumn>
    <tableColumn id="11" name="DPP" dataDxfId="18">
      <calculatedColumnFormula>(LMA[[#This Row],[SUB TOTAL]]/1.11)</calculatedColumnFormula>
    </tableColumn>
    <tableColumn id="12" name="PPN (11%)" dataDxfId="17">
      <calculatedColumnFormula>LMA[[#This Row],[DPP]]*11%</calculatedColumnFormula>
    </tableColumn>
    <tableColumn id="13" name="TOTAL" dataDxfId="1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15">
  <autoFilter ref="A2:N50"/>
  <tableColumns count="14">
    <tableColumn id="1" name="//NOTA" dataDxfId="14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13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11">
      <calculatedColumnFormula>IF(PARAMA[[#This Row],[//PAJAK]]="","",INDEX(INDIRECT("PAJAK["&amp;PARAMA[#Headers]&amp;"]"),PARAMA[[#This Row],[//PAJAK]]-1))</calculatedColumnFormula>
    </tableColumn>
    <tableColumn id="5" name="TGL.MASUK" dataDxfId="10">
      <calculatedColumnFormula>IF(PARAMA[[#This Row],[//PAJAK]]="","",INDEX(INDIRECT("PAJAK["&amp;PARAMA[#Headers]&amp;"]"),PARAMA[[#This Row],[//PAJAK]]-1))</calculatedColumnFormula>
    </tableColumn>
    <tableColumn id="6" name="TGL.NOTA" dataDxfId="9">
      <calculatedColumnFormula>IF(PARAMA[[#This Row],[//PAJAK]]="","",INDEX(INDIRECT("PAJAK["&amp;PARAMA[#Headers]&amp;"]"),PARAMA[[#This Row],[//PAJAK]]-1))</calculatedColumnFormula>
    </tableColumn>
    <tableColumn id="7" name="NO.NOTA" dataDxfId="8">
      <calculatedColumnFormula>IF(PARAMA[[#This Row],[//PAJAK]]="","",INDEX(INDIRECT("PAJAK["&amp;PARAMA[#Headers]&amp;"]"),PARAMA[[#This Row],[//PAJAK]]-1))</calculatedColumnFormula>
    </tableColumn>
    <tableColumn id="8" name="NO.SJ" dataDxfId="7">
      <calculatedColumnFormula>IF(PARAMA[[#This Row],[//PAJAK]]="","",INDEX(INDIRECT("PAJAK["&amp;PARAMA[#Headers]&amp;"]"),PARAMA[[#This Row],[//PAJAK]]-1))</calculatedColumnFormula>
    </tableColumn>
    <tableColumn id="9" name="SUB TOTAL" dataDxfId="6">
      <calculatedColumnFormula>IF(PARAMA[[#This Row],[//PAJAK]]="","",INDEX(PAJAK[SUB TOTAL],PARAMA[[#This Row],[//PAJAK]]-1)-PARAMA[[#This Row],[DISKON_H]])</calculatedColumnFormula>
    </tableColumn>
    <tableColumn id="14" name="DISKON_H" dataDxfId="5">
      <calculatedColumnFormula>IF(PARAMA[[#This Row],[//PAJAK]]="","",INDEX(PAJAK[DISKON],PARAMA[[#This Row],[//PAJAK]]-1))</calculatedColumnFormula>
    </tableColumn>
    <tableColumn id="10" name="DISKON" dataDxfId="4"/>
    <tableColumn id="11" name="DPP" dataDxfId="3">
      <calculatedColumnFormula>(PARAMA[[#This Row],[SUB TOTAL]]-PARAMA[[#This Row],[DISKON]])/1.11</calculatedColumnFormula>
    </tableColumn>
    <tableColumn id="12" name="PPN (11%)" dataDxfId="2">
      <calculatedColumnFormula>PARAMA[[#This Row],[DPP]]*11%</calculatedColumnFormula>
    </tableColumn>
    <tableColumn id="13" name="TOTAL" dataDxfId="1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Row],[ID]],[5]!Table1[ID],0)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28">
  <autoFilter ref="A2:M32"/>
  <tableColumns count="13">
    <tableColumn id="1" name="//NOTA" dataDxfId="12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2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24">
      <calculatedColumnFormula>IF(KALINDO[[#This Row],[//PAJAK]]="","",INDEX(INDIRECT("PAJAK["&amp;KALINDO[#Headers]&amp;"]"),KALINDO[[#This Row],[//PAJAK]]-1))</calculatedColumnFormula>
    </tableColumn>
    <tableColumn id="5" name="TGL.MASUK" dataDxfId="123">
      <calculatedColumnFormula>IF(KALINDO[[#This Row],[//PAJAK]]="","",INDEX(INDIRECT("PAJAK["&amp;KALINDO[#Headers]&amp;"]"),KALINDO[[#This Row],[//PAJAK]]-1))</calculatedColumnFormula>
    </tableColumn>
    <tableColumn id="6" name="TGL.NOTA" dataDxfId="122">
      <calculatedColumnFormula>IF(KALINDO[[#This Row],[//PAJAK]]="","",INDEX(INDIRECT("PAJAK["&amp;KALINDO[#Headers]&amp;"]"),KALINDO[[#This Row],[//PAJAK]]-1))</calculatedColumnFormula>
    </tableColumn>
    <tableColumn id="7" name="NO.NOTA" dataDxfId="121">
      <calculatedColumnFormula>IF(KALINDO[[#This Row],[//PAJAK]]="","",INDEX(INDIRECT("PAJAK["&amp;KALINDO[#Headers]&amp;"]"),KALINDO[[#This Row],[//PAJAK]]-1))</calculatedColumnFormula>
    </tableColumn>
    <tableColumn id="8" name="NO.SJ" dataDxfId="120">
      <calculatedColumnFormula>IF(KALINDO[[#This Row],[//PAJAK]]="","",INDEX(INDIRECT("PAJAK["&amp;KALINDO[#Headers]&amp;"]"),KALINDO[[#This Row],[//PAJAK]]-1))</calculatedColumnFormula>
    </tableColumn>
    <tableColumn id="9" name="SUB TOTAL" dataDxfId="119">
      <calculatedColumnFormula>IF(KALINDO[[#This Row],[//PAJAK]]="","",INDEX(PAJAK[SUB T-DISC],KALINDO[[#This Row],[//PAJAK]]-1))</calculatedColumnFormula>
    </tableColumn>
    <tableColumn id="10" name="DISKON" dataDxfId="118">
      <calculatedColumnFormula>IF(KALINDO[[#This Row],[//PAJAK]]="","",INDEX(PAJAK[DISC DLL],KALINDO[[#This Row],[//PAJAK]]-1))</calculatedColumnFormula>
    </tableColumn>
    <tableColumn id="11" name="DPP" dataDxfId="117">
      <calculatedColumnFormula>(KALINDO[[#This Row],[SUB TOTAL]]-KALINDO[[#This Row],[DISKON]])/1.11</calculatedColumnFormula>
    </tableColumn>
    <tableColumn id="12" name="PPN (11%)" dataDxfId="116">
      <calculatedColumnFormula>KALINDO[[#This Row],[DPP]]*11%</calculatedColumnFormula>
    </tableColumn>
    <tableColumn id="13" name="TOTAL" dataDxfId="11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14">
  <autoFilter ref="A2:M50"/>
  <tableColumns count="13">
    <tableColumn id="1" name="//NOTA" dataDxfId="11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10">
      <calculatedColumnFormula>IF(ATALI[[#This Row],[//PAJAK]]="","",INDEX(INDIRECT("PAJAK["&amp;ATALI[#Headers]&amp;"]"),ATALI[[#This Row],[//PAJAK]]-1))</calculatedColumnFormula>
    </tableColumn>
    <tableColumn id="5" name="TGL.MASUK" dataDxfId="109">
      <calculatedColumnFormula>IF(ATALI[[#This Row],[//PAJAK]]="","",INDEX(INDIRECT("PAJAK["&amp;ATALI[#Headers]&amp;"]"),ATALI[[#This Row],[//PAJAK]]-1))</calculatedColumnFormula>
    </tableColumn>
    <tableColumn id="6" name="TGL.NOTA" dataDxfId="108">
      <calculatedColumnFormula>IF(ATALI[[#This Row],[//PAJAK]]="","",INDEX(INDIRECT("PAJAK["&amp;ATALI[#Headers]&amp;"]"),ATALI[[#This Row],[//PAJAK]]-1))</calculatedColumnFormula>
    </tableColumn>
    <tableColumn id="7" name="NO.NOTA" dataDxfId="107">
      <calculatedColumnFormula>IF(ATALI[[#This Row],[//PAJAK]]="","",INDEX(INDIRECT("PAJAK["&amp;ATALI[#Headers]&amp;"]"),ATALI[[#This Row],[//PAJAK]]-1))</calculatedColumnFormula>
    </tableColumn>
    <tableColumn id="8" name="NO.SJ" dataDxfId="106">
      <calculatedColumnFormula>IF(ATALI[[#This Row],[//PAJAK]]="","",INDEX(INDIRECT("PAJAK["&amp;ATALI[#Headers]&amp;"]"),ATALI[[#This Row],[//PAJAK]]-1))</calculatedColumnFormula>
    </tableColumn>
    <tableColumn id="9" name="SUB TOTAL" dataDxfId="105">
      <calculatedColumnFormula>IF(ATALI[[#This Row],[//PAJAK]]="","",INDEX(PAJAK[SUB T-DISC],ATALI[[#This Row],[//PAJAK]]-1))</calculatedColumnFormula>
    </tableColumn>
    <tableColumn id="10" name="DISKON" dataDxfId="104">
      <calculatedColumnFormula>IF(ATALI[[#This Row],[//PAJAK]]="","",INDEX(PAJAK[DISC DLL],ATALI[[#This Row],[//PAJAK]]-1))</calculatedColumnFormula>
    </tableColumn>
    <tableColumn id="11" name="DPP" dataDxfId="103">
      <calculatedColumnFormula>(ATALI[[#This Row],[SUB TOTAL]]-ATALI[[#This Row],[DISKON]])/1.11</calculatedColumnFormula>
    </tableColumn>
    <tableColumn id="12" name="PPN (11%)" dataDxfId="102">
      <calculatedColumnFormula>ATALI[[#This Row],[DPP]]*11%</calculatedColumnFormula>
    </tableColumn>
    <tableColumn id="13" name="TOTAL" dataDxfId="10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6">
  <autoFilter ref="A2:N11"/>
  <tableColumns count="14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Row],[//PAJAK]]="","",(INDEX(INDIRECT("PAJAK["&amp;SDI[#Headers]&amp;"]"),SDI[[#This Row],[//PAJAK]]-1))-SDI[[#This Row],[H_DISKON]])</calculatedColumnFormula>
    </tableColumn>
    <tableColumn id="9" name="DISKON" dataDxfId="77">
      <calculatedColumnFormula>IF(SDI[[#This Row],[//PAJAK]]="","",SDI[[#This Row],[H_DISC DLL]])</calculatedColumnFormula>
    </tableColumn>
    <tableColumn id="10" name="DPP" dataDxfId="76">
      <calculatedColumnFormula>(SDI[[#This Row],[SUB TOTAL]])/1.11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  <tableColumn id="14" name="H_DISKON" dataDxfId="73">
      <calculatedColumnFormula>IF(SDI[[#This Row],[//PAJAK]]="","",INDEX(PAJAK[DISKON],SDI[[#This Row],[//PAJAK]]-1))</calculatedColumnFormula>
    </tableColumn>
    <tableColumn id="15" name="H_DISC DLL" dataDxfId="7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1">
  <autoFilter ref="A2:M25"/>
  <tableColumns count="13">
    <tableColumn id="1" name="//NOTA``" dataDxfId="7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7">
      <calculatedColumnFormula>IF(SAJ[[#This Row],[//PAJAK]]="","",INDEX(INDIRECT("PAJAK["&amp;SAJ[#Headers]&amp;"]"),SAJ[[#This Row],[//PAJAK]]-1))</calculatedColumnFormula>
    </tableColumn>
    <tableColumn id="5" name="TGL.MASUK" dataDxfId="66">
      <calculatedColumnFormula>IF(SAJ[[#This Row],[//PAJAK]]="","",INDEX(INDIRECT("PAJAK["&amp;SAJ[#Headers]&amp;"]"),SAJ[[#This Row],[//PAJAK]]-1))</calculatedColumnFormula>
    </tableColumn>
    <tableColumn id="6" name="TGL.NOTA" dataDxfId="65">
      <calculatedColumnFormula>IF(SAJ[[#This Row],[//PAJAK]]="","",INDEX(INDIRECT("PAJAK["&amp;SAJ[#Headers]&amp;"]"),SAJ[[#This Row],[//PAJAK]]-1))</calculatedColumnFormula>
    </tableColumn>
    <tableColumn id="7" name="NO.NOTA" dataDxfId="64">
      <calculatedColumnFormula>IF(SAJ[[#This Row],[//PAJAK]]="","",INDEX(INDIRECT("PAJAK["&amp;SAJ[#Headers]&amp;"]"),SAJ[[#This Row],[//PAJAK]]-1))</calculatedColumnFormula>
    </tableColumn>
    <tableColumn id="8" name="NO.SJ" dataDxfId="63">
      <calculatedColumnFormula>IF(SAJ[[#This Row],[//PAJAK]]="","",INDEX(INDIRECT("PAJAK["&amp;SAJ[#Headers]&amp;"]"),SAJ[[#This Row],[//PAJAK]]-1))</calculatedColumnFormula>
    </tableColumn>
    <tableColumn id="9" name="SUB TOTAL" dataDxfId="62">
      <calculatedColumnFormula>IF(SAJ[[#This Row],[//PAJAK]]="","",INDEX(INDIRECT("PAJAK["&amp;SAJ[#Headers]&amp;"]"),SAJ[[#This Row],[//PAJAK]]-1))</calculatedColumnFormula>
    </tableColumn>
    <tableColumn id="10" name="DISKON" dataDxfId="61">
      <calculatedColumnFormula>IF(SAJ[[#This Row],[//PAJAK]]="","",INDEX(INDIRECT("PAJAK["&amp;SAJ[#Headers]&amp;"]"),SAJ[[#This Row],[//PAJAK]]-1))</calculatedColumnFormula>
    </tableColumn>
    <tableColumn id="11" name="DPP" dataDxfId="60">
      <calculatedColumnFormula>(SAJ[[#This Row],[SUB TOTAL]]-SAJ[[#This Row],[DISKON]])/1.11</calculatedColumnFormula>
    </tableColumn>
    <tableColumn id="12" name="PPN (11%)" dataDxfId="59">
      <calculatedColumnFormula>SAJ[[#This Row],[DPP]]*11%</calculatedColumnFormula>
    </tableColumn>
    <tableColumn id="13" name="TOTAL" dataDxfId="5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7">
  <autoFilter ref="A2:M25"/>
  <tableColumns count="13">
    <tableColumn id="1" name="//NOTA``" dataDxfId="5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3">
      <calculatedColumnFormula>IF(MGN[[#This Row],[//PAJAK]]="","",INDEX(INDIRECT("PAJAK["&amp;MGN[#Headers]&amp;"]"),MGN[[#This Row],[//PAJAK]]-1))</calculatedColumnFormula>
    </tableColumn>
    <tableColumn id="5" name="TGL.MASUK" dataDxfId="52">
      <calculatedColumnFormula>IF(MGN[[#This Row],[//PAJAK]]="","",INDEX(INDIRECT("PAJAK["&amp;MGN[#Headers]&amp;"]"),MGN[[#This Row],[//PAJAK]]-1))</calculatedColumnFormula>
    </tableColumn>
    <tableColumn id="6" name="TGL.NOTA" dataDxfId="51">
      <calculatedColumnFormula>IF(MGN[[#This Row],[//PAJAK]]="","",INDEX(INDIRECT("PAJAK["&amp;MGN[#Headers]&amp;"]"),MGN[[#This Row],[//PAJAK]]-1))</calculatedColumnFormula>
    </tableColumn>
    <tableColumn id="7" name="NO.NOTA" dataDxfId="50">
      <calculatedColumnFormula>IF(MGN[[#This Row],[//PAJAK]]="","",INDEX(INDIRECT("PAJAK["&amp;MGN[#Headers]&amp;"]"),MGN[[#This Row],[//PAJAK]]-1))</calculatedColumnFormula>
    </tableColumn>
    <tableColumn id="8" name="NO.SJ" dataDxfId="49">
      <calculatedColumnFormula>IF(MGN[[#This Row],[//PAJAK]]="","",INDEX(INDIRECT("PAJAK["&amp;MGN[#Headers]&amp;"]"),MGN[[#This Row],[//PAJAK]]-1))</calculatedColumnFormula>
    </tableColumn>
    <tableColumn id="9" name="SUB TOTAL" dataDxfId="48">
      <calculatedColumnFormula>IF(MGN[[#This Row],[//PAJAK]]="","",INDEX(INDIRECT("PAJAK["&amp;MGN[#Headers]&amp;"]"),MGN[[#This Row],[//PAJAK]]-1))</calculatedColumnFormula>
    </tableColumn>
    <tableColumn id="10" name="DISKON" dataDxfId="47">
      <calculatedColumnFormula>IF(MGN[[#This Row],[//PAJAK]]="","",INDEX(INDIRECT("PAJAK["&amp;MGN[#Headers]&amp;"]"),MGN[[#This Row],[//PAJAK]]-1))</calculatedColumnFormula>
    </tableColumn>
    <tableColumn id="11" name="DPP" dataDxfId="46">
      <calculatedColumnFormula>(MGN[[#This Row],[SUB TOTAL]]-MGN[[#This Row],[DISKON]])/1.11</calculatedColumnFormula>
    </tableColumn>
    <tableColumn id="12" name="PPN (11%)" dataDxfId="45">
      <calculatedColumnFormula>MGN[[#This Row],[DPP]]*11%</calculatedColumnFormula>
    </tableColumn>
    <tableColumn id="13" name="TOTAL" dataDxfId="4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1274"/>
  <sheetViews>
    <sheetView topLeftCell="A902" zoomScale="70" zoomScaleNormal="70" zoomScaleSheetLayoutView="55" workbookViewId="0">
      <selection activeCell="D862" sqref="D862"/>
    </sheetView>
  </sheetViews>
  <sheetFormatPr defaultRowHeight="20.100000000000001" customHeight="1" outlineLevelCol="1" x14ac:dyDescent="0.25"/>
  <cols>
    <col min="1" max="1" width="4.5703125" style="38" customWidth="1"/>
    <col min="2" max="2" width="20" style="38" customWidth="1"/>
    <col min="3" max="3" width="7.140625" style="38" customWidth="1" outlineLevel="1"/>
    <col min="4" max="4" width="5" style="38" customWidth="1" outlineLevel="1"/>
    <col min="5" max="5" width="12.42578125" style="38" customWidth="1"/>
    <col min="6" max="6" width="26.85546875" style="38" customWidth="1"/>
    <col min="7" max="7" width="13.85546875" style="38" customWidth="1"/>
    <col min="8" max="8" width="29.28515625" style="46" customWidth="1"/>
    <col min="9" max="9" width="20" style="38" customWidth="1"/>
    <col min="10" max="10" width="12.42578125" style="40" customWidth="1"/>
    <col min="11" max="11" width="5.28515625" style="38" customWidth="1"/>
    <col min="12" max="12" width="60.140625" style="38" customWidth="1"/>
    <col min="13" max="13" width="7.7109375" style="41" customWidth="1"/>
    <col min="14" max="14" width="7.42578125" style="38" customWidth="1" outlineLevel="1"/>
    <col min="15" max="15" width="6" style="38" customWidth="1" outlineLevel="1"/>
    <col min="16" max="16" width="10.7109375" style="42" customWidth="1" outlineLevel="1"/>
    <col min="17" max="17" width="20.5703125" style="52" customWidth="1"/>
    <col min="18" max="18" width="19.140625" style="42" customWidth="1"/>
    <col min="19" max="19" width="8.7109375" style="44" customWidth="1"/>
    <col min="20" max="20" width="8.42578125" style="45" customWidth="1"/>
    <col min="21" max="21" width="25.28515625" style="38" customWidth="1"/>
    <col min="22" max="22" width="23.5703125" style="45" customWidth="1"/>
    <col min="23" max="23" width="17.7109375" style="53" customWidth="1"/>
    <col min="24" max="24" width="16.42578125" style="42" customWidth="1"/>
    <col min="25" max="25" width="18.42578125" style="42" customWidth="1" outlineLevel="1"/>
    <col min="26" max="26" width="16.42578125" style="42" customWidth="1" outlineLevel="1"/>
    <col min="27" max="28" width="17.7109375" style="42" customWidth="1"/>
    <col min="29" max="29" width="16.85546875" style="42" customWidth="1"/>
    <col min="30" max="30" width="17.7109375" style="53" customWidth="1"/>
    <col min="31" max="31" width="13.5703125" style="45" customWidth="1"/>
    <col min="32" max="32" width="17.7109375" style="42" customWidth="1"/>
    <col min="33" max="33" width="12.42578125" style="53" customWidth="1"/>
    <col min="34" max="34" width="26.85546875" style="42" customWidth="1"/>
    <col min="35" max="35" width="13.85546875" style="42" customWidth="1"/>
    <col min="36" max="36" width="3.85546875" style="42" customWidth="1"/>
    <col min="37" max="37" width="32.42578125" style="38" customWidth="1"/>
    <col min="38" max="38" width="42.5703125" style="38" customWidth="1"/>
    <col min="39" max="40" width="60.7109375" style="53" customWidth="1"/>
    <col min="41" max="41" width="105" style="53" customWidth="1"/>
    <col min="42" max="42" width="21.85546875" style="53" customWidth="1"/>
    <col min="43" max="44" width="19" style="40" customWidth="1" outlineLevel="1"/>
    <col min="45" max="45" width="26.85546875" style="38" customWidth="1" outlineLevel="1"/>
    <col min="46" max="46" width="55.5703125" style="38" customWidth="1" outlineLevel="1"/>
    <col min="47" max="47" width="10.5703125" style="38" customWidth="1"/>
    <col min="48" max="48" width="9.140625" style="55"/>
    <col min="49" max="16384" width="9.140625" style="38"/>
  </cols>
  <sheetData>
    <row r="1" spans="1:48" ht="20.100000000000001" customHeight="1" x14ac:dyDescent="0.25">
      <c r="A1" s="36" t="s">
        <v>84</v>
      </c>
      <c r="B1" s="37">
        <v>44743</v>
      </c>
      <c r="C1" s="37"/>
      <c r="D1" s="37"/>
      <c r="H1" s="39">
        <f>MONTH(J1)</f>
        <v>8</v>
      </c>
      <c r="J1" s="40">
        <v>44774</v>
      </c>
      <c r="Q1" s="43"/>
      <c r="R1" s="44"/>
      <c r="S1" s="45"/>
      <c r="U1" s="42"/>
      <c r="W1" s="42"/>
      <c r="AA1" s="38"/>
      <c r="AB1" s="38"/>
      <c r="AC1" s="38"/>
      <c r="AD1" s="42"/>
      <c r="AE1" s="38"/>
      <c r="AG1" s="40"/>
      <c r="AH1" s="38"/>
      <c r="AI1" s="38"/>
      <c r="AJ1" s="38"/>
      <c r="AM1" s="38"/>
      <c r="AN1" s="38"/>
      <c r="AO1" s="38"/>
      <c r="AP1" s="38"/>
      <c r="AQ1" s="38"/>
      <c r="AR1" s="38"/>
    </row>
    <row r="2" spans="1:48" ht="20.100000000000001" customHeight="1" x14ac:dyDescent="0.25">
      <c r="A2" s="38" t="s">
        <v>0</v>
      </c>
      <c r="B2" s="38" t="s">
        <v>36</v>
      </c>
      <c r="C2" s="38" t="s">
        <v>78</v>
      </c>
      <c r="D2" s="38" t="s">
        <v>37</v>
      </c>
      <c r="E2" s="38" t="s">
        <v>1</v>
      </c>
      <c r="F2" s="38" t="s">
        <v>2</v>
      </c>
      <c r="G2" s="38" t="s">
        <v>3</v>
      </c>
      <c r="H2" s="46" t="s">
        <v>4</v>
      </c>
      <c r="I2" s="38" t="s">
        <v>5</v>
      </c>
      <c r="J2" s="40" t="s">
        <v>6</v>
      </c>
      <c r="K2" s="38" t="s">
        <v>620</v>
      </c>
      <c r="L2" s="38" t="s">
        <v>7</v>
      </c>
      <c r="M2" s="41" t="s">
        <v>8</v>
      </c>
      <c r="N2" s="38" t="s">
        <v>10</v>
      </c>
      <c r="O2" s="38" t="s">
        <v>9</v>
      </c>
      <c r="P2" s="42" t="s">
        <v>11</v>
      </c>
      <c r="Q2" s="43" t="s">
        <v>12</v>
      </c>
      <c r="R2" s="44" t="s">
        <v>13</v>
      </c>
      <c r="S2" s="45" t="s">
        <v>14</v>
      </c>
      <c r="T2" s="45" t="s">
        <v>15</v>
      </c>
      <c r="U2" s="42" t="s">
        <v>19</v>
      </c>
      <c r="V2" s="45" t="s">
        <v>26</v>
      </c>
      <c r="W2" s="42" t="s">
        <v>16</v>
      </c>
      <c r="X2" s="42" t="s">
        <v>17</v>
      </c>
      <c r="Y2" s="42" t="s">
        <v>18</v>
      </c>
      <c r="Z2" s="42" t="s">
        <v>20</v>
      </c>
      <c r="AA2" s="42" t="s">
        <v>21</v>
      </c>
      <c r="AB2" s="42" t="s">
        <v>114</v>
      </c>
      <c r="AC2" s="42" t="s">
        <v>28</v>
      </c>
      <c r="AD2" s="42" t="s">
        <v>29</v>
      </c>
      <c r="AE2" s="38" t="s">
        <v>49</v>
      </c>
      <c r="AF2" s="42" t="s">
        <v>80</v>
      </c>
      <c r="AG2" s="40" t="s">
        <v>35</v>
      </c>
      <c r="AH2" s="38" t="s">
        <v>50</v>
      </c>
      <c r="AI2" s="38" t="s">
        <v>87</v>
      </c>
      <c r="AJ2" s="38" t="s">
        <v>79</v>
      </c>
      <c r="AK2" s="38" t="s">
        <v>52</v>
      </c>
      <c r="AL2" s="38" t="s">
        <v>91</v>
      </c>
      <c r="AM2" s="38" t="s">
        <v>90</v>
      </c>
      <c r="AN2" s="38" t="s">
        <v>95</v>
      </c>
      <c r="AO2" s="38" t="s">
        <v>96</v>
      </c>
      <c r="AP2" s="38" t="s">
        <v>97</v>
      </c>
      <c r="AQ2" s="38" t="s">
        <v>92</v>
      </c>
      <c r="AR2" s="38" t="s">
        <v>476</v>
      </c>
      <c r="AS2" s="38" t="s">
        <v>475</v>
      </c>
      <c r="AT2" s="38" t="s">
        <v>478</v>
      </c>
      <c r="AU2" s="38" t="s">
        <v>477</v>
      </c>
      <c r="AV2" s="55" t="s">
        <v>482</v>
      </c>
    </row>
    <row r="3" spans="1:48" ht="20.100000000000001" customHeight="1" x14ac:dyDescent="0.25">
      <c r="A3" s="4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39" t="e">
        <f ca="1">IF(NOTA[[#This Row],[ID_P]]="","",MATCH(NOTA[[#This Row],[ID_P]],[1]!B_MSK[N_ID],0))</f>
        <v>#REF!</v>
      </c>
      <c r="D3" s="39">
        <f ca="1">IF(NOTA[[#This Row],[NAMA BARANG]]="","",INDEX(NOTA[ID],MATCH(,INDIRECT(ADDRESS(ROW(NOTA[ID]),COLUMN(NOTA[ID]))&amp;":"&amp;ADDRESS(ROW(),COLUMN(NOTA[ID]))),-1)))</f>
        <v>1</v>
      </c>
      <c r="E3" s="47">
        <v>45108</v>
      </c>
      <c r="F3" s="38" t="s">
        <v>156</v>
      </c>
      <c r="G3" s="38" t="s">
        <v>145</v>
      </c>
      <c r="H3" s="48" t="s">
        <v>201</v>
      </c>
      <c r="J3" s="40">
        <v>45074</v>
      </c>
      <c r="L3" s="38" t="s">
        <v>202</v>
      </c>
      <c r="M3" s="41">
        <v>10</v>
      </c>
      <c r="N3" s="39">
        <v>600</v>
      </c>
      <c r="O3" s="38" t="s">
        <v>152</v>
      </c>
      <c r="P3" s="42">
        <v>42000</v>
      </c>
      <c r="Q3" s="43"/>
      <c r="R3" s="49" t="s">
        <v>153</v>
      </c>
      <c r="S3" s="50">
        <v>0.03</v>
      </c>
      <c r="U3" s="51"/>
      <c r="V3" s="46"/>
      <c r="W3" s="51">
        <f>IF(NOTA[[#This Row],[HARGA/ CTN]]="",NOTA[[#This Row],[JUMLAH_H]],NOTA[[#This Row],[HARGA/ CTN]]*IF(NOTA[[#This Row],[C]]="",0,NOTA[[#This Row],[C]]))</f>
        <v>25200000</v>
      </c>
      <c r="X3" s="51">
        <f>IF(NOTA[[#This Row],[JUMLAH]]="","",NOTA[[#This Row],[JUMLAH]]*NOTA[[#This Row],[DISC 1]])</f>
        <v>756000</v>
      </c>
      <c r="Y3" s="51">
        <f>IF(NOTA[[#This Row],[JUMLAH]]="","",(NOTA[[#This Row],[JUMLAH]]-NOTA[[#This Row],[DISC 1-]])*NOTA[[#This Row],[DISC 2]])</f>
        <v>0</v>
      </c>
      <c r="Z3" s="51">
        <f>IF(NOTA[[#This Row],[JUMLAH]]="","",NOTA[[#This Row],[DISC 1-]]+NOTA[[#This Row],[DISC 2-]])</f>
        <v>756000</v>
      </c>
      <c r="AA3" s="51">
        <f>IF(NOTA[[#This Row],[JUMLAH]]="","",NOTA[[#This Row],[JUMLAH]]-NOTA[[#This Row],[DISC]])</f>
        <v>24444000</v>
      </c>
      <c r="AB3" s="51"/>
      <c r="AC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51">
        <f>IF(OR(NOTA[[#This Row],[QTY]]="",NOTA[[#This Row],[HARGA SATUAN]]="",),"",NOTA[[#This Row],[QTY]]*NOTA[[#This Row],[HARGA SATUAN]])</f>
        <v>25200000</v>
      </c>
      <c r="AG3" s="40">
        <f ca="1">IF(NOTA[ID_H]="","",INDEX(NOTA[TANGGAL],MATCH(,INDIRECT(ADDRESS(ROW(NOTA[TANGGAL]),COLUMN(NOTA[TANGGAL]))&amp;":"&amp;ADDRESS(ROW(),COLUMN(NOTA[TANGGAL]))),-1)))</f>
        <v>45108</v>
      </c>
      <c r="AH3" s="42" t="str">
        <f ca="1">IF(NOTA[[#This Row],[NAMA BARANG]]="","",INDEX(NOTA[SUPPLIER],MATCH(,INDIRECT(ADDRESS(ROW(NOTA[ID]),COLUMN(NOTA[ID]))&amp;":"&amp;ADDRESS(ROW(),COLUMN(NOTA[ID]))),-1)))</f>
        <v>DUTA BUANA</v>
      </c>
      <c r="AI3" s="42" t="str">
        <f ca="1">IF(NOTA[[#This Row],[ID_H]]="","",IF(NOTA[[#This Row],[FAKTUR]]="",INDIRECT(ADDRESS(ROW()-1,COLUMN())),NOTA[[#This Row],[FAKTUR]]))</f>
        <v>UNTANA</v>
      </c>
      <c r="AJ3" s="39">
        <f ca="1">IF(NOTA[[#This Row],[ID]]="","",COUNTIF(NOTA[ID_H],NOTA[[#This Row],[ID_H]]))</f>
        <v>2</v>
      </c>
      <c r="AK3" s="39">
        <f>IF(NOTA[[#This Row],[TGL.NOTA]]="",IF(NOTA[[#This Row],[SUPPLIER_H]]="","",AK2),MONTH(NOTA[[#This Row],[TGL.NOTA]]))</f>
        <v>5</v>
      </c>
      <c r="AL3" s="39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39" t="e">
        <f>IF(NOTA[[#This Row],[CONCAT4]]="","",_xlfn.IFNA(MATCH(NOTA[[#This Row],[CONCAT4]],[2]!RAW[CONCAT_H],0),FALSE))</f>
        <v>#REF!</v>
      </c>
      <c r="AQ3" s="39">
        <f>IF(NOTA[[#This Row],[CONCAT1]]="","",MATCH(NOTA[[#This Row],[CONCAT1]],[3]!db[NB NOTA_C],0))</f>
        <v>693</v>
      </c>
      <c r="AR3" s="39" t="b">
        <f>IF(NOTA[[#This Row],[QTY/ CTN]]="","",TRUE)</f>
        <v>1</v>
      </c>
      <c r="AS3" s="39" t="str">
        <f ca="1">IF(NOTA[[#This Row],[ID_H]]="","",IF(NOTA[[#This Row],[Column3]]=TRUE,NOTA[[#This Row],[QTY/ CTN]],INDEX([3]!db[QTY/ CTN],NOTA[[#This Row],[//DB]])))</f>
        <v>60 LSN</v>
      </c>
      <c r="AT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ballpentf20376wrmulticolorpen60lsnuntana</v>
      </c>
      <c r="AU3" s="39" t="e">
        <f ca="1">IF(NOTA[[#This Row],[ID_H]]="","",MATCH(NOTA[[#This Row],[NB NOTA_C_QTY]],[4]!db[NB NOTA_C_QTY+F],0))</f>
        <v>#REF!</v>
      </c>
      <c r="AV3" s="55">
        <f ca="1">IF(NOTA[[#This Row],[NB NOTA_C_QTY]]="","",ROW()-2)</f>
        <v>1</v>
      </c>
    </row>
    <row r="4" spans="1:48" ht="20.100000000000001" customHeight="1" x14ac:dyDescent="0.25">
      <c r="A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9" t="str">
        <f>IF(NOTA[[#This Row],[ID_P]]="","",MATCH(NOTA[[#This Row],[ID_P]],[1]!B_MSK[N_ID],0))</f>
        <v/>
      </c>
      <c r="D4" s="39">
        <f ca="1">IF(NOTA[[#This Row],[NAMA BARANG]]="","",INDEX(NOTA[ID],MATCH(,INDIRECT(ADDRESS(ROW(NOTA[ID]),COLUMN(NOTA[ID]))&amp;":"&amp;ADDRESS(ROW(),COLUMN(NOTA[ID]))),-1)))</f>
        <v>1</v>
      </c>
      <c r="E4" s="47"/>
      <c r="H4" s="48"/>
      <c r="L4" s="38" t="s">
        <v>203</v>
      </c>
      <c r="M4" s="41">
        <v>1</v>
      </c>
      <c r="N4" s="39">
        <v>60</v>
      </c>
      <c r="O4" s="38" t="s">
        <v>152</v>
      </c>
      <c r="P4" s="42">
        <v>20000</v>
      </c>
      <c r="Q4" s="43"/>
      <c r="R4" s="49" t="s">
        <v>153</v>
      </c>
      <c r="S4" s="50">
        <v>0.03</v>
      </c>
      <c r="U4" s="51"/>
      <c r="V4" s="46"/>
      <c r="W4" s="51">
        <f>IF(NOTA[[#This Row],[HARGA/ CTN]]="",NOTA[[#This Row],[JUMLAH_H]],NOTA[[#This Row],[HARGA/ CTN]]*IF(NOTA[[#This Row],[C]]="",0,NOTA[[#This Row],[C]]))</f>
        <v>1200000</v>
      </c>
      <c r="X4" s="51">
        <f>IF(NOTA[[#This Row],[JUMLAH]]="","",NOTA[[#This Row],[JUMLAH]]*NOTA[[#This Row],[DISC 1]])</f>
        <v>36000</v>
      </c>
      <c r="Y4" s="51">
        <f>IF(NOTA[[#This Row],[JUMLAH]]="","",(NOTA[[#This Row],[JUMLAH]]-NOTA[[#This Row],[DISC 1-]])*NOTA[[#This Row],[DISC 2]])</f>
        <v>0</v>
      </c>
      <c r="Z4" s="51">
        <f>IF(NOTA[[#This Row],[JUMLAH]]="","",NOTA[[#This Row],[DISC 1-]]+NOTA[[#This Row],[DISC 2-]])</f>
        <v>36000</v>
      </c>
      <c r="AA4" s="51">
        <f>IF(NOTA[[#This Row],[JUMLAH]]="","",NOTA[[#This Row],[JUMLAH]]-NOTA[[#This Row],[DISC]])</f>
        <v>1164000</v>
      </c>
      <c r="AB4" s="51"/>
      <c r="AC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51">
        <f>IF(OR(NOTA[[#This Row],[QTY]]="",NOTA[[#This Row],[HARGA SATUAN]]="",),"",NOTA[[#This Row],[QTY]]*NOTA[[#This Row],[HARGA SATUAN]])</f>
        <v>1200000</v>
      </c>
      <c r="AG4" s="40">
        <f ca="1">IF(NOTA[ID_H]="","",INDEX(NOTA[TANGGAL],MATCH(,INDIRECT(ADDRESS(ROW(NOTA[TANGGAL]),COLUMN(NOTA[TANGGAL]))&amp;":"&amp;ADDRESS(ROW(),COLUMN(NOTA[TANGGAL]))),-1)))</f>
        <v>45108</v>
      </c>
      <c r="AH4" s="42" t="str">
        <f ca="1">IF(NOTA[[#This Row],[NAMA BARANG]]="","",INDEX(NOTA[SUPPLIER],MATCH(,INDIRECT(ADDRESS(ROW(NOTA[ID]),COLUMN(NOTA[ID]))&amp;":"&amp;ADDRESS(ROW(),COLUMN(NOTA[ID]))),-1)))</f>
        <v>DUTA BUANA</v>
      </c>
      <c r="AI4" s="42" t="str">
        <f ca="1">IF(NOTA[[#This Row],[ID_H]]="","",IF(NOTA[[#This Row],[FAKTUR]]="",INDIRECT(ADDRESS(ROW()-1,COLUMN())),NOTA[[#This Row],[FAKTUR]]))</f>
        <v>UNTANA</v>
      </c>
      <c r="AJ4" s="39" t="str">
        <f ca="1">IF(NOTA[[#This Row],[ID]]="","",COUNTIF(NOTA[ID_H],NOTA[[#This Row],[ID_H]]))</f>
        <v/>
      </c>
      <c r="AK4" s="39">
        <f ca="1">IF(NOTA[[#This Row],[TGL.NOTA]]="",IF(NOTA[[#This Row],[SUPPLIER_H]]="","",AK3),MONTH(NOTA[[#This Row],[TGL.NOTA]]))</f>
        <v>5</v>
      </c>
      <c r="AL4" s="39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9" t="str">
        <f>IF(NOTA[[#This Row],[CONCAT4]]="","",_xlfn.IFNA(MATCH(NOTA[[#This Row],[CONCAT4]],[2]!RAW[CONCAT_H],0),FALSE))</f>
        <v/>
      </c>
      <c r="AQ4" s="39">
        <f>IF(NOTA[[#This Row],[CONCAT1]]="","",MATCH(NOTA[[#This Row],[CONCAT1]],[3]!db[NB NOTA_C],0))</f>
        <v>1160</v>
      </c>
      <c r="AR4" s="39" t="b">
        <f>IF(NOTA[[#This Row],[QTY/ CTN]]="","",TRUE)</f>
        <v>1</v>
      </c>
      <c r="AS4" s="39" t="str">
        <f ca="1">IF(NOTA[[#This Row],[ID_H]]="","",IF(NOTA[[#This Row],[Column3]]=TRUE,NOTA[[#This Row],[QTY/ CTN]],INDEX([3]!db[QTY/ CTN],NOTA[[#This Row],[//DB]])))</f>
        <v>60 LSN</v>
      </c>
      <c r="AT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garisantf36060lsnuntana</v>
      </c>
      <c r="AU4" s="39" t="e">
        <f ca="1">IF(NOTA[[#This Row],[ID_H]]="","",MATCH(NOTA[[#This Row],[NB NOTA_C_QTY]],[4]!db[NB NOTA_C_QTY+F],0))</f>
        <v>#REF!</v>
      </c>
      <c r="AV4" s="55">
        <f ca="1">IF(NOTA[[#This Row],[NB NOTA_C_QTY]]="","",ROW()-2)</f>
        <v>2</v>
      </c>
    </row>
    <row r="5" spans="1:48" ht="20.100000000000001" customHeight="1" x14ac:dyDescent="0.25">
      <c r="A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9" t="str">
        <f>IF(NOTA[[#This Row],[ID_P]]="","",MATCH(NOTA[[#This Row],[ID_P]],[1]!B_MSK[N_ID],0))</f>
        <v/>
      </c>
      <c r="D5" s="39" t="str">
        <f ca="1">IF(NOTA[[#This Row],[NAMA BARANG]]="","",INDEX(NOTA[ID],MATCH(,INDIRECT(ADDRESS(ROW(NOTA[ID]),COLUMN(NOTA[ID]))&amp;":"&amp;ADDRESS(ROW(),COLUMN(NOTA[ID]))),-1)))</f>
        <v/>
      </c>
      <c r="E5" s="47"/>
      <c r="H5" s="48"/>
      <c r="N5" s="39"/>
      <c r="Q5" s="43"/>
      <c r="R5" s="49"/>
      <c r="S5" s="50"/>
      <c r="U5" s="51"/>
      <c r="V5" s="46"/>
      <c r="W5" s="51" t="str">
        <f>IF(NOTA[[#This Row],[HARGA/ CTN]]="",NOTA[[#This Row],[JUMLAH_H]],NOTA[[#This Row],[HARGA/ CTN]]*IF(NOTA[[#This Row],[C]]="",0,NOTA[[#This Row],[C]]))</f>
        <v/>
      </c>
      <c r="X5" s="51" t="str">
        <f>IF(NOTA[[#This Row],[JUMLAH]]="","",NOTA[[#This Row],[JUMLAH]]*NOTA[[#This Row],[DISC 1]])</f>
        <v/>
      </c>
      <c r="Y5" s="51" t="str">
        <f>IF(NOTA[[#This Row],[JUMLAH]]="","",(NOTA[[#This Row],[JUMLAH]]-NOTA[[#This Row],[DISC 1-]])*NOTA[[#This Row],[DISC 2]])</f>
        <v/>
      </c>
      <c r="Z5" s="51" t="str">
        <f>IF(NOTA[[#This Row],[JUMLAH]]="","",NOTA[[#This Row],[DISC 1-]]+NOTA[[#This Row],[DISC 2-]])</f>
        <v/>
      </c>
      <c r="AA5" s="51" t="str">
        <f>IF(NOTA[[#This Row],[JUMLAH]]="","",NOTA[[#This Row],[JUMLAH]]-NOTA[[#This Row],[DISC]])</f>
        <v/>
      </c>
      <c r="AB5" s="51"/>
      <c r="AC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51" t="str">
        <f>IF(OR(NOTA[[#This Row],[QTY]]="",NOTA[[#This Row],[HARGA SATUAN]]="",),"",NOTA[[#This Row],[QTY]]*NOTA[[#This Row],[HARGA SATUAN]])</f>
        <v/>
      </c>
      <c r="AG5" s="40" t="str">
        <f ca="1">IF(NOTA[ID_H]="","",INDEX(NOTA[TANGGAL],MATCH(,INDIRECT(ADDRESS(ROW(NOTA[TANGGAL]),COLUMN(NOTA[TANGGAL]))&amp;":"&amp;ADDRESS(ROW(),COLUMN(NOTA[TANGGAL]))),-1)))</f>
        <v/>
      </c>
      <c r="AH5" s="42" t="str">
        <f ca="1">IF(NOTA[[#This Row],[NAMA BARANG]]="","",INDEX(NOTA[SUPPLIER],MATCH(,INDIRECT(ADDRESS(ROW(NOTA[ID]),COLUMN(NOTA[ID]))&amp;":"&amp;ADDRESS(ROW(),COLUMN(NOTA[ID]))),-1)))</f>
        <v/>
      </c>
      <c r="AI5" s="42" t="str">
        <f ca="1">IF(NOTA[[#This Row],[ID_H]]="","",IF(NOTA[[#This Row],[FAKTUR]]="",INDIRECT(ADDRESS(ROW()-1,COLUMN())),NOTA[[#This Row],[FAKTUR]]))</f>
        <v/>
      </c>
      <c r="AJ5" s="39" t="str">
        <f ca="1">IF(NOTA[[#This Row],[ID]]="","",COUNTIF(NOTA[ID_H],NOTA[[#This Row],[ID_H]]))</f>
        <v/>
      </c>
      <c r="AK5" s="39" t="str">
        <f ca="1">IF(NOTA[[#This Row],[TGL.NOTA]]="",IF(NOTA[[#This Row],[SUPPLIER_H]]="","",AK4),MONTH(NOTA[[#This Row],[TGL.NOTA]]))</f>
        <v/>
      </c>
      <c r="AL5" s="39" t="str">
        <f>LOWER(SUBSTITUTE(SUBSTITUTE(SUBSTITUTE(SUBSTITUTE(SUBSTITUTE(SUBSTITUTE(SUBSTITUTE(SUBSTITUTE(SUBSTITUTE(NOTA[NAMA BARANG]," ",),".",""),"-",""),"(",""),")",""),",",""),"/",""),"""",""),"+",""))</f>
        <v/>
      </c>
      <c r="AM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9" t="str">
        <f>IF(NOTA[[#This Row],[CONCAT4]]="","",_xlfn.IFNA(MATCH(NOTA[[#This Row],[CONCAT4]],[2]!RAW[CONCAT_H],0),FALSE))</f>
        <v/>
      </c>
      <c r="AQ5" s="39" t="str">
        <f>IF(NOTA[[#This Row],[CONCAT1]]="","",MATCH(NOTA[[#This Row],[CONCAT1]],[3]!db[NB NOTA_C],0))</f>
        <v/>
      </c>
      <c r="AR5" s="39" t="str">
        <f>IF(NOTA[[#This Row],[QTY/ CTN]]="","",TRUE)</f>
        <v/>
      </c>
      <c r="AS5" s="39" t="str">
        <f ca="1">IF(NOTA[[#This Row],[ID_H]]="","",IF(NOTA[[#This Row],[Column3]]=TRUE,NOTA[[#This Row],[QTY/ CTN]],INDEX([3]!db[QTY/ CTN],NOTA[[#This Row],[//DB]])))</f>
        <v/>
      </c>
      <c r="AT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" s="39" t="str">
        <f ca="1">IF(NOTA[[#This Row],[ID_H]]="","",MATCH(NOTA[[#This Row],[NB NOTA_C_QTY]],[4]!db[NB NOTA_C_QTY+F],0))</f>
        <v/>
      </c>
      <c r="AV5" s="55" t="str">
        <f ca="1">IF(NOTA[[#This Row],[NB NOTA_C_QTY]]="","",ROW()-2)</f>
        <v/>
      </c>
    </row>
    <row r="6" spans="1:48" ht="20.100000000000001" customHeight="1" x14ac:dyDescent="0.25">
      <c r="A6" s="42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39" t="e">
        <f ca="1">IF(NOTA[[#This Row],[ID_P]]="","",MATCH(NOTA[[#This Row],[ID_P]],[1]!B_MSK[N_ID],0))</f>
        <v>#REF!</v>
      </c>
      <c r="D6" s="39">
        <f ca="1">IF(NOTA[[#This Row],[NAMA BARANG]]="","",INDEX(NOTA[ID],MATCH(,INDIRECT(ADDRESS(ROW(NOTA[ID]),COLUMN(NOTA[ID]))&amp;":"&amp;ADDRESS(ROW(),COLUMN(NOTA[ID]))),-1)))</f>
        <v>2</v>
      </c>
      <c r="E6" s="47"/>
      <c r="F6" s="38" t="s">
        <v>204</v>
      </c>
      <c r="G6" s="38" t="s">
        <v>145</v>
      </c>
      <c r="H6" s="48" t="s">
        <v>169</v>
      </c>
      <c r="J6" s="40">
        <v>45107</v>
      </c>
      <c r="L6" s="38" t="s">
        <v>205</v>
      </c>
      <c r="M6" s="41">
        <v>11</v>
      </c>
      <c r="N6" s="39">
        <v>660</v>
      </c>
      <c r="O6" s="38" t="s">
        <v>152</v>
      </c>
      <c r="P6" s="42">
        <v>9100</v>
      </c>
      <c r="Q6" s="43"/>
      <c r="R6" s="49" t="s">
        <v>153</v>
      </c>
      <c r="S6" s="50"/>
      <c r="U6" s="51"/>
      <c r="V6" s="46"/>
      <c r="W6" s="51">
        <f>IF(NOTA[[#This Row],[HARGA/ CTN]]="",NOTA[[#This Row],[JUMLAH_H]],NOTA[[#This Row],[HARGA/ CTN]]*IF(NOTA[[#This Row],[C]]="",0,NOTA[[#This Row],[C]]))</f>
        <v>6006000</v>
      </c>
      <c r="X6" s="51">
        <f>IF(NOTA[[#This Row],[JUMLAH]]="","",NOTA[[#This Row],[JUMLAH]]*NOTA[[#This Row],[DISC 1]])</f>
        <v>0</v>
      </c>
      <c r="Y6" s="51">
        <f>IF(NOTA[[#This Row],[JUMLAH]]="","",(NOTA[[#This Row],[JUMLAH]]-NOTA[[#This Row],[DISC 1-]])*NOTA[[#This Row],[DISC 2]])</f>
        <v>0</v>
      </c>
      <c r="Z6" s="51">
        <f>IF(NOTA[[#This Row],[JUMLAH]]="","",NOTA[[#This Row],[DISC 1-]]+NOTA[[#This Row],[DISC 2-]])</f>
        <v>0</v>
      </c>
      <c r="AA6" s="51">
        <f>IF(NOTA[[#This Row],[JUMLAH]]="","",NOTA[[#This Row],[JUMLAH]]-NOTA[[#This Row],[DISC]])</f>
        <v>6006000</v>
      </c>
      <c r="AB6" s="51"/>
      <c r="AC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51">
        <f>IF(OR(NOTA[[#This Row],[QTY]]="",NOTA[[#This Row],[HARGA SATUAN]]="",),"",NOTA[[#This Row],[QTY]]*NOTA[[#This Row],[HARGA SATUAN]])</f>
        <v>6006000</v>
      </c>
      <c r="AG6" s="40">
        <f ca="1">IF(NOTA[ID_H]="","",INDEX(NOTA[TANGGAL],MATCH(,INDIRECT(ADDRESS(ROW(NOTA[TANGGAL]),COLUMN(NOTA[TANGGAL]))&amp;":"&amp;ADDRESS(ROW(),COLUMN(NOTA[TANGGAL]))),-1)))</f>
        <v>45108</v>
      </c>
      <c r="AH6" s="42" t="str">
        <f ca="1">IF(NOTA[[#This Row],[NAMA BARANG]]="","",INDEX(NOTA[SUPPLIER],MATCH(,INDIRECT(ADDRESS(ROW(NOTA[ID]),COLUMN(NOTA[ID]))&amp;":"&amp;ADDRESS(ROW(),COLUMN(NOTA[ID]))),-1)))</f>
        <v>GRAFINDO</v>
      </c>
      <c r="AI6" s="42" t="str">
        <f ca="1">IF(NOTA[[#This Row],[ID_H]]="","",IF(NOTA[[#This Row],[FAKTUR]]="",INDIRECT(ADDRESS(ROW()-1,COLUMN())),NOTA[[#This Row],[FAKTUR]]))</f>
        <v>UNTANA</v>
      </c>
      <c r="AJ6" s="39">
        <f ca="1">IF(NOTA[[#This Row],[ID]]="","",COUNTIF(NOTA[ID_H],NOTA[[#This Row],[ID_H]]))</f>
        <v>2</v>
      </c>
      <c r="AK6" s="39">
        <f>IF(NOTA[[#This Row],[TGL.NOTA]]="",IF(NOTA[[#This Row],[SUPPLIER_H]]="","",AK5),MONTH(NOTA[[#This Row],[TGL.NOTA]]))</f>
        <v>6</v>
      </c>
      <c r="AL6" s="39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39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39" t="e">
        <f>IF(NOTA[[#This Row],[CONCAT4]]="","",_xlfn.IFNA(MATCH(NOTA[[#This Row],[CONCAT4]],[2]!RAW[CONCAT_H],0),FALSE))</f>
        <v>#REF!</v>
      </c>
      <c r="AQ6" s="39">
        <f>IF(NOTA[[#This Row],[CONCAT1]]="","",MATCH(NOTA[[#This Row],[CONCAT1]],[3]!db[NB NOTA_C],0))</f>
        <v>1615</v>
      </c>
      <c r="AR6" s="39" t="b">
        <f>IF(NOTA[[#This Row],[QTY/ CTN]]="","",TRUE)</f>
        <v>1</v>
      </c>
      <c r="AS6" s="39" t="str">
        <f ca="1">IF(NOTA[[#This Row],[ID_H]]="","",IF(NOTA[[#This Row],[Column3]]=TRUE,NOTA[[#This Row],[QTY/ CTN]],INDEX([3]!db[QTY/ CTN],NOTA[[#This Row],[//DB]])))</f>
        <v>60 LSN</v>
      </c>
      <c r="AT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6" s="39" t="e">
        <f ca="1">IF(NOTA[[#This Row],[ID_H]]="","",MATCH(NOTA[[#This Row],[NB NOTA_C_QTY]],[4]!db[NB NOTA_C_QTY+F],0))</f>
        <v>#REF!</v>
      </c>
      <c r="AV6" s="55">
        <f ca="1">IF(NOTA[[#This Row],[NB NOTA_C_QTY]]="","",ROW()-2)</f>
        <v>4</v>
      </c>
    </row>
    <row r="7" spans="1:48" ht="20.100000000000001" customHeight="1" x14ac:dyDescent="0.25">
      <c r="A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2</v>
      </c>
      <c r="E7" s="47"/>
      <c r="H7" s="48"/>
      <c r="L7" s="38" t="s">
        <v>206</v>
      </c>
      <c r="M7" s="41">
        <v>23</v>
      </c>
      <c r="N7" s="39">
        <v>1380</v>
      </c>
      <c r="O7" s="38" t="s">
        <v>152</v>
      </c>
      <c r="P7" s="42">
        <v>9100</v>
      </c>
      <c r="Q7" s="43"/>
      <c r="R7" s="49" t="s">
        <v>153</v>
      </c>
      <c r="S7" s="50"/>
      <c r="U7" s="51"/>
      <c r="V7" s="46"/>
      <c r="W7" s="51">
        <f>IF(NOTA[[#This Row],[HARGA/ CTN]]="",NOTA[[#This Row],[JUMLAH_H]],NOTA[[#This Row],[HARGA/ CTN]]*IF(NOTA[[#This Row],[C]]="",0,NOTA[[#This Row],[C]]))</f>
        <v>12558000</v>
      </c>
      <c r="X7" s="51">
        <f>IF(NOTA[[#This Row],[JUMLAH]]="","",NOTA[[#This Row],[JUMLAH]]*NOTA[[#This Row],[DISC 1]])</f>
        <v>0</v>
      </c>
      <c r="Y7" s="51">
        <f>IF(NOTA[[#This Row],[JUMLAH]]="","",(NOTA[[#This Row],[JUMLAH]]-NOTA[[#This Row],[DISC 1-]])*NOTA[[#This Row],[DISC 2]])</f>
        <v>0</v>
      </c>
      <c r="Z7" s="51">
        <f>IF(NOTA[[#This Row],[JUMLAH]]="","",NOTA[[#This Row],[DISC 1-]]+NOTA[[#This Row],[DISC 2-]])</f>
        <v>0</v>
      </c>
      <c r="AA7" s="51">
        <f>IF(NOTA[[#This Row],[JUMLAH]]="","",NOTA[[#This Row],[JUMLAH]]-NOTA[[#This Row],[DISC]])</f>
        <v>12558000</v>
      </c>
      <c r="AB7" s="51"/>
      <c r="AC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51">
        <f>IF(OR(NOTA[[#This Row],[QTY]]="",NOTA[[#This Row],[HARGA SATUAN]]="",),"",NOTA[[#This Row],[QTY]]*NOTA[[#This Row],[HARGA SATUAN]])</f>
        <v>12558000</v>
      </c>
      <c r="AG7" s="40">
        <f ca="1">IF(NOTA[ID_H]="","",INDEX(NOTA[TANGGAL],MATCH(,INDIRECT(ADDRESS(ROW(NOTA[TANGGAL]),COLUMN(NOTA[TANGGAL]))&amp;":"&amp;ADDRESS(ROW(),COLUMN(NOTA[TANGGAL]))),-1)))</f>
        <v>45108</v>
      </c>
      <c r="AH7" s="42" t="str">
        <f ca="1">IF(NOTA[[#This Row],[NAMA BARANG]]="","",INDEX(NOTA[SUPPLIER],MATCH(,INDIRECT(ADDRESS(ROW(NOTA[ID]),COLUMN(NOTA[ID]))&amp;":"&amp;ADDRESS(ROW(),COLUMN(NOTA[ID]))),-1)))</f>
        <v>GRAFINDO</v>
      </c>
      <c r="AI7" s="42" t="str">
        <f ca="1">IF(NOTA[[#This Row],[ID_H]]="","",IF(NOTA[[#This Row],[FAKTUR]]="",INDIRECT(ADDRESS(ROW()-1,COLUMN())),NOTA[[#This Row],[FAKTUR]]))</f>
        <v>UNTANA</v>
      </c>
      <c r="AJ7" s="39" t="str">
        <f ca="1">IF(NOTA[[#This Row],[ID]]="","",COUNTIF(NOTA[ID_H],NOTA[[#This Row],[ID_H]]))</f>
        <v/>
      </c>
      <c r="AK7" s="39">
        <f ca="1">IF(NOTA[[#This Row],[TGL.NOTA]]="",IF(NOTA[[#This Row],[SUPPLIER_H]]="","",AK6),MONTH(NOTA[[#This Row],[TGL.NOTA]]))</f>
        <v>6</v>
      </c>
      <c r="AL7" s="39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9" t="str">
        <f>IF(NOTA[[#This Row],[CONCAT4]]="","",_xlfn.IFNA(MATCH(NOTA[[#This Row],[CONCAT4]],[2]!RAW[CONCAT_H],0),FALSE))</f>
        <v/>
      </c>
      <c r="AQ7" s="39">
        <f>IF(NOTA[[#This Row],[CONCAT1]]="","",MATCH(NOTA[[#This Row],[CONCAT1]],[3]!db[NB NOTA_C],0))</f>
        <v>1614</v>
      </c>
      <c r="AR7" s="39" t="b">
        <f>IF(NOTA[[#This Row],[QTY/ CTN]]="","",TRUE)</f>
        <v>1</v>
      </c>
      <c r="AS7" s="39" t="str">
        <f ca="1">IF(NOTA[[#This Row],[ID_H]]="","",IF(NOTA[[#This Row],[Column3]]=TRUE,NOTA[[#This Row],[QTY/ CTN]],INDEX([3]!db[QTY/ CTN],NOTA[[#This Row],[//DB]])))</f>
        <v>60 LSN</v>
      </c>
      <c r="AT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clearholderfoliosikaac105fkuning60lsnuntana</v>
      </c>
      <c r="AU7" s="39" t="e">
        <f ca="1">IF(NOTA[[#This Row],[ID_H]]="","",MATCH(NOTA[[#This Row],[NB NOTA_C_QTY]],[4]!db[NB NOTA_C_QTY+F],0))</f>
        <v>#REF!</v>
      </c>
      <c r="AV7" s="55">
        <f ca="1">IF(NOTA[[#This Row],[NB NOTA_C_QTY]]="","",ROW()-2)</f>
        <v>5</v>
      </c>
    </row>
    <row r="8" spans="1:48" ht="20.100000000000001" customHeight="1" x14ac:dyDescent="0.25">
      <c r="A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47"/>
      <c r="H8" s="48"/>
      <c r="N8" s="39"/>
      <c r="Q8" s="43"/>
      <c r="R8" s="49"/>
      <c r="S8" s="50"/>
      <c r="U8" s="51"/>
      <c r="V8" s="46"/>
      <c r="W8" s="51" t="str">
        <f>IF(NOTA[[#This Row],[HARGA/ CTN]]="",NOTA[[#This Row],[JUMLAH_H]],NOTA[[#This Row],[HARGA/ CTN]]*IF(NOTA[[#This Row],[C]]="",0,NOTA[[#This Row],[C]]))</f>
        <v/>
      </c>
      <c r="X8" s="51" t="str">
        <f>IF(NOTA[[#This Row],[JUMLAH]]="","",NOTA[[#This Row],[JUMLAH]]*NOTA[[#This Row],[DISC 1]])</f>
        <v/>
      </c>
      <c r="Y8" s="51" t="str">
        <f>IF(NOTA[[#This Row],[JUMLAH]]="","",(NOTA[[#This Row],[JUMLAH]]-NOTA[[#This Row],[DISC 1-]])*NOTA[[#This Row],[DISC 2]])</f>
        <v/>
      </c>
      <c r="Z8" s="51" t="str">
        <f>IF(NOTA[[#This Row],[JUMLAH]]="","",NOTA[[#This Row],[DISC 1-]]+NOTA[[#This Row],[DISC 2-]])</f>
        <v/>
      </c>
      <c r="AA8" s="51" t="str">
        <f>IF(NOTA[[#This Row],[JUMLAH]]="","",NOTA[[#This Row],[JUMLAH]]-NOTA[[#This Row],[DISC]])</f>
        <v/>
      </c>
      <c r="AB8" s="51"/>
      <c r="AC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1" t="str">
        <f>IF(OR(NOTA[[#This Row],[QTY]]="",NOTA[[#This Row],[HARGA SATUAN]]="",),"",NOTA[[#This Row],[QTY]]*NOTA[[#This Row],[HARGA SATUAN]])</f>
        <v/>
      </c>
      <c r="AG8" s="40" t="str">
        <f ca="1">IF(NOTA[ID_H]="","",INDEX(NOTA[TANGGAL],MATCH(,INDIRECT(ADDRESS(ROW(NOTA[TANGGAL]),COLUMN(NOTA[TANGGAL]))&amp;":"&amp;ADDRESS(ROW(),COLUMN(NOTA[TANGGAL]))),-1)))</f>
        <v/>
      </c>
      <c r="AH8" s="42" t="str">
        <f ca="1">IF(NOTA[[#This Row],[NAMA BARANG]]="","",INDEX(NOTA[SUPPLIER],MATCH(,INDIRECT(ADDRESS(ROW(NOTA[ID]),COLUMN(NOTA[ID]))&amp;":"&amp;ADDRESS(ROW(),COLUMN(NOTA[ID]))),-1)))</f>
        <v/>
      </c>
      <c r="AI8" s="42" t="str">
        <f ca="1">IF(NOTA[[#This Row],[ID_H]]="","",IF(NOTA[[#This Row],[FAKTUR]]="",INDIRECT(ADDRESS(ROW()-1,COLUMN())),NOTA[[#This Row],[FAKTUR]]))</f>
        <v/>
      </c>
      <c r="AJ8" s="39" t="str">
        <f ca="1">IF(NOTA[[#This Row],[ID]]="","",COUNTIF(NOTA[ID_H],NOTA[[#This Row],[ID_H]]))</f>
        <v/>
      </c>
      <c r="AK8" s="39" t="str">
        <f ca="1">IF(NOTA[[#This Row],[TGL.NOTA]]="",IF(NOTA[[#This Row],[SUPPLIER_H]]="","",AK7),MONTH(NOTA[[#This Row],[TGL.NOTA]]))</f>
        <v/>
      </c>
      <c r="AL8" s="39" t="str">
        <f>LOWER(SUBSTITUTE(SUBSTITUTE(SUBSTITUTE(SUBSTITUTE(SUBSTITUTE(SUBSTITUTE(SUBSTITUTE(SUBSTITUTE(SUBSTITUTE(NOTA[NAMA BARANG]," ",),".",""),"-",""),"(",""),")",""),",",""),"/",""),"""",""),"+",""))</f>
        <v/>
      </c>
      <c r="AM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9" t="str">
        <f>IF(NOTA[[#This Row],[CONCAT4]]="","",_xlfn.IFNA(MATCH(NOTA[[#This Row],[CONCAT4]],[2]!RAW[CONCAT_H],0),FALSE))</f>
        <v/>
      </c>
      <c r="AQ8" s="39" t="str">
        <f>IF(NOTA[[#This Row],[CONCAT1]]="","",MATCH(NOTA[[#This Row],[CONCAT1]],[3]!db[NB NOTA_C],0))</f>
        <v/>
      </c>
      <c r="AR8" s="39" t="str">
        <f>IF(NOTA[[#This Row],[QTY/ CTN]]="","",TRUE)</f>
        <v/>
      </c>
      <c r="AS8" s="39" t="str">
        <f ca="1">IF(NOTA[[#This Row],[ID_H]]="","",IF(NOTA[[#This Row],[Column3]]=TRUE,NOTA[[#This Row],[QTY/ CTN]],INDEX([3]!db[QTY/ CTN],NOTA[[#This Row],[//DB]])))</f>
        <v/>
      </c>
      <c r="AT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9" t="str">
        <f ca="1">IF(NOTA[[#This Row],[ID_H]]="","",MATCH(NOTA[[#This Row],[NB NOTA_C_QTY]],[4]!db[NB NOTA_C_QTY+F],0))</f>
        <v/>
      </c>
      <c r="AV8" s="55" t="str">
        <f ca="1">IF(NOTA[[#This Row],[NB NOTA_C_QTY]]="","",ROW()-2)</f>
        <v/>
      </c>
    </row>
    <row r="9" spans="1:48" ht="20.100000000000001" customHeight="1" x14ac:dyDescent="0.25">
      <c r="A9" s="42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3</v>
      </c>
      <c r="E9" s="47"/>
      <c r="F9" s="38" t="s">
        <v>207</v>
      </c>
      <c r="G9" s="38" t="s">
        <v>145</v>
      </c>
      <c r="H9" s="48" t="s">
        <v>208</v>
      </c>
      <c r="J9" s="40">
        <v>45104</v>
      </c>
      <c r="L9" s="38" t="s">
        <v>209</v>
      </c>
      <c r="M9" s="41">
        <v>2</v>
      </c>
      <c r="N9" s="39">
        <v>300</v>
      </c>
      <c r="O9" s="38" t="s">
        <v>210</v>
      </c>
      <c r="P9" s="42">
        <v>7700</v>
      </c>
      <c r="Q9" s="43"/>
      <c r="R9" s="49"/>
      <c r="S9" s="50"/>
      <c r="U9" s="51"/>
      <c r="V9" s="46"/>
      <c r="W9" s="51">
        <f>IF(NOTA[[#This Row],[HARGA/ CTN]]="",NOTA[[#This Row],[JUMLAH_H]],NOTA[[#This Row],[HARGA/ CTN]]*IF(NOTA[[#This Row],[C]]="",0,NOTA[[#This Row],[C]]))</f>
        <v>2310000</v>
      </c>
      <c r="X9" s="51">
        <f>IF(NOTA[[#This Row],[JUMLAH]]="","",NOTA[[#This Row],[JUMLAH]]*NOTA[[#This Row],[DISC 1]])</f>
        <v>0</v>
      </c>
      <c r="Y9" s="51">
        <f>IF(NOTA[[#This Row],[JUMLAH]]="","",(NOTA[[#This Row],[JUMLAH]]-NOTA[[#This Row],[DISC 1-]])*NOTA[[#This Row],[DISC 2]])</f>
        <v>0</v>
      </c>
      <c r="Z9" s="51">
        <f>IF(NOTA[[#This Row],[JUMLAH]]="","",NOTA[[#This Row],[DISC 1-]]+NOTA[[#This Row],[DISC 2-]])</f>
        <v>0</v>
      </c>
      <c r="AA9" s="51">
        <f>IF(NOTA[[#This Row],[JUMLAH]]="","",NOTA[[#This Row],[JUMLAH]]-NOTA[[#This Row],[DISC]])</f>
        <v>2310000</v>
      </c>
      <c r="AB9" s="51"/>
      <c r="AC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51">
        <f>IF(OR(NOTA[[#This Row],[QTY]]="",NOTA[[#This Row],[HARGA SATUAN]]="",),"",NOTA[[#This Row],[QTY]]*NOTA[[#This Row],[HARGA SATUAN]])</f>
        <v>2310000</v>
      </c>
      <c r="AG9" s="40">
        <f ca="1">IF(NOTA[ID_H]="","",INDEX(NOTA[TANGGAL],MATCH(,INDIRECT(ADDRESS(ROW(NOTA[TANGGAL]),COLUMN(NOTA[TANGGAL]))&amp;":"&amp;ADDRESS(ROW(),COLUMN(NOTA[TANGGAL]))),-1)))</f>
        <v>45108</v>
      </c>
      <c r="AH9" s="42" t="str">
        <f ca="1">IF(NOTA[[#This Row],[NAMA BARANG]]="","",INDEX(NOTA[SUPPLIER],MATCH(,INDIRECT(ADDRESS(ROW(NOTA[ID]),COLUMN(NOTA[ID]))&amp;":"&amp;ADDRESS(ROW(),COLUMN(NOTA[ID]))),-1)))</f>
        <v>BINTANG JAYA</v>
      </c>
      <c r="AI9" s="42" t="str">
        <f ca="1">IF(NOTA[[#This Row],[ID_H]]="","",IF(NOTA[[#This Row],[FAKTUR]]="",INDIRECT(ADDRESS(ROW()-1,COLUMN())),NOTA[[#This Row],[FAKTUR]]))</f>
        <v>UNTANA</v>
      </c>
      <c r="AJ9" s="39">
        <f ca="1">IF(NOTA[[#This Row],[ID]]="","",COUNTIF(NOTA[ID_H],NOTA[[#This Row],[ID_H]]))</f>
        <v>5</v>
      </c>
      <c r="AK9" s="39">
        <f>IF(NOTA[[#This Row],[TGL.NOTA]]="",IF(NOTA[[#This Row],[SUPPLIER_H]]="","",AK8),MONTH(NOTA[[#This Row],[TGL.NOTA]]))</f>
        <v>6</v>
      </c>
      <c r="AL9" s="39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39" t="e">
        <f>IF(NOTA[[#This Row],[CONCAT4]]="","",_xlfn.IFNA(MATCH(NOTA[[#This Row],[CONCAT4]],[2]!RAW[CONCAT_H],0),FALSE))</f>
        <v>#REF!</v>
      </c>
      <c r="AQ9" s="39">
        <f>IF(NOTA[[#This Row],[CONCAT1]]="","",MATCH(NOTA[[#This Row],[CONCAT1]],[3]!db[NB NOTA_C],0))</f>
        <v>1444</v>
      </c>
      <c r="AR9" s="39" t="str">
        <f>IF(NOTA[[#This Row],[QTY/ CTN]]="","",TRUE)</f>
        <v/>
      </c>
      <c r="AS9" s="39" t="str">
        <f ca="1">IF(NOTA[[#This Row],[ID_H]]="","",IF(NOTA[[#This Row],[Column3]]=TRUE,NOTA[[#This Row],[QTY/ CTN]],INDEX([3]!db[QTY/ CTN],NOTA[[#This Row],[//DB]])))</f>
        <v>150 PAK</v>
      </c>
      <c r="AT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9" s="39" t="e">
        <f ca="1">IF(NOTA[[#This Row],[ID_H]]="","",MATCH(NOTA[[#This Row],[NB NOTA_C_QTY]],[4]!db[NB NOTA_C_QTY+F],0))</f>
        <v>#REF!</v>
      </c>
      <c r="AV9" s="55">
        <f ca="1">IF(NOTA[[#This Row],[NB NOTA_C_QTY]]="","",ROW()-2)</f>
        <v>7</v>
      </c>
    </row>
    <row r="10" spans="1:48" ht="20.100000000000001" customHeight="1" x14ac:dyDescent="0.25">
      <c r="A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3</v>
      </c>
      <c r="E10" s="47"/>
      <c r="H10" s="48"/>
      <c r="L10" s="38" t="s">
        <v>211</v>
      </c>
      <c r="M10" s="41">
        <v>2</v>
      </c>
      <c r="N10" s="39">
        <v>600</v>
      </c>
      <c r="O10" s="38" t="s">
        <v>210</v>
      </c>
      <c r="P10" s="42">
        <v>3850</v>
      </c>
      <c r="Q10" s="43"/>
      <c r="R10" s="49"/>
      <c r="S10" s="50"/>
      <c r="U10" s="51"/>
      <c r="V10" s="46"/>
      <c r="W10" s="51">
        <f>IF(NOTA[[#This Row],[HARGA/ CTN]]="",NOTA[[#This Row],[JUMLAH_H]],NOTA[[#This Row],[HARGA/ CTN]]*IF(NOTA[[#This Row],[C]]="",0,NOTA[[#This Row],[C]]))</f>
        <v>2310000</v>
      </c>
      <c r="X10" s="51">
        <f>IF(NOTA[[#This Row],[JUMLAH]]="","",NOTA[[#This Row],[JUMLAH]]*NOTA[[#This Row],[DISC 1]])</f>
        <v>0</v>
      </c>
      <c r="Y10" s="51">
        <f>IF(NOTA[[#This Row],[JUMLAH]]="","",(NOTA[[#This Row],[JUMLAH]]-NOTA[[#This Row],[DISC 1-]])*NOTA[[#This Row],[DISC 2]])</f>
        <v>0</v>
      </c>
      <c r="Z10" s="51">
        <f>IF(NOTA[[#This Row],[JUMLAH]]="","",NOTA[[#This Row],[DISC 1-]]+NOTA[[#This Row],[DISC 2-]])</f>
        <v>0</v>
      </c>
      <c r="AA10" s="51">
        <f>IF(NOTA[[#This Row],[JUMLAH]]="","",NOTA[[#This Row],[JUMLAH]]-NOTA[[#This Row],[DISC]])</f>
        <v>2310000</v>
      </c>
      <c r="AB10" s="51"/>
      <c r="AC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51">
        <f>IF(OR(NOTA[[#This Row],[QTY]]="",NOTA[[#This Row],[HARGA SATUAN]]="",),"",NOTA[[#This Row],[QTY]]*NOTA[[#This Row],[HARGA SATUAN]])</f>
        <v>2310000</v>
      </c>
      <c r="AG10" s="40">
        <f ca="1">IF(NOTA[ID_H]="","",INDEX(NOTA[TANGGAL],MATCH(,INDIRECT(ADDRESS(ROW(NOTA[TANGGAL]),COLUMN(NOTA[TANGGAL]))&amp;":"&amp;ADDRESS(ROW(),COLUMN(NOTA[TANGGAL]))),-1)))</f>
        <v>45108</v>
      </c>
      <c r="AH10" s="42" t="str">
        <f ca="1">IF(NOTA[[#This Row],[NAMA BARANG]]="","",INDEX(NOTA[SUPPLIER],MATCH(,INDIRECT(ADDRESS(ROW(NOTA[ID]),COLUMN(NOTA[ID]))&amp;":"&amp;ADDRESS(ROW(),COLUMN(NOTA[ID]))),-1)))</f>
        <v>BINTANG JAYA</v>
      </c>
      <c r="AI10" s="42" t="str">
        <f ca="1">IF(NOTA[[#This Row],[ID_H]]="","",IF(NOTA[[#This Row],[FAKTUR]]="",INDIRECT(ADDRESS(ROW()-1,COLUMN())),NOTA[[#This Row],[FAKTUR]]))</f>
        <v>UNTANA</v>
      </c>
      <c r="AJ10" s="39" t="str">
        <f ca="1">IF(NOTA[[#This Row],[ID]]="","",COUNTIF(NOTA[ID_H],NOTA[[#This Row],[ID_H]]))</f>
        <v/>
      </c>
      <c r="AK10" s="39">
        <f ca="1">IF(NOTA[[#This Row],[TGL.NOTA]]="",IF(NOTA[[#This Row],[SUPPLIER_H]]="","",AK9),MONTH(NOTA[[#This Row],[TGL.NOTA]]))</f>
        <v>6</v>
      </c>
      <c r="AL10" s="39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9" t="str">
        <f>IF(NOTA[[#This Row],[CONCAT4]]="","",_xlfn.IFNA(MATCH(NOTA[[#This Row],[CONCAT4]],[2]!RAW[CONCAT_H],0),FALSE))</f>
        <v/>
      </c>
      <c r="AQ10" s="39">
        <f>IF(NOTA[[#This Row],[CONCAT1]]="","",MATCH(NOTA[[#This Row],[CONCAT1]],[3]!db[NB NOTA_C],0))</f>
        <v>1447</v>
      </c>
      <c r="AR10" s="39" t="str">
        <f>IF(NOTA[[#This Row],[QTY/ CTN]]="","",TRUE)</f>
        <v/>
      </c>
      <c r="AS10" s="39" t="str">
        <f ca="1">IF(NOTA[[#This Row],[ID_H]]="","",IF(NOTA[[#This Row],[Column3]]=TRUE,NOTA[[#This Row],[QTY/ CTN]],INDEX([3]!db[QTY/ CTN],NOTA[[#This Row],[//DB]])))</f>
        <v>300 PAK</v>
      </c>
      <c r="AT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U10" s="39" t="e">
        <f ca="1">IF(NOTA[[#This Row],[ID_H]]="","",MATCH(NOTA[[#This Row],[NB NOTA_C_QTY]],[4]!db[NB NOTA_C_QTY+F],0))</f>
        <v>#REF!</v>
      </c>
      <c r="AV10" s="55">
        <f ca="1">IF(NOTA[[#This Row],[NB NOTA_C_QTY]]="","",ROW()-2)</f>
        <v>8</v>
      </c>
    </row>
    <row r="11" spans="1:48" ht="20.100000000000001" customHeight="1" x14ac:dyDescent="0.25">
      <c r="A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3</v>
      </c>
      <c r="E11" s="47"/>
      <c r="H11" s="48"/>
      <c r="L11" s="38" t="s">
        <v>212</v>
      </c>
      <c r="M11" s="41">
        <v>2</v>
      </c>
      <c r="N11" s="39">
        <v>320</v>
      </c>
      <c r="O11" s="38" t="s">
        <v>210</v>
      </c>
      <c r="P11" s="42">
        <v>9500</v>
      </c>
      <c r="Q11" s="43"/>
      <c r="R11" s="49"/>
      <c r="S11" s="50"/>
      <c r="U11" s="51"/>
      <c r="V11" s="46"/>
      <c r="W11" s="51">
        <f>IF(NOTA[[#This Row],[HARGA/ CTN]]="",NOTA[[#This Row],[JUMLAH_H]],NOTA[[#This Row],[HARGA/ CTN]]*IF(NOTA[[#This Row],[C]]="",0,NOTA[[#This Row],[C]]))</f>
        <v>3040000</v>
      </c>
      <c r="X11" s="51">
        <f>IF(NOTA[[#This Row],[JUMLAH]]="","",NOTA[[#This Row],[JUMLAH]]*NOTA[[#This Row],[DISC 1]])</f>
        <v>0</v>
      </c>
      <c r="Y11" s="51">
        <f>IF(NOTA[[#This Row],[JUMLAH]]="","",(NOTA[[#This Row],[JUMLAH]]-NOTA[[#This Row],[DISC 1-]])*NOTA[[#This Row],[DISC 2]])</f>
        <v>0</v>
      </c>
      <c r="Z11" s="51">
        <f>IF(NOTA[[#This Row],[JUMLAH]]="","",NOTA[[#This Row],[DISC 1-]]+NOTA[[#This Row],[DISC 2-]])</f>
        <v>0</v>
      </c>
      <c r="AA11" s="51">
        <f>IF(NOTA[[#This Row],[JUMLAH]]="","",NOTA[[#This Row],[JUMLAH]]-NOTA[[#This Row],[DISC]])</f>
        <v>3040000</v>
      </c>
      <c r="AB11" s="51"/>
      <c r="AC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2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51">
        <f>IF(OR(NOTA[[#This Row],[QTY]]="",NOTA[[#This Row],[HARGA SATUAN]]="",),"",NOTA[[#This Row],[QTY]]*NOTA[[#This Row],[HARGA SATUAN]])</f>
        <v>3040000</v>
      </c>
      <c r="AG11" s="40">
        <f ca="1">IF(NOTA[ID_H]="","",INDEX(NOTA[TANGGAL],MATCH(,INDIRECT(ADDRESS(ROW(NOTA[TANGGAL]),COLUMN(NOTA[TANGGAL]))&amp;":"&amp;ADDRESS(ROW(),COLUMN(NOTA[TANGGAL]))),-1)))</f>
        <v>45108</v>
      </c>
      <c r="AH11" s="42" t="str">
        <f ca="1">IF(NOTA[[#This Row],[NAMA BARANG]]="","",INDEX(NOTA[SUPPLIER],MATCH(,INDIRECT(ADDRESS(ROW(NOTA[ID]),COLUMN(NOTA[ID]))&amp;":"&amp;ADDRESS(ROW(),COLUMN(NOTA[ID]))),-1)))</f>
        <v>BINTANG JAYA</v>
      </c>
      <c r="AI11" s="42" t="str">
        <f ca="1">IF(NOTA[[#This Row],[ID_H]]="","",IF(NOTA[[#This Row],[FAKTUR]]="",INDIRECT(ADDRESS(ROW()-1,COLUMN())),NOTA[[#This Row],[FAKTUR]]))</f>
        <v>UNTANA</v>
      </c>
      <c r="AJ11" s="39" t="str">
        <f ca="1">IF(NOTA[[#This Row],[ID]]="","",COUNTIF(NOTA[ID_H],NOTA[[#This Row],[ID_H]]))</f>
        <v/>
      </c>
      <c r="AK11" s="39">
        <f ca="1">IF(NOTA[[#This Row],[TGL.NOTA]]="",IF(NOTA[[#This Row],[SUPPLIER_H]]="","",AK10),MONTH(NOTA[[#This Row],[TGL.NOTA]]))</f>
        <v>6</v>
      </c>
      <c r="AL11" s="39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9" t="str">
        <f>IF(NOTA[[#This Row],[CONCAT4]]="","",_xlfn.IFNA(MATCH(NOTA[[#This Row],[CONCAT4]],[2]!RAW[CONCAT_H],0),FALSE))</f>
        <v/>
      </c>
      <c r="AQ11" s="39">
        <f>IF(NOTA[[#This Row],[CONCAT1]]="","",MATCH(NOTA[[#This Row],[CONCAT1]],[3]!db[NB NOTA_C],0))</f>
        <v>1445</v>
      </c>
      <c r="AR11" s="39" t="str">
        <f>IF(NOTA[[#This Row],[QTY/ CTN]]="","",TRUE)</f>
        <v/>
      </c>
      <c r="AS11" s="39" t="str">
        <f ca="1">IF(NOTA[[#This Row],[ID_H]]="","",IF(NOTA[[#This Row],[Column3]]=TRUE,NOTA[[#This Row],[QTY/ CTN]],INDEX([3]!db[QTY/ CTN],NOTA[[#This Row],[//DB]])))</f>
        <v>160 PAK</v>
      </c>
      <c r="AT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U11" s="39" t="e">
        <f ca="1">IF(NOTA[[#This Row],[ID_H]]="","",MATCH(NOTA[[#This Row],[NB NOTA_C_QTY]],[4]!db[NB NOTA_C_QTY+F],0))</f>
        <v>#REF!</v>
      </c>
      <c r="AV11" s="55">
        <f ca="1">IF(NOTA[[#This Row],[NB NOTA_C_QTY]]="","",ROW()-2)</f>
        <v>9</v>
      </c>
    </row>
    <row r="12" spans="1:48" ht="20.100000000000001" customHeight="1" x14ac:dyDescent="0.25">
      <c r="A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3</v>
      </c>
      <c r="E12" s="47"/>
      <c r="H12" s="48"/>
      <c r="L12" s="38" t="s">
        <v>213</v>
      </c>
      <c r="M12" s="41">
        <v>1</v>
      </c>
      <c r="N12" s="39">
        <v>200</v>
      </c>
      <c r="O12" s="38" t="s">
        <v>210</v>
      </c>
      <c r="P12" s="42">
        <v>4750</v>
      </c>
      <c r="Q12" s="43"/>
      <c r="R12" s="49"/>
      <c r="S12" s="50"/>
      <c r="U12" s="51"/>
      <c r="V12" s="46"/>
      <c r="W12" s="51">
        <f>IF(NOTA[[#This Row],[HARGA/ CTN]]="",NOTA[[#This Row],[JUMLAH_H]],NOTA[[#This Row],[HARGA/ CTN]]*IF(NOTA[[#This Row],[C]]="",0,NOTA[[#This Row],[C]]))</f>
        <v>950000</v>
      </c>
      <c r="X12" s="51">
        <f>IF(NOTA[[#This Row],[JUMLAH]]="","",NOTA[[#This Row],[JUMLAH]]*NOTA[[#This Row],[DISC 1]])</f>
        <v>0</v>
      </c>
      <c r="Y12" s="51">
        <f>IF(NOTA[[#This Row],[JUMLAH]]="","",(NOTA[[#This Row],[JUMLAH]]-NOTA[[#This Row],[DISC 1-]])*NOTA[[#This Row],[DISC 2]])</f>
        <v>0</v>
      </c>
      <c r="Z12" s="51">
        <f>IF(NOTA[[#This Row],[JUMLAH]]="","",NOTA[[#This Row],[DISC 1-]]+NOTA[[#This Row],[DISC 2-]])</f>
        <v>0</v>
      </c>
      <c r="AA12" s="51">
        <f>IF(NOTA[[#This Row],[JUMLAH]]="","",NOTA[[#This Row],[JUMLAH]]-NOTA[[#This Row],[DISC]])</f>
        <v>950000</v>
      </c>
      <c r="AB12" s="51"/>
      <c r="AC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2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51">
        <f>IF(OR(NOTA[[#This Row],[QTY]]="",NOTA[[#This Row],[HARGA SATUAN]]="",),"",NOTA[[#This Row],[QTY]]*NOTA[[#This Row],[HARGA SATUAN]])</f>
        <v>950000</v>
      </c>
      <c r="AG12" s="40">
        <f ca="1">IF(NOTA[ID_H]="","",INDEX(NOTA[TANGGAL],MATCH(,INDIRECT(ADDRESS(ROW(NOTA[TANGGAL]),COLUMN(NOTA[TANGGAL]))&amp;":"&amp;ADDRESS(ROW(),COLUMN(NOTA[TANGGAL]))),-1)))</f>
        <v>45108</v>
      </c>
      <c r="AH12" s="42" t="str">
        <f ca="1">IF(NOTA[[#This Row],[NAMA BARANG]]="","",INDEX(NOTA[SUPPLIER],MATCH(,INDIRECT(ADDRESS(ROW(NOTA[ID]),COLUMN(NOTA[ID]))&amp;":"&amp;ADDRESS(ROW(),COLUMN(NOTA[ID]))),-1)))</f>
        <v>BINTANG JAYA</v>
      </c>
      <c r="AI12" s="42" t="str">
        <f ca="1">IF(NOTA[[#This Row],[ID_H]]="","",IF(NOTA[[#This Row],[FAKTUR]]="",INDIRECT(ADDRESS(ROW()-1,COLUMN())),NOTA[[#This Row],[FAKTUR]]))</f>
        <v>UNTANA</v>
      </c>
      <c r="AJ12" s="39" t="str">
        <f ca="1">IF(NOTA[[#This Row],[ID]]="","",COUNTIF(NOTA[ID_H],NOTA[[#This Row],[ID_H]]))</f>
        <v/>
      </c>
      <c r="AK12" s="39">
        <f ca="1">IF(NOTA[[#This Row],[TGL.NOTA]]="",IF(NOTA[[#This Row],[SUPPLIER_H]]="","",AK11),MONTH(NOTA[[#This Row],[TGL.NOTA]]))</f>
        <v>6</v>
      </c>
      <c r="AL12" s="39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9" t="str">
        <f>IF(NOTA[[#This Row],[CONCAT4]]="","",_xlfn.IFNA(MATCH(NOTA[[#This Row],[CONCAT4]],[2]!RAW[CONCAT_H],0),FALSE))</f>
        <v/>
      </c>
      <c r="AQ12" s="39">
        <f>IF(NOTA[[#This Row],[CONCAT1]]="","",MATCH(NOTA[[#This Row],[CONCAT1]],[3]!db[NB NOTA_C],0))</f>
        <v>1448</v>
      </c>
      <c r="AR12" s="39" t="str">
        <f>IF(NOTA[[#This Row],[QTY/ CTN]]="","",TRUE)</f>
        <v/>
      </c>
      <c r="AS12" s="39" t="str">
        <f ca="1">IF(NOTA[[#This Row],[ID_H]]="","",IF(NOTA[[#This Row],[Column3]]=TRUE,NOTA[[#This Row],[QTY/ CTN]],INDEX([3]!db[QTY/ CTN],NOTA[[#This Row],[//DB]])))</f>
        <v>200 PAK</v>
      </c>
      <c r="AT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12" s="39" t="e">
        <f ca="1">IF(NOTA[[#This Row],[ID_H]]="","",MATCH(NOTA[[#This Row],[NB NOTA_C_QTY]],[4]!db[NB NOTA_C_QTY+F],0))</f>
        <v>#REF!</v>
      </c>
      <c r="AV12" s="55">
        <f ca="1">IF(NOTA[[#This Row],[NB NOTA_C_QTY]]="","",ROW()-2)</f>
        <v>10</v>
      </c>
    </row>
    <row r="13" spans="1:48" ht="20.100000000000001" customHeight="1" x14ac:dyDescent="0.25">
      <c r="A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>
        <f ca="1">IF(NOTA[[#This Row],[NAMA BARANG]]="","",INDEX(NOTA[ID],MATCH(,INDIRECT(ADDRESS(ROW(NOTA[ID]),COLUMN(NOTA[ID]))&amp;":"&amp;ADDRESS(ROW(),COLUMN(NOTA[ID]))),-1)))</f>
        <v>3</v>
      </c>
      <c r="E13" s="47"/>
      <c r="H13" s="48"/>
      <c r="L13" s="38" t="s">
        <v>214</v>
      </c>
      <c r="M13" s="41">
        <v>2</v>
      </c>
      <c r="N13" s="39">
        <v>300</v>
      </c>
      <c r="O13" s="38" t="s">
        <v>210</v>
      </c>
      <c r="P13" s="42">
        <v>10500</v>
      </c>
      <c r="Q13" s="43"/>
      <c r="R13" s="49"/>
      <c r="S13" s="50"/>
      <c r="U13" s="51"/>
      <c r="V13" s="46"/>
      <c r="W13" s="51">
        <f>IF(NOTA[[#This Row],[HARGA/ CTN]]="",NOTA[[#This Row],[JUMLAH_H]],NOTA[[#This Row],[HARGA/ CTN]]*IF(NOTA[[#This Row],[C]]="",0,NOTA[[#This Row],[C]]))</f>
        <v>3150000</v>
      </c>
      <c r="X13" s="51">
        <f>IF(NOTA[[#This Row],[JUMLAH]]="","",NOTA[[#This Row],[JUMLAH]]*NOTA[[#This Row],[DISC 1]])</f>
        <v>0</v>
      </c>
      <c r="Y13" s="51">
        <f>IF(NOTA[[#This Row],[JUMLAH]]="","",(NOTA[[#This Row],[JUMLAH]]-NOTA[[#This Row],[DISC 1-]])*NOTA[[#This Row],[DISC 2]])</f>
        <v>0</v>
      </c>
      <c r="Z13" s="51">
        <f>IF(NOTA[[#This Row],[JUMLAH]]="","",NOTA[[#This Row],[DISC 1-]]+NOTA[[#This Row],[DISC 2-]])</f>
        <v>0</v>
      </c>
      <c r="AA13" s="51">
        <f>IF(NOTA[[#This Row],[JUMLAH]]="","",NOTA[[#This Row],[JUMLAH]]-NOTA[[#This Row],[DISC]])</f>
        <v>3150000</v>
      </c>
      <c r="AB13" s="51"/>
      <c r="AC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42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51">
        <f>IF(OR(NOTA[[#This Row],[QTY]]="",NOTA[[#This Row],[HARGA SATUAN]]="",),"",NOTA[[#This Row],[QTY]]*NOTA[[#This Row],[HARGA SATUAN]])</f>
        <v>3150000</v>
      </c>
      <c r="AG13" s="40">
        <f ca="1">IF(NOTA[ID_H]="","",INDEX(NOTA[TANGGAL],MATCH(,INDIRECT(ADDRESS(ROW(NOTA[TANGGAL]),COLUMN(NOTA[TANGGAL]))&amp;":"&amp;ADDRESS(ROW(),COLUMN(NOTA[TANGGAL]))),-1)))</f>
        <v>45108</v>
      </c>
      <c r="AH13" s="42" t="str">
        <f ca="1">IF(NOTA[[#This Row],[NAMA BARANG]]="","",INDEX(NOTA[SUPPLIER],MATCH(,INDIRECT(ADDRESS(ROW(NOTA[ID]),COLUMN(NOTA[ID]))&amp;":"&amp;ADDRESS(ROW(),COLUMN(NOTA[ID]))),-1)))</f>
        <v>BINTANG JAYA</v>
      </c>
      <c r="AI13" s="42" t="str">
        <f ca="1">IF(NOTA[[#This Row],[ID_H]]="","",IF(NOTA[[#This Row],[FAKTUR]]="",INDIRECT(ADDRESS(ROW()-1,COLUMN())),NOTA[[#This Row],[FAKTUR]]))</f>
        <v>UNTANA</v>
      </c>
      <c r="AJ13" s="39" t="str">
        <f ca="1">IF(NOTA[[#This Row],[ID]]="","",COUNTIF(NOTA[ID_H],NOTA[[#This Row],[ID_H]]))</f>
        <v/>
      </c>
      <c r="AK13" s="39">
        <f ca="1">IF(NOTA[[#This Row],[TGL.NOTA]]="",IF(NOTA[[#This Row],[SUPPLIER_H]]="","",AK12),MONTH(NOTA[[#This Row],[TGL.NOTA]]))</f>
        <v>6</v>
      </c>
      <c r="AL13" s="39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9" t="str">
        <f>IF(NOTA[[#This Row],[CONCAT4]]="","",_xlfn.IFNA(MATCH(NOTA[[#This Row],[CONCAT4]],[2]!RAW[CONCAT_H],0),FALSE))</f>
        <v/>
      </c>
      <c r="AQ13" s="39">
        <f>IF(NOTA[[#This Row],[CONCAT1]]="","",MATCH(NOTA[[#This Row],[CONCAT1]],[3]!db[NB NOTA_C],0))</f>
        <v>1449</v>
      </c>
      <c r="AR13" s="39" t="str">
        <f>IF(NOTA[[#This Row],[QTY/ CTN]]="","",TRUE)</f>
        <v/>
      </c>
      <c r="AS13" s="39" t="str">
        <f ca="1">IF(NOTA[[#This Row],[ID_H]]="","",IF(NOTA[[#This Row],[Column3]]=TRUE,NOTA[[#This Row],[QTY/ CTN]],INDEX([3]!db[QTY/ CTN],NOTA[[#This Row],[//DB]])))</f>
        <v>150 PAK</v>
      </c>
      <c r="AT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U13" s="39" t="e">
        <f ca="1">IF(NOTA[[#This Row],[ID_H]]="","",MATCH(NOTA[[#This Row],[NB NOTA_C_QTY]],[4]!db[NB NOTA_C_QTY+F],0))</f>
        <v>#REF!</v>
      </c>
      <c r="AV13" s="55">
        <f ca="1">IF(NOTA[[#This Row],[NB NOTA_C_QTY]]="","",ROW()-2)</f>
        <v>11</v>
      </c>
    </row>
    <row r="14" spans="1:48" ht="20.100000000000001" customHeight="1" x14ac:dyDescent="0.25">
      <c r="A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9" t="str">
        <f>IF(NOTA[[#This Row],[ID_P]]="","",MATCH(NOTA[[#This Row],[ID_P]],[1]!B_MSK[N_ID],0))</f>
        <v/>
      </c>
      <c r="D14" s="39" t="str">
        <f ca="1">IF(NOTA[[#This Row],[NAMA BARANG]]="","",INDEX(NOTA[ID],MATCH(,INDIRECT(ADDRESS(ROW(NOTA[ID]),COLUMN(NOTA[ID]))&amp;":"&amp;ADDRESS(ROW(),COLUMN(NOTA[ID]))),-1)))</f>
        <v/>
      </c>
      <c r="E14" s="47"/>
      <c r="H14" s="48"/>
      <c r="N14" s="39"/>
      <c r="Q14" s="43"/>
      <c r="R14" s="49"/>
      <c r="S14" s="50"/>
      <c r="U14" s="51"/>
      <c r="V14" s="46"/>
      <c r="W14" s="51" t="str">
        <f>IF(NOTA[[#This Row],[HARGA/ CTN]]="",NOTA[[#This Row],[JUMLAH_H]],NOTA[[#This Row],[HARGA/ CTN]]*IF(NOTA[[#This Row],[C]]="",0,NOTA[[#This Row],[C]]))</f>
        <v/>
      </c>
      <c r="X14" s="51" t="str">
        <f>IF(NOTA[[#This Row],[JUMLAH]]="","",NOTA[[#This Row],[JUMLAH]]*NOTA[[#This Row],[DISC 1]])</f>
        <v/>
      </c>
      <c r="Y14" s="51" t="str">
        <f>IF(NOTA[[#This Row],[JUMLAH]]="","",(NOTA[[#This Row],[JUMLAH]]-NOTA[[#This Row],[DISC 1-]])*NOTA[[#This Row],[DISC 2]])</f>
        <v/>
      </c>
      <c r="Z14" s="51" t="str">
        <f>IF(NOTA[[#This Row],[JUMLAH]]="","",NOTA[[#This Row],[DISC 1-]]+NOTA[[#This Row],[DISC 2-]])</f>
        <v/>
      </c>
      <c r="AA14" s="51" t="str">
        <f>IF(NOTA[[#This Row],[JUMLAH]]="","",NOTA[[#This Row],[JUMLAH]]-NOTA[[#This Row],[DISC]])</f>
        <v/>
      </c>
      <c r="AB14" s="51"/>
      <c r="AC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51" t="str">
        <f>IF(OR(NOTA[[#This Row],[QTY]]="",NOTA[[#This Row],[HARGA SATUAN]]="",),"",NOTA[[#This Row],[QTY]]*NOTA[[#This Row],[HARGA SATUAN]])</f>
        <v/>
      </c>
      <c r="AG14" s="40" t="str">
        <f ca="1">IF(NOTA[ID_H]="","",INDEX(NOTA[TANGGAL],MATCH(,INDIRECT(ADDRESS(ROW(NOTA[TANGGAL]),COLUMN(NOTA[TANGGAL]))&amp;":"&amp;ADDRESS(ROW(),COLUMN(NOTA[TANGGAL]))),-1)))</f>
        <v/>
      </c>
      <c r="AH14" s="42" t="str">
        <f ca="1">IF(NOTA[[#This Row],[NAMA BARANG]]="","",INDEX(NOTA[SUPPLIER],MATCH(,INDIRECT(ADDRESS(ROW(NOTA[ID]),COLUMN(NOTA[ID]))&amp;":"&amp;ADDRESS(ROW(),COLUMN(NOTA[ID]))),-1)))</f>
        <v/>
      </c>
      <c r="AI14" s="42" t="str">
        <f ca="1">IF(NOTA[[#This Row],[ID_H]]="","",IF(NOTA[[#This Row],[FAKTUR]]="",INDIRECT(ADDRESS(ROW()-1,COLUMN())),NOTA[[#This Row],[FAKTUR]]))</f>
        <v/>
      </c>
      <c r="AJ14" s="39" t="str">
        <f ca="1">IF(NOTA[[#This Row],[ID]]="","",COUNTIF(NOTA[ID_H],NOTA[[#This Row],[ID_H]]))</f>
        <v/>
      </c>
      <c r="AK14" s="39" t="str">
        <f ca="1">IF(NOTA[[#This Row],[TGL.NOTA]]="",IF(NOTA[[#This Row],[SUPPLIER_H]]="","",AK13),MONTH(NOTA[[#This Row],[TGL.NOTA]]))</f>
        <v/>
      </c>
      <c r="AL14" s="39" t="str">
        <f>LOWER(SUBSTITUTE(SUBSTITUTE(SUBSTITUTE(SUBSTITUTE(SUBSTITUTE(SUBSTITUTE(SUBSTITUTE(SUBSTITUTE(SUBSTITUTE(NOTA[NAMA BARANG]," ",),".",""),"-",""),"(",""),")",""),",",""),"/",""),"""",""),"+",""))</f>
        <v/>
      </c>
      <c r="AM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9" t="str">
        <f>IF(NOTA[[#This Row],[CONCAT4]]="","",_xlfn.IFNA(MATCH(NOTA[[#This Row],[CONCAT4]],[2]!RAW[CONCAT_H],0),FALSE))</f>
        <v/>
      </c>
      <c r="AQ14" s="39" t="str">
        <f>IF(NOTA[[#This Row],[CONCAT1]]="","",MATCH(NOTA[[#This Row],[CONCAT1]],[3]!db[NB NOTA_C],0))</f>
        <v/>
      </c>
      <c r="AR14" s="39" t="str">
        <f>IF(NOTA[[#This Row],[QTY/ CTN]]="","",TRUE)</f>
        <v/>
      </c>
      <c r="AS14" s="39" t="str">
        <f ca="1">IF(NOTA[[#This Row],[ID_H]]="","",IF(NOTA[[#This Row],[Column3]]=TRUE,NOTA[[#This Row],[QTY/ CTN]],INDEX([3]!db[QTY/ CTN],NOTA[[#This Row],[//DB]])))</f>
        <v/>
      </c>
      <c r="AT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" s="39" t="str">
        <f ca="1">IF(NOTA[[#This Row],[ID_H]]="","",MATCH(NOTA[[#This Row],[NB NOTA_C_QTY]],[4]!db[NB NOTA_C_QTY+F],0))</f>
        <v/>
      </c>
      <c r="AV14" s="55" t="str">
        <f ca="1">IF(NOTA[[#This Row],[NB NOTA_C_QTY]]="","",ROW()-2)</f>
        <v/>
      </c>
    </row>
    <row r="15" spans="1:48" ht="20.100000000000001" customHeight="1" x14ac:dyDescent="0.25">
      <c r="A15" s="42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39" t="e">
        <f ca="1">IF(NOTA[[#This Row],[ID_P]]="","",MATCH(NOTA[[#This Row],[ID_P]],[1]!B_MSK[N_ID],0))</f>
        <v>#REF!</v>
      </c>
      <c r="D15" s="39">
        <f ca="1">IF(NOTA[[#This Row],[NAMA BARANG]]="","",INDEX(NOTA[ID],MATCH(,INDIRECT(ADDRESS(ROW(NOTA[ID]),COLUMN(NOTA[ID]))&amp;":"&amp;ADDRESS(ROW(),COLUMN(NOTA[ID]))),-1)))</f>
        <v>4</v>
      </c>
      <c r="E15" s="47">
        <v>45110</v>
      </c>
      <c r="F15" s="38" t="s">
        <v>215</v>
      </c>
      <c r="G15" s="38" t="s">
        <v>145</v>
      </c>
      <c r="H15" s="48" t="s">
        <v>216</v>
      </c>
      <c r="J15" s="40">
        <v>45103</v>
      </c>
      <c r="L15" s="38" t="s">
        <v>493</v>
      </c>
      <c r="M15" s="41">
        <v>4</v>
      </c>
      <c r="N15" s="39">
        <v>4800</v>
      </c>
      <c r="O15" s="38" t="s">
        <v>117</v>
      </c>
      <c r="P15" s="42">
        <v>2312.5</v>
      </c>
      <c r="Q15" s="43"/>
      <c r="R15" s="49" t="s">
        <v>217</v>
      </c>
      <c r="S15" s="50">
        <v>0.2</v>
      </c>
      <c r="U15" s="51"/>
      <c r="V15" s="46"/>
      <c r="W15" s="51">
        <f>IF(NOTA[[#This Row],[HARGA/ CTN]]="",NOTA[[#This Row],[JUMLAH_H]],NOTA[[#This Row],[HARGA/ CTN]]*IF(NOTA[[#This Row],[C]]="",0,NOTA[[#This Row],[C]]))</f>
        <v>11100000</v>
      </c>
      <c r="X15" s="51">
        <f>IF(NOTA[[#This Row],[JUMLAH]]="","",NOTA[[#This Row],[JUMLAH]]*NOTA[[#This Row],[DISC 1]])</f>
        <v>2220000</v>
      </c>
      <c r="Y15" s="51">
        <f>IF(NOTA[[#This Row],[JUMLAH]]="","",(NOTA[[#This Row],[JUMLAH]]-NOTA[[#This Row],[DISC 1-]])*NOTA[[#This Row],[DISC 2]])</f>
        <v>0</v>
      </c>
      <c r="Z15" s="51">
        <f>IF(NOTA[[#This Row],[JUMLAH]]="","",NOTA[[#This Row],[DISC 1-]]+NOTA[[#This Row],[DISC 2-]])</f>
        <v>2220000</v>
      </c>
      <c r="AA15" s="51">
        <f>IF(NOTA[[#This Row],[JUMLAH]]="","",NOTA[[#This Row],[JUMLAH]]-NOTA[[#This Row],[DISC]])</f>
        <v>8880000</v>
      </c>
      <c r="AB15" s="51"/>
      <c r="AC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4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51">
        <f>IF(OR(NOTA[[#This Row],[QTY]]="",NOTA[[#This Row],[HARGA SATUAN]]="",),"",NOTA[[#This Row],[QTY]]*NOTA[[#This Row],[HARGA SATUAN]])</f>
        <v>11100000</v>
      </c>
      <c r="AG15" s="40">
        <f ca="1">IF(NOTA[ID_H]="","",INDEX(NOTA[TANGGAL],MATCH(,INDIRECT(ADDRESS(ROW(NOTA[TANGGAL]),COLUMN(NOTA[TANGGAL]))&amp;":"&amp;ADDRESS(ROW(),COLUMN(NOTA[TANGGAL]))),-1)))</f>
        <v>45110</v>
      </c>
      <c r="AH15" s="42" t="str">
        <f ca="1">IF(NOTA[[#This Row],[NAMA BARANG]]="","",INDEX(NOTA[SUPPLIER],MATCH(,INDIRECT(ADDRESS(ROW(NOTA[ID]),COLUMN(NOTA[ID]))&amp;":"&amp;ADDRESS(ROW(),COLUMN(NOTA[ID]))),-1)))</f>
        <v>SURYA PRATAMA</v>
      </c>
      <c r="AI15" s="42" t="str">
        <f ca="1">IF(NOTA[[#This Row],[ID_H]]="","",IF(NOTA[[#This Row],[FAKTUR]]="",INDIRECT(ADDRESS(ROW()-1,COLUMN())),NOTA[[#This Row],[FAKTUR]]))</f>
        <v>UNTANA</v>
      </c>
      <c r="AJ15" s="39">
        <f ca="1">IF(NOTA[[#This Row],[ID]]="","",COUNTIF(NOTA[ID_H],NOTA[[#This Row],[ID_H]]))</f>
        <v>1</v>
      </c>
      <c r="AK15" s="39">
        <f>IF(NOTA[[#This Row],[TGL.NOTA]]="",IF(NOTA[[#This Row],[SUPPLIER_H]]="","",AK14),MONTH(NOTA[[#This Row],[TGL.NOTA]]))</f>
        <v>6</v>
      </c>
      <c r="AL15" s="39" t="str">
        <f>LOWER(SUBSTITUTE(SUBSTITUTE(SUBSTITUTE(SUBSTITUTE(SUBSTITUTE(SUBSTITUTE(SUBSTITUTE(SUBSTITUTE(SUBSTITUTE(NOTA[NAMA BARANG]," ",),".",""),"-",""),"(",""),")",""),",",""),"/",""),"""",""),"+",""))</f>
        <v>bukumewarnaijumbofancyangka&amp;huruf</v>
      </c>
      <c r="AM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N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O15" s="39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PRATAMAUNTANAF23F00094945103bukumewarnaijumbofancyangka&amp;huruf</v>
      </c>
      <c r="AP15" s="39" t="e">
        <f>IF(NOTA[[#This Row],[CONCAT4]]="","",_xlfn.IFNA(MATCH(NOTA[[#This Row],[CONCAT4]],[2]!RAW[CONCAT_H],0),FALSE))</f>
        <v>#REF!</v>
      </c>
      <c r="AQ15" s="39">
        <f>IF(NOTA[[#This Row],[CONCAT1]]="","",MATCH(NOTA[[#This Row],[CONCAT1]],[3]!db[NB NOTA_C],0))</f>
        <v>782</v>
      </c>
      <c r="AR15" s="39" t="b">
        <f>IF(NOTA[[#This Row],[QTY/ CTN]]="","",TRUE)</f>
        <v>1</v>
      </c>
      <c r="AS15" s="39" t="str">
        <f ca="1">IF(NOTA[[#This Row],[ID_H]]="","",IF(NOTA[[#This Row],[Column3]]=TRUE,NOTA[[#This Row],[QTY/ CTN]],INDEX([3]!db[QTY/ CTN],NOTA[[#This Row],[//DB]])))</f>
        <v>1200 PCS</v>
      </c>
      <c r="AT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bukumewarnaijumbofancyangka&amp;huruf1200pcsuntana</v>
      </c>
      <c r="AU15" s="39" t="e">
        <f ca="1">IF(NOTA[[#This Row],[ID_H]]="","",MATCH(NOTA[[#This Row],[NB NOTA_C_QTY]],[4]!db[NB NOTA_C_QTY+F],0))</f>
        <v>#REF!</v>
      </c>
      <c r="AV15" s="55">
        <f ca="1">IF(NOTA[[#This Row],[NB NOTA_C_QTY]]="","",ROW()-2)</f>
        <v>13</v>
      </c>
    </row>
    <row r="16" spans="1:48" ht="20.100000000000001" customHeight="1" x14ac:dyDescent="0.25">
      <c r="A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47"/>
      <c r="H16" s="48"/>
      <c r="N16" s="39"/>
      <c r="Q16" s="43"/>
      <c r="R16" s="49"/>
      <c r="S16" s="50"/>
      <c r="U16" s="51"/>
      <c r="V16" s="46"/>
      <c r="W16" s="51" t="str">
        <f>IF(NOTA[[#This Row],[HARGA/ CTN]]="",NOTA[[#This Row],[JUMLAH_H]],NOTA[[#This Row],[HARGA/ CTN]]*IF(NOTA[[#This Row],[C]]="",0,NOTA[[#This Row],[C]]))</f>
        <v/>
      </c>
      <c r="X16" s="51" t="str">
        <f>IF(NOTA[[#This Row],[JUMLAH]]="","",NOTA[[#This Row],[JUMLAH]]*NOTA[[#This Row],[DISC 1]])</f>
        <v/>
      </c>
      <c r="Y16" s="51" t="str">
        <f>IF(NOTA[[#This Row],[JUMLAH]]="","",(NOTA[[#This Row],[JUMLAH]]-NOTA[[#This Row],[DISC 1-]])*NOTA[[#This Row],[DISC 2]])</f>
        <v/>
      </c>
      <c r="Z16" s="51" t="str">
        <f>IF(NOTA[[#This Row],[JUMLAH]]="","",NOTA[[#This Row],[DISC 1-]]+NOTA[[#This Row],[DISC 2-]])</f>
        <v/>
      </c>
      <c r="AA16" s="51" t="str">
        <f>IF(NOTA[[#This Row],[JUMLAH]]="","",NOTA[[#This Row],[JUMLAH]]-NOTA[[#This Row],[DISC]])</f>
        <v/>
      </c>
      <c r="AB16" s="51"/>
      <c r="AC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51" t="str">
        <f>IF(OR(NOTA[[#This Row],[QTY]]="",NOTA[[#This Row],[HARGA SATUAN]]="",),"",NOTA[[#This Row],[QTY]]*NOTA[[#This Row],[HARGA SATUAN]])</f>
        <v/>
      </c>
      <c r="AG16" s="40" t="str">
        <f ca="1">IF(NOTA[ID_H]="","",INDEX(NOTA[TANGGAL],MATCH(,INDIRECT(ADDRESS(ROW(NOTA[TANGGAL]),COLUMN(NOTA[TANGGAL]))&amp;":"&amp;ADDRESS(ROW(),COLUMN(NOTA[TANGGAL]))),-1)))</f>
        <v/>
      </c>
      <c r="AH16" s="42" t="str">
        <f ca="1">IF(NOTA[[#This Row],[NAMA BARANG]]="","",INDEX(NOTA[SUPPLIER],MATCH(,INDIRECT(ADDRESS(ROW(NOTA[ID]),COLUMN(NOTA[ID]))&amp;":"&amp;ADDRESS(ROW(),COLUMN(NOTA[ID]))),-1)))</f>
        <v/>
      </c>
      <c r="AI16" s="42" t="str">
        <f ca="1">IF(NOTA[[#This Row],[ID_H]]="","",IF(NOTA[[#This Row],[FAKTUR]]="",INDIRECT(ADDRESS(ROW()-1,COLUMN())),NOTA[[#This Row],[FAKTUR]]))</f>
        <v/>
      </c>
      <c r="AJ16" s="39" t="str">
        <f ca="1">IF(NOTA[[#This Row],[ID]]="","",COUNTIF(NOTA[ID_H],NOTA[[#This Row],[ID_H]]))</f>
        <v/>
      </c>
      <c r="AK16" s="39" t="str">
        <f ca="1">IF(NOTA[[#This Row],[TGL.NOTA]]="",IF(NOTA[[#This Row],[SUPPLIER_H]]="","",AK15),MONTH(NOTA[[#This Row],[TGL.NOTA]]))</f>
        <v/>
      </c>
      <c r="AL16" s="39" t="str">
        <f>LOWER(SUBSTITUTE(SUBSTITUTE(SUBSTITUTE(SUBSTITUTE(SUBSTITUTE(SUBSTITUTE(SUBSTITUTE(SUBSTITUTE(SUBSTITUTE(NOTA[NAMA BARANG]," ",),".",""),"-",""),"(",""),")",""),",",""),"/",""),"""",""),"+",""))</f>
        <v/>
      </c>
      <c r="AM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9" t="str">
        <f>IF(NOTA[[#This Row],[CONCAT4]]="","",_xlfn.IFNA(MATCH(NOTA[[#This Row],[CONCAT4]],[2]!RAW[CONCAT_H],0),FALSE))</f>
        <v/>
      </c>
      <c r="AQ16" s="39" t="str">
        <f>IF(NOTA[[#This Row],[CONCAT1]]="","",MATCH(NOTA[[#This Row],[CONCAT1]],[3]!db[NB NOTA_C],0))</f>
        <v/>
      </c>
      <c r="AR16" s="39" t="str">
        <f>IF(NOTA[[#This Row],[QTY/ CTN]]="","",TRUE)</f>
        <v/>
      </c>
      <c r="AS16" s="39" t="str">
        <f ca="1">IF(NOTA[[#This Row],[ID_H]]="","",IF(NOTA[[#This Row],[Column3]]=TRUE,NOTA[[#This Row],[QTY/ CTN]],INDEX([3]!db[QTY/ CTN],NOTA[[#This Row],[//DB]])))</f>
        <v/>
      </c>
      <c r="AT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" s="39" t="str">
        <f ca="1">IF(NOTA[[#This Row],[ID_H]]="","",MATCH(NOTA[[#This Row],[NB NOTA_C_QTY]],[4]!db[NB NOTA_C_QTY+F],0))</f>
        <v/>
      </c>
      <c r="AV16" s="55" t="str">
        <f ca="1">IF(NOTA[[#This Row],[NB NOTA_C_QTY]]="","",ROW()-2)</f>
        <v/>
      </c>
    </row>
    <row r="17" spans="1:48" ht="20.100000000000001" customHeight="1" x14ac:dyDescent="0.25">
      <c r="A17" s="42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5</v>
      </c>
      <c r="E17" s="47">
        <v>45111</v>
      </c>
      <c r="F17" s="38" t="s">
        <v>147</v>
      </c>
      <c r="G17" s="38" t="s">
        <v>145</v>
      </c>
      <c r="H17" s="48" t="s">
        <v>148</v>
      </c>
      <c r="J17" s="40">
        <v>45110</v>
      </c>
      <c r="L17" s="38" t="s">
        <v>149</v>
      </c>
      <c r="M17" s="41">
        <v>30</v>
      </c>
      <c r="N17" s="39">
        <v>300</v>
      </c>
      <c r="O17" s="38" t="s">
        <v>117</v>
      </c>
      <c r="P17" s="42">
        <v>48000</v>
      </c>
      <c r="Q17" s="43"/>
      <c r="R17" s="49" t="s">
        <v>150</v>
      </c>
      <c r="S17" s="50"/>
      <c r="U17" s="51"/>
      <c r="V17" s="46"/>
      <c r="W17" s="51">
        <f>IF(NOTA[[#This Row],[HARGA/ CTN]]="",NOTA[[#This Row],[JUMLAH_H]],NOTA[[#This Row],[HARGA/ CTN]]*IF(NOTA[[#This Row],[C]]="",0,NOTA[[#This Row],[C]]))</f>
        <v>14400000</v>
      </c>
      <c r="X17" s="51">
        <f>IF(NOTA[[#This Row],[JUMLAH]]="","",NOTA[[#This Row],[JUMLAH]]*NOTA[[#This Row],[DISC 1]])</f>
        <v>0</v>
      </c>
      <c r="Y17" s="51">
        <f>IF(NOTA[[#This Row],[JUMLAH]]="","",(NOTA[[#This Row],[JUMLAH]]-NOTA[[#This Row],[DISC 1-]])*NOTA[[#This Row],[DISC 2]])</f>
        <v>0</v>
      </c>
      <c r="Z17" s="51">
        <f>IF(NOTA[[#This Row],[JUMLAH]]="","",NOTA[[#This Row],[DISC 1-]]+NOTA[[#This Row],[DISC 2-]])</f>
        <v>0</v>
      </c>
      <c r="AA17" s="51">
        <f>IF(NOTA[[#This Row],[JUMLAH]]="","",NOTA[[#This Row],[JUMLAH]]-NOTA[[#This Row],[DISC]])</f>
        <v>14400000</v>
      </c>
      <c r="AB17" s="51"/>
      <c r="AC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51">
        <f>IF(OR(NOTA[[#This Row],[QTY]]="",NOTA[[#This Row],[HARGA SATUAN]]="",),"",NOTA[[#This Row],[QTY]]*NOTA[[#This Row],[HARGA SATUAN]])</f>
        <v>14400000</v>
      </c>
      <c r="AG17" s="40">
        <f ca="1">IF(NOTA[ID_H]="","",INDEX(NOTA[TANGGAL],MATCH(,INDIRECT(ADDRESS(ROW(NOTA[TANGGAL]),COLUMN(NOTA[TANGGAL]))&amp;":"&amp;ADDRESS(ROW(),COLUMN(NOTA[TANGGAL]))),-1)))</f>
        <v>45111</v>
      </c>
      <c r="AH17" s="42" t="str">
        <f ca="1">IF(NOTA[[#This Row],[NAMA BARANG]]="","",INDEX(NOTA[SUPPLIER],MATCH(,INDIRECT(ADDRESS(ROW(NOTA[ID]),COLUMN(NOTA[ID]))&amp;":"&amp;ADDRESS(ROW(),COLUMN(NOTA[ID]))),-1)))</f>
        <v>SAPUTRO</v>
      </c>
      <c r="AI17" s="42" t="str">
        <f ca="1">IF(NOTA[[#This Row],[ID_H]]="","",IF(NOTA[[#This Row],[FAKTUR]]="",INDIRECT(ADDRESS(ROW()-1,COLUMN())),NOTA[[#This Row],[FAKTUR]]))</f>
        <v>UNTANA</v>
      </c>
      <c r="AJ17" s="39">
        <f ca="1">IF(NOTA[[#This Row],[ID]]="","",COUNTIF(NOTA[ID_H],NOTA[[#This Row],[ID_H]]))</f>
        <v>1</v>
      </c>
      <c r="AK17" s="39">
        <f>IF(NOTA[[#This Row],[TGL.NOTA]]="",IF(NOTA[[#This Row],[SUPPLIER_H]]="","",AK16),MONTH(NOTA[[#This Row],[TGL.NOTA]]))</f>
        <v>7</v>
      </c>
      <c r="AL17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39" t="e">
        <f>IF(NOTA[[#This Row],[CONCAT4]]="","",_xlfn.IFNA(MATCH(NOTA[[#This Row],[CONCAT4]],[2]!RAW[CONCAT_H],0),FALSE))</f>
        <v>#REF!</v>
      </c>
      <c r="AQ17" s="39">
        <f>IF(NOTA[[#This Row],[CONCAT1]]="","",MATCH(NOTA[[#This Row],[CONCAT1]],[3]!db[NB NOTA_C],0))</f>
        <v>1721</v>
      </c>
      <c r="AR17" s="39" t="b">
        <f>IF(NOTA[[#This Row],[QTY/ CTN]]="","",TRUE)</f>
        <v>1</v>
      </c>
      <c r="AS17" s="39" t="str">
        <f ca="1">IF(NOTA[[#This Row],[ID_H]]="","",IF(NOTA[[#This Row],[Column3]]=TRUE,NOTA[[#This Row],[QTY/ CTN]],INDEX([3]!db[QTY/ CTN],NOTA[[#This Row],[//DB]])))</f>
        <v>10 PCS</v>
      </c>
      <c r="AT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17" s="39" t="e">
        <f ca="1">IF(NOTA[[#This Row],[ID_H]]="","",MATCH(NOTA[[#This Row],[NB NOTA_C_QTY]],[4]!db[NB NOTA_C_QTY+F],0))</f>
        <v>#REF!</v>
      </c>
      <c r="AV17" s="55">
        <f ca="1">IF(NOTA[[#This Row],[NB NOTA_C_QTY]]="","",ROW()-2)</f>
        <v>15</v>
      </c>
    </row>
    <row r="18" spans="1:48" ht="20.100000000000001" customHeight="1" x14ac:dyDescent="0.25">
      <c r="A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 t="str">
        <f ca="1">IF(NOTA[[#This Row],[NAMA BARANG]]="","",INDEX(NOTA[ID],MATCH(,INDIRECT(ADDRESS(ROW(NOTA[ID]),COLUMN(NOTA[ID]))&amp;":"&amp;ADDRESS(ROW(),COLUMN(NOTA[ID]))),-1)))</f>
        <v/>
      </c>
      <c r="E18" s="47"/>
      <c r="H18" s="48"/>
      <c r="N18" s="39"/>
      <c r="Q18" s="43"/>
      <c r="R18" s="49"/>
      <c r="S18" s="50"/>
      <c r="U18" s="51"/>
      <c r="V18" s="46"/>
      <c r="W18" s="51" t="str">
        <f>IF(NOTA[[#This Row],[HARGA/ CTN]]="",NOTA[[#This Row],[JUMLAH_H]],NOTA[[#This Row],[HARGA/ CTN]]*IF(NOTA[[#This Row],[C]]="",0,NOTA[[#This Row],[C]]))</f>
        <v/>
      </c>
      <c r="X18" s="51" t="str">
        <f>IF(NOTA[[#This Row],[JUMLAH]]="","",NOTA[[#This Row],[JUMLAH]]*NOTA[[#This Row],[DISC 1]])</f>
        <v/>
      </c>
      <c r="Y18" s="51" t="str">
        <f>IF(NOTA[[#This Row],[JUMLAH]]="","",(NOTA[[#This Row],[JUMLAH]]-NOTA[[#This Row],[DISC 1-]])*NOTA[[#This Row],[DISC 2]])</f>
        <v/>
      </c>
      <c r="Z18" s="51" t="str">
        <f>IF(NOTA[[#This Row],[JUMLAH]]="","",NOTA[[#This Row],[DISC 1-]]+NOTA[[#This Row],[DISC 2-]])</f>
        <v/>
      </c>
      <c r="AA18" s="51" t="str">
        <f>IF(NOTA[[#This Row],[JUMLAH]]="","",NOTA[[#This Row],[JUMLAH]]-NOTA[[#This Row],[DISC]])</f>
        <v/>
      </c>
      <c r="AB18" s="51"/>
      <c r="AC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1" t="str">
        <f>IF(OR(NOTA[[#This Row],[QTY]]="",NOTA[[#This Row],[HARGA SATUAN]]="",),"",NOTA[[#This Row],[QTY]]*NOTA[[#This Row],[HARGA SATUAN]])</f>
        <v/>
      </c>
      <c r="AG18" s="40" t="str">
        <f ca="1">IF(NOTA[ID_H]="","",INDEX(NOTA[TANGGAL],MATCH(,INDIRECT(ADDRESS(ROW(NOTA[TANGGAL]),COLUMN(NOTA[TANGGAL]))&amp;":"&amp;ADDRESS(ROW(),COLUMN(NOTA[TANGGAL]))),-1)))</f>
        <v/>
      </c>
      <c r="AH18" s="42" t="str">
        <f ca="1">IF(NOTA[[#This Row],[NAMA BARANG]]="","",INDEX(NOTA[SUPPLIER],MATCH(,INDIRECT(ADDRESS(ROW(NOTA[ID]),COLUMN(NOTA[ID]))&amp;":"&amp;ADDRESS(ROW(),COLUMN(NOTA[ID]))),-1)))</f>
        <v/>
      </c>
      <c r="AI18" s="42" t="str">
        <f ca="1">IF(NOTA[[#This Row],[ID_H]]="","",IF(NOTA[[#This Row],[FAKTUR]]="",INDIRECT(ADDRESS(ROW()-1,COLUMN())),NOTA[[#This Row],[FAKTUR]]))</f>
        <v/>
      </c>
      <c r="AJ18" s="39" t="str">
        <f ca="1">IF(NOTA[[#This Row],[ID]]="","",COUNTIF(NOTA[ID_H],NOTA[[#This Row],[ID_H]]))</f>
        <v/>
      </c>
      <c r="AK18" s="39" t="str">
        <f ca="1">IF(NOTA[[#This Row],[TGL.NOTA]]="",IF(NOTA[[#This Row],[SUPPLIER_H]]="","",AK17),MONTH(NOTA[[#This Row],[TGL.NOTA]]))</f>
        <v/>
      </c>
      <c r="AL18" s="39" t="str">
        <f>LOWER(SUBSTITUTE(SUBSTITUTE(SUBSTITUTE(SUBSTITUTE(SUBSTITUTE(SUBSTITUTE(SUBSTITUTE(SUBSTITUTE(SUBSTITUTE(NOTA[NAMA BARANG]," ",),".",""),"-",""),"(",""),")",""),",",""),"/",""),"""",""),"+",""))</f>
        <v/>
      </c>
      <c r="AM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9" t="str">
        <f>IF(NOTA[[#This Row],[CONCAT4]]="","",_xlfn.IFNA(MATCH(NOTA[[#This Row],[CONCAT4]],[2]!RAW[CONCAT_H],0),FALSE))</f>
        <v/>
      </c>
      <c r="AQ18" s="39" t="str">
        <f>IF(NOTA[[#This Row],[CONCAT1]]="","",MATCH(NOTA[[#This Row],[CONCAT1]],[3]!db[NB NOTA_C],0))</f>
        <v/>
      </c>
      <c r="AR18" s="39" t="str">
        <f>IF(NOTA[[#This Row],[QTY/ CTN]]="","",TRUE)</f>
        <v/>
      </c>
      <c r="AS18" s="39" t="str">
        <f ca="1">IF(NOTA[[#This Row],[ID_H]]="","",IF(NOTA[[#This Row],[Column3]]=TRUE,NOTA[[#This Row],[QTY/ CTN]],INDEX([3]!db[QTY/ CTN],NOTA[[#This Row],[//DB]])))</f>
        <v/>
      </c>
      <c r="AT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" s="39" t="str">
        <f ca="1">IF(NOTA[[#This Row],[ID_H]]="","",MATCH(NOTA[[#This Row],[NB NOTA_C_QTY]],[4]!db[NB NOTA_C_QTY+F],0))</f>
        <v/>
      </c>
      <c r="AV18" s="55" t="str">
        <f ca="1">IF(NOTA[[#This Row],[NB NOTA_C_QTY]]="","",ROW()-2)</f>
        <v/>
      </c>
    </row>
    <row r="19" spans="1:48" ht="20.100000000000001" customHeight="1" x14ac:dyDescent="0.25">
      <c r="A19" s="42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39" t="e">
        <f ca="1">IF(NOTA[[#This Row],[ID_P]]="","",MATCH(NOTA[[#This Row],[ID_P]],[1]!B_MSK[N_ID],0))</f>
        <v>#REF!</v>
      </c>
      <c r="D19" s="39">
        <f ca="1">IF(NOTA[[#This Row],[NAMA BARANG]]="","",INDEX(NOTA[ID],MATCH(,INDIRECT(ADDRESS(ROW(NOTA[ID]),COLUMN(NOTA[ID]))&amp;":"&amp;ADDRESS(ROW(),COLUMN(NOTA[ID]))),-1)))</f>
        <v>6</v>
      </c>
      <c r="E19" s="47"/>
      <c r="F19" s="38" t="s">
        <v>151</v>
      </c>
      <c r="G19" s="42" t="s">
        <v>145</v>
      </c>
      <c r="H19" s="42" t="s">
        <v>494</v>
      </c>
      <c r="I19" s="42"/>
      <c r="J19" s="40">
        <v>45110</v>
      </c>
      <c r="K19" s="42"/>
      <c r="L19" s="42" t="s">
        <v>495</v>
      </c>
      <c r="M19" s="42">
        <v>5</v>
      </c>
      <c r="N19" s="42">
        <v>60</v>
      </c>
      <c r="O19" s="42" t="s">
        <v>152</v>
      </c>
      <c r="P19" s="42">
        <v>38000</v>
      </c>
      <c r="Q19" s="42"/>
      <c r="R19" s="42" t="s">
        <v>513</v>
      </c>
      <c r="S19" s="42"/>
      <c r="T19" s="42"/>
      <c r="U19" s="42"/>
      <c r="V19" s="42"/>
      <c r="W19" s="42">
        <f>IF(NOTA[[#This Row],[HARGA/ CTN]]="",NOTA[[#This Row],[JUMLAH_H]],NOTA[[#This Row],[HARGA/ CTN]]*IF(NOTA[[#This Row],[C]]="",0,NOTA[[#This Row],[C]]))</f>
        <v>2280000</v>
      </c>
      <c r="X19" s="42">
        <f>IF(NOTA[[#This Row],[JUMLAH]]="","",NOTA[[#This Row],[JUMLAH]]*NOTA[[#This Row],[DISC 1]])</f>
        <v>0</v>
      </c>
      <c r="Y19" s="42">
        <f>IF(NOTA[[#This Row],[JUMLAH]]="","",(NOTA[[#This Row],[JUMLAH]]-NOTA[[#This Row],[DISC 1-]])*NOTA[[#This Row],[DISC 2]])</f>
        <v>0</v>
      </c>
      <c r="Z19" s="42">
        <f>IF(NOTA[[#This Row],[JUMLAH]]="","",NOTA[[#This Row],[DISC 1-]]+NOTA[[#This Row],[DISC 2-]])</f>
        <v>0</v>
      </c>
      <c r="AA19" s="42">
        <f>IF(NOTA[[#This Row],[JUMLAH]]="","",NOTA[[#This Row],[JUMLAH]]-NOTA[[#This Row],[DISC]])</f>
        <v>2280000</v>
      </c>
      <c r="AC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2">
        <f>IF(OR(NOTA[[#This Row],[QTY]]="",NOTA[[#This Row],[HARGA SATUAN]]="",),"",NOTA[[#This Row],[QTY]]*NOTA[[#This Row],[HARGA SATUAN]])</f>
        <v>2280000</v>
      </c>
      <c r="AG19" s="40">
        <f ca="1">IF(NOTA[ID_H]="","",INDEX(NOTA[TANGGAL],MATCH(,INDIRECT(ADDRESS(ROW(NOTA[TANGGAL]),COLUMN(NOTA[TANGGAL]))&amp;":"&amp;ADDRESS(ROW(),COLUMN(NOTA[TANGGAL]))),-1)))</f>
        <v>45111</v>
      </c>
      <c r="AH19" s="42" t="str">
        <f ca="1">IF(NOTA[[#This Row],[NAMA BARANG]]="","",INDEX(NOTA[SUPPLIER],MATCH(,INDIRECT(ADDRESS(ROW(NOTA[ID]),COLUMN(NOTA[ID]))&amp;":"&amp;ADDRESS(ROW(),COLUMN(NOTA[ID]))),-1)))</f>
        <v>ETJ</v>
      </c>
      <c r="AI19" s="42" t="str">
        <f ca="1">IF(NOTA[[#This Row],[ID_H]]="","",IF(NOTA[[#This Row],[FAKTUR]]="",INDIRECT(ADDRESS(ROW()-1,COLUMN())),NOTA[[#This Row],[FAKTUR]]))</f>
        <v>UNTANA</v>
      </c>
      <c r="AJ19" s="39">
        <f ca="1">IF(NOTA[[#This Row],[ID]]="","",COUNTIF(NOTA[ID_H],NOTA[[#This Row],[ID_H]]))</f>
        <v>2</v>
      </c>
      <c r="AK19" s="39">
        <f>IF(NOTA[[#This Row],[TGL.NOTA]]="",IF(NOTA[[#This Row],[SUPPLIER_H]]="","",AK18),MONTH(NOTA[[#This Row],[TGL.NOTA]]))</f>
        <v>7</v>
      </c>
      <c r="AL19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39" t="e">
        <f>IF(NOTA[[#This Row],[CONCAT4]]="","",_xlfn.IFNA(MATCH(NOTA[[#This Row],[CONCAT4]],[2]!RAW[CONCAT_H],0),FALSE))</f>
        <v>#REF!</v>
      </c>
      <c r="AQ19" s="39">
        <f>IF(NOTA[[#This Row],[CONCAT1]]="","",MATCH(NOTA[[#This Row],[CONCAT1]],[3]!db[NB NOTA_C],0))</f>
        <v>879</v>
      </c>
      <c r="AR19" s="39" t="b">
        <f>IF(NOTA[[#This Row],[QTY/ CTN]]="","",TRUE)</f>
        <v>1</v>
      </c>
      <c r="AS19" s="39" t="str">
        <f ca="1">IF(NOTA[[#This Row],[ID_H]]="","",IF(NOTA[[#This Row],[Column3]]=TRUE,NOTA[[#This Row],[QTY/ CTN]],INDEX([3]!db[QTY/ CTN],NOTA[[#This Row],[//DB]])))</f>
        <v>12 LSN</v>
      </c>
      <c r="AT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19" s="39" t="e">
        <f ca="1">IF(NOTA[[#This Row],[ID_H]]="","",MATCH(NOTA[[#This Row],[NB NOTA_C_QTY]],[4]!db[NB NOTA_C_QTY+F],0))</f>
        <v>#REF!</v>
      </c>
      <c r="AV19" s="55">
        <f ca="1">IF(NOTA[[#This Row],[NB NOTA_C_QTY]]="","",ROW()-2)</f>
        <v>17</v>
      </c>
    </row>
    <row r="20" spans="1:48" ht="20.100000000000001" customHeight="1" x14ac:dyDescent="0.25">
      <c r="A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6</v>
      </c>
      <c r="E20" s="47"/>
      <c r="H20" s="48"/>
      <c r="L20" s="38" t="s">
        <v>154</v>
      </c>
      <c r="M20" s="41">
        <v>1</v>
      </c>
      <c r="N20" s="39">
        <v>7000</v>
      </c>
      <c r="O20" s="38" t="s">
        <v>117</v>
      </c>
      <c r="P20" s="42">
        <v>650</v>
      </c>
      <c r="Q20" s="43"/>
      <c r="R20" s="49" t="s">
        <v>155</v>
      </c>
      <c r="S20" s="50"/>
      <c r="U20" s="51"/>
      <c r="V20" s="46"/>
      <c r="W20" s="51">
        <f>IF(NOTA[[#This Row],[HARGA/ CTN]]="",NOTA[[#This Row],[JUMLAH_H]],NOTA[[#This Row],[HARGA/ CTN]]*IF(NOTA[[#This Row],[C]]="",0,NOTA[[#This Row],[C]]))</f>
        <v>4550000</v>
      </c>
      <c r="X20" s="51">
        <f>IF(NOTA[[#This Row],[JUMLAH]]="","",NOTA[[#This Row],[JUMLAH]]*NOTA[[#This Row],[DISC 1]])</f>
        <v>0</v>
      </c>
      <c r="Y20" s="51">
        <f>IF(NOTA[[#This Row],[JUMLAH]]="","",(NOTA[[#This Row],[JUMLAH]]-NOTA[[#This Row],[DISC 1-]])*NOTA[[#This Row],[DISC 2]])</f>
        <v>0</v>
      </c>
      <c r="Z20" s="51">
        <f>IF(NOTA[[#This Row],[JUMLAH]]="","",NOTA[[#This Row],[DISC 1-]]+NOTA[[#This Row],[DISC 2-]])</f>
        <v>0</v>
      </c>
      <c r="AA20" s="51">
        <f>IF(NOTA[[#This Row],[JUMLAH]]="","",NOTA[[#This Row],[JUMLAH]]-NOTA[[#This Row],[DISC]])</f>
        <v>4550000</v>
      </c>
      <c r="AB20" s="51"/>
      <c r="AC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42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51">
        <f>IF(OR(NOTA[[#This Row],[QTY]]="",NOTA[[#This Row],[HARGA SATUAN]]="",),"",NOTA[[#This Row],[QTY]]*NOTA[[#This Row],[HARGA SATUAN]])</f>
        <v>4550000</v>
      </c>
      <c r="AG20" s="40">
        <f ca="1">IF(NOTA[ID_H]="","",INDEX(NOTA[TANGGAL],MATCH(,INDIRECT(ADDRESS(ROW(NOTA[TANGGAL]),COLUMN(NOTA[TANGGAL]))&amp;":"&amp;ADDRESS(ROW(),COLUMN(NOTA[TANGGAL]))),-1)))</f>
        <v>45111</v>
      </c>
      <c r="AH20" s="42" t="str">
        <f ca="1">IF(NOTA[[#This Row],[NAMA BARANG]]="","",INDEX(NOTA[SUPPLIER],MATCH(,INDIRECT(ADDRESS(ROW(NOTA[ID]),COLUMN(NOTA[ID]))&amp;":"&amp;ADDRESS(ROW(),COLUMN(NOTA[ID]))),-1)))</f>
        <v>ETJ</v>
      </c>
      <c r="AI20" s="42" t="str">
        <f ca="1">IF(NOTA[[#This Row],[ID_H]]="","",IF(NOTA[[#This Row],[FAKTUR]]="",INDIRECT(ADDRESS(ROW()-1,COLUMN())),NOTA[[#This Row],[FAKTUR]]))</f>
        <v>UNTANA</v>
      </c>
      <c r="AJ20" s="39" t="str">
        <f ca="1">IF(NOTA[[#This Row],[ID]]="","",COUNTIF(NOTA[ID_H],NOTA[[#This Row],[ID_H]]))</f>
        <v/>
      </c>
      <c r="AK20" s="39">
        <f ca="1">IF(NOTA[[#This Row],[TGL.NOTA]]="",IF(NOTA[[#This Row],[SUPPLIER_H]]="","",AK19),MONTH(NOTA[[#This Row],[TGL.NOTA]]))</f>
        <v>7</v>
      </c>
      <c r="AL20" s="39" t="str">
        <f>LOWER(SUBSTITUTE(SUBSTITUTE(SUBSTITUTE(SUBSTITUTE(SUBSTITUTE(SUBSTITUTE(SUBSTITUTE(SUBSTITUTE(SUBSTITUTE(NOTA[NAMA BARANG]," ",),".",""),"-",""),"(",""),")",""),",",""),"/",""),"""",""),"+",""))</f>
        <v>enter12x18</v>
      </c>
      <c r="AM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9" t="str">
        <f>IF(NOTA[[#This Row],[CONCAT4]]="","",_xlfn.IFNA(MATCH(NOTA[[#This Row],[CONCAT4]],[2]!RAW[CONCAT_H],0),FALSE))</f>
        <v/>
      </c>
      <c r="AQ20" s="39">
        <f>IF(NOTA[[#This Row],[CONCAT1]]="","",MATCH(NOTA[[#This Row],[CONCAT1]],[3]!db[NB NOTA_C],0))</f>
        <v>1734</v>
      </c>
      <c r="AR20" s="39" t="b">
        <f>IF(NOTA[[#This Row],[QTY/ CTN]]="","",TRUE)</f>
        <v>1</v>
      </c>
      <c r="AS20" s="39" t="str">
        <f ca="1">IF(NOTA[[#This Row],[ID_H]]="","",IF(NOTA[[#This Row],[Column3]]=TRUE,NOTA[[#This Row],[QTY/ CTN]],INDEX([3]!db[QTY/ CTN],NOTA[[#This Row],[//DB]])))</f>
        <v>7000 PCS</v>
      </c>
      <c r="AT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enter12x187000pcsuntana</v>
      </c>
      <c r="AU20" s="39" t="e">
        <f ca="1">IF(NOTA[[#This Row],[ID_H]]="","",MATCH(NOTA[[#This Row],[NB NOTA_C_QTY]],[4]!db[NB NOTA_C_QTY+F],0))</f>
        <v>#REF!</v>
      </c>
      <c r="AV20" s="55">
        <f ca="1">IF(NOTA[[#This Row],[NB NOTA_C_QTY]]="","",ROW()-2)</f>
        <v>18</v>
      </c>
    </row>
    <row r="21" spans="1:48" ht="20.100000000000001" customHeight="1" x14ac:dyDescent="0.25">
      <c r="A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 t="str">
        <f ca="1">IF(NOTA[[#This Row],[NAMA BARANG]]="","",INDEX(NOTA[ID],MATCH(,INDIRECT(ADDRESS(ROW(NOTA[ID]),COLUMN(NOTA[ID]))&amp;":"&amp;ADDRESS(ROW(),COLUMN(NOTA[ID]))),-1)))</f>
        <v/>
      </c>
      <c r="E21" s="47"/>
      <c r="H21" s="48"/>
      <c r="N21" s="39"/>
      <c r="Q21" s="43"/>
      <c r="R21" s="49"/>
      <c r="S21" s="50"/>
      <c r="U21" s="51"/>
      <c r="V21" s="46"/>
      <c r="W21" s="51" t="str">
        <f>IF(NOTA[[#This Row],[HARGA/ CTN]]="",NOTA[[#This Row],[JUMLAH_H]],NOTA[[#This Row],[HARGA/ CTN]]*IF(NOTA[[#This Row],[C]]="",0,NOTA[[#This Row],[C]]))</f>
        <v/>
      </c>
      <c r="X21" s="51" t="str">
        <f>IF(NOTA[[#This Row],[JUMLAH]]="","",NOTA[[#This Row],[JUMLAH]]*NOTA[[#This Row],[DISC 1]])</f>
        <v/>
      </c>
      <c r="Y21" s="51" t="str">
        <f>IF(NOTA[[#This Row],[JUMLAH]]="","",(NOTA[[#This Row],[JUMLAH]]-NOTA[[#This Row],[DISC 1-]])*NOTA[[#This Row],[DISC 2]])</f>
        <v/>
      </c>
      <c r="Z21" s="51" t="str">
        <f>IF(NOTA[[#This Row],[JUMLAH]]="","",NOTA[[#This Row],[DISC 1-]]+NOTA[[#This Row],[DISC 2-]])</f>
        <v/>
      </c>
      <c r="AA21" s="51" t="str">
        <f>IF(NOTA[[#This Row],[JUMLAH]]="","",NOTA[[#This Row],[JUMLAH]]-NOTA[[#This Row],[DISC]])</f>
        <v/>
      </c>
      <c r="AB21" s="51"/>
      <c r="AC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51" t="str">
        <f>IF(OR(NOTA[[#This Row],[QTY]]="",NOTA[[#This Row],[HARGA SATUAN]]="",),"",NOTA[[#This Row],[QTY]]*NOTA[[#This Row],[HARGA SATUAN]])</f>
        <v/>
      </c>
      <c r="AG21" s="40" t="str">
        <f ca="1">IF(NOTA[ID_H]="","",INDEX(NOTA[TANGGAL],MATCH(,INDIRECT(ADDRESS(ROW(NOTA[TANGGAL]),COLUMN(NOTA[TANGGAL]))&amp;":"&amp;ADDRESS(ROW(),COLUMN(NOTA[TANGGAL]))),-1)))</f>
        <v/>
      </c>
      <c r="AH21" s="42" t="str">
        <f ca="1">IF(NOTA[[#This Row],[NAMA BARANG]]="","",INDEX(NOTA[SUPPLIER],MATCH(,INDIRECT(ADDRESS(ROW(NOTA[ID]),COLUMN(NOTA[ID]))&amp;":"&amp;ADDRESS(ROW(),COLUMN(NOTA[ID]))),-1)))</f>
        <v/>
      </c>
      <c r="AI21" s="42" t="str">
        <f ca="1">IF(NOTA[[#This Row],[ID_H]]="","",IF(NOTA[[#This Row],[FAKTUR]]="",INDIRECT(ADDRESS(ROW()-1,COLUMN())),NOTA[[#This Row],[FAKTUR]]))</f>
        <v/>
      </c>
      <c r="AJ21" s="39" t="str">
        <f ca="1">IF(NOTA[[#This Row],[ID]]="","",COUNTIF(NOTA[ID_H],NOTA[[#This Row],[ID_H]]))</f>
        <v/>
      </c>
      <c r="AK21" s="39" t="str">
        <f ca="1">IF(NOTA[[#This Row],[TGL.NOTA]]="",IF(NOTA[[#This Row],[SUPPLIER_H]]="","",AK20),MONTH(NOTA[[#This Row],[TGL.NOTA]]))</f>
        <v/>
      </c>
      <c r="AL21" s="39" t="str">
        <f>LOWER(SUBSTITUTE(SUBSTITUTE(SUBSTITUTE(SUBSTITUTE(SUBSTITUTE(SUBSTITUTE(SUBSTITUTE(SUBSTITUTE(SUBSTITUTE(NOTA[NAMA BARANG]," ",),".",""),"-",""),"(",""),")",""),",",""),"/",""),"""",""),"+",""))</f>
        <v/>
      </c>
      <c r="AM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9" t="str">
        <f>IF(NOTA[[#This Row],[CONCAT4]]="","",_xlfn.IFNA(MATCH(NOTA[[#This Row],[CONCAT4]],[2]!RAW[CONCAT_H],0),FALSE))</f>
        <v/>
      </c>
      <c r="AQ21" s="39" t="str">
        <f>IF(NOTA[[#This Row],[CONCAT1]]="","",MATCH(NOTA[[#This Row],[CONCAT1]],[3]!db[NB NOTA_C],0))</f>
        <v/>
      </c>
      <c r="AR21" s="39" t="str">
        <f>IF(NOTA[[#This Row],[QTY/ CTN]]="","",TRUE)</f>
        <v/>
      </c>
      <c r="AS21" s="39" t="str">
        <f ca="1">IF(NOTA[[#This Row],[ID_H]]="","",IF(NOTA[[#This Row],[Column3]]=TRUE,NOTA[[#This Row],[QTY/ CTN]],INDEX([3]!db[QTY/ CTN],NOTA[[#This Row],[//DB]])))</f>
        <v/>
      </c>
      <c r="AT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" s="39" t="str">
        <f ca="1">IF(NOTA[[#This Row],[ID_H]]="","",MATCH(NOTA[[#This Row],[NB NOTA_C_QTY]],[4]!db[NB NOTA_C_QTY+F],0))</f>
        <v/>
      </c>
      <c r="AV21" s="55" t="str">
        <f ca="1">IF(NOTA[[#This Row],[NB NOTA_C_QTY]]="","",ROW()-2)</f>
        <v/>
      </c>
    </row>
    <row r="22" spans="1:48" ht="20.100000000000001" customHeight="1" x14ac:dyDescent="0.25">
      <c r="A22" s="42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39" t="e">
        <f ca="1">IF(NOTA[[#This Row],[ID_P]]="","",MATCH(NOTA[[#This Row],[ID_P]],[1]!B_MSK[N_ID],0))</f>
        <v>#REF!</v>
      </c>
      <c r="D22" s="39">
        <f ca="1">IF(NOTA[[#This Row],[NAMA BARANG]]="","",INDEX(NOTA[ID],MATCH(,INDIRECT(ADDRESS(ROW(NOTA[ID]),COLUMN(NOTA[ID]))&amp;":"&amp;ADDRESS(ROW(),COLUMN(NOTA[ID]))),-1)))</f>
        <v>7</v>
      </c>
      <c r="E22" s="47"/>
      <c r="F22" s="38" t="s">
        <v>156</v>
      </c>
      <c r="G22" s="38" t="s">
        <v>145</v>
      </c>
      <c r="H22" s="48" t="s">
        <v>157</v>
      </c>
      <c r="J22" s="40">
        <v>45108</v>
      </c>
      <c r="L22" s="38" t="s">
        <v>158</v>
      </c>
      <c r="M22" s="41">
        <v>3</v>
      </c>
      <c r="N22" s="39">
        <v>180</v>
      </c>
      <c r="O22" s="38" t="s">
        <v>152</v>
      </c>
      <c r="P22" s="42">
        <v>21500</v>
      </c>
      <c r="Q22" s="43"/>
      <c r="R22" s="49" t="s">
        <v>153</v>
      </c>
      <c r="S22" s="50">
        <v>0.03</v>
      </c>
      <c r="U22" s="51"/>
      <c r="V22" s="46"/>
      <c r="W22" s="51">
        <f>IF(NOTA[[#This Row],[HARGA/ CTN]]="",NOTA[[#This Row],[JUMLAH_H]],NOTA[[#This Row],[HARGA/ CTN]]*IF(NOTA[[#This Row],[C]]="",0,NOTA[[#This Row],[C]]))</f>
        <v>3870000</v>
      </c>
      <c r="X22" s="51">
        <f>IF(NOTA[[#This Row],[JUMLAH]]="","",NOTA[[#This Row],[JUMLAH]]*NOTA[[#This Row],[DISC 1]])</f>
        <v>116100</v>
      </c>
      <c r="Y22" s="51">
        <f>IF(NOTA[[#This Row],[JUMLAH]]="","",(NOTA[[#This Row],[JUMLAH]]-NOTA[[#This Row],[DISC 1-]])*NOTA[[#This Row],[DISC 2]])</f>
        <v>0</v>
      </c>
      <c r="Z22" s="51">
        <f>IF(NOTA[[#This Row],[JUMLAH]]="","",NOTA[[#This Row],[DISC 1-]]+NOTA[[#This Row],[DISC 2-]])</f>
        <v>116100</v>
      </c>
      <c r="AA22" s="51">
        <f>IF(NOTA[[#This Row],[JUMLAH]]="","",NOTA[[#This Row],[JUMLAH]]-NOTA[[#This Row],[DISC]])</f>
        <v>3753900</v>
      </c>
      <c r="AB22" s="51"/>
      <c r="AC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42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51">
        <f>IF(OR(NOTA[[#This Row],[QTY]]="",NOTA[[#This Row],[HARGA SATUAN]]="",),"",NOTA[[#This Row],[QTY]]*NOTA[[#This Row],[HARGA SATUAN]])</f>
        <v>3870000</v>
      </c>
      <c r="AG22" s="40">
        <f ca="1">IF(NOTA[ID_H]="","",INDEX(NOTA[TANGGAL],MATCH(,INDIRECT(ADDRESS(ROW(NOTA[TANGGAL]),COLUMN(NOTA[TANGGAL]))&amp;":"&amp;ADDRESS(ROW(),COLUMN(NOTA[TANGGAL]))),-1)))</f>
        <v>45111</v>
      </c>
      <c r="AH22" s="42" t="str">
        <f ca="1">IF(NOTA[[#This Row],[NAMA BARANG]]="","",INDEX(NOTA[SUPPLIER],MATCH(,INDIRECT(ADDRESS(ROW(NOTA[ID]),COLUMN(NOTA[ID]))&amp;":"&amp;ADDRESS(ROW(),COLUMN(NOTA[ID]))),-1)))</f>
        <v>DUTA BUANA</v>
      </c>
      <c r="AI22" s="42" t="str">
        <f ca="1">IF(NOTA[[#This Row],[ID_H]]="","",IF(NOTA[[#This Row],[FAKTUR]]="",INDIRECT(ADDRESS(ROW()-1,COLUMN())),NOTA[[#This Row],[FAKTUR]]))</f>
        <v>UNTANA</v>
      </c>
      <c r="AJ22" s="39">
        <f ca="1">IF(NOTA[[#This Row],[ID]]="","",COUNTIF(NOTA[ID_H],NOTA[[#This Row],[ID_H]]))</f>
        <v>1</v>
      </c>
      <c r="AK22" s="39">
        <f>IF(NOTA[[#This Row],[TGL.NOTA]]="",IF(NOTA[[#This Row],[SUPPLIER_H]]="","",AK21),MONTH(NOTA[[#This Row],[TGL.NOTA]]))</f>
        <v>7</v>
      </c>
      <c r="AL22" s="39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39" t="e">
        <f>IF(NOTA[[#This Row],[CONCAT4]]="","",_xlfn.IFNA(MATCH(NOTA[[#This Row],[CONCAT4]],[2]!RAW[CONCAT_H],0),FALSE))</f>
        <v>#REF!</v>
      </c>
      <c r="AQ22" s="39">
        <f>IF(NOTA[[#This Row],[CONCAT1]]="","",MATCH(NOTA[[#This Row],[CONCAT1]],[3]!db[NB NOTA_C],0))</f>
        <v>2424</v>
      </c>
      <c r="AR22" s="39" t="b">
        <f>IF(NOTA[[#This Row],[QTY/ CTN]]="","",TRUE)</f>
        <v>1</v>
      </c>
      <c r="AS22" s="39" t="str">
        <f ca="1">IF(NOTA[[#This Row],[ID_H]]="","",IF(NOTA[[#This Row],[Column3]]=TRUE,NOTA[[#This Row],[QTY/ CTN]],INDEX([3]!db[QTY/ CTN],NOTA[[#This Row],[//DB]])))</f>
        <v>60 LSN</v>
      </c>
      <c r="AT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stabilotf1145livecolourpastel60lsnuntana</v>
      </c>
      <c r="AU22" s="39" t="e">
        <f ca="1">IF(NOTA[[#This Row],[ID_H]]="","",MATCH(NOTA[[#This Row],[NB NOTA_C_QTY]],[4]!db[NB NOTA_C_QTY+F],0))</f>
        <v>#REF!</v>
      </c>
      <c r="AV22" s="55">
        <f ca="1">IF(NOTA[[#This Row],[NB NOTA_C_QTY]]="","",ROW()-2)</f>
        <v>20</v>
      </c>
    </row>
    <row r="23" spans="1:48" ht="20.100000000000001" customHeight="1" x14ac:dyDescent="0.25">
      <c r="A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 t="str">
        <f ca="1">IF(NOTA[[#This Row],[NAMA BARANG]]="","",INDEX(NOTA[ID],MATCH(,INDIRECT(ADDRESS(ROW(NOTA[ID]),COLUMN(NOTA[ID]))&amp;":"&amp;ADDRESS(ROW(),COLUMN(NOTA[ID]))),-1)))</f>
        <v/>
      </c>
      <c r="E23" s="47"/>
      <c r="H23" s="48"/>
      <c r="N23" s="39"/>
      <c r="Q23" s="43"/>
      <c r="R23" s="49"/>
      <c r="S23" s="50"/>
      <c r="U23" s="51"/>
      <c r="V23" s="46"/>
      <c r="W23" s="51" t="str">
        <f>IF(NOTA[[#This Row],[HARGA/ CTN]]="",NOTA[[#This Row],[JUMLAH_H]],NOTA[[#This Row],[HARGA/ CTN]]*IF(NOTA[[#This Row],[C]]="",0,NOTA[[#This Row],[C]]))</f>
        <v/>
      </c>
      <c r="X23" s="51" t="str">
        <f>IF(NOTA[[#This Row],[JUMLAH]]="","",NOTA[[#This Row],[JUMLAH]]*NOTA[[#This Row],[DISC 1]])</f>
        <v/>
      </c>
      <c r="Y23" s="51" t="str">
        <f>IF(NOTA[[#This Row],[JUMLAH]]="","",(NOTA[[#This Row],[JUMLAH]]-NOTA[[#This Row],[DISC 1-]])*NOTA[[#This Row],[DISC 2]])</f>
        <v/>
      </c>
      <c r="Z23" s="51" t="str">
        <f>IF(NOTA[[#This Row],[JUMLAH]]="","",NOTA[[#This Row],[DISC 1-]]+NOTA[[#This Row],[DISC 2-]])</f>
        <v/>
      </c>
      <c r="AA23" s="51" t="str">
        <f>IF(NOTA[[#This Row],[JUMLAH]]="","",NOTA[[#This Row],[JUMLAH]]-NOTA[[#This Row],[DISC]])</f>
        <v/>
      </c>
      <c r="AB23" s="51"/>
      <c r="AC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1" t="str">
        <f>IF(OR(NOTA[[#This Row],[QTY]]="",NOTA[[#This Row],[HARGA SATUAN]]="",),"",NOTA[[#This Row],[QTY]]*NOTA[[#This Row],[HARGA SATUAN]])</f>
        <v/>
      </c>
      <c r="AG23" s="40" t="str">
        <f ca="1">IF(NOTA[ID_H]="","",INDEX(NOTA[TANGGAL],MATCH(,INDIRECT(ADDRESS(ROW(NOTA[TANGGAL]),COLUMN(NOTA[TANGGAL]))&amp;":"&amp;ADDRESS(ROW(),COLUMN(NOTA[TANGGAL]))),-1)))</f>
        <v/>
      </c>
      <c r="AH23" s="42" t="str">
        <f ca="1">IF(NOTA[[#This Row],[NAMA BARANG]]="","",INDEX(NOTA[SUPPLIER],MATCH(,INDIRECT(ADDRESS(ROW(NOTA[ID]),COLUMN(NOTA[ID]))&amp;":"&amp;ADDRESS(ROW(),COLUMN(NOTA[ID]))),-1)))</f>
        <v/>
      </c>
      <c r="AI23" s="42" t="str">
        <f ca="1">IF(NOTA[[#This Row],[ID_H]]="","",IF(NOTA[[#This Row],[FAKTUR]]="",INDIRECT(ADDRESS(ROW()-1,COLUMN())),NOTA[[#This Row],[FAKTUR]]))</f>
        <v/>
      </c>
      <c r="AJ23" s="39" t="str">
        <f ca="1">IF(NOTA[[#This Row],[ID]]="","",COUNTIF(NOTA[ID_H],NOTA[[#This Row],[ID_H]]))</f>
        <v/>
      </c>
      <c r="AK23" s="39" t="str">
        <f ca="1">IF(NOTA[[#This Row],[TGL.NOTA]]="",IF(NOTA[[#This Row],[SUPPLIER_H]]="","",AK22),MONTH(NOTA[[#This Row],[TGL.NOTA]]))</f>
        <v/>
      </c>
      <c r="AL23" s="39" t="str">
        <f>LOWER(SUBSTITUTE(SUBSTITUTE(SUBSTITUTE(SUBSTITUTE(SUBSTITUTE(SUBSTITUTE(SUBSTITUTE(SUBSTITUTE(SUBSTITUTE(NOTA[NAMA BARANG]," ",),".",""),"-",""),"(",""),")",""),",",""),"/",""),"""",""),"+",""))</f>
        <v/>
      </c>
      <c r="AM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9" t="str">
        <f>IF(NOTA[[#This Row],[CONCAT4]]="","",_xlfn.IFNA(MATCH(NOTA[[#This Row],[CONCAT4]],[2]!RAW[CONCAT_H],0),FALSE))</f>
        <v/>
      </c>
      <c r="AQ23" s="39" t="str">
        <f>IF(NOTA[[#This Row],[CONCAT1]]="","",MATCH(NOTA[[#This Row],[CONCAT1]],[3]!db[NB NOTA_C],0))</f>
        <v/>
      </c>
      <c r="AR23" s="39" t="str">
        <f>IF(NOTA[[#This Row],[QTY/ CTN]]="","",TRUE)</f>
        <v/>
      </c>
      <c r="AS23" s="39" t="str">
        <f ca="1">IF(NOTA[[#This Row],[ID_H]]="","",IF(NOTA[[#This Row],[Column3]]=TRUE,NOTA[[#This Row],[QTY/ CTN]],INDEX([3]!db[QTY/ CTN],NOTA[[#This Row],[//DB]])))</f>
        <v/>
      </c>
      <c r="AT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9" t="str">
        <f ca="1">IF(NOTA[[#This Row],[ID_H]]="","",MATCH(NOTA[[#This Row],[NB NOTA_C_QTY]],[4]!db[NB NOTA_C_QTY+F],0))</f>
        <v/>
      </c>
      <c r="AV23" s="55" t="str">
        <f ca="1">IF(NOTA[[#This Row],[NB NOTA_C_QTY]]="","",ROW()-2)</f>
        <v/>
      </c>
    </row>
    <row r="24" spans="1:48" ht="20.100000000000001" customHeight="1" x14ac:dyDescent="0.25">
      <c r="A24" s="42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39" t="e">
        <f ca="1">IF(NOTA[[#This Row],[ID_P]]="","",MATCH(NOTA[[#This Row],[ID_P]],[1]!B_MSK[N_ID],0))</f>
        <v>#REF!</v>
      </c>
      <c r="D24" s="39">
        <f ca="1">IF(NOTA[[#This Row],[NAMA BARANG]]="","",INDEX(NOTA[ID],MATCH(,INDIRECT(ADDRESS(ROW(NOTA[ID]),COLUMN(NOTA[ID]))&amp;":"&amp;ADDRESS(ROW(),COLUMN(NOTA[ID]))),-1)))</f>
        <v>8</v>
      </c>
      <c r="E24" s="47"/>
      <c r="F24" s="38" t="s">
        <v>156</v>
      </c>
      <c r="G24" s="38" t="s">
        <v>145</v>
      </c>
      <c r="H24" s="48" t="s">
        <v>159</v>
      </c>
      <c r="J24" s="40">
        <v>45108</v>
      </c>
      <c r="L24" s="38" t="s">
        <v>160</v>
      </c>
      <c r="M24" s="41">
        <v>3</v>
      </c>
      <c r="N24" s="39">
        <v>288</v>
      </c>
      <c r="O24" s="38" t="s">
        <v>152</v>
      </c>
      <c r="P24" s="42">
        <v>26500</v>
      </c>
      <c r="Q24" s="43"/>
      <c r="R24" s="49" t="s">
        <v>161</v>
      </c>
      <c r="S24" s="50">
        <v>0.03</v>
      </c>
      <c r="U24" s="51"/>
      <c r="V24" s="46"/>
      <c r="W24" s="51">
        <f>IF(NOTA[[#This Row],[HARGA/ CTN]]="",NOTA[[#This Row],[JUMLAH_H]],NOTA[[#This Row],[HARGA/ CTN]]*IF(NOTA[[#This Row],[C]]="",0,NOTA[[#This Row],[C]]))</f>
        <v>7632000</v>
      </c>
      <c r="X24" s="51">
        <f>IF(NOTA[[#This Row],[JUMLAH]]="","",NOTA[[#This Row],[JUMLAH]]*NOTA[[#This Row],[DISC 1]])</f>
        <v>228960</v>
      </c>
      <c r="Y24" s="51">
        <f>IF(NOTA[[#This Row],[JUMLAH]]="","",(NOTA[[#This Row],[JUMLAH]]-NOTA[[#This Row],[DISC 1-]])*NOTA[[#This Row],[DISC 2]])</f>
        <v>0</v>
      </c>
      <c r="Z24" s="51">
        <f>IF(NOTA[[#This Row],[JUMLAH]]="","",NOTA[[#This Row],[DISC 1-]]+NOTA[[#This Row],[DISC 2-]])</f>
        <v>228960</v>
      </c>
      <c r="AA24" s="51">
        <f>IF(NOTA[[#This Row],[JUMLAH]]="","",NOTA[[#This Row],[JUMLAH]]-NOTA[[#This Row],[DISC]])</f>
        <v>7403040</v>
      </c>
      <c r="AB24" s="51"/>
      <c r="AC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51">
        <f>IF(OR(NOTA[[#This Row],[QTY]]="",NOTA[[#This Row],[HARGA SATUAN]]="",),"",NOTA[[#This Row],[QTY]]*NOTA[[#This Row],[HARGA SATUAN]])</f>
        <v>7632000</v>
      </c>
      <c r="AG24" s="40">
        <f ca="1">IF(NOTA[ID_H]="","",INDEX(NOTA[TANGGAL],MATCH(,INDIRECT(ADDRESS(ROW(NOTA[TANGGAL]),COLUMN(NOTA[TANGGAL]))&amp;":"&amp;ADDRESS(ROW(),COLUMN(NOTA[TANGGAL]))),-1)))</f>
        <v>45111</v>
      </c>
      <c r="AH24" s="42" t="str">
        <f ca="1">IF(NOTA[[#This Row],[NAMA BARANG]]="","",INDEX(NOTA[SUPPLIER],MATCH(,INDIRECT(ADDRESS(ROW(NOTA[ID]),COLUMN(NOTA[ID]))&amp;":"&amp;ADDRESS(ROW(),COLUMN(NOTA[ID]))),-1)))</f>
        <v>DUTA BUANA</v>
      </c>
      <c r="AI24" s="42" t="str">
        <f ca="1">IF(NOTA[[#This Row],[ID_H]]="","",IF(NOTA[[#This Row],[FAKTUR]]="",INDIRECT(ADDRESS(ROW()-1,COLUMN())),NOTA[[#This Row],[FAKTUR]]))</f>
        <v>UNTANA</v>
      </c>
      <c r="AJ24" s="39">
        <f ca="1">IF(NOTA[[#This Row],[ID]]="","",COUNTIF(NOTA[ID_H],NOTA[[#This Row],[ID_H]]))</f>
        <v>1</v>
      </c>
      <c r="AK24" s="39">
        <f>IF(NOTA[[#This Row],[TGL.NOTA]]="",IF(NOTA[[#This Row],[SUPPLIER_H]]="","",AK23),MONTH(NOTA[[#This Row],[TGL.NOTA]]))</f>
        <v>7</v>
      </c>
      <c r="AL24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39" t="e">
        <f>IF(NOTA[[#This Row],[CONCAT4]]="","",_xlfn.IFNA(MATCH(NOTA[[#This Row],[CONCAT4]],[2]!RAW[CONCAT_H],0),FALSE))</f>
        <v>#REF!</v>
      </c>
      <c r="AQ24" s="39">
        <f>IF(NOTA[[#This Row],[CONCAT1]]="","",MATCH(NOTA[[#This Row],[CONCAT1]],[3]!db[NB NOTA_C],0))</f>
        <v>454</v>
      </c>
      <c r="AR24" s="39" t="b">
        <f>IF(NOTA[[#This Row],[QTY/ CTN]]="","",TRUE)</f>
        <v>1</v>
      </c>
      <c r="AS24" s="39" t="str">
        <f ca="1">IF(NOTA[[#This Row],[ID_H]]="","",IF(NOTA[[#This Row],[Column3]]=TRUE,NOTA[[#This Row],[QTY/ CTN]],INDEX([3]!db[QTY/ CTN],NOTA[[#This Row],[//DB]])))</f>
        <v>96 LSN</v>
      </c>
      <c r="AT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4" s="39" t="e">
        <f ca="1">IF(NOTA[[#This Row],[ID_H]]="","",MATCH(NOTA[[#This Row],[NB NOTA_C_QTY]],[4]!db[NB NOTA_C_QTY+F],0))</f>
        <v>#REF!</v>
      </c>
      <c r="AV24" s="55">
        <f ca="1">IF(NOTA[[#This Row],[NB NOTA_C_QTY]]="","",ROW()-2)</f>
        <v>22</v>
      </c>
    </row>
    <row r="25" spans="1:48" ht="20.100000000000001" customHeight="1" x14ac:dyDescent="0.25">
      <c r="A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 t="str">
        <f ca="1">IF(NOTA[[#This Row],[NAMA BARANG]]="","",INDEX(NOTA[ID],MATCH(,INDIRECT(ADDRESS(ROW(NOTA[ID]),COLUMN(NOTA[ID]))&amp;":"&amp;ADDRESS(ROW(),COLUMN(NOTA[ID]))),-1)))</f>
        <v/>
      </c>
      <c r="E25" s="47"/>
      <c r="H25" s="48"/>
      <c r="N25" s="39"/>
      <c r="Q25" s="43"/>
      <c r="R25" s="49"/>
      <c r="S25" s="50"/>
      <c r="U25" s="51"/>
      <c r="V25" s="46"/>
      <c r="W25" s="51" t="str">
        <f>IF(NOTA[[#This Row],[HARGA/ CTN]]="",NOTA[[#This Row],[JUMLAH_H]],NOTA[[#This Row],[HARGA/ CTN]]*IF(NOTA[[#This Row],[C]]="",0,NOTA[[#This Row],[C]]))</f>
        <v/>
      </c>
      <c r="X25" s="51" t="str">
        <f>IF(NOTA[[#This Row],[JUMLAH]]="","",NOTA[[#This Row],[JUMLAH]]*NOTA[[#This Row],[DISC 1]])</f>
        <v/>
      </c>
      <c r="Y25" s="51" t="str">
        <f>IF(NOTA[[#This Row],[JUMLAH]]="","",(NOTA[[#This Row],[JUMLAH]]-NOTA[[#This Row],[DISC 1-]])*NOTA[[#This Row],[DISC 2]])</f>
        <v/>
      </c>
      <c r="Z25" s="51" t="str">
        <f>IF(NOTA[[#This Row],[JUMLAH]]="","",NOTA[[#This Row],[DISC 1-]]+NOTA[[#This Row],[DISC 2-]])</f>
        <v/>
      </c>
      <c r="AA25" s="51" t="str">
        <f>IF(NOTA[[#This Row],[JUMLAH]]="","",NOTA[[#This Row],[JUMLAH]]-NOTA[[#This Row],[DISC]])</f>
        <v/>
      </c>
      <c r="AB25" s="51"/>
      <c r="AC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1" t="str">
        <f>IF(OR(NOTA[[#This Row],[QTY]]="",NOTA[[#This Row],[HARGA SATUAN]]="",),"",NOTA[[#This Row],[QTY]]*NOTA[[#This Row],[HARGA SATUAN]])</f>
        <v/>
      </c>
      <c r="AG25" s="40" t="str">
        <f ca="1">IF(NOTA[ID_H]="","",INDEX(NOTA[TANGGAL],MATCH(,INDIRECT(ADDRESS(ROW(NOTA[TANGGAL]),COLUMN(NOTA[TANGGAL]))&amp;":"&amp;ADDRESS(ROW(),COLUMN(NOTA[TANGGAL]))),-1)))</f>
        <v/>
      </c>
      <c r="AH25" s="42" t="str">
        <f ca="1">IF(NOTA[[#This Row],[NAMA BARANG]]="","",INDEX(NOTA[SUPPLIER],MATCH(,INDIRECT(ADDRESS(ROW(NOTA[ID]),COLUMN(NOTA[ID]))&amp;":"&amp;ADDRESS(ROW(),COLUMN(NOTA[ID]))),-1)))</f>
        <v/>
      </c>
      <c r="AI25" s="42" t="str">
        <f ca="1">IF(NOTA[[#This Row],[ID_H]]="","",IF(NOTA[[#This Row],[FAKTUR]]="",INDIRECT(ADDRESS(ROW()-1,COLUMN())),NOTA[[#This Row],[FAKTUR]]))</f>
        <v/>
      </c>
      <c r="AJ25" s="39" t="str">
        <f ca="1">IF(NOTA[[#This Row],[ID]]="","",COUNTIF(NOTA[ID_H],NOTA[[#This Row],[ID_H]]))</f>
        <v/>
      </c>
      <c r="AK25" s="39" t="str">
        <f ca="1">IF(NOTA[[#This Row],[TGL.NOTA]]="",IF(NOTA[[#This Row],[SUPPLIER_H]]="","",AK24),MONTH(NOTA[[#This Row],[TGL.NOTA]]))</f>
        <v/>
      </c>
      <c r="AL25" s="39" t="str">
        <f>LOWER(SUBSTITUTE(SUBSTITUTE(SUBSTITUTE(SUBSTITUTE(SUBSTITUTE(SUBSTITUTE(SUBSTITUTE(SUBSTITUTE(SUBSTITUTE(NOTA[NAMA BARANG]," ",),".",""),"-",""),"(",""),")",""),",",""),"/",""),"""",""),"+",""))</f>
        <v/>
      </c>
      <c r="AM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9" t="str">
        <f>IF(NOTA[[#This Row],[CONCAT4]]="","",_xlfn.IFNA(MATCH(NOTA[[#This Row],[CONCAT4]],[2]!RAW[CONCAT_H],0),FALSE))</f>
        <v/>
      </c>
      <c r="AQ25" s="39" t="str">
        <f>IF(NOTA[[#This Row],[CONCAT1]]="","",MATCH(NOTA[[#This Row],[CONCAT1]],[3]!db[NB NOTA_C],0))</f>
        <v/>
      </c>
      <c r="AR25" s="39" t="str">
        <f>IF(NOTA[[#This Row],[QTY/ CTN]]="","",TRUE)</f>
        <v/>
      </c>
      <c r="AS25" s="39" t="str">
        <f ca="1">IF(NOTA[[#This Row],[ID_H]]="","",IF(NOTA[[#This Row],[Column3]]=TRUE,NOTA[[#This Row],[QTY/ CTN]],INDEX([3]!db[QTY/ CTN],NOTA[[#This Row],[//DB]])))</f>
        <v/>
      </c>
      <c r="AT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9" t="str">
        <f ca="1">IF(NOTA[[#This Row],[ID_H]]="","",MATCH(NOTA[[#This Row],[NB NOTA_C_QTY]],[4]!db[NB NOTA_C_QTY+F],0))</f>
        <v/>
      </c>
      <c r="AV25" s="55" t="str">
        <f ca="1">IF(NOTA[[#This Row],[NB NOTA_C_QTY]]="","",ROW()-2)</f>
        <v/>
      </c>
    </row>
    <row r="26" spans="1:48" ht="20.100000000000001" customHeight="1" x14ac:dyDescent="0.25">
      <c r="A26" s="42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39" t="e">
        <f ca="1">IF(NOTA[[#This Row],[ID_P]]="","",MATCH(NOTA[[#This Row],[ID_P]],[1]!B_MSK[N_ID],0))</f>
        <v>#REF!</v>
      </c>
      <c r="D26" s="39">
        <f ca="1">IF(NOTA[[#This Row],[NAMA BARANG]]="","",INDEX(NOTA[ID],MATCH(,INDIRECT(ADDRESS(ROW(NOTA[ID]),COLUMN(NOTA[ID]))&amp;":"&amp;ADDRESS(ROW(),COLUMN(NOTA[ID]))),-1)))</f>
        <v>9</v>
      </c>
      <c r="E26" s="47"/>
      <c r="F26" s="38" t="s">
        <v>156</v>
      </c>
      <c r="G26" s="38" t="s">
        <v>145</v>
      </c>
      <c r="H26" s="48" t="s">
        <v>162</v>
      </c>
      <c r="J26" s="40">
        <v>45111</v>
      </c>
      <c r="L26" s="38" t="s">
        <v>163</v>
      </c>
      <c r="M26" s="41">
        <v>3</v>
      </c>
      <c r="N26" s="39">
        <v>288</v>
      </c>
      <c r="O26" s="38" t="s">
        <v>152</v>
      </c>
      <c r="P26" s="43">
        <v>26500</v>
      </c>
      <c r="Q26" s="43"/>
      <c r="R26" s="49" t="s">
        <v>161</v>
      </c>
      <c r="S26" s="50">
        <v>0.03</v>
      </c>
      <c r="U26" s="51"/>
      <c r="V26" s="46"/>
      <c r="W26" s="51">
        <f>IF(NOTA[[#This Row],[HARGA/ CTN]]="",NOTA[[#This Row],[JUMLAH_H]],NOTA[[#This Row],[HARGA/ CTN]]*IF(NOTA[[#This Row],[C]]="",0,NOTA[[#This Row],[C]]))</f>
        <v>7632000</v>
      </c>
      <c r="X26" s="51">
        <f>IF(NOTA[[#This Row],[JUMLAH]]="","",NOTA[[#This Row],[JUMLAH]]*NOTA[[#This Row],[DISC 1]])</f>
        <v>228960</v>
      </c>
      <c r="Y26" s="51">
        <f>IF(NOTA[[#This Row],[JUMLAH]]="","",(NOTA[[#This Row],[JUMLAH]]-NOTA[[#This Row],[DISC 1-]])*NOTA[[#This Row],[DISC 2]])</f>
        <v>0</v>
      </c>
      <c r="Z26" s="51">
        <f>IF(NOTA[[#This Row],[JUMLAH]]="","",NOTA[[#This Row],[DISC 1-]]+NOTA[[#This Row],[DISC 2-]])</f>
        <v>228960</v>
      </c>
      <c r="AA26" s="51">
        <f>IF(NOTA[[#This Row],[JUMLAH]]="","",NOTA[[#This Row],[JUMLAH]]-NOTA[[#This Row],[DISC]])</f>
        <v>7403040</v>
      </c>
      <c r="AB26" s="51"/>
      <c r="AC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51">
        <f>IF(OR(NOTA[[#This Row],[QTY]]="",NOTA[[#This Row],[HARGA SATUAN]]="",),"",NOTA[[#This Row],[QTY]]*NOTA[[#This Row],[HARGA SATUAN]])</f>
        <v>7632000</v>
      </c>
      <c r="AG26" s="40">
        <f ca="1">IF(NOTA[ID_H]="","",INDEX(NOTA[TANGGAL],MATCH(,INDIRECT(ADDRESS(ROW(NOTA[TANGGAL]),COLUMN(NOTA[TANGGAL]))&amp;":"&amp;ADDRESS(ROW(),COLUMN(NOTA[TANGGAL]))),-1)))</f>
        <v>45111</v>
      </c>
      <c r="AH26" s="42" t="str">
        <f ca="1">IF(NOTA[[#This Row],[NAMA BARANG]]="","",INDEX(NOTA[SUPPLIER],MATCH(,INDIRECT(ADDRESS(ROW(NOTA[ID]),COLUMN(NOTA[ID]))&amp;":"&amp;ADDRESS(ROW(),COLUMN(NOTA[ID]))),-1)))</f>
        <v>DUTA BUANA</v>
      </c>
      <c r="AI26" s="42" t="str">
        <f ca="1">IF(NOTA[[#This Row],[ID_H]]="","",IF(NOTA[[#This Row],[FAKTUR]]="",INDIRECT(ADDRESS(ROW()-1,COLUMN())),NOTA[[#This Row],[FAKTUR]]))</f>
        <v>UNTANA</v>
      </c>
      <c r="AJ26" s="39">
        <f ca="1">IF(NOTA[[#This Row],[ID]]="","",COUNTIF(NOTA[ID_H],NOTA[[#This Row],[ID_H]]))</f>
        <v>2</v>
      </c>
      <c r="AK26" s="39">
        <f>IF(NOTA[[#This Row],[TGL.NOTA]]="",IF(NOTA[[#This Row],[SUPPLIER_H]]="","",AK25),MONTH(NOTA[[#This Row],[TGL.NOTA]]))</f>
        <v>7</v>
      </c>
      <c r="AL26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39" t="e">
        <f>IF(NOTA[[#This Row],[CONCAT4]]="","",_xlfn.IFNA(MATCH(NOTA[[#This Row],[CONCAT4]],[2]!RAW[CONCAT_H],0),FALSE))</f>
        <v>#REF!</v>
      </c>
      <c r="AQ26" s="39">
        <f>IF(NOTA[[#This Row],[CONCAT1]]="","",MATCH(NOTA[[#This Row],[CONCAT1]],[3]!db[NB NOTA_C],0))</f>
        <v>454</v>
      </c>
      <c r="AR26" s="39" t="b">
        <f>IF(NOTA[[#This Row],[QTY/ CTN]]="","",TRUE)</f>
        <v>1</v>
      </c>
      <c r="AS26" s="39" t="str">
        <f ca="1">IF(NOTA[[#This Row],[ID_H]]="","",IF(NOTA[[#This Row],[Column3]]=TRUE,NOTA[[#This Row],[QTY/ CTN]],INDEX([3]!db[QTY/ CTN],NOTA[[#This Row],[//DB]])))</f>
        <v>96 LSN</v>
      </c>
      <c r="AT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6" s="39" t="e">
        <f ca="1">IF(NOTA[[#This Row],[ID_H]]="","",MATCH(NOTA[[#This Row],[NB NOTA_C_QTY]],[4]!db[NB NOTA_C_QTY+F],0))</f>
        <v>#REF!</v>
      </c>
      <c r="AV26" s="55">
        <f ca="1">IF(NOTA[[#This Row],[NB NOTA_C_QTY]]="","",ROW()-2)</f>
        <v>24</v>
      </c>
    </row>
    <row r="27" spans="1:48" ht="20.100000000000001" customHeight="1" x14ac:dyDescent="0.25">
      <c r="A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9</v>
      </c>
      <c r="E27" s="47"/>
      <c r="H27" s="48"/>
      <c r="L27" s="38" t="s">
        <v>164</v>
      </c>
      <c r="M27" s="41">
        <v>3</v>
      </c>
      <c r="N27" s="39">
        <v>288</v>
      </c>
      <c r="O27" s="38" t="s">
        <v>152</v>
      </c>
      <c r="P27" s="43">
        <v>26500</v>
      </c>
      <c r="Q27" s="43"/>
      <c r="R27" s="49" t="s">
        <v>161</v>
      </c>
      <c r="S27" s="50">
        <v>0.03</v>
      </c>
      <c r="U27" s="51"/>
      <c r="V27" s="46"/>
      <c r="W27" s="51">
        <f>IF(NOTA[[#This Row],[HARGA/ CTN]]="",NOTA[[#This Row],[JUMLAH_H]],NOTA[[#This Row],[HARGA/ CTN]]*IF(NOTA[[#This Row],[C]]="",0,NOTA[[#This Row],[C]]))</f>
        <v>7632000</v>
      </c>
      <c r="X27" s="51">
        <f>IF(NOTA[[#This Row],[JUMLAH]]="","",NOTA[[#This Row],[JUMLAH]]*NOTA[[#This Row],[DISC 1]])</f>
        <v>228960</v>
      </c>
      <c r="Y27" s="51">
        <f>IF(NOTA[[#This Row],[JUMLAH]]="","",(NOTA[[#This Row],[JUMLAH]]-NOTA[[#This Row],[DISC 1-]])*NOTA[[#This Row],[DISC 2]])</f>
        <v>0</v>
      </c>
      <c r="Z27" s="51">
        <f>IF(NOTA[[#This Row],[JUMLAH]]="","",NOTA[[#This Row],[DISC 1-]]+NOTA[[#This Row],[DISC 2-]])</f>
        <v>228960</v>
      </c>
      <c r="AA27" s="51">
        <f>IF(NOTA[[#This Row],[JUMLAH]]="","",NOTA[[#This Row],[JUMLAH]]-NOTA[[#This Row],[DISC]])</f>
        <v>7403040</v>
      </c>
      <c r="AB27" s="51"/>
      <c r="AC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51">
        <f>IF(OR(NOTA[[#This Row],[QTY]]="",NOTA[[#This Row],[HARGA SATUAN]]="",),"",NOTA[[#This Row],[QTY]]*NOTA[[#This Row],[HARGA SATUAN]])</f>
        <v>7632000</v>
      </c>
      <c r="AG27" s="40">
        <f ca="1">IF(NOTA[ID_H]="","",INDEX(NOTA[TANGGAL],MATCH(,INDIRECT(ADDRESS(ROW(NOTA[TANGGAL]),COLUMN(NOTA[TANGGAL]))&amp;":"&amp;ADDRESS(ROW(),COLUMN(NOTA[TANGGAL]))),-1)))</f>
        <v>45111</v>
      </c>
      <c r="AH27" s="42" t="str">
        <f ca="1">IF(NOTA[[#This Row],[NAMA BARANG]]="","",INDEX(NOTA[SUPPLIER],MATCH(,INDIRECT(ADDRESS(ROW(NOTA[ID]),COLUMN(NOTA[ID]))&amp;":"&amp;ADDRESS(ROW(),COLUMN(NOTA[ID]))),-1)))</f>
        <v>DUTA BUANA</v>
      </c>
      <c r="AI27" s="42" t="str">
        <f ca="1">IF(NOTA[[#This Row],[ID_H]]="","",IF(NOTA[[#This Row],[FAKTUR]]="",INDIRECT(ADDRESS(ROW()-1,COLUMN())),NOTA[[#This Row],[FAKTUR]]))</f>
        <v>UNTANA</v>
      </c>
      <c r="AJ27" s="39" t="str">
        <f ca="1">IF(NOTA[[#This Row],[ID]]="","",COUNTIF(NOTA[ID_H],NOTA[[#This Row],[ID_H]]))</f>
        <v/>
      </c>
      <c r="AK27" s="39">
        <f ca="1">IF(NOTA[[#This Row],[TGL.NOTA]]="",IF(NOTA[[#This Row],[SUPPLIER_H]]="","",AK26),MONTH(NOTA[[#This Row],[TGL.NOTA]]))</f>
        <v>7</v>
      </c>
      <c r="AL27" s="39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9" t="str">
        <f>IF(NOTA[[#This Row],[CONCAT4]]="","",_xlfn.IFNA(MATCH(NOTA[[#This Row],[CONCAT4]],[2]!RAW[CONCAT_H],0),FALSE))</f>
        <v/>
      </c>
      <c r="AQ27" s="39">
        <f>IF(NOTA[[#This Row],[CONCAT1]]="","",MATCH(NOTA[[#This Row],[CONCAT1]],[3]!db[NB NOTA_C],0))</f>
        <v>452</v>
      </c>
      <c r="AR27" s="39" t="b">
        <f>IF(NOTA[[#This Row],[QTY/ CTN]]="","",TRUE)</f>
        <v>1</v>
      </c>
      <c r="AS27" s="39" t="str">
        <f ca="1">IF(NOTA[[#This Row],[ID_H]]="","",IF(NOTA[[#This Row],[Column3]]=TRUE,NOTA[[#This Row],[QTY/ CTN]],INDEX([3]!db[QTY/ CTN],NOTA[[#This Row],[//DB]])))</f>
        <v>96 LSN</v>
      </c>
      <c r="AT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U27" s="39" t="e">
        <f ca="1">IF(NOTA[[#This Row],[ID_H]]="","",MATCH(NOTA[[#This Row],[NB NOTA_C_QTY]],[4]!db[NB NOTA_C_QTY+F],0))</f>
        <v>#REF!</v>
      </c>
      <c r="AV27" s="55">
        <f ca="1">IF(NOTA[[#This Row],[NB NOTA_C_QTY]]="","",ROW()-2)</f>
        <v>25</v>
      </c>
    </row>
    <row r="28" spans="1:48" ht="20.100000000000001" customHeight="1" x14ac:dyDescent="0.25">
      <c r="A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47"/>
      <c r="H28" s="48"/>
      <c r="N28" s="39"/>
      <c r="Q28" s="43"/>
      <c r="R28" s="49"/>
      <c r="S28" s="50"/>
      <c r="U28" s="51"/>
      <c r="V28" s="46"/>
      <c r="W28" s="51" t="str">
        <f>IF(NOTA[[#This Row],[HARGA/ CTN]]="",NOTA[[#This Row],[JUMLAH_H]],NOTA[[#This Row],[HARGA/ CTN]]*IF(NOTA[[#This Row],[C]]="",0,NOTA[[#This Row],[C]]))</f>
        <v/>
      </c>
      <c r="X28" s="51" t="str">
        <f>IF(NOTA[[#This Row],[JUMLAH]]="","",NOTA[[#This Row],[JUMLAH]]*NOTA[[#This Row],[DISC 1]])</f>
        <v/>
      </c>
      <c r="Y28" s="51" t="str">
        <f>IF(NOTA[[#This Row],[JUMLAH]]="","",(NOTA[[#This Row],[JUMLAH]]-NOTA[[#This Row],[DISC 1-]])*NOTA[[#This Row],[DISC 2]])</f>
        <v/>
      </c>
      <c r="Z28" s="51" t="str">
        <f>IF(NOTA[[#This Row],[JUMLAH]]="","",NOTA[[#This Row],[DISC 1-]]+NOTA[[#This Row],[DISC 2-]])</f>
        <v/>
      </c>
      <c r="AA28" s="51" t="str">
        <f>IF(NOTA[[#This Row],[JUMLAH]]="","",NOTA[[#This Row],[JUMLAH]]-NOTA[[#This Row],[DISC]])</f>
        <v/>
      </c>
      <c r="AB28" s="51"/>
      <c r="AC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1" t="str">
        <f>IF(OR(NOTA[[#This Row],[QTY]]="",NOTA[[#This Row],[HARGA SATUAN]]="",),"",NOTA[[#This Row],[QTY]]*NOTA[[#This Row],[HARGA SATUAN]])</f>
        <v/>
      </c>
      <c r="AG28" s="40" t="str">
        <f ca="1">IF(NOTA[ID_H]="","",INDEX(NOTA[TANGGAL],MATCH(,INDIRECT(ADDRESS(ROW(NOTA[TANGGAL]),COLUMN(NOTA[TANGGAL]))&amp;":"&amp;ADDRESS(ROW(),COLUMN(NOTA[TANGGAL]))),-1)))</f>
        <v/>
      </c>
      <c r="AH28" s="42" t="str">
        <f ca="1">IF(NOTA[[#This Row],[NAMA BARANG]]="","",INDEX(NOTA[SUPPLIER],MATCH(,INDIRECT(ADDRESS(ROW(NOTA[ID]),COLUMN(NOTA[ID]))&amp;":"&amp;ADDRESS(ROW(),COLUMN(NOTA[ID]))),-1)))</f>
        <v/>
      </c>
      <c r="AI28" s="42" t="str">
        <f ca="1">IF(NOTA[[#This Row],[ID_H]]="","",IF(NOTA[[#This Row],[FAKTUR]]="",INDIRECT(ADDRESS(ROW()-1,COLUMN())),NOTA[[#This Row],[FAKTUR]]))</f>
        <v/>
      </c>
      <c r="AJ28" s="39" t="str">
        <f ca="1">IF(NOTA[[#This Row],[ID]]="","",COUNTIF(NOTA[ID_H],NOTA[[#This Row],[ID_H]]))</f>
        <v/>
      </c>
      <c r="AK28" s="39" t="str">
        <f ca="1">IF(NOTA[[#This Row],[TGL.NOTA]]="",IF(NOTA[[#This Row],[SUPPLIER_H]]="","",AK27),MONTH(NOTA[[#This Row],[TGL.NOTA]]))</f>
        <v/>
      </c>
      <c r="AL28" s="39" t="str">
        <f>LOWER(SUBSTITUTE(SUBSTITUTE(SUBSTITUTE(SUBSTITUTE(SUBSTITUTE(SUBSTITUTE(SUBSTITUTE(SUBSTITUTE(SUBSTITUTE(NOTA[NAMA BARANG]," ",),".",""),"-",""),"(",""),")",""),",",""),"/",""),"""",""),"+",""))</f>
        <v/>
      </c>
      <c r="AM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9" t="str">
        <f>IF(NOTA[[#This Row],[CONCAT4]]="","",_xlfn.IFNA(MATCH(NOTA[[#This Row],[CONCAT4]],[2]!RAW[CONCAT_H],0),FALSE))</f>
        <v/>
      </c>
      <c r="AQ28" s="39" t="str">
        <f>IF(NOTA[[#This Row],[CONCAT1]]="","",MATCH(NOTA[[#This Row],[CONCAT1]],[3]!db[NB NOTA_C],0))</f>
        <v/>
      </c>
      <c r="AR28" s="39" t="str">
        <f>IF(NOTA[[#This Row],[QTY/ CTN]]="","",TRUE)</f>
        <v/>
      </c>
      <c r="AS28" s="39" t="str">
        <f ca="1">IF(NOTA[[#This Row],[ID_H]]="","",IF(NOTA[[#This Row],[Column3]]=TRUE,NOTA[[#This Row],[QTY/ CTN]],INDEX([3]!db[QTY/ CTN],NOTA[[#This Row],[//DB]])))</f>
        <v/>
      </c>
      <c r="AT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9" t="str">
        <f ca="1">IF(NOTA[[#This Row],[ID_H]]="","",MATCH(NOTA[[#This Row],[NB NOTA_C_QTY]],[4]!db[NB NOTA_C_QTY+F],0))</f>
        <v/>
      </c>
      <c r="AV28" s="55" t="str">
        <f ca="1">IF(NOTA[[#This Row],[NB NOTA_C_QTY]]="","",ROW()-2)</f>
        <v/>
      </c>
    </row>
    <row r="29" spans="1:48" ht="20.100000000000001" customHeight="1" x14ac:dyDescent="0.25">
      <c r="A29" s="42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10</v>
      </c>
      <c r="E29" s="47"/>
      <c r="F29" s="38" t="s">
        <v>165</v>
      </c>
      <c r="G29" s="38" t="s">
        <v>145</v>
      </c>
      <c r="H29" s="48" t="s">
        <v>166</v>
      </c>
      <c r="J29" s="40">
        <v>45108</v>
      </c>
      <c r="L29" s="38" t="s">
        <v>167</v>
      </c>
      <c r="M29" s="41">
        <v>5</v>
      </c>
      <c r="N29" s="39">
        <v>600</v>
      </c>
      <c r="O29" s="38" t="s">
        <v>117</v>
      </c>
      <c r="P29" s="43">
        <v>16325</v>
      </c>
      <c r="Q29" s="43"/>
      <c r="R29" s="49" t="s">
        <v>168</v>
      </c>
      <c r="S29" s="50"/>
      <c r="U29" s="51"/>
      <c r="V29" s="46"/>
      <c r="W29" s="51">
        <f>IF(NOTA[[#This Row],[HARGA/ CTN]]="",NOTA[[#This Row],[JUMLAH_H]],NOTA[[#This Row],[HARGA/ CTN]]*IF(NOTA[[#This Row],[C]]="",0,NOTA[[#This Row],[C]]))</f>
        <v>9795000</v>
      </c>
      <c r="X29" s="51">
        <f>IF(NOTA[[#This Row],[JUMLAH]]="","",NOTA[[#This Row],[JUMLAH]]*NOTA[[#This Row],[DISC 1]])</f>
        <v>0</v>
      </c>
      <c r="Y29" s="51">
        <f>IF(NOTA[[#This Row],[JUMLAH]]="","",(NOTA[[#This Row],[JUMLAH]]-NOTA[[#This Row],[DISC 1-]])*NOTA[[#This Row],[DISC 2]])</f>
        <v>0</v>
      </c>
      <c r="Z29" s="51">
        <f>IF(NOTA[[#This Row],[JUMLAH]]="","",NOTA[[#This Row],[DISC 1-]]+NOTA[[#This Row],[DISC 2-]])</f>
        <v>0</v>
      </c>
      <c r="AA29" s="51">
        <f>IF(NOTA[[#This Row],[JUMLAH]]="","",NOTA[[#This Row],[JUMLAH]]-NOTA[[#This Row],[DISC]])</f>
        <v>9795000</v>
      </c>
      <c r="AB29" s="51"/>
      <c r="AC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42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51">
        <f>IF(OR(NOTA[[#This Row],[QTY]]="",NOTA[[#This Row],[HARGA SATUAN]]="",),"",NOTA[[#This Row],[QTY]]*NOTA[[#This Row],[HARGA SATUAN]])</f>
        <v>9795000</v>
      </c>
      <c r="AG29" s="40">
        <f ca="1">IF(NOTA[ID_H]="","",INDEX(NOTA[TANGGAL],MATCH(,INDIRECT(ADDRESS(ROW(NOTA[TANGGAL]),COLUMN(NOTA[TANGGAL]))&amp;":"&amp;ADDRESS(ROW(),COLUMN(NOTA[TANGGAL]))),-1)))</f>
        <v>45111</v>
      </c>
      <c r="AH29" s="42" t="str">
        <f ca="1">IF(NOTA[[#This Row],[NAMA BARANG]]="","",INDEX(NOTA[SUPPLIER],MATCH(,INDIRECT(ADDRESS(ROW(NOTA[ID]),COLUMN(NOTA[ID]))&amp;":"&amp;ADDRESS(ROW(),COLUMN(NOTA[ID]))),-1)))</f>
        <v>SBS</v>
      </c>
      <c r="AI29" s="42" t="str">
        <f ca="1">IF(NOTA[[#This Row],[ID_H]]="","",IF(NOTA[[#This Row],[FAKTUR]]="",INDIRECT(ADDRESS(ROW()-1,COLUMN())),NOTA[[#This Row],[FAKTUR]]))</f>
        <v>UNTANA</v>
      </c>
      <c r="AJ29" s="39">
        <f ca="1">IF(NOTA[[#This Row],[ID]]="","",COUNTIF(NOTA[ID_H],NOTA[[#This Row],[ID_H]]))</f>
        <v>1</v>
      </c>
      <c r="AK29" s="39">
        <f>IF(NOTA[[#This Row],[TGL.NOTA]]="",IF(NOTA[[#This Row],[SUPPLIER_H]]="","",AK28),MONTH(NOTA[[#This Row],[TGL.NOTA]]))</f>
        <v>7</v>
      </c>
      <c r="AL29" s="39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39" t="e">
        <f>IF(NOTA[[#This Row],[CONCAT4]]="","",_xlfn.IFNA(MATCH(NOTA[[#This Row],[CONCAT4]],[2]!RAW[CONCAT_H],0),FALSE))</f>
        <v>#REF!</v>
      </c>
      <c r="AQ29" s="39">
        <f>IF(NOTA[[#This Row],[CONCAT1]]="","",MATCH(NOTA[[#This Row],[CONCAT1]],[3]!db[NB NOTA_C],0))</f>
        <v>1949</v>
      </c>
      <c r="AR29" s="39" t="b">
        <f>IF(NOTA[[#This Row],[QTY/ CTN]]="","",TRUE)</f>
        <v>1</v>
      </c>
      <c r="AS29" s="39" t="str">
        <f ca="1">IF(NOTA[[#This Row],[ID_H]]="","",IF(NOTA[[#This Row],[Column3]]=TRUE,NOTA[[#This Row],[QTY/ CTN]],INDEX([3]!db[QTY/ CTN],NOTA[[#This Row],[//DB]])))</f>
        <v>120 PCS</v>
      </c>
      <c r="AT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pcklpy99108x215x453sd120pcsuntana</v>
      </c>
      <c r="AU29" s="39" t="e">
        <f ca="1">IF(NOTA[[#This Row],[ID_H]]="","",MATCH(NOTA[[#This Row],[NB NOTA_C_QTY]],[4]!db[NB NOTA_C_QTY+F],0))</f>
        <v>#REF!</v>
      </c>
      <c r="AV29" s="55">
        <f ca="1">IF(NOTA[[#This Row],[NB NOTA_C_QTY]]="","",ROW()-2)</f>
        <v>27</v>
      </c>
    </row>
    <row r="30" spans="1:48" ht="20.100000000000001" customHeight="1" x14ac:dyDescent="0.25">
      <c r="A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 t="str">
        <f ca="1">IF(NOTA[[#This Row],[NAMA BARANG]]="","",INDEX(NOTA[ID],MATCH(,INDIRECT(ADDRESS(ROW(NOTA[ID]),COLUMN(NOTA[ID]))&amp;":"&amp;ADDRESS(ROW(),COLUMN(NOTA[ID]))),-1)))</f>
        <v/>
      </c>
      <c r="E30" s="47"/>
      <c r="H30" s="48"/>
      <c r="N30" s="39"/>
      <c r="Q30" s="43"/>
      <c r="R30" s="49"/>
      <c r="S30" s="50"/>
      <c r="U30" s="51"/>
      <c r="V30" s="46"/>
      <c r="W30" s="51" t="str">
        <f>IF(NOTA[[#This Row],[HARGA/ CTN]]="",NOTA[[#This Row],[JUMLAH_H]],NOTA[[#This Row],[HARGA/ CTN]]*IF(NOTA[[#This Row],[C]]="",0,NOTA[[#This Row],[C]]))</f>
        <v/>
      </c>
      <c r="X30" s="51" t="str">
        <f>IF(NOTA[[#This Row],[JUMLAH]]="","",NOTA[[#This Row],[JUMLAH]]*NOTA[[#This Row],[DISC 1]])</f>
        <v/>
      </c>
      <c r="Y30" s="51" t="str">
        <f>IF(NOTA[[#This Row],[JUMLAH]]="","",(NOTA[[#This Row],[JUMLAH]]-NOTA[[#This Row],[DISC 1-]])*NOTA[[#This Row],[DISC 2]])</f>
        <v/>
      </c>
      <c r="Z30" s="51" t="str">
        <f>IF(NOTA[[#This Row],[JUMLAH]]="","",NOTA[[#This Row],[DISC 1-]]+NOTA[[#This Row],[DISC 2-]])</f>
        <v/>
      </c>
      <c r="AA30" s="51" t="str">
        <f>IF(NOTA[[#This Row],[JUMLAH]]="","",NOTA[[#This Row],[JUMLAH]]-NOTA[[#This Row],[DISC]])</f>
        <v/>
      </c>
      <c r="AB30" s="51"/>
      <c r="AC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1" t="str">
        <f>IF(OR(NOTA[[#This Row],[QTY]]="",NOTA[[#This Row],[HARGA SATUAN]]="",),"",NOTA[[#This Row],[QTY]]*NOTA[[#This Row],[HARGA SATUAN]])</f>
        <v/>
      </c>
      <c r="AG30" s="40" t="str">
        <f ca="1">IF(NOTA[ID_H]="","",INDEX(NOTA[TANGGAL],MATCH(,INDIRECT(ADDRESS(ROW(NOTA[TANGGAL]),COLUMN(NOTA[TANGGAL]))&amp;":"&amp;ADDRESS(ROW(),COLUMN(NOTA[TANGGAL]))),-1)))</f>
        <v/>
      </c>
      <c r="AH30" s="42" t="str">
        <f ca="1">IF(NOTA[[#This Row],[NAMA BARANG]]="","",INDEX(NOTA[SUPPLIER],MATCH(,INDIRECT(ADDRESS(ROW(NOTA[ID]),COLUMN(NOTA[ID]))&amp;":"&amp;ADDRESS(ROW(),COLUMN(NOTA[ID]))),-1)))</f>
        <v/>
      </c>
      <c r="AI30" s="42" t="str">
        <f ca="1">IF(NOTA[[#This Row],[ID_H]]="","",IF(NOTA[[#This Row],[FAKTUR]]="",INDIRECT(ADDRESS(ROW()-1,COLUMN())),NOTA[[#This Row],[FAKTUR]]))</f>
        <v/>
      </c>
      <c r="AJ30" s="39" t="str">
        <f ca="1">IF(NOTA[[#This Row],[ID]]="","",COUNTIF(NOTA[ID_H],NOTA[[#This Row],[ID_H]]))</f>
        <v/>
      </c>
      <c r="AK30" s="39" t="str">
        <f ca="1">IF(NOTA[[#This Row],[TGL.NOTA]]="",IF(NOTA[[#This Row],[SUPPLIER_H]]="","",AK29),MONTH(NOTA[[#This Row],[TGL.NOTA]]))</f>
        <v/>
      </c>
      <c r="AL30" s="39" t="str">
        <f>LOWER(SUBSTITUTE(SUBSTITUTE(SUBSTITUTE(SUBSTITUTE(SUBSTITUTE(SUBSTITUTE(SUBSTITUTE(SUBSTITUTE(SUBSTITUTE(NOTA[NAMA BARANG]," ",),".",""),"-",""),"(",""),")",""),",",""),"/",""),"""",""),"+",""))</f>
        <v/>
      </c>
      <c r="AM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9" t="str">
        <f>IF(NOTA[[#This Row],[CONCAT4]]="","",_xlfn.IFNA(MATCH(NOTA[[#This Row],[CONCAT4]],[2]!RAW[CONCAT_H],0),FALSE))</f>
        <v/>
      </c>
      <c r="AQ30" s="39" t="str">
        <f>IF(NOTA[[#This Row],[CONCAT1]]="","",MATCH(NOTA[[#This Row],[CONCAT1]],[3]!db[NB NOTA_C],0))</f>
        <v/>
      </c>
      <c r="AR30" s="39" t="str">
        <f>IF(NOTA[[#This Row],[QTY/ CTN]]="","",TRUE)</f>
        <v/>
      </c>
      <c r="AS30" s="39" t="str">
        <f ca="1">IF(NOTA[[#This Row],[ID_H]]="","",IF(NOTA[[#This Row],[Column3]]=TRUE,NOTA[[#This Row],[QTY/ CTN]],INDEX([3]!db[QTY/ CTN],NOTA[[#This Row],[//DB]])))</f>
        <v/>
      </c>
      <c r="AT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9" t="str">
        <f ca="1">IF(NOTA[[#This Row],[ID_H]]="","",MATCH(NOTA[[#This Row],[NB NOTA_C_QTY]],[4]!db[NB NOTA_C_QTY+F],0))</f>
        <v/>
      </c>
      <c r="AV30" s="55" t="str">
        <f ca="1">IF(NOTA[[#This Row],[NB NOTA_C_QTY]]="","",ROW()-2)</f>
        <v/>
      </c>
    </row>
    <row r="31" spans="1:48" ht="20.100000000000001" customHeight="1" x14ac:dyDescent="0.25">
      <c r="A31" s="42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39" t="e">
        <f ca="1">IF(NOTA[[#This Row],[ID_P]]="","",MATCH(NOTA[[#This Row],[ID_P]],[1]!B_MSK[N_ID],0))</f>
        <v>#REF!</v>
      </c>
      <c r="D31" s="39">
        <f ca="1">IF(NOTA[[#This Row],[NAMA BARANG]]="","",INDEX(NOTA[ID],MATCH(,INDIRECT(ADDRESS(ROW(NOTA[ID]),COLUMN(NOTA[ID]))&amp;":"&amp;ADDRESS(ROW(),COLUMN(NOTA[ID]))),-1)))</f>
        <v>11</v>
      </c>
      <c r="E31" s="47"/>
      <c r="F31" s="38" t="s">
        <v>165</v>
      </c>
      <c r="G31" s="38" t="s">
        <v>145</v>
      </c>
      <c r="H31" s="48" t="s">
        <v>169</v>
      </c>
      <c r="I31" s="38" t="s">
        <v>170</v>
      </c>
      <c r="J31" s="40">
        <v>45110</v>
      </c>
      <c r="L31" s="38" t="s">
        <v>171</v>
      </c>
      <c r="M31" s="41">
        <v>7</v>
      </c>
      <c r="N31" s="39"/>
      <c r="P31" s="43"/>
      <c r="Q31" s="43"/>
      <c r="R31" s="49"/>
      <c r="S31" s="50"/>
      <c r="U31" s="51"/>
      <c r="V31" s="46"/>
      <c r="W31" s="51" t="str">
        <f>IF(NOTA[[#This Row],[HARGA/ CTN]]="",NOTA[[#This Row],[JUMLAH_H]],NOTA[[#This Row],[HARGA/ CTN]]*IF(NOTA[[#This Row],[C]]="",0,NOTA[[#This Row],[C]]))</f>
        <v/>
      </c>
      <c r="X31" s="51" t="str">
        <f>IF(NOTA[[#This Row],[JUMLAH]]="","",NOTA[[#This Row],[JUMLAH]]*NOTA[[#This Row],[DISC 1]])</f>
        <v/>
      </c>
      <c r="Y31" s="51" t="str">
        <f>IF(NOTA[[#This Row],[JUMLAH]]="","",(NOTA[[#This Row],[JUMLAH]]-NOTA[[#This Row],[DISC 1-]])*NOTA[[#This Row],[DISC 2]])</f>
        <v/>
      </c>
      <c r="Z31" s="51" t="str">
        <f>IF(NOTA[[#This Row],[JUMLAH]]="","",NOTA[[#This Row],[DISC 1-]]+NOTA[[#This Row],[DISC 2-]])</f>
        <v/>
      </c>
      <c r="AA31" s="51" t="str">
        <f>IF(NOTA[[#This Row],[JUMLAH]]="","",NOTA[[#This Row],[JUMLAH]]-NOTA[[#This Row],[DISC]])</f>
        <v/>
      </c>
      <c r="AB31" s="51"/>
      <c r="AC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51" t="str">
        <f>IF(OR(NOTA[[#This Row],[QTY]]="",NOTA[[#This Row],[HARGA SATUAN]]="",),"",NOTA[[#This Row],[QTY]]*NOTA[[#This Row],[HARGA SATUAN]])</f>
        <v/>
      </c>
      <c r="AG31" s="40">
        <f ca="1">IF(NOTA[ID_H]="","",INDEX(NOTA[TANGGAL],MATCH(,INDIRECT(ADDRESS(ROW(NOTA[TANGGAL]),COLUMN(NOTA[TANGGAL]))&amp;":"&amp;ADDRESS(ROW(),COLUMN(NOTA[TANGGAL]))),-1)))</f>
        <v>45111</v>
      </c>
      <c r="AH31" s="42" t="str">
        <f ca="1">IF(NOTA[[#This Row],[NAMA BARANG]]="","",INDEX(NOTA[SUPPLIER],MATCH(,INDIRECT(ADDRESS(ROW(NOTA[ID]),COLUMN(NOTA[ID]))&amp;":"&amp;ADDRESS(ROW(),COLUMN(NOTA[ID]))),-1)))</f>
        <v>SBS</v>
      </c>
      <c r="AI31" s="42" t="str">
        <f ca="1">IF(NOTA[[#This Row],[ID_H]]="","",IF(NOTA[[#This Row],[FAKTUR]]="",INDIRECT(ADDRESS(ROW()-1,COLUMN())),NOTA[[#This Row],[FAKTUR]]))</f>
        <v>UNTANA</v>
      </c>
      <c r="AJ31" s="39">
        <f ca="1">IF(NOTA[[#This Row],[ID]]="","",COUNTIF(NOTA[ID_H],NOTA[[#This Row],[ID_H]]))</f>
        <v>1</v>
      </c>
      <c r="AK31" s="39">
        <f>IF(NOTA[[#This Row],[TGL.NOTA]]="",IF(NOTA[[#This Row],[SUPPLIER_H]]="","",AK30),MONTH(NOTA[[#This Row],[TGL.NOTA]]))</f>
        <v>7</v>
      </c>
      <c r="AL31" s="39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39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39" t="e">
        <f>IF(NOTA[[#This Row],[CONCAT4]]="","",_xlfn.IFNA(MATCH(NOTA[[#This Row],[CONCAT4]],[2]!RAW[CONCAT_H],0),FALSE))</f>
        <v>#REF!</v>
      </c>
      <c r="AQ31" s="39">
        <f>IF(NOTA[[#This Row],[CONCAT1]]="","",MATCH(NOTA[[#This Row],[CONCAT1]],[3]!db[NB NOTA_C],0))</f>
        <v>2686</v>
      </c>
      <c r="AR31" s="39" t="str">
        <f>IF(NOTA[[#This Row],[QTY/ CTN]]="","",TRUE)</f>
        <v/>
      </c>
      <c r="AS31" s="39" t="str">
        <f ca="1">IF(NOTA[[#This Row],[ID_H]]="","",IF(NOTA[[#This Row],[Column3]]=TRUE,NOTA[[#This Row],[QTY/ CTN]],INDEX([3]!db[QTY/ CTN],NOTA[[#This Row],[//DB]])))</f>
        <v>48 LSN</v>
      </c>
      <c r="AT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U31" s="39" t="e">
        <f ca="1">IF(NOTA[[#This Row],[ID_H]]="","",MATCH(NOTA[[#This Row],[NB NOTA_C_QTY]],[4]!db[NB NOTA_C_QTY+F],0))</f>
        <v>#REF!</v>
      </c>
      <c r="AV31" s="55">
        <f ca="1">IF(NOTA[[#This Row],[NB NOTA_C_QTY]]="","",ROW()-2)</f>
        <v>29</v>
      </c>
    </row>
    <row r="32" spans="1:48" ht="20.100000000000001" customHeight="1" x14ac:dyDescent="0.25">
      <c r="A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47"/>
      <c r="H32" s="48"/>
      <c r="N32" s="39"/>
      <c r="Q32" s="43"/>
      <c r="R32" s="49"/>
      <c r="S32" s="50"/>
      <c r="U32" s="51"/>
      <c r="V32" s="46"/>
      <c r="W32" s="51" t="str">
        <f>IF(NOTA[[#This Row],[HARGA/ CTN]]="",NOTA[[#This Row],[JUMLAH_H]],NOTA[[#This Row],[HARGA/ CTN]]*IF(NOTA[[#This Row],[C]]="",0,NOTA[[#This Row],[C]]))</f>
        <v/>
      </c>
      <c r="X32" s="51" t="str">
        <f>IF(NOTA[[#This Row],[JUMLAH]]="","",NOTA[[#This Row],[JUMLAH]]*NOTA[[#This Row],[DISC 1]])</f>
        <v/>
      </c>
      <c r="Y32" s="51" t="str">
        <f>IF(NOTA[[#This Row],[JUMLAH]]="","",(NOTA[[#This Row],[JUMLAH]]-NOTA[[#This Row],[DISC 1-]])*NOTA[[#This Row],[DISC 2]])</f>
        <v/>
      </c>
      <c r="Z32" s="51" t="str">
        <f>IF(NOTA[[#This Row],[JUMLAH]]="","",NOTA[[#This Row],[DISC 1-]]+NOTA[[#This Row],[DISC 2-]])</f>
        <v/>
      </c>
      <c r="AA32" s="51" t="str">
        <f>IF(NOTA[[#This Row],[JUMLAH]]="","",NOTA[[#This Row],[JUMLAH]]-NOTA[[#This Row],[DISC]])</f>
        <v/>
      </c>
      <c r="AB32" s="51"/>
      <c r="AC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1" t="str">
        <f>IF(OR(NOTA[[#This Row],[QTY]]="",NOTA[[#This Row],[HARGA SATUAN]]="",),"",NOTA[[#This Row],[QTY]]*NOTA[[#This Row],[HARGA SATUAN]])</f>
        <v/>
      </c>
      <c r="AG32" s="40" t="str">
        <f ca="1">IF(NOTA[ID_H]="","",INDEX(NOTA[TANGGAL],MATCH(,INDIRECT(ADDRESS(ROW(NOTA[TANGGAL]),COLUMN(NOTA[TANGGAL]))&amp;":"&amp;ADDRESS(ROW(),COLUMN(NOTA[TANGGAL]))),-1)))</f>
        <v/>
      </c>
      <c r="AH32" s="42" t="str">
        <f ca="1">IF(NOTA[[#This Row],[NAMA BARANG]]="","",INDEX(NOTA[SUPPLIER],MATCH(,INDIRECT(ADDRESS(ROW(NOTA[ID]),COLUMN(NOTA[ID]))&amp;":"&amp;ADDRESS(ROW(),COLUMN(NOTA[ID]))),-1)))</f>
        <v/>
      </c>
      <c r="AI32" s="42" t="str">
        <f ca="1">IF(NOTA[[#This Row],[ID_H]]="","",IF(NOTA[[#This Row],[FAKTUR]]="",INDIRECT(ADDRESS(ROW()-1,COLUMN())),NOTA[[#This Row],[FAKTUR]]))</f>
        <v/>
      </c>
      <c r="AJ32" s="39" t="str">
        <f ca="1">IF(NOTA[[#This Row],[ID]]="","",COUNTIF(NOTA[ID_H],NOTA[[#This Row],[ID_H]]))</f>
        <v/>
      </c>
      <c r="AK32" s="39" t="str">
        <f ca="1">IF(NOTA[[#This Row],[TGL.NOTA]]="",IF(NOTA[[#This Row],[SUPPLIER_H]]="","",AK31),MONTH(NOTA[[#This Row],[TGL.NOTA]]))</f>
        <v/>
      </c>
      <c r="AL32" s="39" t="str">
        <f>LOWER(SUBSTITUTE(SUBSTITUTE(SUBSTITUTE(SUBSTITUTE(SUBSTITUTE(SUBSTITUTE(SUBSTITUTE(SUBSTITUTE(SUBSTITUTE(NOTA[NAMA BARANG]," ",),".",""),"-",""),"(",""),")",""),",",""),"/",""),"""",""),"+",""))</f>
        <v/>
      </c>
      <c r="AM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9" t="str">
        <f>IF(NOTA[[#This Row],[CONCAT4]]="","",_xlfn.IFNA(MATCH(NOTA[[#This Row],[CONCAT4]],[2]!RAW[CONCAT_H],0),FALSE))</f>
        <v/>
      </c>
      <c r="AQ32" s="39" t="str">
        <f>IF(NOTA[[#This Row],[CONCAT1]]="","",MATCH(NOTA[[#This Row],[CONCAT1]],[3]!db[NB NOTA_C],0))</f>
        <v/>
      </c>
      <c r="AR32" s="39" t="str">
        <f>IF(NOTA[[#This Row],[QTY/ CTN]]="","",TRUE)</f>
        <v/>
      </c>
      <c r="AS32" s="39" t="str">
        <f ca="1">IF(NOTA[[#This Row],[ID_H]]="","",IF(NOTA[[#This Row],[Column3]]=TRUE,NOTA[[#This Row],[QTY/ CTN]],INDEX([3]!db[QTY/ CTN],NOTA[[#This Row],[//DB]])))</f>
        <v/>
      </c>
      <c r="AT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9" t="str">
        <f ca="1">IF(NOTA[[#This Row],[ID_H]]="","",MATCH(NOTA[[#This Row],[NB NOTA_C_QTY]],[4]!db[NB NOTA_C_QTY+F],0))</f>
        <v/>
      </c>
      <c r="AV32" s="55" t="str">
        <f ca="1">IF(NOTA[[#This Row],[NB NOTA_C_QTY]]="","",ROW()-2)</f>
        <v/>
      </c>
    </row>
    <row r="33" spans="1:48" ht="20.100000000000001" customHeight="1" x14ac:dyDescent="0.25">
      <c r="A33" s="42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12</v>
      </c>
      <c r="E33" s="47"/>
      <c r="F33" s="38" t="s">
        <v>172</v>
      </c>
      <c r="G33" s="38" t="s">
        <v>145</v>
      </c>
      <c r="H33" s="48" t="s">
        <v>169</v>
      </c>
      <c r="I33" s="38" t="s">
        <v>173</v>
      </c>
      <c r="J33" s="40">
        <v>45111</v>
      </c>
      <c r="L33" s="38" t="s">
        <v>174</v>
      </c>
      <c r="M33" s="41">
        <v>1</v>
      </c>
      <c r="N33" s="39">
        <v>50</v>
      </c>
      <c r="O33" s="38" t="s">
        <v>152</v>
      </c>
      <c r="P33" s="43">
        <v>39500</v>
      </c>
      <c r="Q33" s="43"/>
      <c r="R33" s="49" t="s">
        <v>483</v>
      </c>
      <c r="S33" s="50">
        <v>0.2</v>
      </c>
      <c r="T33" s="45">
        <v>0.04</v>
      </c>
      <c r="U33" s="51"/>
      <c r="V33" s="46"/>
      <c r="W33" s="51">
        <f>IF(NOTA[[#This Row],[HARGA/ CTN]]="",NOTA[[#This Row],[JUMLAH_H]],NOTA[[#This Row],[HARGA/ CTN]]*IF(NOTA[[#This Row],[C]]="",0,NOTA[[#This Row],[C]]))</f>
        <v>1975000</v>
      </c>
      <c r="X33" s="51">
        <f>IF(NOTA[[#This Row],[JUMLAH]]="","",NOTA[[#This Row],[JUMLAH]]*NOTA[[#This Row],[DISC 1]])</f>
        <v>395000</v>
      </c>
      <c r="Y33" s="51">
        <f>IF(NOTA[[#This Row],[JUMLAH]]="","",(NOTA[[#This Row],[JUMLAH]]-NOTA[[#This Row],[DISC 1-]])*NOTA[[#This Row],[DISC 2]])</f>
        <v>63200</v>
      </c>
      <c r="Z33" s="51">
        <f>IF(NOTA[[#This Row],[JUMLAH]]="","",NOTA[[#This Row],[DISC 1-]]+NOTA[[#This Row],[DISC 2-]])</f>
        <v>458200</v>
      </c>
      <c r="AA33" s="51">
        <f>IF(NOTA[[#This Row],[JUMLAH]]="","",NOTA[[#This Row],[JUMLAH]]-NOTA[[#This Row],[DISC]])</f>
        <v>1516800</v>
      </c>
      <c r="AB33" s="51"/>
      <c r="AC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2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51">
        <f>IF(OR(NOTA[[#This Row],[QTY]]="",NOTA[[#This Row],[HARGA SATUAN]]="",),"",NOTA[[#This Row],[QTY]]*NOTA[[#This Row],[HARGA SATUAN]])</f>
        <v>1975000</v>
      </c>
      <c r="AG33" s="40">
        <f ca="1">IF(NOTA[ID_H]="","",INDEX(NOTA[TANGGAL],MATCH(,INDIRECT(ADDRESS(ROW(NOTA[TANGGAL]),COLUMN(NOTA[TANGGAL]))&amp;":"&amp;ADDRESS(ROW(),COLUMN(NOTA[TANGGAL]))),-1)))</f>
        <v>45111</v>
      </c>
      <c r="AH33" s="42" t="str">
        <f ca="1">IF(NOTA[[#This Row],[NAMA BARANG]]="","",INDEX(NOTA[SUPPLIER],MATCH(,INDIRECT(ADDRESS(ROW(NOTA[ID]),COLUMN(NOTA[ID]))&amp;":"&amp;ADDRESS(ROW(),COLUMN(NOTA[ID]))),-1)))</f>
        <v>PPW</v>
      </c>
      <c r="AI33" s="42" t="str">
        <f ca="1">IF(NOTA[[#This Row],[ID_H]]="","",IF(NOTA[[#This Row],[FAKTUR]]="",INDIRECT(ADDRESS(ROW()-1,COLUMN())),NOTA[[#This Row],[FAKTUR]]))</f>
        <v>UNTANA</v>
      </c>
      <c r="AJ33" s="39">
        <f ca="1">IF(NOTA[[#This Row],[ID]]="","",COUNTIF(NOTA[ID_H],NOTA[[#This Row],[ID_H]]))</f>
        <v>2</v>
      </c>
      <c r="AK33" s="39">
        <f>IF(NOTA[[#This Row],[TGL.NOTA]]="",IF(NOTA[[#This Row],[SUPPLIER_H]]="","",AK32),MONTH(NOTA[[#This Row],[TGL.NOTA]]))</f>
        <v>7</v>
      </c>
      <c r="AL33" s="39" t="str">
        <f>LOWER(SUBSTITUTE(SUBSTITUTE(SUBSTITUTE(SUBSTITUTE(SUBSTITUTE(SUBSTITUTE(SUBSTITUTE(SUBSTITUTE(SUBSTITUTE(NOTA[NAMA BARANG]," ",),".",""),"-",""),"(",""),")",""),",",""),"/",""),"""",""),"+",""))</f>
        <v>bt123a</v>
      </c>
      <c r="AM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39" t="e">
        <f>IF(NOTA[[#This Row],[CONCAT4]]="","",_xlfn.IFNA(MATCH(NOTA[[#This Row],[CONCAT4]],[2]!RAW[CONCAT_H],0),FALSE))</f>
        <v>#REF!</v>
      </c>
      <c r="AQ33" s="39">
        <f>IF(NOTA[[#This Row],[CONCAT1]]="","",MATCH(NOTA[[#This Row],[CONCAT1]],[3]!db[NB NOTA_C],0))</f>
        <v>1107</v>
      </c>
      <c r="AR33" s="39" t="b">
        <f>IF(NOTA[[#This Row],[QTY/ CTN]]="","",TRUE)</f>
        <v>1</v>
      </c>
      <c r="AS33" s="39" t="str">
        <f ca="1">IF(NOTA[[#This Row],[ID_H]]="","",IF(NOTA[[#This Row],[Column3]]=TRUE,NOTA[[#This Row],[QTY/ CTN]],INDEX([3]!db[QTY/ CTN],NOTA[[#This Row],[//DB]])))</f>
        <v>50 LSN</v>
      </c>
      <c r="AT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bt123a50lsnuntana</v>
      </c>
      <c r="AU33" s="39" t="e">
        <f ca="1">IF(NOTA[[#This Row],[ID_H]]="","",MATCH(NOTA[[#This Row],[NB NOTA_C_QTY]],[4]!db[NB NOTA_C_QTY+F],0))</f>
        <v>#REF!</v>
      </c>
      <c r="AV33" s="55">
        <f ca="1">IF(NOTA[[#This Row],[NB NOTA_C_QTY]]="","",ROW()-2)</f>
        <v>31</v>
      </c>
    </row>
    <row r="34" spans="1:48" ht="20.100000000000001" customHeight="1" x14ac:dyDescent="0.25">
      <c r="A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>
        <f ca="1">IF(NOTA[[#This Row],[NAMA BARANG]]="","",INDEX(NOTA[ID],MATCH(,INDIRECT(ADDRESS(ROW(NOTA[ID]),COLUMN(NOTA[ID]))&amp;":"&amp;ADDRESS(ROW(),COLUMN(NOTA[ID]))),-1)))</f>
        <v>12</v>
      </c>
      <c r="E34" s="47"/>
      <c r="H34" s="48"/>
      <c r="L34" s="38" t="s">
        <v>175</v>
      </c>
      <c r="M34" s="41">
        <v>1</v>
      </c>
      <c r="N34" s="39">
        <v>20</v>
      </c>
      <c r="O34" s="38" t="s">
        <v>152</v>
      </c>
      <c r="P34" s="43">
        <v>83800</v>
      </c>
      <c r="Q34" s="43"/>
      <c r="R34" s="49" t="s">
        <v>484</v>
      </c>
      <c r="S34" s="50">
        <v>0.2</v>
      </c>
      <c r="T34" s="45">
        <v>0.04</v>
      </c>
      <c r="U34" s="51"/>
      <c r="V34" s="46"/>
      <c r="W34" s="51">
        <f>IF(NOTA[[#This Row],[HARGA/ CTN]]="",NOTA[[#This Row],[JUMLAH_H]],NOTA[[#This Row],[HARGA/ CTN]]*IF(NOTA[[#This Row],[C]]="",0,NOTA[[#This Row],[C]]))</f>
        <v>1676000</v>
      </c>
      <c r="X34" s="51">
        <f>IF(NOTA[[#This Row],[JUMLAH]]="","",NOTA[[#This Row],[JUMLAH]]*NOTA[[#This Row],[DISC 1]])</f>
        <v>335200</v>
      </c>
      <c r="Y34" s="51">
        <f>IF(NOTA[[#This Row],[JUMLAH]]="","",(NOTA[[#This Row],[JUMLAH]]-NOTA[[#This Row],[DISC 1-]])*NOTA[[#This Row],[DISC 2]])</f>
        <v>53632</v>
      </c>
      <c r="Z34" s="51">
        <f>IF(NOTA[[#This Row],[JUMLAH]]="","",NOTA[[#This Row],[DISC 1-]]+NOTA[[#This Row],[DISC 2-]])</f>
        <v>388832</v>
      </c>
      <c r="AA34" s="51">
        <f>IF(NOTA[[#This Row],[JUMLAH]]="","",NOTA[[#This Row],[JUMLAH]]-NOTA[[#This Row],[DISC]])</f>
        <v>1287168</v>
      </c>
      <c r="AB34" s="51"/>
      <c r="AC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42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51">
        <f>IF(OR(NOTA[[#This Row],[QTY]]="",NOTA[[#This Row],[HARGA SATUAN]]="",),"",NOTA[[#This Row],[QTY]]*NOTA[[#This Row],[HARGA SATUAN]])</f>
        <v>1676000</v>
      </c>
      <c r="AG34" s="40">
        <f ca="1">IF(NOTA[ID_H]="","",INDEX(NOTA[TANGGAL],MATCH(,INDIRECT(ADDRESS(ROW(NOTA[TANGGAL]),COLUMN(NOTA[TANGGAL]))&amp;":"&amp;ADDRESS(ROW(),COLUMN(NOTA[TANGGAL]))),-1)))</f>
        <v>45111</v>
      </c>
      <c r="AH34" s="42" t="str">
        <f ca="1">IF(NOTA[[#This Row],[NAMA BARANG]]="","",INDEX(NOTA[SUPPLIER],MATCH(,INDIRECT(ADDRESS(ROW(NOTA[ID]),COLUMN(NOTA[ID]))&amp;":"&amp;ADDRESS(ROW(),COLUMN(NOTA[ID]))),-1)))</f>
        <v>PPW</v>
      </c>
      <c r="AI34" s="42" t="str">
        <f ca="1">IF(NOTA[[#This Row],[ID_H]]="","",IF(NOTA[[#This Row],[FAKTUR]]="",INDIRECT(ADDRESS(ROW()-1,COLUMN())),NOTA[[#This Row],[FAKTUR]]))</f>
        <v>UNTANA</v>
      </c>
      <c r="AJ34" s="39" t="str">
        <f ca="1">IF(NOTA[[#This Row],[ID]]="","",COUNTIF(NOTA[ID_H],NOTA[[#This Row],[ID_H]]))</f>
        <v/>
      </c>
      <c r="AK34" s="39">
        <f ca="1">IF(NOTA[[#This Row],[TGL.NOTA]]="",IF(NOTA[[#This Row],[SUPPLIER_H]]="","",AK33),MONTH(NOTA[[#This Row],[TGL.NOTA]]))</f>
        <v>7</v>
      </c>
      <c r="AL34" s="39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9" t="str">
        <f>IF(NOTA[[#This Row],[CONCAT4]]="","",_xlfn.IFNA(MATCH(NOTA[[#This Row],[CONCAT4]],[2]!RAW[CONCAT_H],0),FALSE))</f>
        <v/>
      </c>
      <c r="AQ34" s="39">
        <f>IF(NOTA[[#This Row],[CONCAT1]]="","",MATCH(NOTA[[#This Row],[CONCAT1]],[3]!db[NB NOTA_C],0))</f>
        <v>1100</v>
      </c>
      <c r="AR34" s="39" t="b">
        <f>IF(NOTA[[#This Row],[QTY/ CTN]]="","",TRUE)</f>
        <v>1</v>
      </c>
      <c r="AS34" s="39" t="str">
        <f ca="1">IF(NOTA[[#This Row],[ID_H]]="","",IF(NOTA[[#This Row],[Column3]]=TRUE,NOTA[[#This Row],[QTY/ CTN]],INDEX([3]!db[QTY/ CTN],NOTA[[#This Row],[//DB]])))</f>
        <v>20 LSN</v>
      </c>
      <c r="AT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pgrsbt17206besar20lsnuntana</v>
      </c>
      <c r="AU34" s="39" t="e">
        <f ca="1">IF(NOTA[[#This Row],[ID_H]]="","",MATCH(NOTA[[#This Row],[NB NOTA_C_QTY]],[4]!db[NB NOTA_C_QTY+F],0))</f>
        <v>#REF!</v>
      </c>
      <c r="AV34" s="55">
        <f ca="1">IF(NOTA[[#This Row],[NB NOTA_C_QTY]]="","",ROW()-2)</f>
        <v>32</v>
      </c>
    </row>
    <row r="35" spans="1:48" ht="20.100000000000001" customHeight="1" x14ac:dyDescent="0.25">
      <c r="A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9" t="str">
        <f>IF(NOTA[[#This Row],[ID_P]]="","",MATCH(NOTA[[#This Row],[ID_P]],[1]!B_MSK[N_ID],0))</f>
        <v/>
      </c>
      <c r="D35" s="39" t="str">
        <f ca="1">IF(NOTA[[#This Row],[NAMA BARANG]]="","",INDEX(NOTA[ID],MATCH(,INDIRECT(ADDRESS(ROW(NOTA[ID]),COLUMN(NOTA[ID]))&amp;":"&amp;ADDRESS(ROW(),COLUMN(NOTA[ID]))),-1)))</f>
        <v/>
      </c>
      <c r="E35" s="47"/>
      <c r="H35" s="48"/>
      <c r="N35" s="39"/>
      <c r="Q35" s="43"/>
      <c r="R35" s="49"/>
      <c r="S35" s="50"/>
      <c r="U35" s="51"/>
      <c r="V35" s="46"/>
      <c r="W35" s="51" t="str">
        <f>IF(NOTA[[#This Row],[HARGA/ CTN]]="",NOTA[[#This Row],[JUMLAH_H]],NOTA[[#This Row],[HARGA/ CTN]]*IF(NOTA[[#This Row],[C]]="",0,NOTA[[#This Row],[C]]))</f>
        <v/>
      </c>
      <c r="X35" s="51" t="str">
        <f>IF(NOTA[[#This Row],[JUMLAH]]="","",NOTA[[#This Row],[JUMLAH]]*NOTA[[#This Row],[DISC 1]])</f>
        <v/>
      </c>
      <c r="Y35" s="51" t="str">
        <f>IF(NOTA[[#This Row],[JUMLAH]]="","",(NOTA[[#This Row],[JUMLAH]]-NOTA[[#This Row],[DISC 1-]])*NOTA[[#This Row],[DISC 2]])</f>
        <v/>
      </c>
      <c r="Z35" s="51" t="str">
        <f>IF(NOTA[[#This Row],[JUMLAH]]="","",NOTA[[#This Row],[DISC 1-]]+NOTA[[#This Row],[DISC 2-]])</f>
        <v/>
      </c>
      <c r="AA35" s="51" t="str">
        <f>IF(NOTA[[#This Row],[JUMLAH]]="","",NOTA[[#This Row],[JUMLAH]]-NOTA[[#This Row],[DISC]])</f>
        <v/>
      </c>
      <c r="AB35" s="51"/>
      <c r="AC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1" t="str">
        <f>IF(OR(NOTA[[#This Row],[QTY]]="",NOTA[[#This Row],[HARGA SATUAN]]="",),"",NOTA[[#This Row],[QTY]]*NOTA[[#This Row],[HARGA SATUAN]])</f>
        <v/>
      </c>
      <c r="AG35" s="40" t="str">
        <f ca="1">IF(NOTA[ID_H]="","",INDEX(NOTA[TANGGAL],MATCH(,INDIRECT(ADDRESS(ROW(NOTA[TANGGAL]),COLUMN(NOTA[TANGGAL]))&amp;":"&amp;ADDRESS(ROW(),COLUMN(NOTA[TANGGAL]))),-1)))</f>
        <v/>
      </c>
      <c r="AH35" s="42" t="str">
        <f ca="1">IF(NOTA[[#This Row],[NAMA BARANG]]="","",INDEX(NOTA[SUPPLIER],MATCH(,INDIRECT(ADDRESS(ROW(NOTA[ID]),COLUMN(NOTA[ID]))&amp;":"&amp;ADDRESS(ROW(),COLUMN(NOTA[ID]))),-1)))</f>
        <v/>
      </c>
      <c r="AI35" s="42" t="str">
        <f ca="1">IF(NOTA[[#This Row],[ID_H]]="","",IF(NOTA[[#This Row],[FAKTUR]]="",INDIRECT(ADDRESS(ROW()-1,COLUMN())),NOTA[[#This Row],[FAKTUR]]))</f>
        <v/>
      </c>
      <c r="AJ35" s="39" t="str">
        <f ca="1">IF(NOTA[[#This Row],[ID]]="","",COUNTIF(NOTA[ID_H],NOTA[[#This Row],[ID_H]]))</f>
        <v/>
      </c>
      <c r="AK35" s="39" t="str">
        <f ca="1">IF(NOTA[[#This Row],[TGL.NOTA]]="",IF(NOTA[[#This Row],[SUPPLIER_H]]="","",AK34),MONTH(NOTA[[#This Row],[TGL.NOTA]]))</f>
        <v/>
      </c>
      <c r="AL35" s="39" t="str">
        <f>LOWER(SUBSTITUTE(SUBSTITUTE(SUBSTITUTE(SUBSTITUTE(SUBSTITUTE(SUBSTITUTE(SUBSTITUTE(SUBSTITUTE(SUBSTITUTE(NOTA[NAMA BARANG]," ",),".",""),"-",""),"(",""),")",""),",",""),"/",""),"""",""),"+",""))</f>
        <v/>
      </c>
      <c r="AM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9" t="str">
        <f>IF(NOTA[[#This Row],[CONCAT4]]="","",_xlfn.IFNA(MATCH(NOTA[[#This Row],[CONCAT4]],[2]!RAW[CONCAT_H],0),FALSE))</f>
        <v/>
      </c>
      <c r="AQ35" s="39" t="str">
        <f>IF(NOTA[[#This Row],[CONCAT1]]="","",MATCH(NOTA[[#This Row],[CONCAT1]],[3]!db[NB NOTA_C],0))</f>
        <v/>
      </c>
      <c r="AR35" s="39" t="str">
        <f>IF(NOTA[[#This Row],[QTY/ CTN]]="","",TRUE)</f>
        <v/>
      </c>
      <c r="AS35" s="39" t="str">
        <f ca="1">IF(NOTA[[#This Row],[ID_H]]="","",IF(NOTA[[#This Row],[Column3]]=TRUE,NOTA[[#This Row],[QTY/ CTN]],INDEX([3]!db[QTY/ CTN],NOTA[[#This Row],[//DB]])))</f>
        <v/>
      </c>
      <c r="AT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9" t="str">
        <f ca="1">IF(NOTA[[#This Row],[ID_H]]="","",MATCH(NOTA[[#This Row],[NB NOTA_C_QTY]],[4]!db[NB NOTA_C_QTY+F],0))</f>
        <v/>
      </c>
      <c r="AV35" s="55" t="str">
        <f ca="1">IF(NOTA[[#This Row],[NB NOTA_C_QTY]]="","",ROW()-2)</f>
        <v/>
      </c>
    </row>
    <row r="36" spans="1:48" ht="20.100000000000001" customHeight="1" x14ac:dyDescent="0.25">
      <c r="A36" s="42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39" t="e">
        <f ca="1">IF(NOTA[[#This Row],[ID_P]]="","",MATCH(NOTA[[#This Row],[ID_P]],[1]!B_MSK[N_ID],0))</f>
        <v>#REF!</v>
      </c>
      <c r="D36" s="39">
        <f ca="1">IF(NOTA[[#This Row],[NAMA BARANG]]="","",INDEX(NOTA[ID],MATCH(,INDIRECT(ADDRESS(ROW(NOTA[ID]),COLUMN(NOTA[ID]))&amp;":"&amp;ADDRESS(ROW(),COLUMN(NOTA[ID]))),-1)))</f>
        <v>13</v>
      </c>
      <c r="E36" s="47"/>
      <c r="F36" s="38" t="s">
        <v>172</v>
      </c>
      <c r="G36" s="38" t="s">
        <v>145</v>
      </c>
      <c r="H36" s="48" t="s">
        <v>169</v>
      </c>
      <c r="I36" s="38" t="s">
        <v>176</v>
      </c>
      <c r="J36" s="40">
        <v>45111</v>
      </c>
      <c r="L36" s="38" t="s">
        <v>177</v>
      </c>
      <c r="M36" s="41">
        <v>5</v>
      </c>
      <c r="N36" s="39">
        <v>500</v>
      </c>
      <c r="O36" s="38" t="s">
        <v>152</v>
      </c>
      <c r="P36" s="42">
        <v>26780</v>
      </c>
      <c r="Q36" s="43"/>
      <c r="R36" s="49"/>
      <c r="S36" s="50">
        <v>0.2</v>
      </c>
      <c r="T36" s="45">
        <v>0.04</v>
      </c>
      <c r="U36" s="51"/>
      <c r="V36" s="46"/>
      <c r="W36" s="51">
        <f>IF(NOTA[[#This Row],[HARGA/ CTN]]="",NOTA[[#This Row],[JUMLAH_H]],NOTA[[#This Row],[HARGA/ CTN]]*IF(NOTA[[#This Row],[C]]="",0,NOTA[[#This Row],[C]]))</f>
        <v>13390000</v>
      </c>
      <c r="X36" s="51">
        <f>IF(NOTA[[#This Row],[JUMLAH]]="","",NOTA[[#This Row],[JUMLAH]]*NOTA[[#This Row],[DISC 1]])</f>
        <v>2678000</v>
      </c>
      <c r="Y36" s="51">
        <f>IF(NOTA[[#This Row],[JUMLAH]]="","",(NOTA[[#This Row],[JUMLAH]]-NOTA[[#This Row],[DISC 1-]])*NOTA[[#This Row],[DISC 2]])</f>
        <v>428480</v>
      </c>
      <c r="Z36" s="51">
        <f>IF(NOTA[[#This Row],[JUMLAH]]="","",NOTA[[#This Row],[DISC 1-]]+NOTA[[#This Row],[DISC 2-]])</f>
        <v>3106480</v>
      </c>
      <c r="AA36" s="51">
        <f>IF(NOTA[[#This Row],[JUMLAH]]="","",NOTA[[#This Row],[JUMLAH]]-NOTA[[#This Row],[DISC]])</f>
        <v>10283520</v>
      </c>
      <c r="AB36" s="51"/>
      <c r="AC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51">
        <f>IF(OR(NOTA[[#This Row],[QTY]]="",NOTA[[#This Row],[HARGA SATUAN]]="",),"",NOTA[[#This Row],[QTY]]*NOTA[[#This Row],[HARGA SATUAN]])</f>
        <v>13390000</v>
      </c>
      <c r="AG36" s="40">
        <f ca="1">IF(NOTA[ID_H]="","",INDEX(NOTA[TANGGAL],MATCH(,INDIRECT(ADDRESS(ROW(NOTA[TANGGAL]),COLUMN(NOTA[TANGGAL]))&amp;":"&amp;ADDRESS(ROW(),COLUMN(NOTA[TANGGAL]))),-1)))</f>
        <v>45111</v>
      </c>
      <c r="AH36" s="42" t="str">
        <f ca="1">IF(NOTA[[#This Row],[NAMA BARANG]]="","",INDEX(NOTA[SUPPLIER],MATCH(,INDIRECT(ADDRESS(ROW(NOTA[ID]),COLUMN(NOTA[ID]))&amp;":"&amp;ADDRESS(ROW(),COLUMN(NOTA[ID]))),-1)))</f>
        <v>PPW</v>
      </c>
      <c r="AI36" s="42" t="str">
        <f ca="1">IF(NOTA[[#This Row],[ID_H]]="","",IF(NOTA[[#This Row],[FAKTUR]]="",INDIRECT(ADDRESS(ROW()-1,COLUMN())),NOTA[[#This Row],[FAKTUR]]))</f>
        <v>UNTANA</v>
      </c>
      <c r="AJ36" s="39">
        <f ca="1">IF(NOTA[[#This Row],[ID]]="","",COUNTIF(NOTA[ID_H],NOTA[[#This Row],[ID_H]]))</f>
        <v>1</v>
      </c>
      <c r="AK36" s="39">
        <f>IF(NOTA[[#This Row],[TGL.NOTA]]="",IF(NOTA[[#This Row],[SUPPLIER_H]]="","",AK35),MONTH(NOTA[[#This Row],[TGL.NOTA]]))</f>
        <v>7</v>
      </c>
      <c r="AL36" s="39" t="str">
        <f>LOWER(SUBSTITUTE(SUBSTITUTE(SUBSTITUTE(SUBSTITUTE(SUBSTITUTE(SUBSTITUTE(SUBSTITUTE(SUBSTITUTE(SUBSTITUTE(NOTA[NAMA BARANG]," ",),".",""),"-",""),"(",""),")",""),",",""),"/",""),"""",""),"+",""))</f>
        <v>bt30cm</v>
      </c>
      <c r="AM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39" t="e">
        <f>IF(NOTA[[#This Row],[CONCAT4]]="","",_xlfn.IFNA(MATCH(NOTA[[#This Row],[CONCAT4]],[2]!RAW[CONCAT_H],0),FALSE))</f>
        <v>#REF!</v>
      </c>
      <c r="AQ36" s="39">
        <f>IF(NOTA[[#This Row],[CONCAT1]]="","",MATCH(NOTA[[#This Row],[CONCAT1]],[3]!db[NB NOTA_C],0))</f>
        <v>1102</v>
      </c>
      <c r="AR36" s="39" t="str">
        <f>IF(NOTA[[#This Row],[QTY/ CTN]]="","",TRUE)</f>
        <v/>
      </c>
      <c r="AS36" s="39" t="str">
        <f ca="1">IF(NOTA[[#This Row],[ID_H]]="","",IF(NOTA[[#This Row],[Column3]]=TRUE,NOTA[[#This Row],[QTY/ CTN]],INDEX([3]!db[QTY/ CTN],NOTA[[#This Row],[//DB]])))</f>
        <v>100 LSN</v>
      </c>
      <c r="AT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6" s="39" t="e">
        <f ca="1">IF(NOTA[[#This Row],[ID_H]]="","",MATCH(NOTA[[#This Row],[NB NOTA_C_QTY]],[4]!db[NB NOTA_C_QTY+F],0))</f>
        <v>#REF!</v>
      </c>
      <c r="AV36" s="55">
        <f ca="1">IF(NOTA[[#This Row],[NB NOTA_C_QTY]]="","",ROW()-2)</f>
        <v>34</v>
      </c>
    </row>
    <row r="37" spans="1:48" ht="20.100000000000001" customHeight="1" x14ac:dyDescent="0.25">
      <c r="A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 t="str">
        <f ca="1">IF(NOTA[[#This Row],[NAMA BARANG]]="","",INDEX(NOTA[ID],MATCH(,INDIRECT(ADDRESS(ROW(NOTA[ID]),COLUMN(NOTA[ID]))&amp;":"&amp;ADDRESS(ROW(),COLUMN(NOTA[ID]))),-1)))</f>
        <v/>
      </c>
      <c r="E37" s="47"/>
      <c r="H37" s="48"/>
      <c r="N37" s="39"/>
      <c r="Q37" s="43"/>
      <c r="R37" s="49"/>
      <c r="S37" s="50"/>
      <c r="U37" s="51"/>
      <c r="V37" s="46"/>
      <c r="W37" s="51" t="str">
        <f>IF(NOTA[[#This Row],[HARGA/ CTN]]="",NOTA[[#This Row],[JUMLAH_H]],NOTA[[#This Row],[HARGA/ CTN]]*IF(NOTA[[#This Row],[C]]="",0,NOTA[[#This Row],[C]]))</f>
        <v/>
      </c>
      <c r="X37" s="51" t="str">
        <f>IF(NOTA[[#This Row],[JUMLAH]]="","",NOTA[[#This Row],[JUMLAH]]*NOTA[[#This Row],[DISC 1]])</f>
        <v/>
      </c>
      <c r="Y37" s="51" t="str">
        <f>IF(NOTA[[#This Row],[JUMLAH]]="","",(NOTA[[#This Row],[JUMLAH]]-NOTA[[#This Row],[DISC 1-]])*NOTA[[#This Row],[DISC 2]])</f>
        <v/>
      </c>
      <c r="Z37" s="51" t="str">
        <f>IF(NOTA[[#This Row],[JUMLAH]]="","",NOTA[[#This Row],[DISC 1-]]+NOTA[[#This Row],[DISC 2-]])</f>
        <v/>
      </c>
      <c r="AA37" s="51" t="str">
        <f>IF(NOTA[[#This Row],[JUMLAH]]="","",NOTA[[#This Row],[JUMLAH]]-NOTA[[#This Row],[DISC]])</f>
        <v/>
      </c>
      <c r="AB37" s="51"/>
      <c r="AC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1" t="str">
        <f>IF(OR(NOTA[[#This Row],[QTY]]="",NOTA[[#This Row],[HARGA SATUAN]]="",),"",NOTA[[#This Row],[QTY]]*NOTA[[#This Row],[HARGA SATUAN]])</f>
        <v/>
      </c>
      <c r="AG37" s="40" t="str">
        <f ca="1">IF(NOTA[ID_H]="","",INDEX(NOTA[TANGGAL],MATCH(,INDIRECT(ADDRESS(ROW(NOTA[TANGGAL]),COLUMN(NOTA[TANGGAL]))&amp;":"&amp;ADDRESS(ROW(),COLUMN(NOTA[TANGGAL]))),-1)))</f>
        <v/>
      </c>
      <c r="AH37" s="42" t="str">
        <f ca="1">IF(NOTA[[#This Row],[NAMA BARANG]]="","",INDEX(NOTA[SUPPLIER],MATCH(,INDIRECT(ADDRESS(ROW(NOTA[ID]),COLUMN(NOTA[ID]))&amp;":"&amp;ADDRESS(ROW(),COLUMN(NOTA[ID]))),-1)))</f>
        <v/>
      </c>
      <c r="AI37" s="42" t="str">
        <f ca="1">IF(NOTA[[#This Row],[ID_H]]="","",IF(NOTA[[#This Row],[FAKTUR]]="",INDIRECT(ADDRESS(ROW()-1,COLUMN())),NOTA[[#This Row],[FAKTUR]]))</f>
        <v/>
      </c>
      <c r="AJ37" s="39" t="str">
        <f ca="1">IF(NOTA[[#This Row],[ID]]="","",COUNTIF(NOTA[ID_H],NOTA[[#This Row],[ID_H]]))</f>
        <v/>
      </c>
      <c r="AK37" s="39" t="str">
        <f ca="1">IF(NOTA[[#This Row],[TGL.NOTA]]="",IF(NOTA[[#This Row],[SUPPLIER_H]]="","",AK36),MONTH(NOTA[[#This Row],[TGL.NOTA]]))</f>
        <v/>
      </c>
      <c r="AL37" s="39" t="str">
        <f>LOWER(SUBSTITUTE(SUBSTITUTE(SUBSTITUTE(SUBSTITUTE(SUBSTITUTE(SUBSTITUTE(SUBSTITUTE(SUBSTITUTE(SUBSTITUTE(NOTA[NAMA BARANG]," ",),".",""),"-",""),"(",""),")",""),",",""),"/",""),"""",""),"+",""))</f>
        <v/>
      </c>
      <c r="AM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9" t="str">
        <f>IF(NOTA[[#This Row],[CONCAT4]]="","",_xlfn.IFNA(MATCH(NOTA[[#This Row],[CONCAT4]],[2]!RAW[CONCAT_H],0),FALSE))</f>
        <v/>
      </c>
      <c r="AQ37" s="39" t="str">
        <f>IF(NOTA[[#This Row],[CONCAT1]]="","",MATCH(NOTA[[#This Row],[CONCAT1]],[3]!db[NB NOTA_C],0))</f>
        <v/>
      </c>
      <c r="AR37" s="39" t="str">
        <f>IF(NOTA[[#This Row],[QTY/ CTN]]="","",TRUE)</f>
        <v/>
      </c>
      <c r="AS37" s="39" t="str">
        <f ca="1">IF(NOTA[[#This Row],[ID_H]]="","",IF(NOTA[[#This Row],[Column3]]=TRUE,NOTA[[#This Row],[QTY/ CTN]],INDEX([3]!db[QTY/ CTN],NOTA[[#This Row],[//DB]])))</f>
        <v/>
      </c>
      <c r="AT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9" t="str">
        <f ca="1">IF(NOTA[[#This Row],[ID_H]]="","",MATCH(NOTA[[#This Row],[NB NOTA_C_QTY]],[4]!db[NB NOTA_C_QTY+F],0))</f>
        <v/>
      </c>
      <c r="AV37" s="55" t="str">
        <f ca="1">IF(NOTA[[#This Row],[NB NOTA_C_QTY]]="","",ROW()-2)</f>
        <v/>
      </c>
    </row>
    <row r="38" spans="1:48" ht="20.100000000000001" customHeight="1" x14ac:dyDescent="0.25">
      <c r="A38" s="42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39" t="e">
        <f ca="1">IF(NOTA[[#This Row],[ID_P]]="","",MATCH(NOTA[[#This Row],[ID_P]],[1]!B_MSK[N_ID],0))</f>
        <v>#REF!</v>
      </c>
      <c r="D38" s="39">
        <f ca="1">IF(NOTA[[#This Row],[NAMA BARANG]]="","",INDEX(NOTA[ID],MATCH(,INDIRECT(ADDRESS(ROW(NOTA[ID]),COLUMN(NOTA[ID]))&amp;":"&amp;ADDRESS(ROW(),COLUMN(NOTA[ID]))),-1)))</f>
        <v>14</v>
      </c>
      <c r="E38" s="47"/>
      <c r="F38" s="38" t="s">
        <v>178</v>
      </c>
      <c r="G38" s="38" t="s">
        <v>145</v>
      </c>
      <c r="H38" s="48" t="s">
        <v>179</v>
      </c>
      <c r="J38" s="40">
        <v>45110</v>
      </c>
      <c r="L38" s="38" t="s">
        <v>180</v>
      </c>
      <c r="M38" s="41">
        <v>2</v>
      </c>
      <c r="N38" s="39">
        <v>144</v>
      </c>
      <c r="O38" s="38" t="s">
        <v>181</v>
      </c>
      <c r="P38" s="42">
        <v>110000</v>
      </c>
      <c r="Q38" s="43"/>
      <c r="R38" s="49" t="s">
        <v>182</v>
      </c>
      <c r="S38" s="50">
        <v>0.2</v>
      </c>
      <c r="U38" s="51"/>
      <c r="V38" s="46"/>
      <c r="W38" s="51">
        <f>IF(NOTA[[#This Row],[HARGA/ CTN]]="",NOTA[[#This Row],[JUMLAH_H]],NOTA[[#This Row],[HARGA/ CTN]]*IF(NOTA[[#This Row],[C]]="",0,NOTA[[#This Row],[C]]))</f>
        <v>15840000</v>
      </c>
      <c r="X38" s="51">
        <f>IF(NOTA[[#This Row],[JUMLAH]]="","",NOTA[[#This Row],[JUMLAH]]*NOTA[[#This Row],[DISC 1]])</f>
        <v>3168000</v>
      </c>
      <c r="Y38" s="51">
        <f>IF(NOTA[[#This Row],[JUMLAH]]="","",(NOTA[[#This Row],[JUMLAH]]-NOTA[[#This Row],[DISC 1-]])*NOTA[[#This Row],[DISC 2]])</f>
        <v>0</v>
      </c>
      <c r="Z38" s="51">
        <f>IF(NOTA[[#This Row],[JUMLAH]]="","",NOTA[[#This Row],[DISC 1-]]+NOTA[[#This Row],[DISC 2-]])</f>
        <v>3168000</v>
      </c>
      <c r="AA38" s="51">
        <f>IF(NOTA[[#This Row],[JUMLAH]]="","",NOTA[[#This Row],[JUMLAH]]-NOTA[[#This Row],[DISC]])</f>
        <v>12672000</v>
      </c>
      <c r="AB38" s="51"/>
      <c r="AC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2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51">
        <f>IF(OR(NOTA[[#This Row],[QTY]]="",NOTA[[#This Row],[HARGA SATUAN]]="",),"",NOTA[[#This Row],[QTY]]*NOTA[[#This Row],[HARGA SATUAN]])</f>
        <v>15840000</v>
      </c>
      <c r="AG38" s="40">
        <f ca="1">IF(NOTA[ID_H]="","",INDEX(NOTA[TANGGAL],MATCH(,INDIRECT(ADDRESS(ROW(NOTA[TANGGAL]),COLUMN(NOTA[TANGGAL]))&amp;":"&amp;ADDRESS(ROW(),COLUMN(NOTA[TANGGAL]))),-1)))</f>
        <v>45111</v>
      </c>
      <c r="AH38" s="42" t="str">
        <f ca="1">IF(NOTA[[#This Row],[NAMA BARANG]]="","",INDEX(NOTA[SUPPLIER],MATCH(,INDIRECT(ADDRESS(ROW(NOTA[ID]),COLUMN(NOTA[ID]))&amp;":"&amp;ADDRESS(ROW(),COLUMN(NOTA[ID]))),-1)))</f>
        <v>PSM</v>
      </c>
      <c r="AI38" s="42" t="str">
        <f ca="1">IF(NOTA[[#This Row],[ID_H]]="","",IF(NOTA[[#This Row],[FAKTUR]]="",INDIRECT(ADDRESS(ROW()-1,COLUMN())),NOTA[[#This Row],[FAKTUR]]))</f>
        <v>UNTANA</v>
      </c>
      <c r="AJ38" s="39">
        <f ca="1">IF(NOTA[[#This Row],[ID]]="","",COUNTIF(NOTA[ID_H],NOTA[[#This Row],[ID_H]]))</f>
        <v>7</v>
      </c>
      <c r="AK38" s="39">
        <f>IF(NOTA[[#This Row],[TGL.NOTA]]="",IF(NOTA[[#This Row],[SUPPLIER_H]]="","",AK37),MONTH(NOTA[[#This Row],[TGL.NOTA]]))</f>
        <v>7</v>
      </c>
      <c r="AL38" s="39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39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39" t="e">
        <f>IF(NOTA[[#This Row],[CONCAT4]]="","",_xlfn.IFNA(MATCH(NOTA[[#This Row],[CONCAT4]],[2]!RAW[CONCAT_H],0),FALSE))</f>
        <v>#REF!</v>
      </c>
      <c r="AQ38" s="39">
        <f>IF(NOTA[[#This Row],[CONCAT1]]="","",MATCH(NOTA[[#This Row],[CONCAT1]],[3]!db[NB NOTA_C],0))</f>
        <v>186</v>
      </c>
      <c r="AR38" s="39" t="b">
        <f>IF(NOTA[[#This Row],[QTY/ CTN]]="","",TRUE)</f>
        <v>1</v>
      </c>
      <c r="AS38" s="39" t="str">
        <f ca="1">IF(NOTA[[#This Row],[ID_H]]="","",IF(NOTA[[#This Row],[Column3]]=TRUE,NOTA[[#This Row],[QTY/ CTN]],INDEX([3]!db[QTY/ CTN],NOTA[[#This Row],[//DB]])))</f>
        <v>72 LPG</v>
      </c>
      <c r="AT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balonsmilekuning20x5lks3200sk72lpguntana</v>
      </c>
      <c r="AU38" s="39" t="e">
        <f ca="1">IF(NOTA[[#This Row],[ID_H]]="","",MATCH(NOTA[[#This Row],[NB NOTA_C_QTY]],[4]!db[NB NOTA_C_QTY+F],0))</f>
        <v>#REF!</v>
      </c>
      <c r="AV38" s="55">
        <f ca="1">IF(NOTA[[#This Row],[NB NOTA_C_QTY]]="","",ROW()-2)</f>
        <v>36</v>
      </c>
    </row>
    <row r="39" spans="1:48" ht="20.100000000000001" customHeight="1" x14ac:dyDescent="0.25">
      <c r="A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>
        <f ca="1">IF(NOTA[[#This Row],[NAMA BARANG]]="","",INDEX(NOTA[ID],MATCH(,INDIRECT(ADDRESS(ROW(NOTA[ID]),COLUMN(NOTA[ID]))&amp;":"&amp;ADDRESS(ROW(),COLUMN(NOTA[ID]))),-1)))</f>
        <v>14</v>
      </c>
      <c r="E39" s="47"/>
      <c r="H39" s="48"/>
      <c r="L39" s="38" t="s">
        <v>183</v>
      </c>
      <c r="M39" s="41">
        <v>2</v>
      </c>
      <c r="N39" s="39">
        <v>80</v>
      </c>
      <c r="O39" s="38" t="s">
        <v>181</v>
      </c>
      <c r="P39" s="42">
        <v>125000</v>
      </c>
      <c r="Q39" s="43"/>
      <c r="R39" s="49" t="s">
        <v>184</v>
      </c>
      <c r="S39" s="50">
        <v>0.2</v>
      </c>
      <c r="U39" s="51"/>
      <c r="V39" s="46"/>
      <c r="W39" s="51">
        <f>IF(NOTA[[#This Row],[HARGA/ CTN]]="",NOTA[[#This Row],[JUMLAH_H]],NOTA[[#This Row],[HARGA/ CTN]]*IF(NOTA[[#This Row],[C]]="",0,NOTA[[#This Row],[C]]))</f>
        <v>10000000</v>
      </c>
      <c r="X39" s="51">
        <f>IF(NOTA[[#This Row],[JUMLAH]]="","",NOTA[[#This Row],[JUMLAH]]*NOTA[[#This Row],[DISC 1]])</f>
        <v>2000000</v>
      </c>
      <c r="Y39" s="51">
        <f>IF(NOTA[[#This Row],[JUMLAH]]="","",(NOTA[[#This Row],[JUMLAH]]-NOTA[[#This Row],[DISC 1-]])*NOTA[[#This Row],[DISC 2]])</f>
        <v>0</v>
      </c>
      <c r="Z39" s="51">
        <f>IF(NOTA[[#This Row],[JUMLAH]]="","",NOTA[[#This Row],[DISC 1-]]+NOTA[[#This Row],[DISC 2-]])</f>
        <v>2000000</v>
      </c>
      <c r="AA39" s="51">
        <f>IF(NOTA[[#This Row],[JUMLAH]]="","",NOTA[[#This Row],[JUMLAH]]-NOTA[[#This Row],[DISC]])</f>
        <v>8000000</v>
      </c>
      <c r="AB39" s="51"/>
      <c r="AC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2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51">
        <f>IF(OR(NOTA[[#This Row],[QTY]]="",NOTA[[#This Row],[HARGA SATUAN]]="",),"",NOTA[[#This Row],[QTY]]*NOTA[[#This Row],[HARGA SATUAN]])</f>
        <v>10000000</v>
      </c>
      <c r="AG39" s="40">
        <f ca="1">IF(NOTA[ID_H]="","",INDEX(NOTA[TANGGAL],MATCH(,INDIRECT(ADDRESS(ROW(NOTA[TANGGAL]),COLUMN(NOTA[TANGGAL]))&amp;":"&amp;ADDRESS(ROW(),COLUMN(NOTA[TANGGAL]))),-1)))</f>
        <v>45111</v>
      </c>
      <c r="AH39" s="42" t="str">
        <f ca="1">IF(NOTA[[#This Row],[NAMA BARANG]]="","",INDEX(NOTA[SUPPLIER],MATCH(,INDIRECT(ADDRESS(ROW(NOTA[ID]),COLUMN(NOTA[ID]))&amp;":"&amp;ADDRESS(ROW(),COLUMN(NOTA[ID]))),-1)))</f>
        <v>PSM</v>
      </c>
      <c r="AI39" s="42" t="str">
        <f ca="1">IF(NOTA[[#This Row],[ID_H]]="","",IF(NOTA[[#This Row],[FAKTUR]]="",INDIRECT(ADDRESS(ROW()-1,COLUMN())),NOTA[[#This Row],[FAKTUR]]))</f>
        <v>UNTANA</v>
      </c>
      <c r="AJ39" s="39" t="str">
        <f ca="1">IF(NOTA[[#This Row],[ID]]="","",COUNTIF(NOTA[ID_H],NOTA[[#This Row],[ID_H]]))</f>
        <v/>
      </c>
      <c r="AK39" s="39">
        <f ca="1">IF(NOTA[[#This Row],[TGL.NOTA]]="",IF(NOTA[[#This Row],[SUPPLIER_H]]="","",AK38),MONTH(NOTA[[#This Row],[TGL.NOTA]]))</f>
        <v>7</v>
      </c>
      <c r="AL39" s="39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9" t="str">
        <f>IF(NOTA[[#This Row],[CONCAT4]]="","",_xlfn.IFNA(MATCH(NOTA[[#This Row],[CONCAT4]],[2]!RAW[CONCAT_H],0),FALSE))</f>
        <v/>
      </c>
      <c r="AQ39" s="39">
        <f>IF(NOTA[[#This Row],[CONCAT1]]="","",MATCH(NOTA[[#This Row],[CONCAT1]],[3]!db[NB NOTA_C],0))</f>
        <v>170</v>
      </c>
      <c r="AR39" s="39" t="b">
        <f>IF(NOTA[[#This Row],[QTY/ CTN]]="","",TRUE)</f>
        <v>1</v>
      </c>
      <c r="AS39" s="39" t="str">
        <f ca="1">IF(NOTA[[#This Row],[ID_H]]="","",IF(NOTA[[#This Row],[Column3]]=TRUE,NOTA[[#This Row],[QTY/ CTN]],INDEX([3]!db[QTY/ CTN],NOTA[[#This Row],[//DB]])))</f>
        <v>40 LPG</v>
      </c>
      <c r="AT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balonfshswarna20x5lkf3200hbw40lpguntana</v>
      </c>
      <c r="AU39" s="39" t="e">
        <f ca="1">IF(NOTA[[#This Row],[ID_H]]="","",MATCH(NOTA[[#This Row],[NB NOTA_C_QTY]],[4]!db[NB NOTA_C_QTY+F],0))</f>
        <v>#REF!</v>
      </c>
      <c r="AV39" s="55">
        <f ca="1">IF(NOTA[[#This Row],[NB NOTA_C_QTY]]="","",ROW()-2)</f>
        <v>37</v>
      </c>
    </row>
    <row r="40" spans="1:48" ht="20.100000000000001" customHeight="1" x14ac:dyDescent="0.25">
      <c r="A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>
        <f ca="1">IF(NOTA[[#This Row],[NAMA BARANG]]="","",INDEX(NOTA[ID],MATCH(,INDIRECT(ADDRESS(ROW(NOTA[ID]),COLUMN(NOTA[ID]))&amp;":"&amp;ADDRESS(ROW(),COLUMN(NOTA[ID]))),-1)))</f>
        <v>14</v>
      </c>
      <c r="E40" s="47"/>
      <c r="H40" s="48"/>
      <c r="L40" s="38" t="s">
        <v>185</v>
      </c>
      <c r="M40" s="41">
        <v>1</v>
      </c>
      <c r="N40" s="39">
        <v>50</v>
      </c>
      <c r="O40" s="38" t="s">
        <v>181</v>
      </c>
      <c r="P40" s="42">
        <v>75000</v>
      </c>
      <c r="Q40" s="43"/>
      <c r="R40" s="49" t="s">
        <v>186</v>
      </c>
      <c r="S40" s="50">
        <v>0.2</v>
      </c>
      <c r="U40" s="51"/>
      <c r="V40" s="46"/>
      <c r="W40" s="51">
        <f>IF(NOTA[[#This Row],[HARGA/ CTN]]="",NOTA[[#This Row],[JUMLAH_H]],NOTA[[#This Row],[HARGA/ CTN]]*IF(NOTA[[#This Row],[C]]="",0,NOTA[[#This Row],[C]]))</f>
        <v>3750000</v>
      </c>
      <c r="X40" s="51">
        <f>IF(NOTA[[#This Row],[JUMLAH]]="","",NOTA[[#This Row],[JUMLAH]]*NOTA[[#This Row],[DISC 1]])</f>
        <v>750000</v>
      </c>
      <c r="Y40" s="51">
        <f>IF(NOTA[[#This Row],[JUMLAH]]="","",(NOTA[[#This Row],[JUMLAH]]-NOTA[[#This Row],[DISC 1-]])*NOTA[[#This Row],[DISC 2]])</f>
        <v>0</v>
      </c>
      <c r="Z40" s="51">
        <f>IF(NOTA[[#This Row],[JUMLAH]]="","",NOTA[[#This Row],[DISC 1-]]+NOTA[[#This Row],[DISC 2-]])</f>
        <v>750000</v>
      </c>
      <c r="AA40" s="51">
        <f>IF(NOTA[[#This Row],[JUMLAH]]="","",NOTA[[#This Row],[JUMLAH]]-NOTA[[#This Row],[DISC]])</f>
        <v>3000000</v>
      </c>
      <c r="AB40" s="51"/>
      <c r="AC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51">
        <f>IF(OR(NOTA[[#This Row],[QTY]]="",NOTA[[#This Row],[HARGA SATUAN]]="",),"",NOTA[[#This Row],[QTY]]*NOTA[[#This Row],[HARGA SATUAN]])</f>
        <v>3750000</v>
      </c>
      <c r="AG40" s="40">
        <f ca="1">IF(NOTA[ID_H]="","",INDEX(NOTA[TANGGAL],MATCH(,INDIRECT(ADDRESS(ROW(NOTA[TANGGAL]),COLUMN(NOTA[TANGGAL]))&amp;":"&amp;ADDRESS(ROW(),COLUMN(NOTA[TANGGAL]))),-1)))</f>
        <v>45111</v>
      </c>
      <c r="AH40" s="42" t="str">
        <f ca="1">IF(NOTA[[#This Row],[NAMA BARANG]]="","",INDEX(NOTA[SUPPLIER],MATCH(,INDIRECT(ADDRESS(ROW(NOTA[ID]),COLUMN(NOTA[ID]))&amp;":"&amp;ADDRESS(ROW(),COLUMN(NOTA[ID]))),-1)))</f>
        <v>PSM</v>
      </c>
      <c r="AI40" s="42" t="str">
        <f ca="1">IF(NOTA[[#This Row],[ID_H]]="","",IF(NOTA[[#This Row],[FAKTUR]]="",INDIRECT(ADDRESS(ROW()-1,COLUMN())),NOTA[[#This Row],[FAKTUR]]))</f>
        <v>UNTANA</v>
      </c>
      <c r="AJ40" s="39" t="str">
        <f ca="1">IF(NOTA[[#This Row],[ID]]="","",COUNTIF(NOTA[ID_H],NOTA[[#This Row],[ID_H]]))</f>
        <v/>
      </c>
      <c r="AK40" s="39">
        <f ca="1">IF(NOTA[[#This Row],[TGL.NOTA]]="",IF(NOTA[[#This Row],[SUPPLIER_H]]="","",AK39),MONTH(NOTA[[#This Row],[TGL.NOTA]]))</f>
        <v>7</v>
      </c>
      <c r="AL40" s="39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9" t="str">
        <f>IF(NOTA[[#This Row],[CONCAT4]]="","",_xlfn.IFNA(MATCH(NOTA[[#This Row],[CONCAT4]],[2]!RAW[CONCAT_H],0),FALSE))</f>
        <v/>
      </c>
      <c r="AQ40" s="39">
        <f>IF(NOTA[[#This Row],[CONCAT1]]="","",MATCH(NOTA[[#This Row],[CONCAT1]],[3]!db[NB NOTA_C],0))</f>
        <v>181</v>
      </c>
      <c r="AR40" s="39" t="b">
        <f>IF(NOTA[[#This Row],[QTY/ CTN]]="","",TRUE)</f>
        <v>1</v>
      </c>
      <c r="AS40" s="39" t="str">
        <f ca="1">IF(NOTA[[#This Row],[ID_H]]="","",IF(NOTA[[#This Row],[Column3]]=TRUE,NOTA[[#This Row],[QTY/ CTN]],INDEX([3]!db[QTY/ CTN],NOTA[[#This Row],[//DB]])))</f>
        <v>50 LPG</v>
      </c>
      <c r="AT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U40" s="39" t="e">
        <f ca="1">IF(NOTA[[#This Row],[ID_H]]="","",MATCH(NOTA[[#This Row],[NB NOTA_C_QTY]],[4]!db[NB NOTA_C_QTY+F],0))</f>
        <v>#REF!</v>
      </c>
      <c r="AV40" s="55">
        <f ca="1">IF(NOTA[[#This Row],[NB NOTA_C_QTY]]="","",ROW()-2)</f>
        <v>38</v>
      </c>
    </row>
    <row r="41" spans="1:48" ht="20.100000000000001" customHeight="1" x14ac:dyDescent="0.25">
      <c r="A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14</v>
      </c>
      <c r="E41" s="47"/>
      <c r="H41" s="48"/>
      <c r="L41" s="38" t="s">
        <v>187</v>
      </c>
      <c r="M41" s="41">
        <v>1</v>
      </c>
      <c r="N41" s="39">
        <v>60</v>
      </c>
      <c r="O41" s="38" t="s">
        <v>181</v>
      </c>
      <c r="P41" s="42">
        <v>67500</v>
      </c>
      <c r="Q41" s="43"/>
      <c r="R41" s="49" t="s">
        <v>188</v>
      </c>
      <c r="S41" s="50">
        <v>0.2</v>
      </c>
      <c r="U41" s="51"/>
      <c r="V41" s="46"/>
      <c r="W41" s="51">
        <f>IF(NOTA[[#This Row],[HARGA/ CTN]]="",NOTA[[#This Row],[JUMLAH_H]],NOTA[[#This Row],[HARGA/ CTN]]*IF(NOTA[[#This Row],[C]]="",0,NOTA[[#This Row],[C]]))</f>
        <v>4050000</v>
      </c>
      <c r="X41" s="51">
        <f>IF(NOTA[[#This Row],[JUMLAH]]="","",NOTA[[#This Row],[JUMLAH]]*NOTA[[#This Row],[DISC 1]])</f>
        <v>810000</v>
      </c>
      <c r="Y41" s="51">
        <f>IF(NOTA[[#This Row],[JUMLAH]]="","",(NOTA[[#This Row],[JUMLAH]]-NOTA[[#This Row],[DISC 1-]])*NOTA[[#This Row],[DISC 2]])</f>
        <v>0</v>
      </c>
      <c r="Z41" s="51">
        <f>IF(NOTA[[#This Row],[JUMLAH]]="","",NOTA[[#This Row],[DISC 1-]]+NOTA[[#This Row],[DISC 2-]])</f>
        <v>810000</v>
      </c>
      <c r="AA41" s="51">
        <f>IF(NOTA[[#This Row],[JUMLAH]]="","",NOTA[[#This Row],[JUMLAH]]-NOTA[[#This Row],[DISC]])</f>
        <v>3240000</v>
      </c>
      <c r="AB41" s="51"/>
      <c r="AC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51">
        <f>IF(OR(NOTA[[#This Row],[QTY]]="",NOTA[[#This Row],[HARGA SATUAN]]="",),"",NOTA[[#This Row],[QTY]]*NOTA[[#This Row],[HARGA SATUAN]])</f>
        <v>4050000</v>
      </c>
      <c r="AG41" s="40">
        <f ca="1">IF(NOTA[ID_H]="","",INDEX(NOTA[TANGGAL],MATCH(,INDIRECT(ADDRESS(ROW(NOTA[TANGGAL]),COLUMN(NOTA[TANGGAL]))&amp;":"&amp;ADDRESS(ROW(),COLUMN(NOTA[TANGGAL]))),-1)))</f>
        <v>45111</v>
      </c>
      <c r="AH41" s="42" t="str">
        <f ca="1">IF(NOTA[[#This Row],[NAMA BARANG]]="","",INDEX(NOTA[SUPPLIER],MATCH(,INDIRECT(ADDRESS(ROW(NOTA[ID]),COLUMN(NOTA[ID]))&amp;":"&amp;ADDRESS(ROW(),COLUMN(NOTA[ID]))),-1)))</f>
        <v>PSM</v>
      </c>
      <c r="AI41" s="42" t="str">
        <f ca="1">IF(NOTA[[#This Row],[ID_H]]="","",IF(NOTA[[#This Row],[FAKTUR]]="",INDIRECT(ADDRESS(ROW()-1,COLUMN())),NOTA[[#This Row],[FAKTUR]]))</f>
        <v>UNTANA</v>
      </c>
      <c r="AJ41" s="39" t="str">
        <f ca="1">IF(NOTA[[#This Row],[ID]]="","",COUNTIF(NOTA[ID_H],NOTA[[#This Row],[ID_H]]))</f>
        <v/>
      </c>
      <c r="AK41" s="39">
        <f ca="1">IF(NOTA[[#This Row],[TGL.NOTA]]="",IF(NOTA[[#This Row],[SUPPLIER_H]]="","",AK40),MONTH(NOTA[[#This Row],[TGL.NOTA]]))</f>
        <v>7</v>
      </c>
      <c r="AL41" s="39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9" t="str">
        <f>IF(NOTA[[#This Row],[CONCAT4]]="","",_xlfn.IFNA(MATCH(NOTA[[#This Row],[CONCAT4]],[2]!RAW[CONCAT_H],0),FALSE))</f>
        <v/>
      </c>
      <c r="AQ41" s="39">
        <f>IF(NOTA[[#This Row],[CONCAT1]]="","",MATCH(NOTA[[#This Row],[CONCAT1]],[3]!db[NB NOTA_C],0))</f>
        <v>180</v>
      </c>
      <c r="AR41" s="39" t="b">
        <f>IF(NOTA[[#This Row],[QTY/ CTN]]="","",TRUE)</f>
        <v>1</v>
      </c>
      <c r="AS41" s="39" t="str">
        <f ca="1">IF(NOTA[[#This Row],[ID_H]]="","",IF(NOTA[[#This Row],[Column3]]=TRUE,NOTA[[#This Row],[QTY/ CTN]],INDEX([3]!db[QTY/ CTN],NOTA[[#This Row],[//DB]])))</f>
        <v>60 LPG</v>
      </c>
      <c r="AT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U41" s="39" t="e">
        <f ca="1">IF(NOTA[[#This Row],[ID_H]]="","",MATCH(NOTA[[#This Row],[NB NOTA_C_QTY]],[4]!db[NB NOTA_C_QTY+F],0))</f>
        <v>#REF!</v>
      </c>
      <c r="AV41" s="55">
        <f ca="1">IF(NOTA[[#This Row],[NB NOTA_C_QTY]]="","",ROW()-2)</f>
        <v>39</v>
      </c>
    </row>
    <row r="42" spans="1:48" ht="20.100000000000001" customHeight="1" x14ac:dyDescent="0.25">
      <c r="A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14</v>
      </c>
      <c r="E42" s="47"/>
      <c r="H42" s="48"/>
      <c r="L42" s="38" t="s">
        <v>189</v>
      </c>
      <c r="M42" s="41">
        <v>1</v>
      </c>
      <c r="N42" s="39">
        <v>60</v>
      </c>
      <c r="O42" s="38" t="s">
        <v>181</v>
      </c>
      <c r="P42" s="42">
        <v>67500</v>
      </c>
      <c r="Q42" s="43"/>
      <c r="R42" s="49" t="s">
        <v>188</v>
      </c>
      <c r="S42" s="50">
        <v>0.2</v>
      </c>
      <c r="U42" s="51"/>
      <c r="V42" s="46"/>
      <c r="W42" s="51">
        <f>IF(NOTA[[#This Row],[HARGA/ CTN]]="",NOTA[[#This Row],[JUMLAH_H]],NOTA[[#This Row],[HARGA/ CTN]]*IF(NOTA[[#This Row],[C]]="",0,NOTA[[#This Row],[C]]))</f>
        <v>4050000</v>
      </c>
      <c r="X42" s="51">
        <f>IF(NOTA[[#This Row],[JUMLAH]]="","",NOTA[[#This Row],[JUMLAH]]*NOTA[[#This Row],[DISC 1]])</f>
        <v>810000</v>
      </c>
      <c r="Y42" s="51">
        <f>IF(NOTA[[#This Row],[JUMLAH]]="","",(NOTA[[#This Row],[JUMLAH]]-NOTA[[#This Row],[DISC 1-]])*NOTA[[#This Row],[DISC 2]])</f>
        <v>0</v>
      </c>
      <c r="Z42" s="51">
        <f>IF(NOTA[[#This Row],[JUMLAH]]="","",NOTA[[#This Row],[DISC 1-]]+NOTA[[#This Row],[DISC 2-]])</f>
        <v>810000</v>
      </c>
      <c r="AA42" s="51">
        <f>IF(NOTA[[#This Row],[JUMLAH]]="","",NOTA[[#This Row],[JUMLAH]]-NOTA[[#This Row],[DISC]])</f>
        <v>3240000</v>
      </c>
      <c r="AB42" s="51"/>
      <c r="AC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51">
        <f>IF(OR(NOTA[[#This Row],[QTY]]="",NOTA[[#This Row],[HARGA SATUAN]]="",),"",NOTA[[#This Row],[QTY]]*NOTA[[#This Row],[HARGA SATUAN]])</f>
        <v>4050000</v>
      </c>
      <c r="AG42" s="40">
        <f ca="1">IF(NOTA[ID_H]="","",INDEX(NOTA[TANGGAL],MATCH(,INDIRECT(ADDRESS(ROW(NOTA[TANGGAL]),COLUMN(NOTA[TANGGAL]))&amp;":"&amp;ADDRESS(ROW(),COLUMN(NOTA[TANGGAL]))),-1)))</f>
        <v>45111</v>
      </c>
      <c r="AH42" s="42" t="str">
        <f ca="1">IF(NOTA[[#This Row],[NAMA BARANG]]="","",INDEX(NOTA[SUPPLIER],MATCH(,INDIRECT(ADDRESS(ROW(NOTA[ID]),COLUMN(NOTA[ID]))&amp;":"&amp;ADDRESS(ROW(),COLUMN(NOTA[ID]))),-1)))</f>
        <v>PSM</v>
      </c>
      <c r="AI42" s="42" t="str">
        <f ca="1">IF(NOTA[[#This Row],[ID_H]]="","",IF(NOTA[[#This Row],[FAKTUR]]="",INDIRECT(ADDRESS(ROW()-1,COLUMN())),NOTA[[#This Row],[FAKTUR]]))</f>
        <v>UNTANA</v>
      </c>
      <c r="AJ42" s="39" t="str">
        <f ca="1">IF(NOTA[[#This Row],[ID]]="","",COUNTIF(NOTA[ID_H],NOTA[[#This Row],[ID_H]]))</f>
        <v/>
      </c>
      <c r="AK42" s="39">
        <f ca="1">IF(NOTA[[#This Row],[TGL.NOTA]]="",IF(NOTA[[#This Row],[SUPPLIER_H]]="","",AK41),MONTH(NOTA[[#This Row],[TGL.NOTA]]))</f>
        <v>7</v>
      </c>
      <c r="AL42" s="39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9" t="str">
        <f>IF(NOTA[[#This Row],[CONCAT4]]="","",_xlfn.IFNA(MATCH(NOTA[[#This Row],[CONCAT4]],[2]!RAW[CONCAT_H],0),FALSE))</f>
        <v/>
      </c>
      <c r="AQ42" s="39">
        <f>IF(NOTA[[#This Row],[CONCAT1]]="","",MATCH(NOTA[[#This Row],[CONCAT1]],[3]!db[NB NOTA_C],0))</f>
        <v>177</v>
      </c>
      <c r="AR42" s="39" t="b">
        <f>IF(NOTA[[#This Row],[QTY/ CTN]]="","",TRUE)</f>
        <v>1</v>
      </c>
      <c r="AS42" s="39" t="str">
        <f ca="1">IF(NOTA[[#This Row],[ID_H]]="","",IF(NOTA[[#This Row],[Column3]]=TRUE,NOTA[[#This Row],[QTY/ CTN]],INDEX([3]!db[QTY/ CTN],NOTA[[#This Row],[//DB]])))</f>
        <v>60 LPG</v>
      </c>
      <c r="AT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balonkilap102220x5lkp220060lpguntana</v>
      </c>
      <c r="AU42" s="39" t="e">
        <f ca="1">IF(NOTA[[#This Row],[ID_H]]="","",MATCH(NOTA[[#This Row],[NB NOTA_C_QTY]],[4]!db[NB NOTA_C_QTY+F],0))</f>
        <v>#REF!</v>
      </c>
      <c r="AV42" s="55">
        <f ca="1">IF(NOTA[[#This Row],[NB NOTA_C_QTY]]="","",ROW()-2)</f>
        <v>40</v>
      </c>
    </row>
    <row r="43" spans="1:48" ht="20.100000000000001" customHeight="1" x14ac:dyDescent="0.25">
      <c r="A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14</v>
      </c>
      <c r="E43" s="47"/>
      <c r="H43" s="48"/>
      <c r="L43" s="38" t="s">
        <v>190</v>
      </c>
      <c r="M43" s="41">
        <v>2</v>
      </c>
      <c r="N43" s="39">
        <v>100</v>
      </c>
      <c r="O43" s="38" t="s">
        <v>181</v>
      </c>
      <c r="P43" s="42">
        <v>85000</v>
      </c>
      <c r="Q43" s="43"/>
      <c r="R43" s="49" t="s">
        <v>186</v>
      </c>
      <c r="S43" s="50">
        <v>0.2</v>
      </c>
      <c r="U43" s="51"/>
      <c r="V43" s="46"/>
      <c r="W43" s="51">
        <f>IF(NOTA[[#This Row],[HARGA/ CTN]]="",NOTA[[#This Row],[JUMLAH_H]],NOTA[[#This Row],[HARGA/ CTN]]*IF(NOTA[[#This Row],[C]]="",0,NOTA[[#This Row],[C]]))</f>
        <v>8500000</v>
      </c>
      <c r="X43" s="51">
        <f>IF(NOTA[[#This Row],[JUMLAH]]="","",NOTA[[#This Row],[JUMLAH]]*NOTA[[#This Row],[DISC 1]])</f>
        <v>1700000</v>
      </c>
      <c r="Y43" s="51">
        <f>IF(NOTA[[#This Row],[JUMLAH]]="","",(NOTA[[#This Row],[JUMLAH]]-NOTA[[#This Row],[DISC 1-]])*NOTA[[#This Row],[DISC 2]])</f>
        <v>0</v>
      </c>
      <c r="Z43" s="51">
        <f>IF(NOTA[[#This Row],[JUMLAH]]="","",NOTA[[#This Row],[DISC 1-]]+NOTA[[#This Row],[DISC 2-]])</f>
        <v>1700000</v>
      </c>
      <c r="AA43" s="51">
        <f>IF(NOTA[[#This Row],[JUMLAH]]="","",NOTA[[#This Row],[JUMLAH]]-NOTA[[#This Row],[DISC]])</f>
        <v>6800000</v>
      </c>
      <c r="AB43" s="51"/>
      <c r="AC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2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51">
        <f>IF(OR(NOTA[[#This Row],[QTY]]="",NOTA[[#This Row],[HARGA SATUAN]]="",),"",NOTA[[#This Row],[QTY]]*NOTA[[#This Row],[HARGA SATUAN]])</f>
        <v>8500000</v>
      </c>
      <c r="AG43" s="40">
        <f ca="1">IF(NOTA[ID_H]="","",INDEX(NOTA[TANGGAL],MATCH(,INDIRECT(ADDRESS(ROW(NOTA[TANGGAL]),COLUMN(NOTA[TANGGAL]))&amp;":"&amp;ADDRESS(ROW(),COLUMN(NOTA[TANGGAL]))),-1)))</f>
        <v>45111</v>
      </c>
      <c r="AH43" s="42" t="str">
        <f ca="1">IF(NOTA[[#This Row],[NAMA BARANG]]="","",INDEX(NOTA[SUPPLIER],MATCH(,INDIRECT(ADDRESS(ROW(NOTA[ID]),COLUMN(NOTA[ID]))&amp;":"&amp;ADDRESS(ROW(),COLUMN(NOTA[ID]))),-1)))</f>
        <v>PSM</v>
      </c>
      <c r="AI43" s="42" t="str">
        <f ca="1">IF(NOTA[[#This Row],[ID_H]]="","",IF(NOTA[[#This Row],[FAKTUR]]="",INDIRECT(ADDRESS(ROW()-1,COLUMN())),NOTA[[#This Row],[FAKTUR]]))</f>
        <v>UNTANA</v>
      </c>
      <c r="AJ43" s="39" t="str">
        <f ca="1">IF(NOTA[[#This Row],[ID]]="","",COUNTIF(NOTA[ID_H],NOTA[[#This Row],[ID_H]]))</f>
        <v/>
      </c>
      <c r="AK43" s="39">
        <f ca="1">IF(NOTA[[#This Row],[TGL.NOTA]]="",IF(NOTA[[#This Row],[SUPPLIER_H]]="","",AK42),MONTH(NOTA[[#This Row],[TGL.NOTA]]))</f>
        <v>7</v>
      </c>
      <c r="AL43" s="39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9" t="str">
        <f>IF(NOTA[[#This Row],[CONCAT4]]="","",_xlfn.IFNA(MATCH(NOTA[[#This Row],[CONCAT4]],[2]!RAW[CONCAT_H],0),FALSE))</f>
        <v/>
      </c>
      <c r="AQ43" s="39">
        <f>IF(NOTA[[#This Row],[CONCAT1]]="","",MATCH(NOTA[[#This Row],[CONCAT1]],[3]!db[NB NOTA_C],0))</f>
        <v>178</v>
      </c>
      <c r="AR43" s="39" t="b">
        <f>IF(NOTA[[#This Row],[QTY/ CTN]]="","",TRUE)</f>
        <v>1</v>
      </c>
      <c r="AS43" s="39" t="str">
        <f ca="1">IF(NOTA[[#This Row],[ID_H]]="","",IF(NOTA[[#This Row],[Column3]]=TRUE,NOTA[[#This Row],[QTY/ CTN]],INDEX([3]!db[QTY/ CTN],NOTA[[#This Row],[//DB]])))</f>
        <v>50 LPG</v>
      </c>
      <c r="AT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balonkilap123220x5lkp320050lpguntana</v>
      </c>
      <c r="AU43" s="39" t="e">
        <f ca="1">IF(NOTA[[#This Row],[ID_H]]="","",MATCH(NOTA[[#This Row],[NB NOTA_C_QTY]],[4]!db[NB NOTA_C_QTY+F],0))</f>
        <v>#REF!</v>
      </c>
      <c r="AV43" s="55">
        <f ca="1">IF(NOTA[[#This Row],[NB NOTA_C_QTY]]="","",ROW()-2)</f>
        <v>41</v>
      </c>
    </row>
    <row r="44" spans="1:48" ht="20.100000000000001" customHeight="1" x14ac:dyDescent="0.25">
      <c r="A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14</v>
      </c>
      <c r="E44" s="47"/>
      <c r="H44" s="48"/>
      <c r="L44" s="38" t="s">
        <v>191</v>
      </c>
      <c r="M44" s="41">
        <v>2</v>
      </c>
      <c r="N44" s="39">
        <v>150</v>
      </c>
      <c r="O44" s="38" t="s">
        <v>181</v>
      </c>
      <c r="P44" s="42">
        <v>80000</v>
      </c>
      <c r="Q44" s="43"/>
      <c r="R44" s="49" t="s">
        <v>192</v>
      </c>
      <c r="S44" s="50">
        <v>0.2</v>
      </c>
      <c r="U44" s="51"/>
      <c r="V44" s="46"/>
      <c r="W44" s="51">
        <f>IF(NOTA[[#This Row],[HARGA/ CTN]]="",NOTA[[#This Row],[JUMLAH_H]],NOTA[[#This Row],[HARGA/ CTN]]*IF(NOTA[[#This Row],[C]]="",0,NOTA[[#This Row],[C]]))</f>
        <v>12000000</v>
      </c>
      <c r="X44" s="51">
        <f>IF(NOTA[[#This Row],[JUMLAH]]="","",NOTA[[#This Row],[JUMLAH]]*NOTA[[#This Row],[DISC 1]])</f>
        <v>2400000</v>
      </c>
      <c r="Y44" s="51">
        <f>IF(NOTA[[#This Row],[JUMLAH]]="","",(NOTA[[#This Row],[JUMLAH]]-NOTA[[#This Row],[DISC 1-]])*NOTA[[#This Row],[DISC 2]])</f>
        <v>0</v>
      </c>
      <c r="Z44" s="51">
        <f>IF(NOTA[[#This Row],[JUMLAH]]="","",NOTA[[#This Row],[DISC 1-]]+NOTA[[#This Row],[DISC 2-]])</f>
        <v>2400000</v>
      </c>
      <c r="AA44" s="51">
        <f>IF(NOTA[[#This Row],[JUMLAH]]="","",NOTA[[#This Row],[JUMLAH]]-NOTA[[#This Row],[DISC]])</f>
        <v>9600000</v>
      </c>
      <c r="AB44" s="51"/>
      <c r="AC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42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51">
        <f>IF(OR(NOTA[[#This Row],[QTY]]="",NOTA[[#This Row],[HARGA SATUAN]]="",),"",NOTA[[#This Row],[QTY]]*NOTA[[#This Row],[HARGA SATUAN]])</f>
        <v>12000000</v>
      </c>
      <c r="AG44" s="40">
        <f ca="1">IF(NOTA[ID_H]="","",INDEX(NOTA[TANGGAL],MATCH(,INDIRECT(ADDRESS(ROW(NOTA[TANGGAL]),COLUMN(NOTA[TANGGAL]))&amp;":"&amp;ADDRESS(ROW(),COLUMN(NOTA[TANGGAL]))),-1)))</f>
        <v>45111</v>
      </c>
      <c r="AH44" s="42" t="str">
        <f ca="1">IF(NOTA[[#This Row],[NAMA BARANG]]="","",INDEX(NOTA[SUPPLIER],MATCH(,INDIRECT(ADDRESS(ROW(NOTA[ID]),COLUMN(NOTA[ID]))&amp;":"&amp;ADDRESS(ROW(),COLUMN(NOTA[ID]))),-1)))</f>
        <v>PSM</v>
      </c>
      <c r="AI44" s="42" t="str">
        <f ca="1">IF(NOTA[[#This Row],[ID_H]]="","",IF(NOTA[[#This Row],[FAKTUR]]="",INDIRECT(ADDRESS(ROW()-1,COLUMN())),NOTA[[#This Row],[FAKTUR]]))</f>
        <v>UNTANA</v>
      </c>
      <c r="AJ44" s="39" t="str">
        <f ca="1">IF(NOTA[[#This Row],[ID]]="","",COUNTIF(NOTA[ID_H],NOTA[[#This Row],[ID_H]]))</f>
        <v/>
      </c>
      <c r="AK44" s="39">
        <f ca="1">IF(NOTA[[#This Row],[TGL.NOTA]]="",IF(NOTA[[#This Row],[SUPPLIER_H]]="","",AK43),MONTH(NOTA[[#This Row],[TGL.NOTA]]))</f>
        <v>7</v>
      </c>
      <c r="AL44" s="39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9" t="str">
        <f>IF(NOTA[[#This Row],[CONCAT4]]="","",_xlfn.IFNA(MATCH(NOTA[[#This Row],[CONCAT4]],[2]!RAW[CONCAT_H],0),FALSE))</f>
        <v/>
      </c>
      <c r="AQ44" s="39">
        <f>IF(NOTA[[#This Row],[CONCAT1]]="","",MATCH(NOTA[[#This Row],[CONCAT1]],[3]!db[NB NOTA_C],0))</f>
        <v>179</v>
      </c>
      <c r="AR44" s="39" t="b">
        <f>IF(NOTA[[#This Row],[QTY/ CTN]]="","",TRUE)</f>
        <v>1</v>
      </c>
      <c r="AS44" s="39" t="str">
        <f ca="1">IF(NOTA[[#This Row],[ID_H]]="","",IF(NOTA[[#This Row],[Column3]]=TRUE,NOTA[[#This Row],[QTY/ CTN]],INDEX([3]!db[QTY/ CTN],NOTA[[#This Row],[//DB]])))</f>
        <v>75 LPG</v>
      </c>
      <c r="AT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balonlove102220x5lkl220075lpguntana</v>
      </c>
      <c r="AU44" s="39" t="e">
        <f ca="1">IF(NOTA[[#This Row],[ID_H]]="","",MATCH(NOTA[[#This Row],[NB NOTA_C_QTY]],[4]!db[NB NOTA_C_QTY+F],0))</f>
        <v>#REF!</v>
      </c>
      <c r="AV44" s="55">
        <f ca="1">IF(NOTA[[#This Row],[NB NOTA_C_QTY]]="","",ROW()-2)</f>
        <v>42</v>
      </c>
    </row>
    <row r="45" spans="1:48" ht="20.100000000000001" customHeight="1" x14ac:dyDescent="0.25">
      <c r="A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47"/>
      <c r="H45" s="48"/>
      <c r="N45" s="39"/>
      <c r="Q45" s="43"/>
      <c r="R45" s="49"/>
      <c r="S45" s="50"/>
      <c r="U45" s="51"/>
      <c r="V45" s="46"/>
      <c r="W45" s="51" t="str">
        <f>IF(NOTA[[#This Row],[HARGA/ CTN]]="",NOTA[[#This Row],[JUMLAH_H]],NOTA[[#This Row],[HARGA/ CTN]]*IF(NOTA[[#This Row],[C]]="",0,NOTA[[#This Row],[C]]))</f>
        <v/>
      </c>
      <c r="X45" s="51" t="str">
        <f>IF(NOTA[[#This Row],[JUMLAH]]="","",NOTA[[#This Row],[JUMLAH]]*NOTA[[#This Row],[DISC 1]])</f>
        <v/>
      </c>
      <c r="Y45" s="51" t="str">
        <f>IF(NOTA[[#This Row],[JUMLAH]]="","",(NOTA[[#This Row],[JUMLAH]]-NOTA[[#This Row],[DISC 1-]])*NOTA[[#This Row],[DISC 2]])</f>
        <v/>
      </c>
      <c r="Z45" s="51" t="str">
        <f>IF(NOTA[[#This Row],[JUMLAH]]="","",NOTA[[#This Row],[DISC 1-]]+NOTA[[#This Row],[DISC 2-]])</f>
        <v/>
      </c>
      <c r="AA45" s="51" t="str">
        <f>IF(NOTA[[#This Row],[JUMLAH]]="","",NOTA[[#This Row],[JUMLAH]]-NOTA[[#This Row],[DISC]])</f>
        <v/>
      </c>
      <c r="AB45" s="51"/>
      <c r="AC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1" t="str">
        <f>IF(OR(NOTA[[#This Row],[QTY]]="",NOTA[[#This Row],[HARGA SATUAN]]="",),"",NOTA[[#This Row],[QTY]]*NOTA[[#This Row],[HARGA SATUAN]])</f>
        <v/>
      </c>
      <c r="AG45" s="40" t="str">
        <f ca="1">IF(NOTA[ID_H]="","",INDEX(NOTA[TANGGAL],MATCH(,INDIRECT(ADDRESS(ROW(NOTA[TANGGAL]),COLUMN(NOTA[TANGGAL]))&amp;":"&amp;ADDRESS(ROW(),COLUMN(NOTA[TANGGAL]))),-1)))</f>
        <v/>
      </c>
      <c r="AH45" s="42" t="str">
        <f ca="1">IF(NOTA[[#This Row],[NAMA BARANG]]="","",INDEX(NOTA[SUPPLIER],MATCH(,INDIRECT(ADDRESS(ROW(NOTA[ID]),COLUMN(NOTA[ID]))&amp;":"&amp;ADDRESS(ROW(),COLUMN(NOTA[ID]))),-1)))</f>
        <v/>
      </c>
      <c r="AI45" s="42" t="str">
        <f ca="1">IF(NOTA[[#This Row],[ID_H]]="","",IF(NOTA[[#This Row],[FAKTUR]]="",INDIRECT(ADDRESS(ROW()-1,COLUMN())),NOTA[[#This Row],[FAKTUR]]))</f>
        <v/>
      </c>
      <c r="AJ45" s="39" t="str">
        <f ca="1">IF(NOTA[[#This Row],[ID]]="","",COUNTIF(NOTA[ID_H],NOTA[[#This Row],[ID_H]]))</f>
        <v/>
      </c>
      <c r="AK45" s="39" t="str">
        <f ca="1">IF(NOTA[[#This Row],[TGL.NOTA]]="",IF(NOTA[[#This Row],[SUPPLIER_H]]="","",AK44),MONTH(NOTA[[#This Row],[TGL.NOTA]]))</f>
        <v/>
      </c>
      <c r="AL45" s="39" t="str">
        <f>LOWER(SUBSTITUTE(SUBSTITUTE(SUBSTITUTE(SUBSTITUTE(SUBSTITUTE(SUBSTITUTE(SUBSTITUTE(SUBSTITUTE(SUBSTITUTE(NOTA[NAMA BARANG]," ",),".",""),"-",""),"(",""),")",""),",",""),"/",""),"""",""),"+",""))</f>
        <v/>
      </c>
      <c r="AM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9" t="str">
        <f>IF(NOTA[[#This Row],[CONCAT4]]="","",_xlfn.IFNA(MATCH(NOTA[[#This Row],[CONCAT4]],[2]!RAW[CONCAT_H],0),FALSE))</f>
        <v/>
      </c>
      <c r="AQ45" s="39" t="str">
        <f>IF(NOTA[[#This Row],[CONCAT1]]="","",MATCH(NOTA[[#This Row],[CONCAT1]],[3]!db[NB NOTA_C],0))</f>
        <v/>
      </c>
      <c r="AR45" s="39" t="str">
        <f>IF(NOTA[[#This Row],[QTY/ CTN]]="","",TRUE)</f>
        <v/>
      </c>
      <c r="AS45" s="39" t="str">
        <f ca="1">IF(NOTA[[#This Row],[ID_H]]="","",IF(NOTA[[#This Row],[Column3]]=TRUE,NOTA[[#This Row],[QTY/ CTN]],INDEX([3]!db[QTY/ CTN],NOTA[[#This Row],[//DB]])))</f>
        <v/>
      </c>
      <c r="AT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9" t="str">
        <f ca="1">IF(NOTA[[#This Row],[ID_H]]="","",MATCH(NOTA[[#This Row],[NB NOTA_C_QTY]],[4]!db[NB NOTA_C_QTY+F],0))</f>
        <v/>
      </c>
      <c r="AV45" s="55" t="str">
        <f ca="1">IF(NOTA[[#This Row],[NB NOTA_C_QTY]]="","",ROW()-2)</f>
        <v/>
      </c>
    </row>
    <row r="46" spans="1:48" ht="20.100000000000001" customHeight="1" x14ac:dyDescent="0.25">
      <c r="A46" s="42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15</v>
      </c>
      <c r="E46" s="47">
        <v>45112</v>
      </c>
      <c r="F46" s="38" t="s">
        <v>24</v>
      </c>
      <c r="G46" s="38" t="s">
        <v>23</v>
      </c>
      <c r="H46" s="48" t="s">
        <v>115</v>
      </c>
      <c r="J46" s="40">
        <v>45110</v>
      </c>
      <c r="L46" s="38" t="s">
        <v>116</v>
      </c>
      <c r="M46" s="41">
        <v>2</v>
      </c>
      <c r="N46" s="39">
        <v>1440</v>
      </c>
      <c r="O46" s="38" t="s">
        <v>117</v>
      </c>
      <c r="P46" s="42">
        <v>4800</v>
      </c>
      <c r="Q46" s="43"/>
      <c r="R46" s="49"/>
      <c r="S46" s="50">
        <v>0.125</v>
      </c>
      <c r="T46" s="45">
        <v>0.05</v>
      </c>
      <c r="U46" s="51"/>
      <c r="V46" s="46"/>
      <c r="W46" s="51">
        <f>IF(NOTA[[#This Row],[HARGA/ CTN]]="",NOTA[[#This Row],[JUMLAH_H]],NOTA[[#This Row],[HARGA/ CTN]]*IF(NOTA[[#This Row],[C]]="",0,NOTA[[#This Row],[C]]))</f>
        <v>6912000</v>
      </c>
      <c r="X46" s="51">
        <f>IF(NOTA[[#This Row],[JUMLAH]]="","",NOTA[[#This Row],[JUMLAH]]*NOTA[[#This Row],[DISC 1]])</f>
        <v>864000</v>
      </c>
      <c r="Y46" s="51">
        <f>IF(NOTA[[#This Row],[JUMLAH]]="","",(NOTA[[#This Row],[JUMLAH]]-NOTA[[#This Row],[DISC 1-]])*NOTA[[#This Row],[DISC 2]])</f>
        <v>302400</v>
      </c>
      <c r="Z46" s="51">
        <f>IF(NOTA[[#This Row],[JUMLAH]]="","",NOTA[[#This Row],[DISC 1-]]+NOTA[[#This Row],[DISC 2-]])</f>
        <v>1166400</v>
      </c>
      <c r="AA46" s="51">
        <f>IF(NOTA[[#This Row],[JUMLAH]]="","",NOTA[[#This Row],[JUMLAH]]-NOTA[[#This Row],[DISC]])</f>
        <v>5745600</v>
      </c>
      <c r="AB46" s="51"/>
      <c r="AC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51">
        <f>IF(OR(NOTA[[#This Row],[QTY]]="",NOTA[[#This Row],[HARGA SATUAN]]="",),"",NOTA[[#This Row],[QTY]]*NOTA[[#This Row],[HARGA SATUAN]])</f>
        <v>6912000</v>
      </c>
      <c r="AG46" s="40">
        <f ca="1">IF(NOTA[ID_H]="","",INDEX(NOTA[TANGGAL],MATCH(,INDIRECT(ADDRESS(ROW(NOTA[TANGGAL]),COLUMN(NOTA[TANGGAL]))&amp;":"&amp;ADDRESS(ROW(),COLUMN(NOTA[TANGGAL]))),-1)))</f>
        <v>45112</v>
      </c>
      <c r="AH46" s="42" t="str">
        <f ca="1">IF(NOTA[[#This Row],[NAMA BARANG]]="","",INDEX(NOTA[SUPPLIER],MATCH(,INDIRECT(ADDRESS(ROW(NOTA[ID]),COLUMN(NOTA[ID]))&amp;":"&amp;ADDRESS(ROW(),COLUMN(NOTA[ID]))),-1)))</f>
        <v>ATALI MAKMUR</v>
      </c>
      <c r="AI46" s="42" t="str">
        <f ca="1">IF(NOTA[[#This Row],[ID_H]]="","",IF(NOTA[[#This Row],[FAKTUR]]="",INDIRECT(ADDRESS(ROW()-1,COLUMN())),NOTA[[#This Row],[FAKTUR]]))</f>
        <v>ARTO MORO</v>
      </c>
      <c r="AJ46" s="39">
        <f ca="1">IF(NOTA[[#This Row],[ID]]="","",COUNTIF(NOTA[ID_H],NOTA[[#This Row],[ID_H]]))</f>
        <v>7</v>
      </c>
      <c r="AK46" s="39">
        <f>IF(NOTA[[#This Row],[TGL.NOTA]]="",IF(NOTA[[#This Row],[SUPPLIER_H]]="","",AK45),MONTH(NOTA[[#This Row],[TGL.NOTA]]))</f>
        <v>7</v>
      </c>
      <c r="AL46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39" t="e">
        <f>IF(NOTA[[#This Row],[CONCAT4]]="","",_xlfn.IFNA(MATCH(NOTA[[#This Row],[CONCAT4]],[2]!RAW[CONCAT_H],0),FALSE))</f>
        <v>#REF!</v>
      </c>
      <c r="AQ46" s="39">
        <f>IF(NOTA[[#This Row],[CONCAT1]]="","",MATCH(NOTA[[#This Row],[CONCAT1]],[3]!db[NB NOTA_C],0))</f>
        <v>2629</v>
      </c>
      <c r="AR46" s="39" t="str">
        <f>IF(NOTA[[#This Row],[QTY/ CTN]]="","",TRUE)</f>
        <v/>
      </c>
      <c r="AS46" s="39" t="str">
        <f ca="1">IF(NOTA[[#This Row],[ID_H]]="","",IF(NOTA[[#This Row],[Column3]]=TRUE,NOTA[[#This Row],[QTY/ CTN]],INDEX([3]!db[QTY/ CTN],NOTA[[#This Row],[//DB]])))</f>
        <v>60 LSN</v>
      </c>
      <c r="AT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46" s="39" t="e">
        <f ca="1">IF(NOTA[[#This Row],[ID_H]]="","",MATCH(NOTA[[#This Row],[NB NOTA_C_QTY]],[4]!db[NB NOTA_C_QTY+F],0))</f>
        <v>#REF!</v>
      </c>
      <c r="AV46" s="55">
        <f ca="1">IF(NOTA[[#This Row],[NB NOTA_C_QTY]]="","",ROW()-2)</f>
        <v>44</v>
      </c>
    </row>
    <row r="47" spans="1:48" ht="20.100000000000001" customHeight="1" x14ac:dyDescent="0.25">
      <c r="A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15</v>
      </c>
      <c r="E47" s="47"/>
      <c r="H47" s="48"/>
      <c r="L47" s="38" t="s">
        <v>118</v>
      </c>
      <c r="M47" s="41">
        <v>1</v>
      </c>
      <c r="N47" s="39">
        <v>40</v>
      </c>
      <c r="O47" s="38" t="s">
        <v>152</v>
      </c>
      <c r="P47" s="42">
        <v>49200</v>
      </c>
      <c r="Q47" s="43"/>
      <c r="R47" s="49"/>
      <c r="S47" s="50">
        <v>0.125</v>
      </c>
      <c r="T47" s="45">
        <v>0.05</v>
      </c>
      <c r="U47" s="51"/>
      <c r="V47" s="46"/>
      <c r="W47" s="51">
        <f>IF(NOTA[[#This Row],[HARGA/ CTN]]="",NOTA[[#This Row],[JUMLAH_H]],NOTA[[#This Row],[HARGA/ CTN]]*IF(NOTA[[#This Row],[C]]="",0,NOTA[[#This Row],[C]]))</f>
        <v>1968000</v>
      </c>
      <c r="X47" s="51">
        <f>IF(NOTA[[#This Row],[JUMLAH]]="","",NOTA[[#This Row],[JUMLAH]]*NOTA[[#This Row],[DISC 1]])</f>
        <v>246000</v>
      </c>
      <c r="Y47" s="51">
        <f>IF(NOTA[[#This Row],[JUMLAH]]="","",(NOTA[[#This Row],[JUMLAH]]-NOTA[[#This Row],[DISC 1-]])*NOTA[[#This Row],[DISC 2]])</f>
        <v>86100</v>
      </c>
      <c r="Z47" s="51">
        <f>IF(NOTA[[#This Row],[JUMLAH]]="","",NOTA[[#This Row],[DISC 1-]]+NOTA[[#This Row],[DISC 2-]])</f>
        <v>332100</v>
      </c>
      <c r="AA47" s="51">
        <f>IF(NOTA[[#This Row],[JUMLAH]]="","",NOTA[[#This Row],[JUMLAH]]-NOTA[[#This Row],[DISC]])</f>
        <v>1635900</v>
      </c>
      <c r="AB47" s="51"/>
      <c r="AC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51">
        <f>IF(OR(NOTA[[#This Row],[QTY]]="",NOTA[[#This Row],[HARGA SATUAN]]="",),"",NOTA[[#This Row],[QTY]]*NOTA[[#This Row],[HARGA SATUAN]])</f>
        <v>1968000</v>
      </c>
      <c r="AG47" s="40">
        <f ca="1">IF(NOTA[ID_H]="","",INDEX(NOTA[TANGGAL],MATCH(,INDIRECT(ADDRESS(ROW(NOTA[TANGGAL]),COLUMN(NOTA[TANGGAL]))&amp;":"&amp;ADDRESS(ROW(),COLUMN(NOTA[TANGGAL]))),-1)))</f>
        <v>45112</v>
      </c>
      <c r="AH47" s="42" t="str">
        <f ca="1">IF(NOTA[[#This Row],[NAMA BARANG]]="","",INDEX(NOTA[SUPPLIER],MATCH(,INDIRECT(ADDRESS(ROW(NOTA[ID]),COLUMN(NOTA[ID]))&amp;":"&amp;ADDRESS(ROW(),COLUMN(NOTA[ID]))),-1)))</f>
        <v>ATALI MAKMUR</v>
      </c>
      <c r="AI47" s="42" t="str">
        <f ca="1">IF(NOTA[[#This Row],[ID_H]]="","",IF(NOTA[[#This Row],[FAKTUR]]="",INDIRECT(ADDRESS(ROW()-1,COLUMN())),NOTA[[#This Row],[FAKTUR]]))</f>
        <v>ARTO MORO</v>
      </c>
      <c r="AJ47" s="39" t="str">
        <f ca="1">IF(NOTA[[#This Row],[ID]]="","",COUNTIF(NOTA[ID_H],NOTA[[#This Row],[ID_H]]))</f>
        <v/>
      </c>
      <c r="AK47" s="39">
        <f ca="1">IF(NOTA[[#This Row],[TGL.NOTA]]="",IF(NOTA[[#This Row],[SUPPLIER_H]]="","",AK46),MONTH(NOTA[[#This Row],[TGL.NOTA]]))</f>
        <v>7</v>
      </c>
      <c r="AL47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9" t="str">
        <f>IF(NOTA[[#This Row],[CONCAT4]]="","",_xlfn.IFNA(MATCH(NOTA[[#This Row],[CONCAT4]],[2]!RAW[CONCAT_H],0),FALSE))</f>
        <v/>
      </c>
      <c r="AQ47" s="39">
        <f>IF(NOTA[[#This Row],[CONCAT1]]="","",MATCH(NOTA[[#This Row],[CONCAT1]],[3]!db[NB NOTA_C],0))</f>
        <v>1300</v>
      </c>
      <c r="AR47" s="39" t="str">
        <f>IF(NOTA[[#This Row],[QTY/ CTN]]="","",TRUE)</f>
        <v/>
      </c>
      <c r="AS47" s="39" t="str">
        <f ca="1">IF(NOTA[[#This Row],[ID_H]]="","",IF(NOTA[[#This Row],[Column3]]=TRUE,NOTA[[#This Row],[QTY/ CTN]],INDEX([3]!db[QTY/ CTN],NOTA[[#This Row],[//DB]])))</f>
        <v>40 LSN</v>
      </c>
      <c r="AT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47" s="39" t="e">
        <f ca="1">IF(NOTA[[#This Row],[ID_H]]="","",MATCH(NOTA[[#This Row],[NB NOTA_C_QTY]],[4]!db[NB NOTA_C_QTY+F],0))</f>
        <v>#REF!</v>
      </c>
      <c r="AV47" s="55">
        <f ca="1">IF(NOTA[[#This Row],[NB NOTA_C_QTY]]="","",ROW()-2)</f>
        <v>45</v>
      </c>
    </row>
    <row r="48" spans="1:48" ht="20.100000000000001" customHeight="1" x14ac:dyDescent="0.25">
      <c r="A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15</v>
      </c>
      <c r="E48" s="47"/>
      <c r="H48" s="48"/>
      <c r="L48" s="38" t="s">
        <v>119</v>
      </c>
      <c r="M48" s="41">
        <v>1</v>
      </c>
      <c r="N48" s="39">
        <v>20</v>
      </c>
      <c r="O48" s="38" t="s">
        <v>117</v>
      </c>
      <c r="P48" s="42">
        <v>40500</v>
      </c>
      <c r="Q48" s="43"/>
      <c r="R48" s="49" t="s">
        <v>120</v>
      </c>
      <c r="S48" s="50">
        <v>0.125</v>
      </c>
      <c r="T48" s="45">
        <v>0.05</v>
      </c>
      <c r="U48" s="51"/>
      <c r="V48" s="46"/>
      <c r="W48" s="51">
        <f>IF(NOTA[[#This Row],[HARGA/ CTN]]="",NOTA[[#This Row],[JUMLAH_H]],NOTA[[#This Row],[HARGA/ CTN]]*IF(NOTA[[#This Row],[C]]="",0,NOTA[[#This Row],[C]]))</f>
        <v>810000</v>
      </c>
      <c r="X48" s="51">
        <f>IF(NOTA[[#This Row],[JUMLAH]]="","",NOTA[[#This Row],[JUMLAH]]*NOTA[[#This Row],[DISC 1]])</f>
        <v>101250</v>
      </c>
      <c r="Y48" s="51">
        <f>IF(NOTA[[#This Row],[JUMLAH]]="","",(NOTA[[#This Row],[JUMLAH]]-NOTA[[#This Row],[DISC 1-]])*NOTA[[#This Row],[DISC 2]])</f>
        <v>35437.5</v>
      </c>
      <c r="Z48" s="51">
        <f>IF(NOTA[[#This Row],[JUMLAH]]="","",NOTA[[#This Row],[DISC 1-]]+NOTA[[#This Row],[DISC 2-]])</f>
        <v>136687.5</v>
      </c>
      <c r="AA48" s="51">
        <f>IF(NOTA[[#This Row],[JUMLAH]]="","",NOTA[[#This Row],[JUMLAH]]-NOTA[[#This Row],[DISC]])</f>
        <v>673312.5</v>
      </c>
      <c r="AB48" s="51"/>
      <c r="AC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51">
        <f>IF(OR(NOTA[[#This Row],[QTY]]="",NOTA[[#This Row],[HARGA SATUAN]]="",),"",NOTA[[#This Row],[QTY]]*NOTA[[#This Row],[HARGA SATUAN]])</f>
        <v>810000</v>
      </c>
      <c r="AG48" s="40">
        <f ca="1">IF(NOTA[ID_H]="","",INDEX(NOTA[TANGGAL],MATCH(,INDIRECT(ADDRESS(ROW(NOTA[TANGGAL]),COLUMN(NOTA[TANGGAL]))&amp;":"&amp;ADDRESS(ROW(),COLUMN(NOTA[TANGGAL]))),-1)))</f>
        <v>45112</v>
      </c>
      <c r="AH48" s="42" t="str">
        <f ca="1">IF(NOTA[[#This Row],[NAMA BARANG]]="","",INDEX(NOTA[SUPPLIER],MATCH(,INDIRECT(ADDRESS(ROW(NOTA[ID]),COLUMN(NOTA[ID]))&amp;":"&amp;ADDRESS(ROW(),COLUMN(NOTA[ID]))),-1)))</f>
        <v>ATALI MAKMUR</v>
      </c>
      <c r="AI48" s="42" t="str">
        <f ca="1">IF(NOTA[[#This Row],[ID_H]]="","",IF(NOTA[[#This Row],[FAKTUR]]="",INDIRECT(ADDRESS(ROW()-1,COLUMN())),NOTA[[#This Row],[FAKTUR]]))</f>
        <v>ARTO MORO</v>
      </c>
      <c r="AJ48" s="39" t="str">
        <f ca="1">IF(NOTA[[#This Row],[ID]]="","",COUNTIF(NOTA[ID_H],NOTA[[#This Row],[ID_H]]))</f>
        <v/>
      </c>
      <c r="AK48" s="39">
        <f ca="1">IF(NOTA[[#This Row],[TGL.NOTA]]="",IF(NOTA[[#This Row],[SUPPLIER_H]]="","",AK47),MONTH(NOTA[[#This Row],[TGL.NOTA]]))</f>
        <v>7</v>
      </c>
      <c r="AL48" s="39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9" t="str">
        <f>IF(NOTA[[#This Row],[CONCAT4]]="","",_xlfn.IFNA(MATCH(NOTA[[#This Row],[CONCAT4]],[2]!RAW[CONCAT_H],0),FALSE))</f>
        <v/>
      </c>
      <c r="AQ48" s="39">
        <f>IF(NOTA[[#This Row],[CONCAT1]]="","",MATCH(NOTA[[#This Row],[CONCAT1]],[3]!db[NB NOTA_C],0))</f>
        <v>1725</v>
      </c>
      <c r="AR48" s="39" t="b">
        <f>IF(NOTA[[#This Row],[QTY/ CTN]]="","",TRUE)</f>
        <v>1</v>
      </c>
      <c r="AS48" s="39" t="str">
        <f ca="1">IF(NOTA[[#This Row],[ID_H]]="","",IF(NOTA[[#This Row],[Column3]]=TRUE,NOTA[[#This Row],[QTY/ CTN]],INDEX([3]!db[QTY/ CTN],NOTA[[#This Row],[//DB]])))</f>
        <v>20 PCS</v>
      </c>
      <c r="AT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48" s="39" t="e">
        <f ca="1">IF(NOTA[[#This Row],[ID_H]]="","",MATCH(NOTA[[#This Row],[NB NOTA_C_QTY]],[4]!db[NB NOTA_C_QTY+F],0))</f>
        <v>#REF!</v>
      </c>
      <c r="AV48" s="55">
        <f ca="1">IF(NOTA[[#This Row],[NB NOTA_C_QTY]]="","",ROW()-2)</f>
        <v>46</v>
      </c>
    </row>
    <row r="49" spans="1:48" ht="20.100000000000001" customHeight="1" x14ac:dyDescent="0.25">
      <c r="A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15</v>
      </c>
      <c r="E49" s="47"/>
      <c r="H49" s="48"/>
      <c r="L49" s="38" t="s">
        <v>121</v>
      </c>
      <c r="M49" s="41">
        <v>1</v>
      </c>
      <c r="N49" s="39">
        <v>24</v>
      </c>
      <c r="O49" s="38" t="s">
        <v>152</v>
      </c>
      <c r="P49" s="42">
        <v>89400</v>
      </c>
      <c r="Q49" s="43"/>
      <c r="R49" s="49"/>
      <c r="S49" s="50">
        <v>0.125</v>
      </c>
      <c r="T49" s="45">
        <v>0.05</v>
      </c>
      <c r="U49" s="51"/>
      <c r="V49" s="46"/>
      <c r="W49" s="51">
        <f>IF(NOTA[[#This Row],[HARGA/ CTN]]="",NOTA[[#This Row],[JUMLAH_H]],NOTA[[#This Row],[HARGA/ CTN]]*IF(NOTA[[#This Row],[C]]="",0,NOTA[[#This Row],[C]]))</f>
        <v>2145600</v>
      </c>
      <c r="X49" s="51">
        <f>IF(NOTA[[#This Row],[JUMLAH]]="","",NOTA[[#This Row],[JUMLAH]]*NOTA[[#This Row],[DISC 1]])</f>
        <v>268200</v>
      </c>
      <c r="Y49" s="51">
        <f>IF(NOTA[[#This Row],[JUMLAH]]="","",(NOTA[[#This Row],[JUMLAH]]-NOTA[[#This Row],[DISC 1-]])*NOTA[[#This Row],[DISC 2]])</f>
        <v>93870</v>
      </c>
      <c r="Z49" s="51">
        <f>IF(NOTA[[#This Row],[JUMLAH]]="","",NOTA[[#This Row],[DISC 1-]]+NOTA[[#This Row],[DISC 2-]])</f>
        <v>362070</v>
      </c>
      <c r="AA49" s="51">
        <f>IF(NOTA[[#This Row],[JUMLAH]]="","",NOTA[[#This Row],[JUMLAH]]-NOTA[[#This Row],[DISC]])</f>
        <v>1783530</v>
      </c>
      <c r="AB49" s="51"/>
      <c r="AC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51">
        <f>IF(OR(NOTA[[#This Row],[QTY]]="",NOTA[[#This Row],[HARGA SATUAN]]="",),"",NOTA[[#This Row],[QTY]]*NOTA[[#This Row],[HARGA SATUAN]])</f>
        <v>2145600</v>
      </c>
      <c r="AG49" s="40">
        <f ca="1">IF(NOTA[ID_H]="","",INDEX(NOTA[TANGGAL],MATCH(,INDIRECT(ADDRESS(ROW(NOTA[TANGGAL]),COLUMN(NOTA[TANGGAL]))&amp;":"&amp;ADDRESS(ROW(),COLUMN(NOTA[TANGGAL]))),-1)))</f>
        <v>45112</v>
      </c>
      <c r="AH49" s="42" t="str">
        <f ca="1">IF(NOTA[[#This Row],[NAMA BARANG]]="","",INDEX(NOTA[SUPPLIER],MATCH(,INDIRECT(ADDRESS(ROW(NOTA[ID]),COLUMN(NOTA[ID]))&amp;":"&amp;ADDRESS(ROW(),COLUMN(NOTA[ID]))),-1)))</f>
        <v>ATALI MAKMUR</v>
      </c>
      <c r="AI49" s="42" t="str">
        <f ca="1">IF(NOTA[[#This Row],[ID_H]]="","",IF(NOTA[[#This Row],[FAKTUR]]="",INDIRECT(ADDRESS(ROW()-1,COLUMN())),NOTA[[#This Row],[FAKTUR]]))</f>
        <v>ARTO MORO</v>
      </c>
      <c r="AJ49" s="39" t="str">
        <f ca="1">IF(NOTA[[#This Row],[ID]]="","",COUNTIF(NOTA[ID_H],NOTA[[#This Row],[ID_H]]))</f>
        <v/>
      </c>
      <c r="AK49" s="39">
        <f ca="1">IF(NOTA[[#This Row],[TGL.NOTA]]="",IF(NOTA[[#This Row],[SUPPLIER_H]]="","",AK48),MONTH(NOTA[[#This Row],[TGL.NOTA]]))</f>
        <v>7</v>
      </c>
      <c r="AL49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9" t="str">
        <f>IF(NOTA[[#This Row],[CONCAT4]]="","",_xlfn.IFNA(MATCH(NOTA[[#This Row],[CONCAT4]],[2]!RAW[CONCAT_H],0),FALSE))</f>
        <v/>
      </c>
      <c r="AQ49" s="39">
        <f>IF(NOTA[[#This Row],[CONCAT1]]="","",MATCH(NOTA[[#This Row],[CONCAT1]],[3]!db[NB NOTA_C],0))</f>
        <v>1357</v>
      </c>
      <c r="AR49" s="39" t="str">
        <f>IF(NOTA[[#This Row],[QTY/ CTN]]="","",TRUE)</f>
        <v/>
      </c>
      <c r="AS49" s="39" t="str">
        <f ca="1">IF(NOTA[[#This Row],[ID_H]]="","",IF(NOTA[[#This Row],[Column3]]=TRUE,NOTA[[#This Row],[QTY/ CTN]],INDEX([3]!db[QTY/ CTN],NOTA[[#This Row],[//DB]])))</f>
        <v>24 LSN</v>
      </c>
      <c r="AT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49" s="39" t="e">
        <f ca="1">IF(NOTA[[#This Row],[ID_H]]="","",MATCH(NOTA[[#This Row],[NB NOTA_C_QTY]],[4]!db[NB NOTA_C_QTY+F],0))</f>
        <v>#REF!</v>
      </c>
      <c r="AV49" s="55">
        <f ca="1">IF(NOTA[[#This Row],[NB NOTA_C_QTY]]="","",ROW()-2)</f>
        <v>47</v>
      </c>
    </row>
    <row r="50" spans="1:48" ht="20.100000000000001" customHeight="1" x14ac:dyDescent="0.25">
      <c r="A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15</v>
      </c>
      <c r="E50" s="47"/>
      <c r="H50" s="48"/>
      <c r="L50" s="38" t="s">
        <v>122</v>
      </c>
      <c r="M50" s="41">
        <v>1</v>
      </c>
      <c r="N50" s="39">
        <v>24</v>
      </c>
      <c r="O50" s="38" t="s">
        <v>152</v>
      </c>
      <c r="P50" s="42">
        <v>90600</v>
      </c>
      <c r="Q50" s="43"/>
      <c r="R50" s="49"/>
      <c r="S50" s="50">
        <v>0.125</v>
      </c>
      <c r="T50" s="45">
        <v>0.05</v>
      </c>
      <c r="U50" s="51"/>
      <c r="V50" s="46"/>
      <c r="W50" s="51">
        <f>IF(NOTA[[#This Row],[HARGA/ CTN]]="",NOTA[[#This Row],[JUMLAH_H]],NOTA[[#This Row],[HARGA/ CTN]]*IF(NOTA[[#This Row],[C]]="",0,NOTA[[#This Row],[C]]))</f>
        <v>2174400</v>
      </c>
      <c r="X50" s="51">
        <f>IF(NOTA[[#This Row],[JUMLAH]]="","",NOTA[[#This Row],[JUMLAH]]*NOTA[[#This Row],[DISC 1]])</f>
        <v>271800</v>
      </c>
      <c r="Y50" s="51">
        <f>IF(NOTA[[#This Row],[JUMLAH]]="","",(NOTA[[#This Row],[JUMLAH]]-NOTA[[#This Row],[DISC 1-]])*NOTA[[#This Row],[DISC 2]])</f>
        <v>95130</v>
      </c>
      <c r="Z50" s="51">
        <f>IF(NOTA[[#This Row],[JUMLAH]]="","",NOTA[[#This Row],[DISC 1-]]+NOTA[[#This Row],[DISC 2-]])</f>
        <v>366930</v>
      </c>
      <c r="AA50" s="51">
        <f>IF(NOTA[[#This Row],[JUMLAH]]="","",NOTA[[#This Row],[JUMLAH]]-NOTA[[#This Row],[DISC]])</f>
        <v>1807470</v>
      </c>
      <c r="AB50" s="51"/>
      <c r="AC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51">
        <f>IF(OR(NOTA[[#This Row],[QTY]]="",NOTA[[#This Row],[HARGA SATUAN]]="",),"",NOTA[[#This Row],[QTY]]*NOTA[[#This Row],[HARGA SATUAN]])</f>
        <v>2174400</v>
      </c>
      <c r="AG50" s="40">
        <f ca="1">IF(NOTA[ID_H]="","",INDEX(NOTA[TANGGAL],MATCH(,INDIRECT(ADDRESS(ROW(NOTA[TANGGAL]),COLUMN(NOTA[TANGGAL]))&amp;":"&amp;ADDRESS(ROW(),COLUMN(NOTA[TANGGAL]))),-1)))</f>
        <v>45112</v>
      </c>
      <c r="AH50" s="42" t="str">
        <f ca="1">IF(NOTA[[#This Row],[NAMA BARANG]]="","",INDEX(NOTA[SUPPLIER],MATCH(,INDIRECT(ADDRESS(ROW(NOTA[ID]),COLUMN(NOTA[ID]))&amp;":"&amp;ADDRESS(ROW(),COLUMN(NOTA[ID]))),-1)))</f>
        <v>ATALI MAKMUR</v>
      </c>
      <c r="AI50" s="42" t="str">
        <f ca="1">IF(NOTA[[#This Row],[ID_H]]="","",IF(NOTA[[#This Row],[FAKTUR]]="",INDIRECT(ADDRESS(ROW()-1,COLUMN())),NOTA[[#This Row],[FAKTUR]]))</f>
        <v>ARTO MORO</v>
      </c>
      <c r="AJ50" s="39" t="str">
        <f ca="1">IF(NOTA[[#This Row],[ID]]="","",COUNTIF(NOTA[ID_H],NOTA[[#This Row],[ID_H]]))</f>
        <v/>
      </c>
      <c r="AK50" s="39">
        <f ca="1">IF(NOTA[[#This Row],[TGL.NOTA]]="",IF(NOTA[[#This Row],[SUPPLIER_H]]="","",AK49),MONTH(NOTA[[#This Row],[TGL.NOTA]]))</f>
        <v>7</v>
      </c>
      <c r="AL50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9" t="str">
        <f>IF(NOTA[[#This Row],[CONCAT4]]="","",_xlfn.IFNA(MATCH(NOTA[[#This Row],[CONCAT4]],[2]!RAW[CONCAT_H],0),FALSE))</f>
        <v/>
      </c>
      <c r="AQ50" s="39">
        <f>IF(NOTA[[#This Row],[CONCAT1]]="","",MATCH(NOTA[[#This Row],[CONCAT1]],[3]!db[NB NOTA_C],0))</f>
        <v>1358</v>
      </c>
      <c r="AR50" s="39" t="str">
        <f>IF(NOTA[[#This Row],[QTY/ CTN]]="","",TRUE)</f>
        <v/>
      </c>
      <c r="AS50" s="39" t="str">
        <f ca="1">IF(NOTA[[#This Row],[ID_H]]="","",IF(NOTA[[#This Row],[Column3]]=TRUE,NOTA[[#This Row],[QTY/ CTN]],INDEX([3]!db[QTY/ CTN],NOTA[[#This Row],[//DB]])))</f>
        <v>24 LSN</v>
      </c>
      <c r="AT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50" s="39" t="e">
        <f ca="1">IF(NOTA[[#This Row],[ID_H]]="","",MATCH(NOTA[[#This Row],[NB NOTA_C_QTY]],[4]!db[NB NOTA_C_QTY+F],0))</f>
        <v>#REF!</v>
      </c>
      <c r="AV50" s="55">
        <f ca="1">IF(NOTA[[#This Row],[NB NOTA_C_QTY]]="","",ROW()-2)</f>
        <v>48</v>
      </c>
    </row>
    <row r="51" spans="1:48" ht="20.100000000000001" customHeight="1" x14ac:dyDescent="0.25">
      <c r="A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15</v>
      </c>
      <c r="E51" s="47"/>
      <c r="H51" s="48"/>
      <c r="L51" s="38" t="s">
        <v>123</v>
      </c>
      <c r="M51" s="41">
        <v>2</v>
      </c>
      <c r="N51" s="39">
        <v>96</v>
      </c>
      <c r="O51" s="38" t="s">
        <v>152</v>
      </c>
      <c r="P51" s="42">
        <v>36000</v>
      </c>
      <c r="Q51" s="43"/>
      <c r="R51" s="49"/>
      <c r="S51" s="50">
        <v>0.125</v>
      </c>
      <c r="T51" s="45">
        <v>0.05</v>
      </c>
      <c r="U51" s="51"/>
      <c r="V51" s="46"/>
      <c r="W51" s="51">
        <f>IF(NOTA[[#This Row],[HARGA/ CTN]]="",NOTA[[#This Row],[JUMLAH_H]],NOTA[[#This Row],[HARGA/ CTN]]*IF(NOTA[[#This Row],[C]]="",0,NOTA[[#This Row],[C]]))</f>
        <v>3456000</v>
      </c>
      <c r="X51" s="51">
        <f>IF(NOTA[[#This Row],[JUMLAH]]="","",NOTA[[#This Row],[JUMLAH]]*NOTA[[#This Row],[DISC 1]])</f>
        <v>432000</v>
      </c>
      <c r="Y51" s="51">
        <f>IF(NOTA[[#This Row],[JUMLAH]]="","",(NOTA[[#This Row],[JUMLAH]]-NOTA[[#This Row],[DISC 1-]])*NOTA[[#This Row],[DISC 2]])</f>
        <v>151200</v>
      </c>
      <c r="Z51" s="51">
        <f>IF(NOTA[[#This Row],[JUMLAH]]="","",NOTA[[#This Row],[DISC 1-]]+NOTA[[#This Row],[DISC 2-]])</f>
        <v>583200</v>
      </c>
      <c r="AA51" s="51">
        <f>IF(NOTA[[#This Row],[JUMLAH]]="","",NOTA[[#This Row],[JUMLAH]]-NOTA[[#This Row],[DISC]])</f>
        <v>2872800</v>
      </c>
      <c r="AB51" s="51"/>
      <c r="AC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51">
        <f>IF(OR(NOTA[[#This Row],[QTY]]="",NOTA[[#This Row],[HARGA SATUAN]]="",),"",NOTA[[#This Row],[QTY]]*NOTA[[#This Row],[HARGA SATUAN]])</f>
        <v>3456000</v>
      </c>
      <c r="AG51" s="40">
        <f ca="1">IF(NOTA[ID_H]="","",INDEX(NOTA[TANGGAL],MATCH(,INDIRECT(ADDRESS(ROW(NOTA[TANGGAL]),COLUMN(NOTA[TANGGAL]))&amp;":"&amp;ADDRESS(ROW(),COLUMN(NOTA[TANGGAL]))),-1)))</f>
        <v>45112</v>
      </c>
      <c r="AH51" s="42" t="str">
        <f ca="1">IF(NOTA[[#This Row],[NAMA BARANG]]="","",INDEX(NOTA[SUPPLIER],MATCH(,INDIRECT(ADDRESS(ROW(NOTA[ID]),COLUMN(NOTA[ID]))&amp;":"&amp;ADDRESS(ROW(),COLUMN(NOTA[ID]))),-1)))</f>
        <v>ATALI MAKMUR</v>
      </c>
      <c r="AI51" s="42" t="str">
        <f ca="1">IF(NOTA[[#This Row],[ID_H]]="","",IF(NOTA[[#This Row],[FAKTUR]]="",INDIRECT(ADDRESS(ROW()-1,COLUMN())),NOTA[[#This Row],[FAKTUR]]))</f>
        <v>ARTO MORO</v>
      </c>
      <c r="AJ51" s="39" t="str">
        <f ca="1">IF(NOTA[[#This Row],[ID]]="","",COUNTIF(NOTA[ID_H],NOTA[[#This Row],[ID_H]]))</f>
        <v/>
      </c>
      <c r="AK51" s="39">
        <f ca="1">IF(NOTA[[#This Row],[TGL.NOTA]]="",IF(NOTA[[#This Row],[SUPPLIER_H]]="","",AK50),MONTH(NOTA[[#This Row],[TGL.NOTA]]))</f>
        <v>7</v>
      </c>
      <c r="AL51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9" t="str">
        <f>IF(NOTA[[#This Row],[CONCAT4]]="","",_xlfn.IFNA(MATCH(NOTA[[#This Row],[CONCAT4]],[2]!RAW[CONCAT_H],0),FALSE))</f>
        <v/>
      </c>
      <c r="AQ51" s="39">
        <f>IF(NOTA[[#This Row],[CONCAT1]]="","",MATCH(NOTA[[#This Row],[CONCAT1]],[3]!db[NB NOTA_C],0))</f>
        <v>2644</v>
      </c>
      <c r="AR51" s="39" t="str">
        <f>IF(NOTA[[#This Row],[QTY/ CTN]]="","",TRUE)</f>
        <v/>
      </c>
      <c r="AS51" s="39" t="str">
        <f ca="1">IF(NOTA[[#This Row],[ID_H]]="","",IF(NOTA[[#This Row],[Column3]]=TRUE,NOTA[[#This Row],[QTY/ CTN]],INDEX([3]!db[QTY/ CTN],NOTA[[#This Row],[//DB]])))</f>
        <v>48 LSN</v>
      </c>
      <c r="AT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51" s="39" t="e">
        <f ca="1">IF(NOTA[[#This Row],[ID_H]]="","",MATCH(NOTA[[#This Row],[NB NOTA_C_QTY]],[4]!db[NB NOTA_C_QTY+F],0))</f>
        <v>#REF!</v>
      </c>
      <c r="AV51" s="55">
        <f ca="1">IF(NOTA[[#This Row],[NB NOTA_C_QTY]]="","",ROW()-2)</f>
        <v>49</v>
      </c>
    </row>
    <row r="52" spans="1:48" ht="20.100000000000001" customHeight="1" x14ac:dyDescent="0.25">
      <c r="A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>
        <f ca="1">IF(NOTA[[#This Row],[NAMA BARANG]]="","",INDEX(NOTA[ID],MATCH(,INDIRECT(ADDRESS(ROW(NOTA[ID]),COLUMN(NOTA[ID]))&amp;":"&amp;ADDRESS(ROW(),COLUMN(NOTA[ID]))),-1)))</f>
        <v>15</v>
      </c>
      <c r="E52" s="47"/>
      <c r="H52" s="48"/>
      <c r="L52" s="38" t="s">
        <v>124</v>
      </c>
      <c r="N52" s="39">
        <v>12</v>
      </c>
      <c r="O52" s="38" t="s">
        <v>152</v>
      </c>
      <c r="P52" s="42">
        <v>13200</v>
      </c>
      <c r="Q52" s="43"/>
      <c r="R52" s="49"/>
      <c r="S52" s="50">
        <v>0.1</v>
      </c>
      <c r="T52" s="45">
        <v>0.05</v>
      </c>
      <c r="U52" s="51">
        <v>135432</v>
      </c>
      <c r="V52" s="46"/>
      <c r="W52" s="51">
        <f>IF(NOTA[[#This Row],[HARGA/ CTN]]="",NOTA[[#This Row],[JUMLAH_H]],NOTA[[#This Row],[HARGA/ CTN]]*IF(NOTA[[#This Row],[C]]="",0,NOTA[[#This Row],[C]]))</f>
        <v>158400</v>
      </c>
      <c r="X52" s="51">
        <f>IF(NOTA[[#This Row],[JUMLAH]]="","",NOTA[[#This Row],[JUMLAH]]*NOTA[[#This Row],[DISC 1]])</f>
        <v>15840</v>
      </c>
      <c r="Y52" s="51">
        <f>IF(NOTA[[#This Row],[JUMLAH]]="","",(NOTA[[#This Row],[JUMLAH]]-NOTA[[#This Row],[DISC 1-]])*NOTA[[#This Row],[DISC 2]])</f>
        <v>7128</v>
      </c>
      <c r="Z52" s="51">
        <f>IF(NOTA[[#This Row],[JUMLAH]]="","",NOTA[[#This Row],[DISC 1-]]+NOTA[[#This Row],[DISC 2-]])</f>
        <v>22968</v>
      </c>
      <c r="AA52" s="51">
        <f>IF(NOTA[[#This Row],[JUMLAH]]="","",NOTA[[#This Row],[JUMLAH]]-NOTA[[#This Row],[DISC]])</f>
        <v>135432</v>
      </c>
      <c r="AB52" s="51"/>
      <c r="AC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51">
        <f>IF(OR(NOTA[[#This Row],[QTY]]="",NOTA[[#This Row],[HARGA SATUAN]]="",),"",NOTA[[#This Row],[QTY]]*NOTA[[#This Row],[HARGA SATUAN]])</f>
        <v>158400</v>
      </c>
      <c r="AG52" s="40">
        <f ca="1">IF(NOTA[ID_H]="","",INDEX(NOTA[TANGGAL],MATCH(,INDIRECT(ADDRESS(ROW(NOTA[TANGGAL]),COLUMN(NOTA[TANGGAL]))&amp;":"&amp;ADDRESS(ROW(),COLUMN(NOTA[TANGGAL]))),-1)))</f>
        <v>45112</v>
      </c>
      <c r="AH52" s="42" t="str">
        <f ca="1">IF(NOTA[[#This Row],[NAMA BARANG]]="","",INDEX(NOTA[SUPPLIER],MATCH(,INDIRECT(ADDRESS(ROW(NOTA[ID]),COLUMN(NOTA[ID]))&amp;":"&amp;ADDRESS(ROW(),COLUMN(NOTA[ID]))),-1)))</f>
        <v>ATALI MAKMUR</v>
      </c>
      <c r="AI52" s="42" t="str">
        <f ca="1">IF(NOTA[[#This Row],[ID_H]]="","",IF(NOTA[[#This Row],[FAKTUR]]="",INDIRECT(ADDRESS(ROW()-1,COLUMN())),NOTA[[#This Row],[FAKTUR]]))</f>
        <v>ARTO MORO</v>
      </c>
      <c r="AJ52" s="39" t="str">
        <f ca="1">IF(NOTA[[#This Row],[ID]]="","",COUNTIF(NOTA[ID_H],NOTA[[#This Row],[ID_H]]))</f>
        <v/>
      </c>
      <c r="AK52" s="39">
        <f ca="1">IF(NOTA[[#This Row],[TGL.NOTA]]="",IF(NOTA[[#This Row],[SUPPLIER_H]]="","",AK51),MONTH(NOTA[[#This Row],[TGL.NOTA]]))</f>
        <v>7</v>
      </c>
      <c r="AL52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9" t="str">
        <f>IF(NOTA[[#This Row],[CONCAT4]]="","",_xlfn.IFNA(MATCH(NOTA[[#This Row],[CONCAT4]],[2]!RAW[CONCAT_H],0),FALSE))</f>
        <v/>
      </c>
      <c r="AQ52" s="39">
        <f>IF(NOTA[[#This Row],[CONCAT1]]="","",MATCH(NOTA[[#This Row],[CONCAT1]],[3]!db[NB NOTA_C],0))</f>
        <v>635</v>
      </c>
      <c r="AR52" s="39" t="str">
        <f>IF(NOTA[[#This Row],[QTY/ CTN]]="","",TRUE)</f>
        <v/>
      </c>
      <c r="AS52" s="39" t="str">
        <f ca="1">IF(NOTA[[#This Row],[ID_H]]="","",IF(NOTA[[#This Row],[Column3]]=TRUE,NOTA[[#This Row],[QTY/ CTN]],INDEX([3]!db[QTY/ CTN],NOTA[[#This Row],[//DB]])))</f>
        <v>144 LSN</v>
      </c>
      <c r="AT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U52" s="39" t="e">
        <f ca="1">IF(NOTA[[#This Row],[ID_H]]="","",MATCH(NOTA[[#This Row],[NB NOTA_C_QTY]],[4]!db[NB NOTA_C_QTY+F],0))</f>
        <v>#REF!</v>
      </c>
      <c r="AV52" s="55">
        <f ca="1">IF(NOTA[[#This Row],[NB NOTA_C_QTY]]="","",ROW()-2)</f>
        <v>50</v>
      </c>
    </row>
    <row r="53" spans="1:48" ht="20.100000000000001" customHeight="1" x14ac:dyDescent="0.25">
      <c r="A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 t="str">
        <f ca="1">IF(NOTA[[#This Row],[NAMA BARANG]]="","",INDEX(NOTA[ID],MATCH(,INDIRECT(ADDRESS(ROW(NOTA[ID]),COLUMN(NOTA[ID]))&amp;":"&amp;ADDRESS(ROW(),COLUMN(NOTA[ID]))),-1)))</f>
        <v/>
      </c>
      <c r="E53" s="47"/>
      <c r="H53" s="48"/>
      <c r="N53" s="39"/>
      <c r="Q53" s="43"/>
      <c r="R53" s="49"/>
      <c r="S53" s="50"/>
      <c r="U53" s="51"/>
      <c r="V53" s="46"/>
      <c r="W53" s="51" t="str">
        <f>IF(NOTA[[#This Row],[HARGA/ CTN]]="",NOTA[[#This Row],[JUMLAH_H]],NOTA[[#This Row],[HARGA/ CTN]]*IF(NOTA[[#This Row],[C]]="",0,NOTA[[#This Row],[C]]))</f>
        <v/>
      </c>
      <c r="X53" s="51" t="str">
        <f>IF(NOTA[[#This Row],[JUMLAH]]="","",NOTA[[#This Row],[JUMLAH]]*NOTA[[#This Row],[DISC 1]])</f>
        <v/>
      </c>
      <c r="Y53" s="51" t="str">
        <f>IF(NOTA[[#This Row],[JUMLAH]]="","",(NOTA[[#This Row],[JUMLAH]]-NOTA[[#This Row],[DISC 1-]])*NOTA[[#This Row],[DISC 2]])</f>
        <v/>
      </c>
      <c r="Z53" s="51" t="str">
        <f>IF(NOTA[[#This Row],[JUMLAH]]="","",NOTA[[#This Row],[DISC 1-]]+NOTA[[#This Row],[DISC 2-]])</f>
        <v/>
      </c>
      <c r="AA53" s="51" t="str">
        <f>IF(NOTA[[#This Row],[JUMLAH]]="","",NOTA[[#This Row],[JUMLAH]]-NOTA[[#This Row],[DISC]])</f>
        <v/>
      </c>
      <c r="AB53" s="51"/>
      <c r="AC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1" t="str">
        <f>IF(OR(NOTA[[#This Row],[QTY]]="",NOTA[[#This Row],[HARGA SATUAN]]="",),"",NOTA[[#This Row],[QTY]]*NOTA[[#This Row],[HARGA SATUAN]])</f>
        <v/>
      </c>
      <c r="AG53" s="40" t="str">
        <f ca="1">IF(NOTA[ID_H]="","",INDEX(NOTA[TANGGAL],MATCH(,INDIRECT(ADDRESS(ROW(NOTA[TANGGAL]),COLUMN(NOTA[TANGGAL]))&amp;":"&amp;ADDRESS(ROW(),COLUMN(NOTA[TANGGAL]))),-1)))</f>
        <v/>
      </c>
      <c r="AH53" s="42" t="str">
        <f ca="1">IF(NOTA[[#This Row],[NAMA BARANG]]="","",INDEX(NOTA[SUPPLIER],MATCH(,INDIRECT(ADDRESS(ROW(NOTA[ID]),COLUMN(NOTA[ID]))&amp;":"&amp;ADDRESS(ROW(),COLUMN(NOTA[ID]))),-1)))</f>
        <v/>
      </c>
      <c r="AI53" s="42" t="str">
        <f ca="1">IF(NOTA[[#This Row],[ID_H]]="","",IF(NOTA[[#This Row],[FAKTUR]]="",INDIRECT(ADDRESS(ROW()-1,COLUMN())),NOTA[[#This Row],[FAKTUR]]))</f>
        <v/>
      </c>
      <c r="AJ53" s="39" t="str">
        <f ca="1">IF(NOTA[[#This Row],[ID]]="","",COUNTIF(NOTA[ID_H],NOTA[[#This Row],[ID_H]]))</f>
        <v/>
      </c>
      <c r="AK53" s="39" t="str">
        <f ca="1">IF(NOTA[[#This Row],[TGL.NOTA]]="",IF(NOTA[[#This Row],[SUPPLIER_H]]="","",AK52),MONTH(NOTA[[#This Row],[TGL.NOTA]]))</f>
        <v/>
      </c>
      <c r="AL53" s="39" t="str">
        <f>LOWER(SUBSTITUTE(SUBSTITUTE(SUBSTITUTE(SUBSTITUTE(SUBSTITUTE(SUBSTITUTE(SUBSTITUTE(SUBSTITUTE(SUBSTITUTE(NOTA[NAMA BARANG]," ",),".",""),"-",""),"(",""),")",""),",",""),"/",""),"""",""),"+",""))</f>
        <v/>
      </c>
      <c r="AM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9" t="str">
        <f>IF(NOTA[[#This Row],[CONCAT4]]="","",_xlfn.IFNA(MATCH(NOTA[[#This Row],[CONCAT4]],[2]!RAW[CONCAT_H],0),FALSE))</f>
        <v/>
      </c>
      <c r="AQ53" s="39" t="str">
        <f>IF(NOTA[[#This Row],[CONCAT1]]="","",MATCH(NOTA[[#This Row],[CONCAT1]],[3]!db[NB NOTA_C],0))</f>
        <v/>
      </c>
      <c r="AR53" s="39" t="str">
        <f>IF(NOTA[[#This Row],[QTY/ CTN]]="","",TRUE)</f>
        <v/>
      </c>
      <c r="AS53" s="39" t="str">
        <f ca="1">IF(NOTA[[#This Row],[ID_H]]="","",IF(NOTA[[#This Row],[Column3]]=TRUE,NOTA[[#This Row],[QTY/ CTN]],INDEX([3]!db[QTY/ CTN],NOTA[[#This Row],[//DB]])))</f>
        <v/>
      </c>
      <c r="AT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9" t="str">
        <f ca="1">IF(NOTA[[#This Row],[ID_H]]="","",MATCH(NOTA[[#This Row],[NB NOTA_C_QTY]],[4]!db[NB NOTA_C_QTY+F],0))</f>
        <v/>
      </c>
      <c r="AV53" s="55" t="str">
        <f ca="1">IF(NOTA[[#This Row],[NB NOTA_C_QTY]]="","",ROW()-2)</f>
        <v/>
      </c>
    </row>
    <row r="54" spans="1:48" ht="20.100000000000001" customHeight="1" x14ac:dyDescent="0.25">
      <c r="A54" s="42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39" t="e">
        <f ca="1">IF(NOTA[[#This Row],[ID_P]]="","",MATCH(NOTA[[#This Row],[ID_P]],[1]!B_MSK[N_ID],0))</f>
        <v>#REF!</v>
      </c>
      <c r="D54" s="39">
        <f ca="1">IF(NOTA[[#This Row],[NAMA BARANG]]="","",INDEX(NOTA[ID],MATCH(,INDIRECT(ADDRESS(ROW(NOTA[ID]),COLUMN(NOTA[ID]))&amp;":"&amp;ADDRESS(ROW(),COLUMN(NOTA[ID]))),-1)))</f>
        <v>16</v>
      </c>
      <c r="E54" s="47"/>
      <c r="F54" s="38" t="s">
        <v>24</v>
      </c>
      <c r="G54" s="38" t="s">
        <v>23</v>
      </c>
      <c r="H54" s="48" t="s">
        <v>125</v>
      </c>
      <c r="J54" s="40">
        <v>45108</v>
      </c>
      <c r="L54" s="38" t="s">
        <v>126</v>
      </c>
      <c r="M54" s="41">
        <v>1</v>
      </c>
      <c r="N54" s="39">
        <v>288</v>
      </c>
      <c r="O54" s="38" t="s">
        <v>117</v>
      </c>
      <c r="P54" s="42">
        <v>4800</v>
      </c>
      <c r="Q54" s="43"/>
      <c r="R54" s="49"/>
      <c r="S54" s="50">
        <v>0.125</v>
      </c>
      <c r="T54" s="45">
        <v>0.05</v>
      </c>
      <c r="U54" s="51"/>
      <c r="V54" s="46"/>
      <c r="W54" s="51">
        <f>IF(NOTA[[#This Row],[HARGA/ CTN]]="",NOTA[[#This Row],[JUMLAH_H]],NOTA[[#This Row],[HARGA/ CTN]]*IF(NOTA[[#This Row],[C]]="",0,NOTA[[#This Row],[C]]))</f>
        <v>1382400</v>
      </c>
      <c r="X54" s="51">
        <f>IF(NOTA[[#This Row],[JUMLAH]]="","",NOTA[[#This Row],[JUMLAH]]*NOTA[[#This Row],[DISC 1]])</f>
        <v>172800</v>
      </c>
      <c r="Y54" s="51">
        <f>IF(NOTA[[#This Row],[JUMLAH]]="","",(NOTA[[#This Row],[JUMLAH]]-NOTA[[#This Row],[DISC 1-]])*NOTA[[#This Row],[DISC 2]])</f>
        <v>60480</v>
      </c>
      <c r="Z54" s="51">
        <f>IF(NOTA[[#This Row],[JUMLAH]]="","",NOTA[[#This Row],[DISC 1-]]+NOTA[[#This Row],[DISC 2-]])</f>
        <v>233280</v>
      </c>
      <c r="AA54" s="51">
        <f>IF(NOTA[[#This Row],[JUMLAH]]="","",NOTA[[#This Row],[JUMLAH]]-NOTA[[#This Row],[DISC]])</f>
        <v>1149120</v>
      </c>
      <c r="AB54" s="51"/>
      <c r="AC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51">
        <f>IF(OR(NOTA[[#This Row],[QTY]]="",NOTA[[#This Row],[HARGA SATUAN]]="",),"",NOTA[[#This Row],[QTY]]*NOTA[[#This Row],[HARGA SATUAN]])</f>
        <v>1382400</v>
      </c>
      <c r="AG54" s="40">
        <f ca="1">IF(NOTA[ID_H]="","",INDEX(NOTA[TANGGAL],MATCH(,INDIRECT(ADDRESS(ROW(NOTA[TANGGAL]),COLUMN(NOTA[TANGGAL]))&amp;":"&amp;ADDRESS(ROW(),COLUMN(NOTA[TANGGAL]))),-1)))</f>
        <v>45112</v>
      </c>
      <c r="AH54" s="42" t="str">
        <f ca="1">IF(NOTA[[#This Row],[NAMA BARANG]]="","",INDEX(NOTA[SUPPLIER],MATCH(,INDIRECT(ADDRESS(ROW(NOTA[ID]),COLUMN(NOTA[ID]))&amp;":"&amp;ADDRESS(ROW(),COLUMN(NOTA[ID]))),-1)))</f>
        <v>ATALI MAKMUR</v>
      </c>
      <c r="AI54" s="42" t="str">
        <f ca="1">IF(NOTA[[#This Row],[ID_H]]="","",IF(NOTA[[#This Row],[FAKTUR]]="",INDIRECT(ADDRESS(ROW()-1,COLUMN())),NOTA[[#This Row],[FAKTUR]]))</f>
        <v>ARTO MORO</v>
      </c>
      <c r="AJ54" s="39">
        <f ca="1">IF(NOTA[[#This Row],[ID]]="","",COUNTIF(NOTA[ID_H],NOTA[[#This Row],[ID_H]]))</f>
        <v>4</v>
      </c>
      <c r="AK54" s="39">
        <f>IF(NOTA[[#This Row],[TGL.NOTA]]="",IF(NOTA[[#This Row],[SUPPLIER_H]]="","",AK53),MONTH(NOTA[[#This Row],[TGL.NOTA]]))</f>
        <v>7</v>
      </c>
      <c r="AL54" s="39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39" t="e">
        <f>IF(NOTA[[#This Row],[CONCAT4]]="","",_xlfn.IFNA(MATCH(NOTA[[#This Row],[CONCAT4]],[2]!RAW[CONCAT_H],0),FALSE))</f>
        <v>#REF!</v>
      </c>
      <c r="AQ54" s="39">
        <f>IF(NOTA[[#This Row],[CONCAT1]]="","",MATCH(NOTA[[#This Row],[CONCAT1]],[3]!db[NB NOTA_C],0))</f>
        <v>1902</v>
      </c>
      <c r="AR54" s="39" t="str">
        <f>IF(NOTA[[#This Row],[QTY/ CTN]]="","",TRUE)</f>
        <v/>
      </c>
      <c r="AS54" s="39" t="str">
        <f ca="1">IF(NOTA[[#This Row],[ID_H]]="","",IF(NOTA[[#This Row],[Column3]]=TRUE,NOTA[[#This Row],[QTY/ CTN]],INDEX([3]!db[QTY/ CTN],NOTA[[#This Row],[//DB]])))</f>
        <v>288 PCS</v>
      </c>
      <c r="AT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U54" s="39" t="e">
        <f ca="1">IF(NOTA[[#This Row],[ID_H]]="","",MATCH(NOTA[[#This Row],[NB NOTA_C_QTY]],[4]!db[NB NOTA_C_QTY+F],0))</f>
        <v>#REF!</v>
      </c>
      <c r="AV54" s="55">
        <f ca="1">IF(NOTA[[#This Row],[NB NOTA_C_QTY]]="","",ROW()-2)</f>
        <v>52</v>
      </c>
    </row>
    <row r="55" spans="1:48" ht="20.100000000000001" customHeight="1" x14ac:dyDescent="0.25">
      <c r="A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16</v>
      </c>
      <c r="E55" s="47"/>
      <c r="H55" s="48"/>
      <c r="L55" s="38" t="s">
        <v>127</v>
      </c>
      <c r="M55" s="41">
        <v>1</v>
      </c>
      <c r="N55" s="39">
        <v>288</v>
      </c>
      <c r="O55" s="38" t="s">
        <v>117</v>
      </c>
      <c r="P55" s="42">
        <v>4800</v>
      </c>
      <c r="Q55" s="43"/>
      <c r="R55" s="49"/>
      <c r="S55" s="50">
        <v>0.125</v>
      </c>
      <c r="T55" s="45">
        <v>0.05</v>
      </c>
      <c r="U55" s="51"/>
      <c r="V55" s="46"/>
      <c r="W55" s="51">
        <f>IF(NOTA[[#This Row],[HARGA/ CTN]]="",NOTA[[#This Row],[JUMLAH_H]],NOTA[[#This Row],[HARGA/ CTN]]*IF(NOTA[[#This Row],[C]]="",0,NOTA[[#This Row],[C]]))</f>
        <v>1382400</v>
      </c>
      <c r="X55" s="51">
        <f>IF(NOTA[[#This Row],[JUMLAH]]="","",NOTA[[#This Row],[JUMLAH]]*NOTA[[#This Row],[DISC 1]])</f>
        <v>172800</v>
      </c>
      <c r="Y55" s="51">
        <f>IF(NOTA[[#This Row],[JUMLAH]]="","",(NOTA[[#This Row],[JUMLAH]]-NOTA[[#This Row],[DISC 1-]])*NOTA[[#This Row],[DISC 2]])</f>
        <v>60480</v>
      </c>
      <c r="Z55" s="51">
        <f>IF(NOTA[[#This Row],[JUMLAH]]="","",NOTA[[#This Row],[DISC 1-]]+NOTA[[#This Row],[DISC 2-]])</f>
        <v>233280</v>
      </c>
      <c r="AA55" s="51">
        <f>IF(NOTA[[#This Row],[JUMLAH]]="","",NOTA[[#This Row],[JUMLAH]]-NOTA[[#This Row],[DISC]])</f>
        <v>1149120</v>
      </c>
      <c r="AB55" s="51"/>
      <c r="AC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51">
        <f>IF(OR(NOTA[[#This Row],[QTY]]="",NOTA[[#This Row],[HARGA SATUAN]]="",),"",NOTA[[#This Row],[QTY]]*NOTA[[#This Row],[HARGA SATUAN]])</f>
        <v>1382400</v>
      </c>
      <c r="AG55" s="40">
        <f ca="1">IF(NOTA[ID_H]="","",INDEX(NOTA[TANGGAL],MATCH(,INDIRECT(ADDRESS(ROW(NOTA[TANGGAL]),COLUMN(NOTA[TANGGAL]))&amp;":"&amp;ADDRESS(ROW(),COLUMN(NOTA[TANGGAL]))),-1)))</f>
        <v>45112</v>
      </c>
      <c r="AH55" s="42" t="str">
        <f ca="1">IF(NOTA[[#This Row],[NAMA BARANG]]="","",INDEX(NOTA[SUPPLIER],MATCH(,INDIRECT(ADDRESS(ROW(NOTA[ID]),COLUMN(NOTA[ID]))&amp;":"&amp;ADDRESS(ROW(),COLUMN(NOTA[ID]))),-1)))</f>
        <v>ATALI MAKMUR</v>
      </c>
      <c r="AI55" s="42" t="str">
        <f ca="1">IF(NOTA[[#This Row],[ID_H]]="","",IF(NOTA[[#This Row],[FAKTUR]]="",INDIRECT(ADDRESS(ROW()-1,COLUMN())),NOTA[[#This Row],[FAKTUR]]))</f>
        <v>ARTO MORO</v>
      </c>
      <c r="AJ55" s="39" t="str">
        <f ca="1">IF(NOTA[[#This Row],[ID]]="","",COUNTIF(NOTA[ID_H],NOTA[[#This Row],[ID_H]]))</f>
        <v/>
      </c>
      <c r="AK55" s="39">
        <f ca="1">IF(NOTA[[#This Row],[TGL.NOTA]]="",IF(NOTA[[#This Row],[SUPPLIER_H]]="","",AK54),MONTH(NOTA[[#This Row],[TGL.NOTA]]))</f>
        <v>7</v>
      </c>
      <c r="AL55" s="39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9" t="str">
        <f>IF(NOTA[[#This Row],[CONCAT4]]="","",_xlfn.IFNA(MATCH(NOTA[[#This Row],[CONCAT4]],[2]!RAW[CONCAT_H],0),FALSE))</f>
        <v/>
      </c>
      <c r="AQ55" s="39">
        <f>IF(NOTA[[#This Row],[CONCAT1]]="","",MATCH(NOTA[[#This Row],[CONCAT1]],[3]!db[NB NOTA_C],0))</f>
        <v>1904</v>
      </c>
      <c r="AR55" s="39" t="str">
        <f>IF(NOTA[[#This Row],[QTY/ CTN]]="","",TRUE)</f>
        <v/>
      </c>
      <c r="AS55" s="39" t="str">
        <f ca="1">IF(NOTA[[#This Row],[ID_H]]="","",IF(NOTA[[#This Row],[Column3]]=TRUE,NOTA[[#This Row],[QTY/ CTN]],INDEX([3]!db[QTY/ CTN],NOTA[[#This Row],[//DB]])))</f>
        <v>288 PCS</v>
      </c>
      <c r="AT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U55" s="39" t="e">
        <f ca="1">IF(NOTA[[#This Row],[ID_H]]="","",MATCH(NOTA[[#This Row],[NB NOTA_C_QTY]],[4]!db[NB NOTA_C_QTY+F],0))</f>
        <v>#REF!</v>
      </c>
      <c r="AV55" s="55">
        <f ca="1">IF(NOTA[[#This Row],[NB NOTA_C_QTY]]="","",ROW()-2)</f>
        <v>53</v>
      </c>
    </row>
    <row r="56" spans="1:48" ht="20.100000000000001" customHeight="1" x14ac:dyDescent="0.25">
      <c r="A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16</v>
      </c>
      <c r="E56" s="47"/>
      <c r="H56" s="48"/>
      <c r="L56" s="38" t="s">
        <v>128</v>
      </c>
      <c r="M56" s="41">
        <v>1</v>
      </c>
      <c r="N56" s="39">
        <v>288</v>
      </c>
      <c r="O56" s="38" t="s">
        <v>117</v>
      </c>
      <c r="P56" s="42">
        <v>4800</v>
      </c>
      <c r="Q56" s="43"/>
      <c r="R56" s="49"/>
      <c r="S56" s="50">
        <v>0.125</v>
      </c>
      <c r="T56" s="45">
        <v>0.05</v>
      </c>
      <c r="U56" s="51"/>
      <c r="V56" s="46"/>
      <c r="W56" s="51">
        <f>IF(NOTA[[#This Row],[HARGA/ CTN]]="",NOTA[[#This Row],[JUMLAH_H]],NOTA[[#This Row],[HARGA/ CTN]]*IF(NOTA[[#This Row],[C]]="",0,NOTA[[#This Row],[C]]))</f>
        <v>1382400</v>
      </c>
      <c r="X56" s="51">
        <f>IF(NOTA[[#This Row],[JUMLAH]]="","",NOTA[[#This Row],[JUMLAH]]*NOTA[[#This Row],[DISC 1]])</f>
        <v>172800</v>
      </c>
      <c r="Y56" s="51">
        <f>IF(NOTA[[#This Row],[JUMLAH]]="","",(NOTA[[#This Row],[JUMLAH]]-NOTA[[#This Row],[DISC 1-]])*NOTA[[#This Row],[DISC 2]])</f>
        <v>60480</v>
      </c>
      <c r="Z56" s="51">
        <f>IF(NOTA[[#This Row],[JUMLAH]]="","",NOTA[[#This Row],[DISC 1-]]+NOTA[[#This Row],[DISC 2-]])</f>
        <v>233280</v>
      </c>
      <c r="AA56" s="51">
        <f>IF(NOTA[[#This Row],[JUMLAH]]="","",NOTA[[#This Row],[JUMLAH]]-NOTA[[#This Row],[DISC]])</f>
        <v>1149120</v>
      </c>
      <c r="AB56" s="51"/>
      <c r="AC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51">
        <f>IF(OR(NOTA[[#This Row],[QTY]]="",NOTA[[#This Row],[HARGA SATUAN]]="",),"",NOTA[[#This Row],[QTY]]*NOTA[[#This Row],[HARGA SATUAN]])</f>
        <v>1382400</v>
      </c>
      <c r="AG56" s="40">
        <f ca="1">IF(NOTA[ID_H]="","",INDEX(NOTA[TANGGAL],MATCH(,INDIRECT(ADDRESS(ROW(NOTA[TANGGAL]),COLUMN(NOTA[TANGGAL]))&amp;":"&amp;ADDRESS(ROW(),COLUMN(NOTA[TANGGAL]))),-1)))</f>
        <v>45112</v>
      </c>
      <c r="AH56" s="42" t="str">
        <f ca="1">IF(NOTA[[#This Row],[NAMA BARANG]]="","",INDEX(NOTA[SUPPLIER],MATCH(,INDIRECT(ADDRESS(ROW(NOTA[ID]),COLUMN(NOTA[ID]))&amp;":"&amp;ADDRESS(ROW(),COLUMN(NOTA[ID]))),-1)))</f>
        <v>ATALI MAKMUR</v>
      </c>
      <c r="AI56" s="42" t="str">
        <f ca="1">IF(NOTA[[#This Row],[ID_H]]="","",IF(NOTA[[#This Row],[FAKTUR]]="",INDIRECT(ADDRESS(ROW()-1,COLUMN())),NOTA[[#This Row],[FAKTUR]]))</f>
        <v>ARTO MORO</v>
      </c>
      <c r="AJ56" s="39" t="str">
        <f ca="1">IF(NOTA[[#This Row],[ID]]="","",COUNTIF(NOTA[ID_H],NOTA[[#This Row],[ID_H]]))</f>
        <v/>
      </c>
      <c r="AK56" s="39">
        <f ca="1">IF(NOTA[[#This Row],[TGL.NOTA]]="",IF(NOTA[[#This Row],[SUPPLIER_H]]="","",AK55),MONTH(NOTA[[#This Row],[TGL.NOTA]]))</f>
        <v>7</v>
      </c>
      <c r="AL56" s="39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9" t="str">
        <f>IF(NOTA[[#This Row],[CONCAT4]]="","",_xlfn.IFNA(MATCH(NOTA[[#This Row],[CONCAT4]],[2]!RAW[CONCAT_H],0),FALSE))</f>
        <v/>
      </c>
      <c r="AQ56" s="39">
        <f>IF(NOTA[[#This Row],[CONCAT1]]="","",MATCH(NOTA[[#This Row],[CONCAT1]],[3]!db[NB NOTA_C],0))</f>
        <v>1903</v>
      </c>
      <c r="AR56" s="39" t="str">
        <f>IF(NOTA[[#This Row],[QTY/ CTN]]="","",TRUE)</f>
        <v/>
      </c>
      <c r="AS56" s="39" t="str">
        <f ca="1">IF(NOTA[[#This Row],[ID_H]]="","",IF(NOTA[[#This Row],[Column3]]=TRUE,NOTA[[#This Row],[QTY/ CTN]],INDEX([3]!db[QTY/ CTN],NOTA[[#This Row],[//DB]])))</f>
        <v>288 PCS</v>
      </c>
      <c r="AT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U56" s="39" t="e">
        <f ca="1">IF(NOTA[[#This Row],[ID_H]]="","",MATCH(NOTA[[#This Row],[NB NOTA_C_QTY]],[4]!db[NB NOTA_C_QTY+F],0))</f>
        <v>#REF!</v>
      </c>
      <c r="AV56" s="55">
        <f ca="1">IF(NOTA[[#This Row],[NB NOTA_C_QTY]]="","",ROW()-2)</f>
        <v>54</v>
      </c>
    </row>
    <row r="57" spans="1:48" ht="20.100000000000001" customHeight="1" x14ac:dyDescent="0.25">
      <c r="A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16</v>
      </c>
      <c r="E57" s="47"/>
      <c r="H57" s="48"/>
      <c r="L57" s="38" t="s">
        <v>129</v>
      </c>
      <c r="M57" s="41">
        <v>1</v>
      </c>
      <c r="N57" s="39">
        <v>288</v>
      </c>
      <c r="O57" s="38" t="s">
        <v>117</v>
      </c>
      <c r="P57" s="42">
        <v>4800</v>
      </c>
      <c r="Q57" s="43"/>
      <c r="R57" s="49"/>
      <c r="S57" s="50">
        <v>0.125</v>
      </c>
      <c r="T57" s="45">
        <v>0.05</v>
      </c>
      <c r="U57" s="51"/>
      <c r="V57" s="46"/>
      <c r="W57" s="51">
        <f>IF(NOTA[[#This Row],[HARGA/ CTN]]="",NOTA[[#This Row],[JUMLAH_H]],NOTA[[#This Row],[HARGA/ CTN]]*IF(NOTA[[#This Row],[C]]="",0,NOTA[[#This Row],[C]]))</f>
        <v>1382400</v>
      </c>
      <c r="X57" s="51">
        <f>IF(NOTA[[#This Row],[JUMLAH]]="","",NOTA[[#This Row],[JUMLAH]]*NOTA[[#This Row],[DISC 1]])</f>
        <v>172800</v>
      </c>
      <c r="Y57" s="51">
        <f>IF(NOTA[[#This Row],[JUMLAH]]="","",(NOTA[[#This Row],[JUMLAH]]-NOTA[[#This Row],[DISC 1-]])*NOTA[[#This Row],[DISC 2]])</f>
        <v>60480</v>
      </c>
      <c r="Z57" s="51">
        <f>IF(NOTA[[#This Row],[JUMLAH]]="","",NOTA[[#This Row],[DISC 1-]]+NOTA[[#This Row],[DISC 2-]])</f>
        <v>233280</v>
      </c>
      <c r="AA57" s="51">
        <f>IF(NOTA[[#This Row],[JUMLAH]]="","",NOTA[[#This Row],[JUMLAH]]-NOTA[[#This Row],[DISC]])</f>
        <v>1149120</v>
      </c>
      <c r="AB57" s="51"/>
      <c r="AC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51">
        <f>IF(OR(NOTA[[#This Row],[QTY]]="",NOTA[[#This Row],[HARGA SATUAN]]="",),"",NOTA[[#This Row],[QTY]]*NOTA[[#This Row],[HARGA SATUAN]])</f>
        <v>1382400</v>
      </c>
      <c r="AG57" s="40">
        <f ca="1">IF(NOTA[ID_H]="","",INDEX(NOTA[TANGGAL],MATCH(,INDIRECT(ADDRESS(ROW(NOTA[TANGGAL]),COLUMN(NOTA[TANGGAL]))&amp;":"&amp;ADDRESS(ROW(),COLUMN(NOTA[TANGGAL]))),-1)))</f>
        <v>45112</v>
      </c>
      <c r="AH57" s="42" t="str">
        <f ca="1">IF(NOTA[[#This Row],[NAMA BARANG]]="","",INDEX(NOTA[SUPPLIER],MATCH(,INDIRECT(ADDRESS(ROW(NOTA[ID]),COLUMN(NOTA[ID]))&amp;":"&amp;ADDRESS(ROW(),COLUMN(NOTA[ID]))),-1)))</f>
        <v>ATALI MAKMUR</v>
      </c>
      <c r="AI57" s="42" t="str">
        <f ca="1">IF(NOTA[[#This Row],[ID_H]]="","",IF(NOTA[[#This Row],[FAKTUR]]="",INDIRECT(ADDRESS(ROW()-1,COLUMN())),NOTA[[#This Row],[FAKTUR]]))</f>
        <v>ARTO MORO</v>
      </c>
      <c r="AJ57" s="39" t="str">
        <f ca="1">IF(NOTA[[#This Row],[ID]]="","",COUNTIF(NOTA[ID_H],NOTA[[#This Row],[ID_H]]))</f>
        <v/>
      </c>
      <c r="AK57" s="39">
        <f ca="1">IF(NOTA[[#This Row],[TGL.NOTA]]="",IF(NOTA[[#This Row],[SUPPLIER_H]]="","",AK56),MONTH(NOTA[[#This Row],[TGL.NOTA]]))</f>
        <v>7</v>
      </c>
      <c r="AL57" s="39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9" t="str">
        <f>IF(NOTA[[#This Row],[CONCAT4]]="","",_xlfn.IFNA(MATCH(NOTA[[#This Row],[CONCAT4]],[2]!RAW[CONCAT_H],0),FALSE))</f>
        <v/>
      </c>
      <c r="AQ57" s="39">
        <f>IF(NOTA[[#This Row],[CONCAT1]]="","",MATCH(NOTA[[#This Row],[CONCAT1]],[3]!db[NB NOTA_C],0))</f>
        <v>1901</v>
      </c>
      <c r="AR57" s="39" t="str">
        <f>IF(NOTA[[#This Row],[QTY/ CTN]]="","",TRUE)</f>
        <v/>
      </c>
      <c r="AS57" s="39" t="str">
        <f ca="1">IF(NOTA[[#This Row],[ID_H]]="","",IF(NOTA[[#This Row],[Column3]]=TRUE,NOTA[[#This Row],[QTY/ CTN]],INDEX([3]!db[QTY/ CTN],NOTA[[#This Row],[//DB]])))</f>
        <v>288 PCS</v>
      </c>
      <c r="AT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U57" s="39" t="e">
        <f ca="1">IF(NOTA[[#This Row],[ID_H]]="","",MATCH(NOTA[[#This Row],[NB NOTA_C_QTY]],[4]!db[NB NOTA_C_QTY+F],0))</f>
        <v>#REF!</v>
      </c>
      <c r="AV57" s="55">
        <f ca="1">IF(NOTA[[#This Row],[NB NOTA_C_QTY]]="","",ROW()-2)</f>
        <v>55</v>
      </c>
    </row>
    <row r="58" spans="1:48" ht="20.100000000000001" customHeight="1" x14ac:dyDescent="0.25">
      <c r="A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47"/>
      <c r="H58" s="48"/>
      <c r="N58" s="39"/>
      <c r="Q58" s="43"/>
      <c r="R58" s="49"/>
      <c r="S58" s="50"/>
      <c r="U58" s="51"/>
      <c r="V58" s="46"/>
      <c r="W58" s="51" t="str">
        <f>IF(NOTA[[#This Row],[HARGA/ CTN]]="",NOTA[[#This Row],[JUMLAH_H]],NOTA[[#This Row],[HARGA/ CTN]]*IF(NOTA[[#This Row],[C]]="",0,NOTA[[#This Row],[C]]))</f>
        <v/>
      </c>
      <c r="X58" s="51" t="str">
        <f>IF(NOTA[[#This Row],[JUMLAH]]="","",NOTA[[#This Row],[JUMLAH]]*NOTA[[#This Row],[DISC 1]])</f>
        <v/>
      </c>
      <c r="Y58" s="51" t="str">
        <f>IF(NOTA[[#This Row],[JUMLAH]]="","",(NOTA[[#This Row],[JUMLAH]]-NOTA[[#This Row],[DISC 1-]])*NOTA[[#This Row],[DISC 2]])</f>
        <v/>
      </c>
      <c r="Z58" s="51" t="str">
        <f>IF(NOTA[[#This Row],[JUMLAH]]="","",NOTA[[#This Row],[DISC 1-]]+NOTA[[#This Row],[DISC 2-]])</f>
        <v/>
      </c>
      <c r="AA58" s="51" t="str">
        <f>IF(NOTA[[#This Row],[JUMLAH]]="","",NOTA[[#This Row],[JUMLAH]]-NOTA[[#This Row],[DISC]])</f>
        <v/>
      </c>
      <c r="AB58" s="51"/>
      <c r="AC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1" t="str">
        <f>IF(OR(NOTA[[#This Row],[QTY]]="",NOTA[[#This Row],[HARGA SATUAN]]="",),"",NOTA[[#This Row],[QTY]]*NOTA[[#This Row],[HARGA SATUAN]])</f>
        <v/>
      </c>
      <c r="AG58" s="40" t="str">
        <f ca="1">IF(NOTA[ID_H]="","",INDEX(NOTA[TANGGAL],MATCH(,INDIRECT(ADDRESS(ROW(NOTA[TANGGAL]),COLUMN(NOTA[TANGGAL]))&amp;":"&amp;ADDRESS(ROW(),COLUMN(NOTA[TANGGAL]))),-1)))</f>
        <v/>
      </c>
      <c r="AH58" s="42" t="str">
        <f ca="1">IF(NOTA[[#This Row],[NAMA BARANG]]="","",INDEX(NOTA[SUPPLIER],MATCH(,INDIRECT(ADDRESS(ROW(NOTA[ID]),COLUMN(NOTA[ID]))&amp;":"&amp;ADDRESS(ROW(),COLUMN(NOTA[ID]))),-1)))</f>
        <v/>
      </c>
      <c r="AI58" s="42" t="str">
        <f ca="1">IF(NOTA[[#This Row],[ID_H]]="","",IF(NOTA[[#This Row],[FAKTUR]]="",INDIRECT(ADDRESS(ROW()-1,COLUMN())),NOTA[[#This Row],[FAKTUR]]))</f>
        <v/>
      </c>
      <c r="AJ58" s="39" t="str">
        <f ca="1">IF(NOTA[[#This Row],[ID]]="","",COUNTIF(NOTA[ID_H],NOTA[[#This Row],[ID_H]]))</f>
        <v/>
      </c>
      <c r="AK58" s="39" t="str">
        <f ca="1">IF(NOTA[[#This Row],[TGL.NOTA]]="",IF(NOTA[[#This Row],[SUPPLIER_H]]="","",AK57),MONTH(NOTA[[#This Row],[TGL.NOTA]]))</f>
        <v/>
      </c>
      <c r="AL58" s="39" t="str">
        <f>LOWER(SUBSTITUTE(SUBSTITUTE(SUBSTITUTE(SUBSTITUTE(SUBSTITUTE(SUBSTITUTE(SUBSTITUTE(SUBSTITUTE(SUBSTITUTE(NOTA[NAMA BARANG]," ",),".",""),"-",""),"(",""),")",""),",",""),"/",""),"""",""),"+",""))</f>
        <v/>
      </c>
      <c r="AM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9" t="str">
        <f>IF(NOTA[[#This Row],[CONCAT4]]="","",_xlfn.IFNA(MATCH(NOTA[[#This Row],[CONCAT4]],[2]!RAW[CONCAT_H],0),FALSE))</f>
        <v/>
      </c>
      <c r="AQ58" s="39" t="str">
        <f>IF(NOTA[[#This Row],[CONCAT1]]="","",MATCH(NOTA[[#This Row],[CONCAT1]],[3]!db[NB NOTA_C],0))</f>
        <v/>
      </c>
      <c r="AR58" s="39" t="str">
        <f>IF(NOTA[[#This Row],[QTY/ CTN]]="","",TRUE)</f>
        <v/>
      </c>
      <c r="AS58" s="39" t="str">
        <f ca="1">IF(NOTA[[#This Row],[ID_H]]="","",IF(NOTA[[#This Row],[Column3]]=TRUE,NOTA[[#This Row],[QTY/ CTN]],INDEX([3]!db[QTY/ CTN],NOTA[[#This Row],[//DB]])))</f>
        <v/>
      </c>
      <c r="AT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9" t="str">
        <f ca="1">IF(NOTA[[#This Row],[ID_H]]="","",MATCH(NOTA[[#This Row],[NB NOTA_C_QTY]],[4]!db[NB NOTA_C_QTY+F],0))</f>
        <v/>
      </c>
      <c r="AV58" s="55" t="str">
        <f ca="1">IF(NOTA[[#This Row],[NB NOTA_C_QTY]]="","",ROW()-2)</f>
        <v/>
      </c>
    </row>
    <row r="59" spans="1:48" ht="20.100000000000001" customHeight="1" x14ac:dyDescent="0.25">
      <c r="A59" s="42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17</v>
      </c>
      <c r="E59" s="47"/>
      <c r="F59" s="38" t="s">
        <v>22</v>
      </c>
      <c r="G59" s="38" t="s">
        <v>23</v>
      </c>
      <c r="H59" s="48" t="s">
        <v>130</v>
      </c>
      <c r="J59" s="40">
        <v>45110</v>
      </c>
      <c r="L59" s="38" t="s">
        <v>131</v>
      </c>
      <c r="M59" s="41">
        <v>2</v>
      </c>
      <c r="N59" s="39"/>
      <c r="Q59" s="43">
        <v>1497600</v>
      </c>
      <c r="R59" s="49"/>
      <c r="S59" s="50">
        <v>0.17</v>
      </c>
      <c r="U59" s="51"/>
      <c r="V59" s="46"/>
      <c r="W59" s="51">
        <f>IF(NOTA[[#This Row],[HARGA/ CTN]]="",NOTA[[#This Row],[JUMLAH_H]],NOTA[[#This Row],[HARGA/ CTN]]*IF(NOTA[[#This Row],[C]]="",0,NOTA[[#This Row],[C]]))</f>
        <v>2995200</v>
      </c>
      <c r="X59" s="51">
        <f>IF(NOTA[[#This Row],[JUMLAH]]="","",NOTA[[#This Row],[JUMLAH]]*NOTA[[#This Row],[DISC 1]])</f>
        <v>509184.00000000006</v>
      </c>
      <c r="Y59" s="51">
        <f>IF(NOTA[[#This Row],[JUMLAH]]="","",(NOTA[[#This Row],[JUMLAH]]-NOTA[[#This Row],[DISC 1-]])*NOTA[[#This Row],[DISC 2]])</f>
        <v>0</v>
      </c>
      <c r="Z59" s="51">
        <f>IF(NOTA[[#This Row],[JUMLAH]]="","",NOTA[[#This Row],[DISC 1-]]+NOTA[[#This Row],[DISC 2-]])</f>
        <v>509184.00000000006</v>
      </c>
      <c r="AA59" s="51">
        <f>IF(NOTA[[#This Row],[JUMLAH]]="","",NOTA[[#This Row],[JUMLAH]]-NOTA[[#This Row],[DISC]])</f>
        <v>2486016</v>
      </c>
      <c r="AB59" s="51"/>
      <c r="AC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51" t="str">
        <f>IF(OR(NOTA[[#This Row],[QTY]]="",NOTA[[#This Row],[HARGA SATUAN]]="",),"",NOTA[[#This Row],[QTY]]*NOTA[[#This Row],[HARGA SATUAN]])</f>
        <v/>
      </c>
      <c r="AG59" s="40">
        <f ca="1">IF(NOTA[ID_H]="","",INDEX(NOTA[TANGGAL],MATCH(,INDIRECT(ADDRESS(ROW(NOTA[TANGGAL]),COLUMN(NOTA[TANGGAL]))&amp;":"&amp;ADDRESS(ROW(),COLUMN(NOTA[TANGGAL]))),-1)))</f>
        <v>45112</v>
      </c>
      <c r="AH59" s="42" t="str">
        <f ca="1">IF(NOTA[[#This Row],[NAMA BARANG]]="","",INDEX(NOTA[SUPPLIER],MATCH(,INDIRECT(ADDRESS(ROW(NOTA[ID]),COLUMN(NOTA[ID]))&amp;":"&amp;ADDRESS(ROW(),COLUMN(NOTA[ID]))),-1)))</f>
        <v>KENKO SINAR INDONESIA</v>
      </c>
      <c r="AI59" s="42" t="str">
        <f ca="1">IF(NOTA[[#This Row],[ID_H]]="","",IF(NOTA[[#This Row],[FAKTUR]]="",INDIRECT(ADDRESS(ROW()-1,COLUMN())),NOTA[[#This Row],[FAKTUR]]))</f>
        <v>ARTO MORO</v>
      </c>
      <c r="AJ59" s="39">
        <f ca="1">IF(NOTA[[#This Row],[ID]]="","",COUNTIF(NOTA[ID_H],NOTA[[#This Row],[ID_H]]))</f>
        <v>6</v>
      </c>
      <c r="AK59" s="39">
        <f>IF(NOTA[[#This Row],[TGL.NOTA]]="",IF(NOTA[[#This Row],[SUPPLIER_H]]="","",AK58),MONTH(NOTA[[#This Row],[TGL.NOTA]]))</f>
        <v>7</v>
      </c>
      <c r="AL59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39" t="e">
        <f>IF(NOTA[[#This Row],[CONCAT4]]="","",_xlfn.IFNA(MATCH(NOTA[[#This Row],[CONCAT4]],[2]!RAW[CONCAT_H],0),FALSE))</f>
        <v>#REF!</v>
      </c>
      <c r="AQ59" s="39">
        <f>IF(NOTA[[#This Row],[CONCAT1]]="","",MATCH(NOTA[[#This Row],[CONCAT1]],[3]!db[NB NOTA_C],0))</f>
        <v>1916</v>
      </c>
      <c r="AR59" s="39" t="str">
        <f>IF(NOTA[[#This Row],[QTY/ CTN]]="","",TRUE)</f>
        <v/>
      </c>
      <c r="AS59" s="39" t="str">
        <f ca="1">IF(NOTA[[#This Row],[ID_H]]="","",IF(NOTA[[#This Row],[Column3]]=TRUE,NOTA[[#This Row],[QTY/ CTN]],INDEX([3]!db[QTY/ CTN],NOTA[[#This Row],[//DB]])))</f>
        <v>24 LSN</v>
      </c>
      <c r="AT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59" s="39" t="e">
        <f ca="1">IF(NOTA[[#This Row],[ID_H]]="","",MATCH(NOTA[[#This Row],[NB NOTA_C_QTY]],[4]!db[NB NOTA_C_QTY+F],0))</f>
        <v>#REF!</v>
      </c>
      <c r="AV59" s="55">
        <f ca="1">IF(NOTA[[#This Row],[NB NOTA_C_QTY]]="","",ROW()-2)</f>
        <v>57</v>
      </c>
    </row>
    <row r="60" spans="1:48" ht="20.100000000000001" customHeight="1" x14ac:dyDescent="0.25">
      <c r="A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17</v>
      </c>
      <c r="E60" s="47"/>
      <c r="H60" s="48"/>
      <c r="L60" s="38" t="s">
        <v>108</v>
      </c>
      <c r="M60" s="41">
        <v>1</v>
      </c>
      <c r="N60" s="39"/>
      <c r="Q60" s="43">
        <v>1710000</v>
      </c>
      <c r="R60" s="49"/>
      <c r="S60" s="50">
        <v>0.17</v>
      </c>
      <c r="U60" s="51"/>
      <c r="V60" s="46"/>
      <c r="W60" s="51">
        <f>IF(NOTA[[#This Row],[HARGA/ CTN]]="",NOTA[[#This Row],[JUMLAH_H]],NOTA[[#This Row],[HARGA/ CTN]]*IF(NOTA[[#This Row],[C]]="",0,NOTA[[#This Row],[C]]))</f>
        <v>1710000</v>
      </c>
      <c r="X60" s="51">
        <f>IF(NOTA[[#This Row],[JUMLAH]]="","",NOTA[[#This Row],[JUMLAH]]*NOTA[[#This Row],[DISC 1]])</f>
        <v>290700</v>
      </c>
      <c r="Y60" s="51">
        <f>IF(NOTA[[#This Row],[JUMLAH]]="","",(NOTA[[#This Row],[JUMLAH]]-NOTA[[#This Row],[DISC 1-]])*NOTA[[#This Row],[DISC 2]])</f>
        <v>0</v>
      </c>
      <c r="Z60" s="51">
        <f>IF(NOTA[[#This Row],[JUMLAH]]="","",NOTA[[#This Row],[DISC 1-]]+NOTA[[#This Row],[DISC 2-]])</f>
        <v>290700</v>
      </c>
      <c r="AA60" s="51">
        <f>IF(NOTA[[#This Row],[JUMLAH]]="","",NOTA[[#This Row],[JUMLAH]]-NOTA[[#This Row],[DISC]])</f>
        <v>1419300</v>
      </c>
      <c r="AB60" s="51"/>
      <c r="AC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51" t="str">
        <f>IF(OR(NOTA[[#This Row],[QTY]]="",NOTA[[#This Row],[HARGA SATUAN]]="",),"",NOTA[[#This Row],[QTY]]*NOTA[[#This Row],[HARGA SATUAN]])</f>
        <v/>
      </c>
      <c r="AG60" s="40">
        <f ca="1">IF(NOTA[ID_H]="","",INDEX(NOTA[TANGGAL],MATCH(,INDIRECT(ADDRESS(ROW(NOTA[TANGGAL]),COLUMN(NOTA[TANGGAL]))&amp;":"&amp;ADDRESS(ROW(),COLUMN(NOTA[TANGGAL]))),-1)))</f>
        <v>45112</v>
      </c>
      <c r="AH60" s="42" t="str">
        <f ca="1">IF(NOTA[[#This Row],[NAMA BARANG]]="","",INDEX(NOTA[SUPPLIER],MATCH(,INDIRECT(ADDRESS(ROW(NOTA[ID]),COLUMN(NOTA[ID]))&amp;":"&amp;ADDRESS(ROW(),COLUMN(NOTA[ID]))),-1)))</f>
        <v>KENKO SINAR INDONESIA</v>
      </c>
      <c r="AI60" s="42" t="str">
        <f ca="1">IF(NOTA[[#This Row],[ID_H]]="","",IF(NOTA[[#This Row],[FAKTUR]]="",INDIRECT(ADDRESS(ROW()-1,COLUMN())),NOTA[[#This Row],[FAKTUR]]))</f>
        <v>ARTO MORO</v>
      </c>
      <c r="AJ60" s="39" t="str">
        <f ca="1">IF(NOTA[[#This Row],[ID]]="","",COUNTIF(NOTA[ID_H],NOTA[[#This Row],[ID_H]]))</f>
        <v/>
      </c>
      <c r="AK60" s="39">
        <f ca="1">IF(NOTA[[#This Row],[TGL.NOTA]]="",IF(NOTA[[#This Row],[SUPPLIER_H]]="","",AK59),MONTH(NOTA[[#This Row],[TGL.NOTA]]))</f>
        <v>7</v>
      </c>
      <c r="AL60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9" t="str">
        <f>IF(NOTA[[#This Row],[CONCAT4]]="","",_xlfn.IFNA(MATCH(NOTA[[#This Row],[CONCAT4]],[2]!RAW[CONCAT_H],0),FALSE))</f>
        <v/>
      </c>
      <c r="AQ60" s="39">
        <f>IF(NOTA[[#This Row],[CONCAT1]]="","",MATCH(NOTA[[#This Row],[CONCAT1]],[3]!db[NB NOTA_C],0))</f>
        <v>947</v>
      </c>
      <c r="AR60" s="39" t="str">
        <f>IF(NOTA[[#This Row],[QTY/ CTN]]="","",TRUE)</f>
        <v/>
      </c>
      <c r="AS60" s="39" t="str">
        <f ca="1">IF(NOTA[[#This Row],[ID_H]]="","",IF(NOTA[[#This Row],[Column3]]=TRUE,NOTA[[#This Row],[QTY/ CTN]],INDEX([3]!db[QTY/ CTN],NOTA[[#This Row],[//DB]])))</f>
        <v>30 LSN</v>
      </c>
      <c r="AT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60" s="39" t="e">
        <f ca="1">IF(NOTA[[#This Row],[ID_H]]="","",MATCH(NOTA[[#This Row],[NB NOTA_C_QTY]],[4]!db[NB NOTA_C_QTY+F],0))</f>
        <v>#REF!</v>
      </c>
      <c r="AV60" s="55">
        <f ca="1">IF(NOTA[[#This Row],[NB NOTA_C_QTY]]="","",ROW()-2)</f>
        <v>58</v>
      </c>
    </row>
    <row r="61" spans="1:48" ht="20.100000000000001" customHeight="1" x14ac:dyDescent="0.25">
      <c r="A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17</v>
      </c>
      <c r="E61" s="47"/>
      <c r="H61" s="48"/>
      <c r="L61" s="38" t="s">
        <v>109</v>
      </c>
      <c r="M61" s="41">
        <v>2</v>
      </c>
      <c r="N61" s="39"/>
      <c r="Q61" s="43">
        <v>2952000</v>
      </c>
      <c r="R61" s="49"/>
      <c r="S61" s="50">
        <v>0.17</v>
      </c>
      <c r="U61" s="51"/>
      <c r="V61" s="46"/>
      <c r="W61" s="51">
        <f>IF(NOTA[[#This Row],[HARGA/ CTN]]="",NOTA[[#This Row],[JUMLAH_H]],NOTA[[#This Row],[HARGA/ CTN]]*IF(NOTA[[#This Row],[C]]="",0,NOTA[[#This Row],[C]]))</f>
        <v>5904000</v>
      </c>
      <c r="X61" s="51">
        <f>IF(NOTA[[#This Row],[JUMLAH]]="","",NOTA[[#This Row],[JUMLAH]]*NOTA[[#This Row],[DISC 1]])</f>
        <v>1003680.0000000001</v>
      </c>
      <c r="Y61" s="51">
        <f>IF(NOTA[[#This Row],[JUMLAH]]="","",(NOTA[[#This Row],[JUMLAH]]-NOTA[[#This Row],[DISC 1-]])*NOTA[[#This Row],[DISC 2]])</f>
        <v>0</v>
      </c>
      <c r="Z61" s="51">
        <f>IF(NOTA[[#This Row],[JUMLAH]]="","",NOTA[[#This Row],[DISC 1-]]+NOTA[[#This Row],[DISC 2-]])</f>
        <v>1003680.0000000001</v>
      </c>
      <c r="AA61" s="51">
        <f>IF(NOTA[[#This Row],[JUMLAH]]="","",NOTA[[#This Row],[JUMLAH]]-NOTA[[#This Row],[DISC]])</f>
        <v>4900320</v>
      </c>
      <c r="AB61" s="51"/>
      <c r="AC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51" t="str">
        <f>IF(OR(NOTA[[#This Row],[QTY]]="",NOTA[[#This Row],[HARGA SATUAN]]="",),"",NOTA[[#This Row],[QTY]]*NOTA[[#This Row],[HARGA SATUAN]])</f>
        <v/>
      </c>
      <c r="AG61" s="40">
        <f ca="1">IF(NOTA[ID_H]="","",INDEX(NOTA[TANGGAL],MATCH(,INDIRECT(ADDRESS(ROW(NOTA[TANGGAL]),COLUMN(NOTA[TANGGAL]))&amp;":"&amp;ADDRESS(ROW(),COLUMN(NOTA[TANGGAL]))),-1)))</f>
        <v>45112</v>
      </c>
      <c r="AH61" s="42" t="str">
        <f ca="1">IF(NOTA[[#This Row],[NAMA BARANG]]="","",INDEX(NOTA[SUPPLIER],MATCH(,INDIRECT(ADDRESS(ROW(NOTA[ID]),COLUMN(NOTA[ID]))&amp;":"&amp;ADDRESS(ROW(),COLUMN(NOTA[ID]))),-1)))</f>
        <v>KENKO SINAR INDONESIA</v>
      </c>
      <c r="AI61" s="42" t="str">
        <f ca="1">IF(NOTA[[#This Row],[ID_H]]="","",IF(NOTA[[#This Row],[FAKTUR]]="",INDIRECT(ADDRESS(ROW()-1,COLUMN())),NOTA[[#This Row],[FAKTUR]]))</f>
        <v>ARTO MORO</v>
      </c>
      <c r="AJ61" s="39" t="str">
        <f ca="1">IF(NOTA[[#This Row],[ID]]="","",COUNTIF(NOTA[ID_H],NOTA[[#This Row],[ID_H]]))</f>
        <v/>
      </c>
      <c r="AK61" s="39">
        <f ca="1">IF(NOTA[[#This Row],[TGL.NOTA]]="",IF(NOTA[[#This Row],[SUPPLIER_H]]="","",AK60),MONTH(NOTA[[#This Row],[TGL.NOTA]]))</f>
        <v>7</v>
      </c>
      <c r="AL61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9" t="str">
        <f>IF(NOTA[[#This Row],[CONCAT4]]="","",_xlfn.IFNA(MATCH(NOTA[[#This Row],[CONCAT4]],[2]!RAW[CONCAT_H],0),FALSE))</f>
        <v/>
      </c>
      <c r="AQ61" s="39">
        <f>IF(NOTA[[#This Row],[CONCAT1]]="","",MATCH(NOTA[[#This Row],[CONCAT1]],[3]!db[NB NOTA_C],0))</f>
        <v>950</v>
      </c>
      <c r="AR61" s="39" t="str">
        <f>IF(NOTA[[#This Row],[QTY/ CTN]]="","",TRUE)</f>
        <v/>
      </c>
      <c r="AS61" s="39" t="str">
        <f ca="1">IF(NOTA[[#This Row],[ID_H]]="","",IF(NOTA[[#This Row],[Column3]]=TRUE,NOTA[[#This Row],[QTY/ CTN]],INDEX([3]!db[QTY/ CTN],NOTA[[#This Row],[//DB]])))</f>
        <v>20 LSN</v>
      </c>
      <c r="AT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1" s="39" t="e">
        <f ca="1">IF(NOTA[[#This Row],[ID_H]]="","",MATCH(NOTA[[#This Row],[NB NOTA_C_QTY]],[4]!db[NB NOTA_C_QTY+F],0))</f>
        <v>#REF!</v>
      </c>
      <c r="AV61" s="55">
        <f ca="1">IF(NOTA[[#This Row],[NB NOTA_C_QTY]]="","",ROW()-2)</f>
        <v>59</v>
      </c>
    </row>
    <row r="62" spans="1:48" ht="20.100000000000001" customHeight="1" x14ac:dyDescent="0.25">
      <c r="A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17</v>
      </c>
      <c r="E62" s="47"/>
      <c r="H62" s="48"/>
      <c r="L62" s="38" t="s">
        <v>132</v>
      </c>
      <c r="M62" s="41">
        <v>2</v>
      </c>
      <c r="N62" s="39"/>
      <c r="Q62" s="43">
        <v>504000</v>
      </c>
      <c r="R62" s="49"/>
      <c r="S62" s="50">
        <v>0.17</v>
      </c>
      <c r="U62" s="51"/>
      <c r="V62" s="46"/>
      <c r="W62" s="51">
        <f>IF(NOTA[[#This Row],[HARGA/ CTN]]="",NOTA[[#This Row],[JUMLAH_H]],NOTA[[#This Row],[HARGA/ CTN]]*IF(NOTA[[#This Row],[C]]="",0,NOTA[[#This Row],[C]]))</f>
        <v>1008000</v>
      </c>
      <c r="X62" s="51">
        <f>IF(NOTA[[#This Row],[JUMLAH]]="","",NOTA[[#This Row],[JUMLAH]]*NOTA[[#This Row],[DISC 1]])</f>
        <v>171360</v>
      </c>
      <c r="Y62" s="51">
        <f>IF(NOTA[[#This Row],[JUMLAH]]="","",(NOTA[[#This Row],[JUMLAH]]-NOTA[[#This Row],[DISC 1-]])*NOTA[[#This Row],[DISC 2]])</f>
        <v>0</v>
      </c>
      <c r="Z62" s="51">
        <f>IF(NOTA[[#This Row],[JUMLAH]]="","",NOTA[[#This Row],[DISC 1-]]+NOTA[[#This Row],[DISC 2-]])</f>
        <v>171360</v>
      </c>
      <c r="AA62" s="51">
        <f>IF(NOTA[[#This Row],[JUMLAH]]="","",NOTA[[#This Row],[JUMLAH]]-NOTA[[#This Row],[DISC]])</f>
        <v>836640</v>
      </c>
      <c r="AB62" s="51"/>
      <c r="AC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51" t="str">
        <f>IF(OR(NOTA[[#This Row],[QTY]]="",NOTA[[#This Row],[HARGA SATUAN]]="",),"",NOTA[[#This Row],[QTY]]*NOTA[[#This Row],[HARGA SATUAN]])</f>
        <v/>
      </c>
      <c r="AG62" s="40">
        <f ca="1">IF(NOTA[ID_H]="","",INDEX(NOTA[TANGGAL],MATCH(,INDIRECT(ADDRESS(ROW(NOTA[TANGGAL]),COLUMN(NOTA[TANGGAL]))&amp;":"&amp;ADDRESS(ROW(),COLUMN(NOTA[TANGGAL]))),-1)))</f>
        <v>45112</v>
      </c>
      <c r="AH62" s="42" t="str">
        <f ca="1">IF(NOTA[[#This Row],[NAMA BARANG]]="","",INDEX(NOTA[SUPPLIER],MATCH(,INDIRECT(ADDRESS(ROW(NOTA[ID]),COLUMN(NOTA[ID]))&amp;":"&amp;ADDRESS(ROW(),COLUMN(NOTA[ID]))),-1)))</f>
        <v>KENKO SINAR INDONESIA</v>
      </c>
      <c r="AI62" s="42" t="str">
        <f ca="1">IF(NOTA[[#This Row],[ID_H]]="","",IF(NOTA[[#This Row],[FAKTUR]]="",INDIRECT(ADDRESS(ROW()-1,COLUMN())),NOTA[[#This Row],[FAKTUR]]))</f>
        <v>ARTO MORO</v>
      </c>
      <c r="AJ62" s="39" t="str">
        <f ca="1">IF(NOTA[[#This Row],[ID]]="","",COUNTIF(NOTA[ID_H],NOTA[[#This Row],[ID_H]]))</f>
        <v/>
      </c>
      <c r="AK62" s="39">
        <f ca="1">IF(NOTA[[#This Row],[TGL.NOTA]]="",IF(NOTA[[#This Row],[SUPPLIER_H]]="","",AK61),MONTH(NOTA[[#This Row],[TGL.NOTA]]))</f>
        <v>7</v>
      </c>
      <c r="AL62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9" t="str">
        <f>IF(NOTA[[#This Row],[CONCAT4]]="","",_xlfn.IFNA(MATCH(NOTA[[#This Row],[CONCAT4]],[2]!RAW[CONCAT_H],0),FALSE))</f>
        <v/>
      </c>
      <c r="AQ62" s="39">
        <f>IF(NOTA[[#This Row],[CONCAT1]]="","",MATCH(NOTA[[#This Row],[CONCAT1]],[3]!db[NB NOTA_C],0))</f>
        <v>1493</v>
      </c>
      <c r="AR62" s="39" t="str">
        <f>IF(NOTA[[#This Row],[QTY/ CTN]]="","",TRUE)</f>
        <v/>
      </c>
      <c r="AS62" s="39" t="str">
        <f ca="1">IF(NOTA[[#This Row],[ID_H]]="","",IF(NOTA[[#This Row],[Column3]]=TRUE,NOTA[[#This Row],[QTY/ CTN]],INDEX([3]!db[QTY/ CTN],NOTA[[#This Row],[//DB]])))</f>
        <v>20 LSN</v>
      </c>
      <c r="AT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62" s="39" t="e">
        <f ca="1">IF(NOTA[[#This Row],[ID_H]]="","",MATCH(NOTA[[#This Row],[NB NOTA_C_QTY]],[4]!db[NB NOTA_C_QTY+F],0))</f>
        <v>#REF!</v>
      </c>
      <c r="AV62" s="55">
        <f ca="1">IF(NOTA[[#This Row],[NB NOTA_C_QTY]]="","",ROW()-2)</f>
        <v>60</v>
      </c>
    </row>
    <row r="63" spans="1:48" ht="20.100000000000001" customHeight="1" x14ac:dyDescent="0.25">
      <c r="A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17</v>
      </c>
      <c r="E63" s="47"/>
      <c r="H63" s="48"/>
      <c r="L63" s="38" t="s">
        <v>98</v>
      </c>
      <c r="M63" s="41">
        <v>3</v>
      </c>
      <c r="N63" s="39"/>
      <c r="Q63" s="43">
        <v>2376000</v>
      </c>
      <c r="R63" s="49"/>
      <c r="S63" s="50">
        <v>0.17</v>
      </c>
      <c r="U63" s="51"/>
      <c r="V63" s="46"/>
      <c r="W63" s="51">
        <f>IF(NOTA[[#This Row],[HARGA/ CTN]]="",NOTA[[#This Row],[JUMLAH_H]],NOTA[[#This Row],[HARGA/ CTN]]*IF(NOTA[[#This Row],[C]]="",0,NOTA[[#This Row],[C]]))</f>
        <v>7128000</v>
      </c>
      <c r="X63" s="51">
        <f>IF(NOTA[[#This Row],[JUMLAH]]="","",NOTA[[#This Row],[JUMLAH]]*NOTA[[#This Row],[DISC 1]])</f>
        <v>1211760</v>
      </c>
      <c r="Y63" s="51">
        <f>IF(NOTA[[#This Row],[JUMLAH]]="","",(NOTA[[#This Row],[JUMLAH]]-NOTA[[#This Row],[DISC 1-]])*NOTA[[#This Row],[DISC 2]])</f>
        <v>0</v>
      </c>
      <c r="Z63" s="51">
        <f>IF(NOTA[[#This Row],[JUMLAH]]="","",NOTA[[#This Row],[DISC 1-]]+NOTA[[#This Row],[DISC 2-]])</f>
        <v>1211760</v>
      </c>
      <c r="AA63" s="51">
        <f>IF(NOTA[[#This Row],[JUMLAH]]="","",NOTA[[#This Row],[JUMLAH]]-NOTA[[#This Row],[DISC]])</f>
        <v>5916240</v>
      </c>
      <c r="AB63" s="51"/>
      <c r="AC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51" t="str">
        <f>IF(OR(NOTA[[#This Row],[QTY]]="",NOTA[[#This Row],[HARGA SATUAN]]="",),"",NOTA[[#This Row],[QTY]]*NOTA[[#This Row],[HARGA SATUAN]])</f>
        <v/>
      </c>
      <c r="AG63" s="40">
        <f ca="1">IF(NOTA[ID_H]="","",INDEX(NOTA[TANGGAL],MATCH(,INDIRECT(ADDRESS(ROW(NOTA[TANGGAL]),COLUMN(NOTA[TANGGAL]))&amp;":"&amp;ADDRESS(ROW(),COLUMN(NOTA[TANGGAL]))),-1)))</f>
        <v>45112</v>
      </c>
      <c r="AH63" s="42" t="str">
        <f ca="1">IF(NOTA[[#This Row],[NAMA BARANG]]="","",INDEX(NOTA[SUPPLIER],MATCH(,INDIRECT(ADDRESS(ROW(NOTA[ID]),COLUMN(NOTA[ID]))&amp;":"&amp;ADDRESS(ROW(),COLUMN(NOTA[ID]))),-1)))</f>
        <v>KENKO SINAR INDONESIA</v>
      </c>
      <c r="AI63" s="42" t="str">
        <f ca="1">IF(NOTA[[#This Row],[ID_H]]="","",IF(NOTA[[#This Row],[FAKTUR]]="",INDIRECT(ADDRESS(ROW()-1,COLUMN())),NOTA[[#This Row],[FAKTUR]]))</f>
        <v>ARTO MORO</v>
      </c>
      <c r="AJ63" s="39" t="str">
        <f ca="1">IF(NOTA[[#This Row],[ID]]="","",COUNTIF(NOTA[ID_H],NOTA[[#This Row],[ID_H]]))</f>
        <v/>
      </c>
      <c r="AK63" s="39">
        <f ca="1">IF(NOTA[[#This Row],[TGL.NOTA]]="",IF(NOTA[[#This Row],[SUPPLIER_H]]="","",AK62),MONTH(NOTA[[#This Row],[TGL.NOTA]]))</f>
        <v>7</v>
      </c>
      <c r="AL6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9" t="str">
        <f>IF(NOTA[[#This Row],[CONCAT4]]="","",_xlfn.IFNA(MATCH(NOTA[[#This Row],[CONCAT4]],[2]!RAW[CONCAT_H],0),FALSE))</f>
        <v/>
      </c>
      <c r="AQ63" s="39">
        <f>IF(NOTA[[#This Row],[CONCAT1]]="","",MATCH(NOTA[[#This Row],[CONCAT1]],[3]!db[NB NOTA_C],0))</f>
        <v>1508</v>
      </c>
      <c r="AR63" s="39" t="str">
        <f>IF(NOTA[[#This Row],[QTY/ CTN]]="","",TRUE)</f>
        <v/>
      </c>
      <c r="AS63" s="39" t="str">
        <f ca="1">IF(NOTA[[#This Row],[ID_H]]="","",IF(NOTA[[#This Row],[Column3]]=TRUE,NOTA[[#This Row],[QTY/ CTN]],INDEX([3]!db[QTY/ CTN],NOTA[[#This Row],[//DB]])))</f>
        <v>36 BOX (30 PCS)</v>
      </c>
      <c r="AT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63" s="39" t="e">
        <f ca="1">IF(NOTA[[#This Row],[ID_H]]="","",MATCH(NOTA[[#This Row],[NB NOTA_C_QTY]],[4]!db[NB NOTA_C_QTY+F],0))</f>
        <v>#REF!</v>
      </c>
      <c r="AV63" s="55">
        <f ca="1">IF(NOTA[[#This Row],[NB NOTA_C_QTY]]="","",ROW()-2)</f>
        <v>61</v>
      </c>
    </row>
    <row r="64" spans="1:48" ht="20.100000000000001" customHeight="1" x14ac:dyDescent="0.25">
      <c r="A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17</v>
      </c>
      <c r="E64" s="47"/>
      <c r="H64" s="48"/>
      <c r="L64" s="38" t="s">
        <v>133</v>
      </c>
      <c r="M64" s="41">
        <v>2</v>
      </c>
      <c r="N64" s="39"/>
      <c r="Q64" s="43">
        <v>3542400</v>
      </c>
      <c r="R64" s="49"/>
      <c r="S64" s="50">
        <v>0.17</v>
      </c>
      <c r="U64" s="51"/>
      <c r="V64" s="46"/>
      <c r="W64" s="51">
        <f>IF(NOTA[[#This Row],[HARGA/ CTN]]="",NOTA[[#This Row],[JUMLAH_H]],NOTA[[#This Row],[HARGA/ CTN]]*IF(NOTA[[#This Row],[C]]="",0,NOTA[[#This Row],[C]]))</f>
        <v>7084800</v>
      </c>
      <c r="X64" s="51">
        <f>IF(NOTA[[#This Row],[JUMLAH]]="","",NOTA[[#This Row],[JUMLAH]]*NOTA[[#This Row],[DISC 1]])</f>
        <v>1204416</v>
      </c>
      <c r="Y64" s="51">
        <f>IF(NOTA[[#This Row],[JUMLAH]]="","",(NOTA[[#This Row],[JUMLAH]]-NOTA[[#This Row],[DISC 1-]])*NOTA[[#This Row],[DISC 2]])</f>
        <v>0</v>
      </c>
      <c r="Z64" s="51">
        <f>IF(NOTA[[#This Row],[JUMLAH]]="","",NOTA[[#This Row],[DISC 1-]]+NOTA[[#This Row],[DISC 2-]])</f>
        <v>1204416</v>
      </c>
      <c r="AA64" s="51">
        <f>IF(NOTA[[#This Row],[JUMLAH]]="","",NOTA[[#This Row],[JUMLAH]]-NOTA[[#This Row],[DISC]])</f>
        <v>5880384</v>
      </c>
      <c r="AB64" s="51"/>
      <c r="AC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51" t="str">
        <f>IF(OR(NOTA[[#This Row],[QTY]]="",NOTA[[#This Row],[HARGA SATUAN]]="",),"",NOTA[[#This Row],[QTY]]*NOTA[[#This Row],[HARGA SATUAN]])</f>
        <v/>
      </c>
      <c r="AG64" s="40">
        <f ca="1">IF(NOTA[ID_H]="","",INDEX(NOTA[TANGGAL],MATCH(,INDIRECT(ADDRESS(ROW(NOTA[TANGGAL]),COLUMN(NOTA[TANGGAL]))&amp;":"&amp;ADDRESS(ROW(),COLUMN(NOTA[TANGGAL]))),-1)))</f>
        <v>45112</v>
      </c>
      <c r="AH64" s="42" t="str">
        <f ca="1">IF(NOTA[[#This Row],[NAMA BARANG]]="","",INDEX(NOTA[SUPPLIER],MATCH(,INDIRECT(ADDRESS(ROW(NOTA[ID]),COLUMN(NOTA[ID]))&amp;":"&amp;ADDRESS(ROW(),COLUMN(NOTA[ID]))),-1)))</f>
        <v>KENKO SINAR INDONESIA</v>
      </c>
      <c r="AI64" s="42" t="str">
        <f ca="1">IF(NOTA[[#This Row],[ID_H]]="","",IF(NOTA[[#This Row],[FAKTUR]]="",INDIRECT(ADDRESS(ROW()-1,COLUMN())),NOTA[[#This Row],[FAKTUR]]))</f>
        <v>ARTO MORO</v>
      </c>
      <c r="AJ64" s="39" t="str">
        <f ca="1">IF(NOTA[[#This Row],[ID]]="","",COUNTIF(NOTA[ID_H],NOTA[[#This Row],[ID_H]]))</f>
        <v/>
      </c>
      <c r="AK64" s="39">
        <f ca="1">IF(NOTA[[#This Row],[TGL.NOTA]]="",IF(NOTA[[#This Row],[SUPPLIER_H]]="","",AK63),MONTH(NOTA[[#This Row],[TGL.NOTA]]))</f>
        <v>7</v>
      </c>
      <c r="AL64" s="39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9" t="str">
        <f>IF(NOTA[[#This Row],[CONCAT4]]="","",_xlfn.IFNA(MATCH(NOTA[[#This Row],[CONCAT4]],[2]!RAW[CONCAT_H],0),FALSE))</f>
        <v/>
      </c>
      <c r="AQ64" s="39">
        <f>IF(NOTA[[#This Row],[CONCAT1]]="","",MATCH(NOTA[[#This Row],[CONCAT1]],[3]!db[NB NOTA_C],0))</f>
        <v>667</v>
      </c>
      <c r="AR64" s="39" t="str">
        <f>IF(NOTA[[#This Row],[QTY/ CTN]]="","",TRUE)</f>
        <v/>
      </c>
      <c r="AS64" s="39" t="str">
        <f ca="1">IF(NOTA[[#This Row],[ID_H]]="","",IF(NOTA[[#This Row],[Column3]]=TRUE,NOTA[[#This Row],[QTY/ CTN]],INDEX([3]!db[QTY/ CTN],NOTA[[#This Row],[//DB]])))</f>
        <v>144 LSN</v>
      </c>
      <c r="AT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U64" s="39" t="e">
        <f ca="1">IF(NOTA[[#This Row],[ID_H]]="","",MATCH(NOTA[[#This Row],[NB NOTA_C_QTY]],[4]!db[NB NOTA_C_QTY+F],0))</f>
        <v>#REF!</v>
      </c>
      <c r="AV64" s="55">
        <f ca="1">IF(NOTA[[#This Row],[NB NOTA_C_QTY]]="","",ROW()-2)</f>
        <v>62</v>
      </c>
    </row>
    <row r="65" spans="1:48" ht="20.100000000000001" customHeight="1" x14ac:dyDescent="0.25">
      <c r="A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47"/>
      <c r="H65" s="48"/>
      <c r="N65" s="39"/>
      <c r="Q65" s="43"/>
      <c r="R65" s="49"/>
      <c r="S65" s="50"/>
      <c r="U65" s="51"/>
      <c r="V65" s="46"/>
      <c r="W65" s="51" t="str">
        <f>IF(NOTA[[#This Row],[HARGA/ CTN]]="",NOTA[[#This Row],[JUMLAH_H]],NOTA[[#This Row],[HARGA/ CTN]]*IF(NOTA[[#This Row],[C]]="",0,NOTA[[#This Row],[C]]))</f>
        <v/>
      </c>
      <c r="X65" s="51" t="str">
        <f>IF(NOTA[[#This Row],[JUMLAH]]="","",NOTA[[#This Row],[JUMLAH]]*NOTA[[#This Row],[DISC 1]])</f>
        <v/>
      </c>
      <c r="Y65" s="51" t="str">
        <f>IF(NOTA[[#This Row],[JUMLAH]]="","",(NOTA[[#This Row],[JUMLAH]]-NOTA[[#This Row],[DISC 1-]])*NOTA[[#This Row],[DISC 2]])</f>
        <v/>
      </c>
      <c r="Z65" s="51" t="str">
        <f>IF(NOTA[[#This Row],[JUMLAH]]="","",NOTA[[#This Row],[DISC 1-]]+NOTA[[#This Row],[DISC 2-]])</f>
        <v/>
      </c>
      <c r="AA65" s="51" t="str">
        <f>IF(NOTA[[#This Row],[JUMLAH]]="","",NOTA[[#This Row],[JUMLAH]]-NOTA[[#This Row],[DISC]])</f>
        <v/>
      </c>
      <c r="AB65" s="51"/>
      <c r="AC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1" t="str">
        <f>IF(OR(NOTA[[#This Row],[QTY]]="",NOTA[[#This Row],[HARGA SATUAN]]="",),"",NOTA[[#This Row],[QTY]]*NOTA[[#This Row],[HARGA SATUAN]])</f>
        <v/>
      </c>
      <c r="AG65" s="40" t="str">
        <f ca="1">IF(NOTA[ID_H]="","",INDEX(NOTA[TANGGAL],MATCH(,INDIRECT(ADDRESS(ROW(NOTA[TANGGAL]),COLUMN(NOTA[TANGGAL]))&amp;":"&amp;ADDRESS(ROW(),COLUMN(NOTA[TANGGAL]))),-1)))</f>
        <v/>
      </c>
      <c r="AH65" s="42" t="str">
        <f ca="1">IF(NOTA[[#This Row],[NAMA BARANG]]="","",INDEX(NOTA[SUPPLIER],MATCH(,INDIRECT(ADDRESS(ROW(NOTA[ID]),COLUMN(NOTA[ID]))&amp;":"&amp;ADDRESS(ROW(),COLUMN(NOTA[ID]))),-1)))</f>
        <v/>
      </c>
      <c r="AI65" s="42" t="str">
        <f ca="1">IF(NOTA[[#This Row],[ID_H]]="","",IF(NOTA[[#This Row],[FAKTUR]]="",INDIRECT(ADDRESS(ROW()-1,COLUMN())),NOTA[[#This Row],[FAKTUR]]))</f>
        <v/>
      </c>
      <c r="AJ65" s="39" t="str">
        <f ca="1">IF(NOTA[[#This Row],[ID]]="","",COUNTIF(NOTA[ID_H],NOTA[[#This Row],[ID_H]]))</f>
        <v/>
      </c>
      <c r="AK65" s="39" t="str">
        <f ca="1">IF(NOTA[[#This Row],[TGL.NOTA]]="",IF(NOTA[[#This Row],[SUPPLIER_H]]="","",AK64),MONTH(NOTA[[#This Row],[TGL.NOTA]]))</f>
        <v/>
      </c>
      <c r="AL65" s="39" t="str">
        <f>LOWER(SUBSTITUTE(SUBSTITUTE(SUBSTITUTE(SUBSTITUTE(SUBSTITUTE(SUBSTITUTE(SUBSTITUTE(SUBSTITUTE(SUBSTITUTE(NOTA[NAMA BARANG]," ",),".",""),"-",""),"(",""),")",""),",",""),"/",""),"""",""),"+",""))</f>
        <v/>
      </c>
      <c r="AM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9" t="str">
        <f>IF(NOTA[[#This Row],[CONCAT4]]="","",_xlfn.IFNA(MATCH(NOTA[[#This Row],[CONCAT4]],[2]!RAW[CONCAT_H],0),FALSE))</f>
        <v/>
      </c>
      <c r="AQ65" s="39" t="str">
        <f>IF(NOTA[[#This Row],[CONCAT1]]="","",MATCH(NOTA[[#This Row],[CONCAT1]],[3]!db[NB NOTA_C],0))</f>
        <v/>
      </c>
      <c r="AR65" s="39" t="str">
        <f>IF(NOTA[[#This Row],[QTY/ CTN]]="","",TRUE)</f>
        <v/>
      </c>
      <c r="AS65" s="39" t="str">
        <f ca="1">IF(NOTA[[#This Row],[ID_H]]="","",IF(NOTA[[#This Row],[Column3]]=TRUE,NOTA[[#This Row],[QTY/ CTN]],INDEX([3]!db[QTY/ CTN],NOTA[[#This Row],[//DB]])))</f>
        <v/>
      </c>
      <c r="AT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9" t="str">
        <f ca="1">IF(NOTA[[#This Row],[ID_H]]="","",MATCH(NOTA[[#This Row],[NB NOTA_C_QTY]],[4]!db[NB NOTA_C_QTY+F],0))</f>
        <v/>
      </c>
      <c r="AV65" s="55" t="str">
        <f ca="1">IF(NOTA[[#This Row],[NB NOTA_C_QTY]]="","",ROW()-2)</f>
        <v/>
      </c>
    </row>
    <row r="66" spans="1:48" ht="20.100000000000001" customHeight="1" x14ac:dyDescent="0.25">
      <c r="A66" s="42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18</v>
      </c>
      <c r="E66" s="47"/>
      <c r="F66" s="38" t="s">
        <v>22</v>
      </c>
      <c r="G66" s="38" t="s">
        <v>23</v>
      </c>
      <c r="H66" s="48" t="s">
        <v>134</v>
      </c>
      <c r="J66" s="40">
        <v>45108</v>
      </c>
      <c r="L66" s="38" t="s">
        <v>135</v>
      </c>
      <c r="M66" s="41">
        <v>1</v>
      </c>
      <c r="N66" s="39"/>
      <c r="Q66" s="43">
        <v>5220000</v>
      </c>
      <c r="R66" s="49"/>
      <c r="S66" s="50">
        <v>0.17</v>
      </c>
      <c r="U66" s="51"/>
      <c r="V66" s="46"/>
      <c r="W66" s="51">
        <f>IF(NOTA[[#This Row],[HARGA/ CTN]]="",NOTA[[#This Row],[JUMLAH_H]],NOTA[[#This Row],[HARGA/ CTN]]*IF(NOTA[[#This Row],[C]]="",0,NOTA[[#This Row],[C]]))</f>
        <v>5220000</v>
      </c>
      <c r="X66" s="51">
        <f>IF(NOTA[[#This Row],[JUMLAH]]="","",NOTA[[#This Row],[JUMLAH]]*NOTA[[#This Row],[DISC 1]])</f>
        <v>887400.00000000012</v>
      </c>
      <c r="Y66" s="51">
        <f>IF(NOTA[[#This Row],[JUMLAH]]="","",(NOTA[[#This Row],[JUMLAH]]-NOTA[[#This Row],[DISC 1-]])*NOTA[[#This Row],[DISC 2]])</f>
        <v>0</v>
      </c>
      <c r="Z66" s="51">
        <f>IF(NOTA[[#This Row],[JUMLAH]]="","",NOTA[[#This Row],[DISC 1-]]+NOTA[[#This Row],[DISC 2-]])</f>
        <v>887400.00000000012</v>
      </c>
      <c r="AA66" s="51">
        <f>IF(NOTA[[#This Row],[JUMLAH]]="","",NOTA[[#This Row],[JUMLAH]]-NOTA[[#This Row],[DISC]])</f>
        <v>4332600</v>
      </c>
      <c r="AB66" s="51"/>
      <c r="AC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51" t="str">
        <f>IF(OR(NOTA[[#This Row],[QTY]]="",NOTA[[#This Row],[HARGA SATUAN]]="",),"",NOTA[[#This Row],[QTY]]*NOTA[[#This Row],[HARGA SATUAN]])</f>
        <v/>
      </c>
      <c r="AG66" s="40">
        <f ca="1">IF(NOTA[ID_H]="","",INDEX(NOTA[TANGGAL],MATCH(,INDIRECT(ADDRESS(ROW(NOTA[TANGGAL]),COLUMN(NOTA[TANGGAL]))&amp;":"&amp;ADDRESS(ROW(),COLUMN(NOTA[TANGGAL]))),-1)))</f>
        <v>45112</v>
      </c>
      <c r="AH66" s="42" t="str">
        <f ca="1">IF(NOTA[[#This Row],[NAMA BARANG]]="","",INDEX(NOTA[SUPPLIER],MATCH(,INDIRECT(ADDRESS(ROW(NOTA[ID]),COLUMN(NOTA[ID]))&amp;":"&amp;ADDRESS(ROW(),COLUMN(NOTA[ID]))),-1)))</f>
        <v>KENKO SINAR INDONESIA</v>
      </c>
      <c r="AI66" s="42" t="str">
        <f ca="1">IF(NOTA[[#This Row],[ID_H]]="","",IF(NOTA[[#This Row],[FAKTUR]]="",INDIRECT(ADDRESS(ROW()-1,COLUMN())),NOTA[[#This Row],[FAKTUR]]))</f>
        <v>ARTO MORO</v>
      </c>
      <c r="AJ66" s="39">
        <f ca="1">IF(NOTA[[#This Row],[ID]]="","",COUNTIF(NOTA[ID_H],NOTA[[#This Row],[ID_H]]))</f>
        <v>6</v>
      </c>
      <c r="AK66" s="39">
        <f>IF(NOTA[[#This Row],[TGL.NOTA]]="",IF(NOTA[[#This Row],[SUPPLIER_H]]="","",AK65),MONTH(NOTA[[#This Row],[TGL.NOTA]]))</f>
        <v>7</v>
      </c>
      <c r="AL66" s="39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39" t="e">
        <f>IF(NOTA[[#This Row],[CONCAT4]]="","",_xlfn.IFNA(MATCH(NOTA[[#This Row],[CONCAT4]],[2]!RAW[CONCAT_H],0),FALSE))</f>
        <v>#REF!</v>
      </c>
      <c r="AQ66" s="39">
        <f>IF(NOTA[[#This Row],[CONCAT1]]="","",MATCH(NOTA[[#This Row],[CONCAT1]],[3]!db[NB NOTA_C],0))</f>
        <v>1085</v>
      </c>
      <c r="AR66" s="39" t="str">
        <f>IF(NOTA[[#This Row],[QTY/ CTN]]="","",TRUE)</f>
        <v/>
      </c>
      <c r="AS66" s="39" t="str">
        <f ca="1">IF(NOTA[[#This Row],[ID_H]]="","",IF(NOTA[[#This Row],[Column3]]=TRUE,NOTA[[#This Row],[QTY/ CTN]],INDEX([3]!db[QTY/ CTN],NOTA[[#This Row],[//DB]])))</f>
        <v>10 LSN</v>
      </c>
      <c r="AT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U66" s="39" t="e">
        <f ca="1">IF(NOTA[[#This Row],[ID_H]]="","",MATCH(NOTA[[#This Row],[NB NOTA_C_QTY]],[4]!db[NB NOTA_C_QTY+F],0))</f>
        <v>#REF!</v>
      </c>
      <c r="AV66" s="55">
        <f ca="1">IF(NOTA[[#This Row],[NB NOTA_C_QTY]]="","",ROW()-2)</f>
        <v>64</v>
      </c>
    </row>
    <row r="67" spans="1:48" ht="20.100000000000001" customHeight="1" x14ac:dyDescent="0.25">
      <c r="A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18</v>
      </c>
      <c r="E67" s="47"/>
      <c r="H67" s="48"/>
      <c r="L67" s="38" t="s">
        <v>136</v>
      </c>
      <c r="M67" s="41">
        <v>1</v>
      </c>
      <c r="N67" s="39"/>
      <c r="Q67" s="43">
        <v>1632000</v>
      </c>
      <c r="R67" s="49"/>
      <c r="S67" s="50">
        <v>0.17</v>
      </c>
      <c r="U67" s="51"/>
      <c r="V67" s="46"/>
      <c r="W67" s="51">
        <f>IF(NOTA[[#This Row],[HARGA/ CTN]]="",NOTA[[#This Row],[JUMLAH_H]],NOTA[[#This Row],[HARGA/ CTN]]*IF(NOTA[[#This Row],[C]]="",0,NOTA[[#This Row],[C]]))</f>
        <v>1632000</v>
      </c>
      <c r="X67" s="51">
        <f>IF(NOTA[[#This Row],[JUMLAH]]="","",NOTA[[#This Row],[JUMLAH]]*NOTA[[#This Row],[DISC 1]])</f>
        <v>277440</v>
      </c>
      <c r="Y67" s="51">
        <f>IF(NOTA[[#This Row],[JUMLAH]]="","",(NOTA[[#This Row],[JUMLAH]]-NOTA[[#This Row],[DISC 1-]])*NOTA[[#This Row],[DISC 2]])</f>
        <v>0</v>
      </c>
      <c r="Z67" s="51">
        <f>IF(NOTA[[#This Row],[JUMLAH]]="","",NOTA[[#This Row],[DISC 1-]]+NOTA[[#This Row],[DISC 2-]])</f>
        <v>277440</v>
      </c>
      <c r="AA67" s="51">
        <f>IF(NOTA[[#This Row],[JUMLAH]]="","",NOTA[[#This Row],[JUMLAH]]-NOTA[[#This Row],[DISC]])</f>
        <v>1354560</v>
      </c>
      <c r="AB67" s="51"/>
      <c r="AC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51" t="str">
        <f>IF(OR(NOTA[[#This Row],[QTY]]="",NOTA[[#This Row],[HARGA SATUAN]]="",),"",NOTA[[#This Row],[QTY]]*NOTA[[#This Row],[HARGA SATUAN]])</f>
        <v/>
      </c>
      <c r="AG67" s="40">
        <f ca="1">IF(NOTA[ID_H]="","",INDEX(NOTA[TANGGAL],MATCH(,INDIRECT(ADDRESS(ROW(NOTA[TANGGAL]),COLUMN(NOTA[TANGGAL]))&amp;":"&amp;ADDRESS(ROW(),COLUMN(NOTA[TANGGAL]))),-1)))</f>
        <v>45112</v>
      </c>
      <c r="AH67" s="42" t="str">
        <f ca="1">IF(NOTA[[#This Row],[NAMA BARANG]]="","",INDEX(NOTA[SUPPLIER],MATCH(,INDIRECT(ADDRESS(ROW(NOTA[ID]),COLUMN(NOTA[ID]))&amp;":"&amp;ADDRESS(ROW(),COLUMN(NOTA[ID]))),-1)))</f>
        <v>KENKO SINAR INDONESIA</v>
      </c>
      <c r="AI67" s="42" t="str">
        <f ca="1">IF(NOTA[[#This Row],[ID_H]]="","",IF(NOTA[[#This Row],[FAKTUR]]="",INDIRECT(ADDRESS(ROW()-1,COLUMN())),NOTA[[#This Row],[FAKTUR]]))</f>
        <v>ARTO MORO</v>
      </c>
      <c r="AJ67" s="39" t="str">
        <f ca="1">IF(NOTA[[#This Row],[ID]]="","",COUNTIF(NOTA[ID_H],NOTA[[#This Row],[ID_H]]))</f>
        <v/>
      </c>
      <c r="AK67" s="39">
        <f ca="1">IF(NOTA[[#This Row],[TGL.NOTA]]="",IF(NOTA[[#This Row],[SUPPLIER_H]]="","",AK66),MONTH(NOTA[[#This Row],[TGL.NOTA]]))</f>
        <v>7</v>
      </c>
      <c r="AL67" s="39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9" t="str">
        <f>IF(NOTA[[#This Row],[CONCAT4]]="","",_xlfn.IFNA(MATCH(NOTA[[#This Row],[CONCAT4]],[2]!RAW[CONCAT_H],0),FALSE))</f>
        <v/>
      </c>
      <c r="AQ67" s="39">
        <f>IF(NOTA[[#This Row],[CONCAT1]]="","",MATCH(NOTA[[#This Row],[CONCAT1]],[3]!db[NB NOTA_C],0))</f>
        <v>1095</v>
      </c>
      <c r="AR67" s="39" t="str">
        <f>IF(NOTA[[#This Row],[QTY/ CTN]]="","",TRUE)</f>
        <v/>
      </c>
      <c r="AS67" s="39" t="str">
        <f ca="1">IF(NOTA[[#This Row],[ID_H]]="","",IF(NOTA[[#This Row],[Column3]]=TRUE,NOTA[[#This Row],[QTY/ CTN]],INDEX([3]!db[QTY/ CTN],NOTA[[#This Row],[//DB]])))</f>
        <v>10 LSN</v>
      </c>
      <c r="AT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kenkostainlesssteelruler40cm10lsnartomoro</v>
      </c>
      <c r="AU67" s="39" t="e">
        <f ca="1">IF(NOTA[[#This Row],[ID_H]]="","",MATCH(NOTA[[#This Row],[NB NOTA_C_QTY]],[4]!db[NB NOTA_C_QTY+F],0))</f>
        <v>#REF!</v>
      </c>
      <c r="AV67" s="55">
        <f ca="1">IF(NOTA[[#This Row],[NB NOTA_C_QTY]]="","",ROW()-2)</f>
        <v>65</v>
      </c>
    </row>
    <row r="68" spans="1:48" ht="20.100000000000001" customHeight="1" x14ac:dyDescent="0.25">
      <c r="A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18</v>
      </c>
      <c r="E68" s="47"/>
      <c r="H68" s="48"/>
      <c r="L68" s="38" t="s">
        <v>137</v>
      </c>
      <c r="M68" s="41">
        <v>1</v>
      </c>
      <c r="N68" s="39"/>
      <c r="Q68" s="43">
        <v>1410000</v>
      </c>
      <c r="R68" s="49"/>
      <c r="S68" s="50">
        <v>0.17</v>
      </c>
      <c r="U68" s="51"/>
      <c r="V68" s="46"/>
      <c r="W68" s="51">
        <f>IF(NOTA[[#This Row],[HARGA/ CTN]]="",NOTA[[#This Row],[JUMLAH_H]],NOTA[[#This Row],[HARGA/ CTN]]*IF(NOTA[[#This Row],[C]]="",0,NOTA[[#This Row],[C]]))</f>
        <v>1410000</v>
      </c>
      <c r="X68" s="51">
        <f>IF(NOTA[[#This Row],[JUMLAH]]="","",NOTA[[#This Row],[JUMLAH]]*NOTA[[#This Row],[DISC 1]])</f>
        <v>239700.00000000003</v>
      </c>
      <c r="Y68" s="51">
        <f>IF(NOTA[[#This Row],[JUMLAH]]="","",(NOTA[[#This Row],[JUMLAH]]-NOTA[[#This Row],[DISC 1-]])*NOTA[[#This Row],[DISC 2]])</f>
        <v>0</v>
      </c>
      <c r="Z68" s="51">
        <f>IF(NOTA[[#This Row],[JUMLAH]]="","",NOTA[[#This Row],[DISC 1-]]+NOTA[[#This Row],[DISC 2-]])</f>
        <v>239700.00000000003</v>
      </c>
      <c r="AA68" s="51">
        <f>IF(NOTA[[#This Row],[JUMLAH]]="","",NOTA[[#This Row],[JUMLAH]]-NOTA[[#This Row],[DISC]])</f>
        <v>1170300</v>
      </c>
      <c r="AB68" s="51"/>
      <c r="AC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51" t="str">
        <f>IF(OR(NOTA[[#This Row],[QTY]]="",NOTA[[#This Row],[HARGA SATUAN]]="",),"",NOTA[[#This Row],[QTY]]*NOTA[[#This Row],[HARGA SATUAN]])</f>
        <v/>
      </c>
      <c r="AG68" s="40">
        <f ca="1">IF(NOTA[ID_H]="","",INDEX(NOTA[TANGGAL],MATCH(,INDIRECT(ADDRESS(ROW(NOTA[TANGGAL]),COLUMN(NOTA[TANGGAL]))&amp;":"&amp;ADDRESS(ROW(),COLUMN(NOTA[TANGGAL]))),-1)))</f>
        <v>45112</v>
      </c>
      <c r="AH68" s="42" t="str">
        <f ca="1">IF(NOTA[[#This Row],[NAMA BARANG]]="","",INDEX(NOTA[SUPPLIER],MATCH(,INDIRECT(ADDRESS(ROW(NOTA[ID]),COLUMN(NOTA[ID]))&amp;":"&amp;ADDRESS(ROW(),COLUMN(NOTA[ID]))),-1)))</f>
        <v>KENKO SINAR INDONESIA</v>
      </c>
      <c r="AI68" s="42" t="str">
        <f ca="1">IF(NOTA[[#This Row],[ID_H]]="","",IF(NOTA[[#This Row],[FAKTUR]]="",INDIRECT(ADDRESS(ROW()-1,COLUMN())),NOTA[[#This Row],[FAKTUR]]))</f>
        <v>ARTO MORO</v>
      </c>
      <c r="AJ68" s="39" t="str">
        <f ca="1">IF(NOTA[[#This Row],[ID]]="","",COUNTIF(NOTA[ID_H],NOTA[[#This Row],[ID_H]]))</f>
        <v/>
      </c>
      <c r="AK68" s="39">
        <f ca="1">IF(NOTA[[#This Row],[TGL.NOTA]]="",IF(NOTA[[#This Row],[SUPPLIER_H]]="","",AK67),MONTH(NOTA[[#This Row],[TGL.NOTA]]))</f>
        <v>7</v>
      </c>
      <c r="AL68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9" t="str">
        <f>IF(NOTA[[#This Row],[CONCAT4]]="","",_xlfn.IFNA(MATCH(NOTA[[#This Row],[CONCAT4]],[2]!RAW[CONCAT_H],0),FALSE))</f>
        <v/>
      </c>
      <c r="AQ68" s="39">
        <f>IF(NOTA[[#This Row],[CONCAT1]]="","",MATCH(NOTA[[#This Row],[CONCAT1]],[3]!db[NB NOTA_C],0))</f>
        <v>1263</v>
      </c>
      <c r="AR68" s="39" t="str">
        <f>IF(NOTA[[#This Row],[QTY/ CTN]]="","",TRUE)</f>
        <v/>
      </c>
      <c r="AS68" s="39" t="str">
        <f ca="1">IF(NOTA[[#This Row],[ID_H]]="","",IF(NOTA[[#This Row],[Column3]]=TRUE,NOTA[[#This Row],[QTY/ CTN]],INDEX([3]!db[QTY/ CTN],NOTA[[#This Row],[//DB]])))</f>
        <v>25 LSN</v>
      </c>
      <c r="AT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68" s="39" t="e">
        <f ca="1">IF(NOTA[[#This Row],[ID_H]]="","",MATCH(NOTA[[#This Row],[NB NOTA_C_QTY]],[4]!db[NB NOTA_C_QTY+F],0))</f>
        <v>#REF!</v>
      </c>
      <c r="AV68" s="55">
        <f ca="1">IF(NOTA[[#This Row],[NB NOTA_C_QTY]]="","",ROW()-2)</f>
        <v>66</v>
      </c>
    </row>
    <row r="69" spans="1:48" ht="20.100000000000001" customHeight="1" x14ac:dyDescent="0.25">
      <c r="A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18</v>
      </c>
      <c r="E69" s="47"/>
      <c r="H69" s="48"/>
      <c r="L69" s="38" t="s">
        <v>101</v>
      </c>
      <c r="M69" s="41">
        <v>6</v>
      </c>
      <c r="N69" s="39"/>
      <c r="Q69" s="43">
        <v>3888000</v>
      </c>
      <c r="R69" s="49"/>
      <c r="S69" s="50">
        <v>0.17</v>
      </c>
      <c r="U69" s="51"/>
      <c r="V69" s="46"/>
      <c r="W69" s="51">
        <f>IF(NOTA[[#This Row],[HARGA/ CTN]]="",NOTA[[#This Row],[JUMLAH_H]],NOTA[[#This Row],[HARGA/ CTN]]*IF(NOTA[[#This Row],[C]]="",0,NOTA[[#This Row],[C]]))</f>
        <v>23328000</v>
      </c>
      <c r="X69" s="51">
        <f>IF(NOTA[[#This Row],[JUMLAH]]="","",NOTA[[#This Row],[JUMLAH]]*NOTA[[#This Row],[DISC 1]])</f>
        <v>3965760.0000000005</v>
      </c>
      <c r="Y69" s="51">
        <f>IF(NOTA[[#This Row],[JUMLAH]]="","",(NOTA[[#This Row],[JUMLAH]]-NOTA[[#This Row],[DISC 1-]])*NOTA[[#This Row],[DISC 2]])</f>
        <v>0</v>
      </c>
      <c r="Z69" s="51">
        <f>IF(NOTA[[#This Row],[JUMLAH]]="","",NOTA[[#This Row],[DISC 1-]]+NOTA[[#This Row],[DISC 2-]])</f>
        <v>3965760.0000000005</v>
      </c>
      <c r="AA69" s="51">
        <f>IF(NOTA[[#This Row],[JUMLAH]]="","",NOTA[[#This Row],[JUMLAH]]-NOTA[[#This Row],[DISC]])</f>
        <v>19362240</v>
      </c>
      <c r="AB69" s="51"/>
      <c r="AC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51" t="str">
        <f>IF(OR(NOTA[[#This Row],[QTY]]="",NOTA[[#This Row],[HARGA SATUAN]]="",),"",NOTA[[#This Row],[QTY]]*NOTA[[#This Row],[HARGA SATUAN]])</f>
        <v/>
      </c>
      <c r="AG69" s="40">
        <f ca="1">IF(NOTA[ID_H]="","",INDEX(NOTA[TANGGAL],MATCH(,INDIRECT(ADDRESS(ROW(NOTA[TANGGAL]),COLUMN(NOTA[TANGGAL]))&amp;":"&amp;ADDRESS(ROW(),COLUMN(NOTA[TANGGAL]))),-1)))</f>
        <v>45112</v>
      </c>
      <c r="AH69" s="42" t="str">
        <f ca="1">IF(NOTA[[#This Row],[NAMA BARANG]]="","",INDEX(NOTA[SUPPLIER],MATCH(,INDIRECT(ADDRESS(ROW(NOTA[ID]),COLUMN(NOTA[ID]))&amp;":"&amp;ADDRESS(ROW(),COLUMN(NOTA[ID]))),-1)))</f>
        <v>KENKO SINAR INDONESIA</v>
      </c>
      <c r="AI69" s="42" t="str">
        <f ca="1">IF(NOTA[[#This Row],[ID_H]]="","",IF(NOTA[[#This Row],[FAKTUR]]="",INDIRECT(ADDRESS(ROW()-1,COLUMN())),NOTA[[#This Row],[FAKTUR]]))</f>
        <v>ARTO MORO</v>
      </c>
      <c r="AJ69" s="39" t="str">
        <f ca="1">IF(NOTA[[#This Row],[ID]]="","",COUNTIF(NOTA[ID_H],NOTA[[#This Row],[ID_H]]))</f>
        <v/>
      </c>
      <c r="AK69" s="39">
        <f ca="1">IF(NOTA[[#This Row],[TGL.NOTA]]="",IF(NOTA[[#This Row],[SUPPLIER_H]]="","",AK68),MONTH(NOTA[[#This Row],[TGL.NOTA]]))</f>
        <v>7</v>
      </c>
      <c r="AL69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9" t="str">
        <f>IF(NOTA[[#This Row],[CONCAT4]]="","",_xlfn.IFNA(MATCH(NOTA[[#This Row],[CONCAT4]],[2]!RAW[CONCAT_H],0),FALSE))</f>
        <v/>
      </c>
      <c r="AQ69" s="39">
        <f>IF(NOTA[[#This Row],[CONCAT1]]="","",MATCH(NOTA[[#This Row],[CONCAT1]],[3]!db[NB NOTA_C],0))</f>
        <v>1303</v>
      </c>
      <c r="AR69" s="39" t="str">
        <f>IF(NOTA[[#This Row],[QTY/ CTN]]="","",TRUE)</f>
        <v/>
      </c>
      <c r="AS69" s="39" t="str">
        <f ca="1">IF(NOTA[[#This Row],[ID_H]]="","",IF(NOTA[[#This Row],[Column3]]=TRUE,NOTA[[#This Row],[QTY/ CTN]],INDEX([3]!db[QTY/ CTN],NOTA[[#This Row],[//DB]])))</f>
        <v>60 LSN</v>
      </c>
      <c r="AT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69" s="39" t="e">
        <f ca="1">IF(NOTA[[#This Row],[ID_H]]="","",MATCH(NOTA[[#This Row],[NB NOTA_C_QTY]],[4]!db[NB NOTA_C_QTY+F],0))</f>
        <v>#REF!</v>
      </c>
      <c r="AV69" s="55">
        <f ca="1">IF(NOTA[[#This Row],[NB NOTA_C_QTY]]="","",ROW()-2)</f>
        <v>67</v>
      </c>
    </row>
    <row r="70" spans="1:48" ht="20.100000000000001" customHeight="1" x14ac:dyDescent="0.25">
      <c r="A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18</v>
      </c>
      <c r="E70" s="47"/>
      <c r="H70" s="48"/>
      <c r="L70" s="38" t="s">
        <v>138</v>
      </c>
      <c r="M70" s="41">
        <v>1</v>
      </c>
      <c r="N70" s="39"/>
      <c r="Q70" s="43">
        <v>741600</v>
      </c>
      <c r="R70" s="49"/>
      <c r="S70" s="50">
        <v>0.17</v>
      </c>
      <c r="U70" s="51"/>
      <c r="V70" s="46"/>
      <c r="W70" s="51">
        <f>IF(NOTA[[#This Row],[HARGA/ CTN]]="",NOTA[[#This Row],[JUMLAH_H]],NOTA[[#This Row],[HARGA/ CTN]]*IF(NOTA[[#This Row],[C]]="",0,NOTA[[#This Row],[C]]))</f>
        <v>741600</v>
      </c>
      <c r="X70" s="51">
        <f>IF(NOTA[[#This Row],[JUMLAH]]="","",NOTA[[#This Row],[JUMLAH]]*NOTA[[#This Row],[DISC 1]])</f>
        <v>126072.00000000001</v>
      </c>
      <c r="Y70" s="51">
        <f>IF(NOTA[[#This Row],[JUMLAH]]="","",(NOTA[[#This Row],[JUMLAH]]-NOTA[[#This Row],[DISC 1-]])*NOTA[[#This Row],[DISC 2]])</f>
        <v>0</v>
      </c>
      <c r="Z70" s="51">
        <f>IF(NOTA[[#This Row],[JUMLAH]]="","",NOTA[[#This Row],[DISC 1-]]+NOTA[[#This Row],[DISC 2-]])</f>
        <v>126072.00000000001</v>
      </c>
      <c r="AA70" s="51">
        <f>IF(NOTA[[#This Row],[JUMLAH]]="","",NOTA[[#This Row],[JUMLAH]]-NOTA[[#This Row],[DISC]])</f>
        <v>615528</v>
      </c>
      <c r="AB70" s="51"/>
      <c r="AC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51" t="str">
        <f>IF(OR(NOTA[[#This Row],[QTY]]="",NOTA[[#This Row],[HARGA SATUAN]]="",),"",NOTA[[#This Row],[QTY]]*NOTA[[#This Row],[HARGA SATUAN]])</f>
        <v/>
      </c>
      <c r="AG70" s="40">
        <f ca="1">IF(NOTA[ID_H]="","",INDEX(NOTA[TANGGAL],MATCH(,INDIRECT(ADDRESS(ROW(NOTA[TANGGAL]),COLUMN(NOTA[TANGGAL]))&amp;":"&amp;ADDRESS(ROW(),COLUMN(NOTA[TANGGAL]))),-1)))</f>
        <v>45112</v>
      </c>
      <c r="AH70" s="42" t="str">
        <f ca="1">IF(NOTA[[#This Row],[NAMA BARANG]]="","",INDEX(NOTA[SUPPLIER],MATCH(,INDIRECT(ADDRESS(ROW(NOTA[ID]),COLUMN(NOTA[ID]))&amp;":"&amp;ADDRESS(ROW(),COLUMN(NOTA[ID]))),-1)))</f>
        <v>KENKO SINAR INDONESIA</v>
      </c>
      <c r="AI70" s="42" t="str">
        <f ca="1">IF(NOTA[[#This Row],[ID_H]]="","",IF(NOTA[[#This Row],[FAKTUR]]="",INDIRECT(ADDRESS(ROW()-1,COLUMN())),NOTA[[#This Row],[FAKTUR]]))</f>
        <v>ARTO MORO</v>
      </c>
      <c r="AJ70" s="39" t="str">
        <f ca="1">IF(NOTA[[#This Row],[ID]]="","",COUNTIF(NOTA[ID_H],NOTA[[#This Row],[ID_H]]))</f>
        <v/>
      </c>
      <c r="AK70" s="39">
        <f ca="1">IF(NOTA[[#This Row],[TGL.NOTA]]="",IF(NOTA[[#This Row],[SUPPLIER_H]]="","",AK69),MONTH(NOTA[[#This Row],[TGL.NOTA]]))</f>
        <v>7</v>
      </c>
      <c r="AL70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9" t="str">
        <f>IF(NOTA[[#This Row],[CONCAT4]]="","",_xlfn.IFNA(MATCH(NOTA[[#This Row],[CONCAT4]],[2]!RAW[CONCAT_H],0),FALSE))</f>
        <v/>
      </c>
      <c r="AQ70" s="39">
        <f>IF(NOTA[[#This Row],[CONCAT1]]="","",MATCH(NOTA[[#This Row],[CONCAT1]],[3]!db[NB NOTA_C],0))</f>
        <v>2286</v>
      </c>
      <c r="AR70" s="39" t="str">
        <f>IF(NOTA[[#This Row],[QTY/ CTN]]="","",TRUE)</f>
        <v/>
      </c>
      <c r="AS70" s="39" t="str">
        <f ca="1">IF(NOTA[[#This Row],[ID_H]]="","",IF(NOTA[[#This Row],[Column3]]=TRUE,NOTA[[#This Row],[QTY/ CTN]],INDEX([3]!db[QTY/ CTN],NOTA[[#This Row],[//DB]])))</f>
        <v>12 LSN</v>
      </c>
      <c r="AT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0" s="39" t="e">
        <f ca="1">IF(NOTA[[#This Row],[ID_H]]="","",MATCH(NOTA[[#This Row],[NB NOTA_C_QTY]],[4]!db[NB NOTA_C_QTY+F],0))</f>
        <v>#REF!</v>
      </c>
      <c r="AV70" s="55">
        <f ca="1">IF(NOTA[[#This Row],[NB NOTA_C_QTY]]="","",ROW()-2)</f>
        <v>68</v>
      </c>
    </row>
    <row r="71" spans="1:48" ht="20.100000000000001" customHeight="1" x14ac:dyDescent="0.25">
      <c r="A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18</v>
      </c>
      <c r="E71" s="47"/>
      <c r="H71" s="48"/>
      <c r="L71" s="38" t="s">
        <v>89</v>
      </c>
      <c r="M71" s="41">
        <v>15</v>
      </c>
      <c r="N71" s="39"/>
      <c r="Q71" s="43">
        <v>1954800</v>
      </c>
      <c r="R71" s="49"/>
      <c r="S71" s="50">
        <v>0.17</v>
      </c>
      <c r="U71" s="51"/>
      <c r="V71" s="46"/>
      <c r="W71" s="51">
        <f>IF(NOTA[[#This Row],[HARGA/ CTN]]="",NOTA[[#This Row],[JUMLAH_H]],NOTA[[#This Row],[HARGA/ CTN]]*IF(NOTA[[#This Row],[C]]="",0,NOTA[[#This Row],[C]]))</f>
        <v>29322000</v>
      </c>
      <c r="X71" s="51">
        <f>IF(NOTA[[#This Row],[JUMLAH]]="","",NOTA[[#This Row],[JUMLAH]]*NOTA[[#This Row],[DISC 1]])</f>
        <v>4984740</v>
      </c>
      <c r="Y71" s="51">
        <f>IF(NOTA[[#This Row],[JUMLAH]]="","",(NOTA[[#This Row],[JUMLAH]]-NOTA[[#This Row],[DISC 1-]])*NOTA[[#This Row],[DISC 2]])</f>
        <v>0</v>
      </c>
      <c r="Z71" s="51">
        <f>IF(NOTA[[#This Row],[JUMLAH]]="","",NOTA[[#This Row],[DISC 1-]]+NOTA[[#This Row],[DISC 2-]])</f>
        <v>4984740</v>
      </c>
      <c r="AA71" s="51">
        <f>IF(NOTA[[#This Row],[JUMLAH]]="","",NOTA[[#This Row],[JUMLAH]]-NOTA[[#This Row],[DISC]])</f>
        <v>24337260</v>
      </c>
      <c r="AB71" s="51"/>
      <c r="AC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51" t="str">
        <f>IF(OR(NOTA[[#This Row],[QTY]]="",NOTA[[#This Row],[HARGA SATUAN]]="",),"",NOTA[[#This Row],[QTY]]*NOTA[[#This Row],[HARGA SATUAN]])</f>
        <v/>
      </c>
      <c r="AG71" s="40">
        <f ca="1">IF(NOTA[ID_H]="","",INDEX(NOTA[TANGGAL],MATCH(,INDIRECT(ADDRESS(ROW(NOTA[TANGGAL]),COLUMN(NOTA[TANGGAL]))&amp;":"&amp;ADDRESS(ROW(),COLUMN(NOTA[TANGGAL]))),-1)))</f>
        <v>45112</v>
      </c>
      <c r="AH71" s="42" t="str">
        <f ca="1">IF(NOTA[[#This Row],[NAMA BARANG]]="","",INDEX(NOTA[SUPPLIER],MATCH(,INDIRECT(ADDRESS(ROW(NOTA[ID]),COLUMN(NOTA[ID]))&amp;":"&amp;ADDRESS(ROW(),COLUMN(NOTA[ID]))),-1)))</f>
        <v>KENKO SINAR INDONESIA</v>
      </c>
      <c r="AI71" s="42" t="str">
        <f ca="1">IF(NOTA[[#This Row],[ID_H]]="","",IF(NOTA[[#This Row],[FAKTUR]]="",INDIRECT(ADDRESS(ROW()-1,COLUMN())),NOTA[[#This Row],[FAKTUR]]))</f>
        <v>ARTO MORO</v>
      </c>
      <c r="AJ71" s="39" t="str">
        <f ca="1">IF(NOTA[[#This Row],[ID]]="","",COUNTIF(NOTA[ID_H],NOTA[[#This Row],[ID_H]]))</f>
        <v/>
      </c>
      <c r="AK71" s="39">
        <f ca="1">IF(NOTA[[#This Row],[TGL.NOTA]]="",IF(NOTA[[#This Row],[SUPPLIER_H]]="","",AK70),MONTH(NOTA[[#This Row],[TGL.NOTA]]))</f>
        <v>7</v>
      </c>
      <c r="AL71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9" t="str">
        <f>IF(NOTA[[#This Row],[CONCAT4]]="","",_xlfn.IFNA(MATCH(NOTA[[#This Row],[CONCAT4]],[2]!RAW[CONCAT_H],0),FALSE))</f>
        <v/>
      </c>
      <c r="AQ71" s="39">
        <f>IF(NOTA[[#This Row],[CONCAT1]]="","",MATCH(NOTA[[#This Row],[CONCAT1]],[3]!db[NB NOTA_C],0))</f>
        <v>2678</v>
      </c>
      <c r="AR71" s="39" t="str">
        <f>IF(NOTA[[#This Row],[QTY/ CTN]]="","",TRUE)</f>
        <v/>
      </c>
      <c r="AS71" s="39" t="str">
        <f ca="1">IF(NOTA[[#This Row],[ID_H]]="","",IF(NOTA[[#This Row],[Column3]]=TRUE,NOTA[[#This Row],[QTY/ CTN]],INDEX([3]!db[QTY/ CTN],NOTA[[#This Row],[//DB]])))</f>
        <v>36 LSN</v>
      </c>
      <c r="AT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1" s="39" t="e">
        <f ca="1">IF(NOTA[[#This Row],[ID_H]]="","",MATCH(NOTA[[#This Row],[NB NOTA_C_QTY]],[4]!db[NB NOTA_C_QTY+F],0))</f>
        <v>#REF!</v>
      </c>
      <c r="AV71" s="55">
        <f ca="1">IF(NOTA[[#This Row],[NB NOTA_C_QTY]]="","",ROW()-2)</f>
        <v>69</v>
      </c>
    </row>
    <row r="72" spans="1:48" ht="20.100000000000001" customHeight="1" x14ac:dyDescent="0.25">
      <c r="A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 t="str">
        <f ca="1">IF(NOTA[[#This Row],[NAMA BARANG]]="","",INDEX(NOTA[ID],MATCH(,INDIRECT(ADDRESS(ROW(NOTA[ID]),COLUMN(NOTA[ID]))&amp;":"&amp;ADDRESS(ROW(),COLUMN(NOTA[ID]))),-1)))</f>
        <v/>
      </c>
      <c r="E72" s="47"/>
      <c r="H72" s="48"/>
      <c r="N72" s="39"/>
      <c r="Q72" s="43"/>
      <c r="R72" s="49"/>
      <c r="S72" s="50"/>
      <c r="U72" s="51"/>
      <c r="V72" s="46"/>
      <c r="W72" s="51" t="str">
        <f>IF(NOTA[[#This Row],[HARGA/ CTN]]="",NOTA[[#This Row],[JUMLAH_H]],NOTA[[#This Row],[HARGA/ CTN]]*IF(NOTA[[#This Row],[C]]="",0,NOTA[[#This Row],[C]]))</f>
        <v/>
      </c>
      <c r="X72" s="51" t="str">
        <f>IF(NOTA[[#This Row],[JUMLAH]]="","",NOTA[[#This Row],[JUMLAH]]*NOTA[[#This Row],[DISC 1]])</f>
        <v/>
      </c>
      <c r="Y72" s="51" t="str">
        <f>IF(NOTA[[#This Row],[JUMLAH]]="","",(NOTA[[#This Row],[JUMLAH]]-NOTA[[#This Row],[DISC 1-]])*NOTA[[#This Row],[DISC 2]])</f>
        <v/>
      </c>
      <c r="Z72" s="51" t="str">
        <f>IF(NOTA[[#This Row],[JUMLAH]]="","",NOTA[[#This Row],[DISC 1-]]+NOTA[[#This Row],[DISC 2-]])</f>
        <v/>
      </c>
      <c r="AA72" s="51" t="str">
        <f>IF(NOTA[[#This Row],[JUMLAH]]="","",NOTA[[#This Row],[JUMLAH]]-NOTA[[#This Row],[DISC]])</f>
        <v/>
      </c>
      <c r="AB72" s="51"/>
      <c r="AC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1" t="str">
        <f>IF(OR(NOTA[[#This Row],[QTY]]="",NOTA[[#This Row],[HARGA SATUAN]]="",),"",NOTA[[#This Row],[QTY]]*NOTA[[#This Row],[HARGA SATUAN]])</f>
        <v/>
      </c>
      <c r="AG72" s="40" t="str">
        <f ca="1">IF(NOTA[ID_H]="","",INDEX(NOTA[TANGGAL],MATCH(,INDIRECT(ADDRESS(ROW(NOTA[TANGGAL]),COLUMN(NOTA[TANGGAL]))&amp;":"&amp;ADDRESS(ROW(),COLUMN(NOTA[TANGGAL]))),-1)))</f>
        <v/>
      </c>
      <c r="AH72" s="42" t="str">
        <f ca="1">IF(NOTA[[#This Row],[NAMA BARANG]]="","",INDEX(NOTA[SUPPLIER],MATCH(,INDIRECT(ADDRESS(ROW(NOTA[ID]),COLUMN(NOTA[ID]))&amp;":"&amp;ADDRESS(ROW(),COLUMN(NOTA[ID]))),-1)))</f>
        <v/>
      </c>
      <c r="AI72" s="42" t="str">
        <f ca="1">IF(NOTA[[#This Row],[ID_H]]="","",IF(NOTA[[#This Row],[FAKTUR]]="",INDIRECT(ADDRESS(ROW()-1,COLUMN())),NOTA[[#This Row],[FAKTUR]]))</f>
        <v/>
      </c>
      <c r="AJ72" s="39" t="str">
        <f ca="1">IF(NOTA[[#This Row],[ID]]="","",COUNTIF(NOTA[ID_H],NOTA[[#This Row],[ID_H]]))</f>
        <v/>
      </c>
      <c r="AK72" s="39" t="str">
        <f ca="1">IF(NOTA[[#This Row],[TGL.NOTA]]="",IF(NOTA[[#This Row],[SUPPLIER_H]]="","",AK71),MONTH(NOTA[[#This Row],[TGL.NOTA]]))</f>
        <v/>
      </c>
      <c r="AL72" s="39" t="str">
        <f>LOWER(SUBSTITUTE(SUBSTITUTE(SUBSTITUTE(SUBSTITUTE(SUBSTITUTE(SUBSTITUTE(SUBSTITUTE(SUBSTITUTE(SUBSTITUTE(NOTA[NAMA BARANG]," ",),".",""),"-",""),"(",""),")",""),",",""),"/",""),"""",""),"+",""))</f>
        <v/>
      </c>
      <c r="AM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9" t="str">
        <f>IF(NOTA[[#This Row],[CONCAT4]]="","",_xlfn.IFNA(MATCH(NOTA[[#This Row],[CONCAT4]],[2]!RAW[CONCAT_H],0),FALSE))</f>
        <v/>
      </c>
      <c r="AQ72" s="39" t="str">
        <f>IF(NOTA[[#This Row],[CONCAT1]]="","",MATCH(NOTA[[#This Row],[CONCAT1]],[3]!db[NB NOTA_C],0))</f>
        <v/>
      </c>
      <c r="AR72" s="39" t="str">
        <f>IF(NOTA[[#This Row],[QTY/ CTN]]="","",TRUE)</f>
        <v/>
      </c>
      <c r="AS72" s="39" t="str">
        <f ca="1">IF(NOTA[[#This Row],[ID_H]]="","",IF(NOTA[[#This Row],[Column3]]=TRUE,NOTA[[#This Row],[QTY/ CTN]],INDEX([3]!db[QTY/ CTN],NOTA[[#This Row],[//DB]])))</f>
        <v/>
      </c>
      <c r="AT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9" t="str">
        <f ca="1">IF(NOTA[[#This Row],[ID_H]]="","",MATCH(NOTA[[#This Row],[NB NOTA_C_QTY]],[4]!db[NB NOTA_C_QTY+F],0))</f>
        <v/>
      </c>
      <c r="AV72" s="55" t="str">
        <f ca="1">IF(NOTA[[#This Row],[NB NOTA_C_QTY]]="","",ROW()-2)</f>
        <v/>
      </c>
    </row>
    <row r="73" spans="1:48" ht="20.100000000000001" customHeight="1" x14ac:dyDescent="0.25">
      <c r="A73" s="42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39" t="e">
        <f ca="1">IF(NOTA[[#This Row],[ID_P]]="","",MATCH(NOTA[[#This Row],[ID_P]],[1]!B_MSK[N_ID],0))</f>
        <v>#REF!</v>
      </c>
      <c r="D73" s="39">
        <f ca="1">IF(NOTA[[#This Row],[NAMA BARANG]]="","",INDEX(NOTA[ID],MATCH(,INDIRECT(ADDRESS(ROW(NOTA[ID]),COLUMN(NOTA[ID]))&amp;":"&amp;ADDRESS(ROW(),COLUMN(NOTA[ID]))),-1)))</f>
        <v>19</v>
      </c>
      <c r="E73" s="47">
        <v>45112</v>
      </c>
      <c r="F73" s="38" t="s">
        <v>218</v>
      </c>
      <c r="G73" s="38" t="s">
        <v>145</v>
      </c>
      <c r="H73" s="48" t="s">
        <v>219</v>
      </c>
      <c r="J73" s="40">
        <v>45107</v>
      </c>
      <c r="L73" s="38" t="s">
        <v>220</v>
      </c>
      <c r="M73" s="41">
        <v>1</v>
      </c>
      <c r="N73" s="39">
        <v>96</v>
      </c>
      <c r="O73" s="38" t="s">
        <v>152</v>
      </c>
      <c r="P73" s="42">
        <v>29000</v>
      </c>
      <c r="Q73" s="43"/>
      <c r="R73" s="49" t="s">
        <v>161</v>
      </c>
      <c r="S73" s="50"/>
      <c r="U73" s="51"/>
      <c r="V73" s="46"/>
      <c r="W73" s="51">
        <f>IF(NOTA[[#This Row],[HARGA/ CTN]]="",NOTA[[#This Row],[JUMLAH_H]],NOTA[[#This Row],[HARGA/ CTN]]*IF(NOTA[[#This Row],[C]]="",0,NOTA[[#This Row],[C]]))</f>
        <v>2784000</v>
      </c>
      <c r="X73" s="51">
        <f>IF(NOTA[[#This Row],[JUMLAH]]="","",NOTA[[#This Row],[JUMLAH]]*NOTA[[#This Row],[DISC 1]])</f>
        <v>0</v>
      </c>
      <c r="Y73" s="51">
        <f>IF(NOTA[[#This Row],[JUMLAH]]="","",(NOTA[[#This Row],[JUMLAH]]-NOTA[[#This Row],[DISC 1-]])*NOTA[[#This Row],[DISC 2]])</f>
        <v>0</v>
      </c>
      <c r="Z73" s="51">
        <f>IF(NOTA[[#This Row],[JUMLAH]]="","",NOTA[[#This Row],[DISC 1-]]+NOTA[[#This Row],[DISC 2-]])</f>
        <v>0</v>
      </c>
      <c r="AA73" s="51">
        <f>IF(NOTA[[#This Row],[JUMLAH]]="","",NOTA[[#This Row],[JUMLAH]]-NOTA[[#This Row],[DISC]])</f>
        <v>2784000</v>
      </c>
      <c r="AB73" s="51"/>
      <c r="AC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51">
        <f>IF(OR(NOTA[[#This Row],[QTY]]="",NOTA[[#This Row],[HARGA SATUAN]]="",),"",NOTA[[#This Row],[QTY]]*NOTA[[#This Row],[HARGA SATUAN]])</f>
        <v>2784000</v>
      </c>
      <c r="AG73" s="40">
        <f ca="1">IF(NOTA[ID_H]="","",INDEX(NOTA[TANGGAL],MATCH(,INDIRECT(ADDRESS(ROW(NOTA[TANGGAL]),COLUMN(NOTA[TANGGAL]))&amp;":"&amp;ADDRESS(ROW(),COLUMN(NOTA[TANGGAL]))),-1)))</f>
        <v>45112</v>
      </c>
      <c r="AH73" s="42" t="str">
        <f ca="1">IF(NOTA[[#This Row],[NAMA BARANG]]="","",INDEX(NOTA[SUPPLIER],MATCH(,INDIRECT(ADDRESS(ROW(NOTA[ID]),COLUMN(NOTA[ID]))&amp;":"&amp;ADDRESS(ROW(),COLUMN(NOTA[ID]))),-1)))</f>
        <v>DB STATIONERY</v>
      </c>
      <c r="AI73" s="42" t="str">
        <f ca="1">IF(NOTA[[#This Row],[ID_H]]="","",IF(NOTA[[#This Row],[FAKTUR]]="",INDIRECT(ADDRESS(ROW()-1,COLUMN())),NOTA[[#This Row],[FAKTUR]]))</f>
        <v>UNTANA</v>
      </c>
      <c r="AJ73" s="39">
        <f ca="1">IF(NOTA[[#This Row],[ID]]="","",COUNTIF(NOTA[ID_H],NOTA[[#This Row],[ID_H]]))</f>
        <v>6</v>
      </c>
      <c r="AK73" s="39">
        <f>IF(NOTA[[#This Row],[TGL.NOTA]]="",IF(NOTA[[#This Row],[SUPPLIER_H]]="","",AK72),MONTH(NOTA[[#This Row],[TGL.NOTA]]))</f>
        <v>6</v>
      </c>
      <c r="AL73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39" t="e">
        <f>IF(NOTA[[#This Row],[CONCAT4]]="","",_xlfn.IFNA(MATCH(NOTA[[#This Row],[CONCAT4]],[2]!RAW[CONCAT_H],0),FALSE))</f>
        <v>#REF!</v>
      </c>
      <c r="AQ73" s="39">
        <f>IF(NOTA[[#This Row],[CONCAT1]]="","",MATCH(NOTA[[#This Row],[CONCAT1]],[3]!db[NB NOTA_C],0))</f>
        <v>1701</v>
      </c>
      <c r="AR73" s="39" t="b">
        <f>IF(NOTA[[#This Row],[QTY/ CTN]]="","",TRUE)</f>
        <v>1</v>
      </c>
      <c r="AS73" s="39" t="str">
        <f ca="1">IF(NOTA[[#This Row],[ID_H]]="","",IF(NOTA[[#This Row],[Column3]]=TRUE,NOTA[[#This Row],[QTY/ CTN]],INDEX([3]!db[QTY/ CTN],NOTA[[#This Row],[//DB]])))</f>
        <v>96 LSN</v>
      </c>
      <c r="AT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73" s="39" t="e">
        <f ca="1">IF(NOTA[[#This Row],[ID_H]]="","",MATCH(NOTA[[#This Row],[NB NOTA_C_QTY]],[4]!db[NB NOTA_C_QTY+F],0))</f>
        <v>#REF!</v>
      </c>
      <c r="AV73" s="55">
        <f ca="1">IF(NOTA[[#This Row],[NB NOTA_C_QTY]]="","",ROW()-2)</f>
        <v>71</v>
      </c>
    </row>
    <row r="74" spans="1:48" ht="20.100000000000001" customHeight="1" x14ac:dyDescent="0.25">
      <c r="A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19</v>
      </c>
      <c r="E74" s="47"/>
      <c r="H74" s="48"/>
      <c r="L74" s="38" t="s">
        <v>221</v>
      </c>
      <c r="M74" s="41">
        <v>1</v>
      </c>
      <c r="N74" s="39">
        <v>96</v>
      </c>
      <c r="O74" s="38" t="s">
        <v>152</v>
      </c>
      <c r="P74" s="42">
        <v>29000</v>
      </c>
      <c r="Q74" s="43"/>
      <c r="R74" s="49" t="s">
        <v>161</v>
      </c>
      <c r="S74" s="50"/>
      <c r="U74" s="51"/>
      <c r="V74" s="46"/>
      <c r="W74" s="51">
        <f>IF(NOTA[[#This Row],[HARGA/ CTN]]="",NOTA[[#This Row],[JUMLAH_H]],NOTA[[#This Row],[HARGA/ CTN]]*IF(NOTA[[#This Row],[C]]="",0,NOTA[[#This Row],[C]]))</f>
        <v>2784000</v>
      </c>
      <c r="X74" s="51">
        <f>IF(NOTA[[#This Row],[JUMLAH]]="","",NOTA[[#This Row],[JUMLAH]]*NOTA[[#This Row],[DISC 1]])</f>
        <v>0</v>
      </c>
      <c r="Y74" s="51">
        <f>IF(NOTA[[#This Row],[JUMLAH]]="","",(NOTA[[#This Row],[JUMLAH]]-NOTA[[#This Row],[DISC 1-]])*NOTA[[#This Row],[DISC 2]])</f>
        <v>0</v>
      </c>
      <c r="Z74" s="51">
        <f>IF(NOTA[[#This Row],[JUMLAH]]="","",NOTA[[#This Row],[DISC 1-]]+NOTA[[#This Row],[DISC 2-]])</f>
        <v>0</v>
      </c>
      <c r="AA74" s="51">
        <f>IF(NOTA[[#This Row],[JUMLAH]]="","",NOTA[[#This Row],[JUMLAH]]-NOTA[[#This Row],[DISC]])</f>
        <v>2784000</v>
      </c>
      <c r="AB74" s="51"/>
      <c r="AC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51">
        <f>IF(OR(NOTA[[#This Row],[QTY]]="",NOTA[[#This Row],[HARGA SATUAN]]="",),"",NOTA[[#This Row],[QTY]]*NOTA[[#This Row],[HARGA SATUAN]])</f>
        <v>2784000</v>
      </c>
      <c r="AG74" s="40">
        <f ca="1">IF(NOTA[ID_H]="","",INDEX(NOTA[TANGGAL],MATCH(,INDIRECT(ADDRESS(ROW(NOTA[TANGGAL]),COLUMN(NOTA[TANGGAL]))&amp;":"&amp;ADDRESS(ROW(),COLUMN(NOTA[TANGGAL]))),-1)))</f>
        <v>45112</v>
      </c>
      <c r="AH74" s="42" t="str">
        <f ca="1">IF(NOTA[[#This Row],[NAMA BARANG]]="","",INDEX(NOTA[SUPPLIER],MATCH(,INDIRECT(ADDRESS(ROW(NOTA[ID]),COLUMN(NOTA[ID]))&amp;":"&amp;ADDRESS(ROW(),COLUMN(NOTA[ID]))),-1)))</f>
        <v>DB STATIONERY</v>
      </c>
      <c r="AI74" s="42" t="str">
        <f ca="1">IF(NOTA[[#This Row],[ID_H]]="","",IF(NOTA[[#This Row],[FAKTUR]]="",INDIRECT(ADDRESS(ROW()-1,COLUMN())),NOTA[[#This Row],[FAKTUR]]))</f>
        <v>UNTANA</v>
      </c>
      <c r="AJ74" s="39" t="str">
        <f ca="1">IF(NOTA[[#This Row],[ID]]="","",COUNTIF(NOTA[ID_H],NOTA[[#This Row],[ID_H]]))</f>
        <v/>
      </c>
      <c r="AK74" s="39">
        <f ca="1">IF(NOTA[[#This Row],[TGL.NOTA]]="",IF(NOTA[[#This Row],[SUPPLIER_H]]="","",AK73),MONTH(NOTA[[#This Row],[TGL.NOTA]]))</f>
        <v>6</v>
      </c>
      <c r="AL74" s="39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9" t="str">
        <f>IF(NOTA[[#This Row],[CONCAT4]]="","",_xlfn.IFNA(MATCH(NOTA[[#This Row],[CONCAT4]],[2]!RAW[CONCAT_H],0),FALSE))</f>
        <v/>
      </c>
      <c r="AQ74" s="39">
        <f>IF(NOTA[[#This Row],[CONCAT1]]="","",MATCH(NOTA[[#This Row],[CONCAT1]],[3]!db[NB NOTA_C],0))</f>
        <v>1702</v>
      </c>
      <c r="AR74" s="39" t="b">
        <f>IF(NOTA[[#This Row],[QTY/ CTN]]="","",TRUE)</f>
        <v>1</v>
      </c>
      <c r="AS74" s="39" t="str">
        <f ca="1">IF(NOTA[[#This Row],[ID_H]]="","",IF(NOTA[[#This Row],[Column3]]=TRUE,NOTA[[#This Row],[QTY/ CTN]],INDEX([3]!db[QTY/ CTN],NOTA[[#This Row],[//DB]])))</f>
        <v>96 LSN</v>
      </c>
      <c r="AT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U74" s="39" t="e">
        <f ca="1">IF(NOTA[[#This Row],[ID_H]]="","",MATCH(NOTA[[#This Row],[NB NOTA_C_QTY]],[4]!db[NB NOTA_C_QTY+F],0))</f>
        <v>#REF!</v>
      </c>
      <c r="AV74" s="55">
        <f ca="1">IF(NOTA[[#This Row],[NB NOTA_C_QTY]]="","",ROW()-2)</f>
        <v>72</v>
      </c>
    </row>
    <row r="75" spans="1:48" ht="20.100000000000001" customHeight="1" x14ac:dyDescent="0.25">
      <c r="A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19</v>
      </c>
      <c r="E75" s="47"/>
      <c r="H75" s="48"/>
      <c r="L75" s="38" t="s">
        <v>222</v>
      </c>
      <c r="M75" s="41">
        <v>1</v>
      </c>
      <c r="N75" s="39">
        <v>96</v>
      </c>
      <c r="O75" s="38" t="s">
        <v>152</v>
      </c>
      <c r="P75" s="42">
        <v>29000</v>
      </c>
      <c r="Q75" s="43"/>
      <c r="R75" s="49" t="s">
        <v>161</v>
      </c>
      <c r="S75" s="50"/>
      <c r="U75" s="51"/>
      <c r="V75" s="46"/>
      <c r="W75" s="51">
        <f>IF(NOTA[[#This Row],[HARGA/ CTN]]="",NOTA[[#This Row],[JUMLAH_H]],NOTA[[#This Row],[HARGA/ CTN]]*IF(NOTA[[#This Row],[C]]="",0,NOTA[[#This Row],[C]]))</f>
        <v>2784000</v>
      </c>
      <c r="X75" s="51">
        <f>IF(NOTA[[#This Row],[JUMLAH]]="","",NOTA[[#This Row],[JUMLAH]]*NOTA[[#This Row],[DISC 1]])</f>
        <v>0</v>
      </c>
      <c r="Y75" s="51">
        <f>IF(NOTA[[#This Row],[JUMLAH]]="","",(NOTA[[#This Row],[JUMLAH]]-NOTA[[#This Row],[DISC 1-]])*NOTA[[#This Row],[DISC 2]])</f>
        <v>0</v>
      </c>
      <c r="Z75" s="51">
        <f>IF(NOTA[[#This Row],[JUMLAH]]="","",NOTA[[#This Row],[DISC 1-]]+NOTA[[#This Row],[DISC 2-]])</f>
        <v>0</v>
      </c>
      <c r="AA75" s="51">
        <f>IF(NOTA[[#This Row],[JUMLAH]]="","",NOTA[[#This Row],[JUMLAH]]-NOTA[[#This Row],[DISC]])</f>
        <v>2784000</v>
      </c>
      <c r="AB75" s="51"/>
      <c r="AC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51">
        <f>IF(OR(NOTA[[#This Row],[QTY]]="",NOTA[[#This Row],[HARGA SATUAN]]="",),"",NOTA[[#This Row],[QTY]]*NOTA[[#This Row],[HARGA SATUAN]])</f>
        <v>2784000</v>
      </c>
      <c r="AG75" s="40">
        <f ca="1">IF(NOTA[ID_H]="","",INDEX(NOTA[TANGGAL],MATCH(,INDIRECT(ADDRESS(ROW(NOTA[TANGGAL]),COLUMN(NOTA[TANGGAL]))&amp;":"&amp;ADDRESS(ROW(),COLUMN(NOTA[TANGGAL]))),-1)))</f>
        <v>45112</v>
      </c>
      <c r="AH75" s="42" t="str">
        <f ca="1">IF(NOTA[[#This Row],[NAMA BARANG]]="","",INDEX(NOTA[SUPPLIER],MATCH(,INDIRECT(ADDRESS(ROW(NOTA[ID]),COLUMN(NOTA[ID]))&amp;":"&amp;ADDRESS(ROW(),COLUMN(NOTA[ID]))),-1)))</f>
        <v>DB STATIONERY</v>
      </c>
      <c r="AI75" s="42" t="str">
        <f ca="1">IF(NOTA[[#This Row],[ID_H]]="","",IF(NOTA[[#This Row],[FAKTUR]]="",INDIRECT(ADDRESS(ROW()-1,COLUMN())),NOTA[[#This Row],[FAKTUR]]))</f>
        <v>UNTANA</v>
      </c>
      <c r="AJ75" s="39" t="str">
        <f ca="1">IF(NOTA[[#This Row],[ID]]="","",COUNTIF(NOTA[ID_H],NOTA[[#This Row],[ID_H]]))</f>
        <v/>
      </c>
      <c r="AK75" s="39">
        <f ca="1">IF(NOTA[[#This Row],[TGL.NOTA]]="",IF(NOTA[[#This Row],[SUPPLIER_H]]="","",AK74),MONTH(NOTA[[#This Row],[TGL.NOTA]]))</f>
        <v>6</v>
      </c>
      <c r="AL75" s="39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9" t="str">
        <f>IF(NOTA[[#This Row],[CONCAT4]]="","",_xlfn.IFNA(MATCH(NOTA[[#This Row],[CONCAT4]],[2]!RAW[CONCAT_H],0),FALSE))</f>
        <v/>
      </c>
      <c r="AQ75" s="39">
        <f>IF(NOTA[[#This Row],[CONCAT1]]="","",MATCH(NOTA[[#This Row],[CONCAT1]],[3]!db[NB NOTA_C],0))</f>
        <v>1679</v>
      </c>
      <c r="AR75" s="39" t="b">
        <f>IF(NOTA[[#This Row],[QTY/ CTN]]="","",TRUE)</f>
        <v>1</v>
      </c>
      <c r="AS75" s="39" t="str">
        <f ca="1">IF(NOTA[[#This Row],[ID_H]]="","",IF(NOTA[[#This Row],[Column3]]=TRUE,NOTA[[#This Row],[QTY/ CTN]],INDEX([3]!db[QTY/ CTN],NOTA[[#This Row],[//DB]])))</f>
        <v>96 LSN</v>
      </c>
      <c r="AT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U75" s="39" t="e">
        <f ca="1">IF(NOTA[[#This Row],[ID_H]]="","",MATCH(NOTA[[#This Row],[NB NOTA_C_QTY]],[4]!db[NB NOTA_C_QTY+F],0))</f>
        <v>#REF!</v>
      </c>
      <c r="AV75" s="55">
        <f ca="1">IF(NOTA[[#This Row],[NB NOTA_C_QTY]]="","",ROW()-2)</f>
        <v>73</v>
      </c>
    </row>
    <row r="76" spans="1:48" ht="20.100000000000001" customHeight="1" x14ac:dyDescent="0.25">
      <c r="A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19</v>
      </c>
      <c r="E76" s="47"/>
      <c r="H76" s="48"/>
      <c r="L76" s="38" t="s">
        <v>223</v>
      </c>
      <c r="M76" s="41">
        <v>1</v>
      </c>
      <c r="N76" s="39">
        <v>96</v>
      </c>
      <c r="O76" s="38" t="s">
        <v>152</v>
      </c>
      <c r="P76" s="42">
        <v>29000</v>
      </c>
      <c r="Q76" s="43"/>
      <c r="R76" s="49" t="s">
        <v>161</v>
      </c>
      <c r="S76" s="50"/>
      <c r="U76" s="51"/>
      <c r="V76" s="46"/>
      <c r="W76" s="51">
        <f>IF(NOTA[[#This Row],[HARGA/ CTN]]="",NOTA[[#This Row],[JUMLAH_H]],NOTA[[#This Row],[HARGA/ CTN]]*IF(NOTA[[#This Row],[C]]="",0,NOTA[[#This Row],[C]]))</f>
        <v>2784000</v>
      </c>
      <c r="X76" s="51">
        <f>IF(NOTA[[#This Row],[JUMLAH]]="","",NOTA[[#This Row],[JUMLAH]]*NOTA[[#This Row],[DISC 1]])</f>
        <v>0</v>
      </c>
      <c r="Y76" s="51">
        <f>IF(NOTA[[#This Row],[JUMLAH]]="","",(NOTA[[#This Row],[JUMLAH]]-NOTA[[#This Row],[DISC 1-]])*NOTA[[#This Row],[DISC 2]])</f>
        <v>0</v>
      </c>
      <c r="Z76" s="51">
        <f>IF(NOTA[[#This Row],[JUMLAH]]="","",NOTA[[#This Row],[DISC 1-]]+NOTA[[#This Row],[DISC 2-]])</f>
        <v>0</v>
      </c>
      <c r="AA76" s="51">
        <f>IF(NOTA[[#This Row],[JUMLAH]]="","",NOTA[[#This Row],[JUMLAH]]-NOTA[[#This Row],[DISC]])</f>
        <v>2784000</v>
      </c>
      <c r="AB76" s="51"/>
      <c r="AC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51">
        <f>IF(OR(NOTA[[#This Row],[QTY]]="",NOTA[[#This Row],[HARGA SATUAN]]="",),"",NOTA[[#This Row],[QTY]]*NOTA[[#This Row],[HARGA SATUAN]])</f>
        <v>2784000</v>
      </c>
      <c r="AG76" s="40">
        <f ca="1">IF(NOTA[ID_H]="","",INDEX(NOTA[TANGGAL],MATCH(,INDIRECT(ADDRESS(ROW(NOTA[TANGGAL]),COLUMN(NOTA[TANGGAL]))&amp;":"&amp;ADDRESS(ROW(),COLUMN(NOTA[TANGGAL]))),-1)))</f>
        <v>45112</v>
      </c>
      <c r="AH76" s="42" t="str">
        <f ca="1">IF(NOTA[[#This Row],[NAMA BARANG]]="","",INDEX(NOTA[SUPPLIER],MATCH(,INDIRECT(ADDRESS(ROW(NOTA[ID]),COLUMN(NOTA[ID]))&amp;":"&amp;ADDRESS(ROW(),COLUMN(NOTA[ID]))),-1)))</f>
        <v>DB STATIONERY</v>
      </c>
      <c r="AI76" s="42" t="str">
        <f ca="1">IF(NOTA[[#This Row],[ID_H]]="","",IF(NOTA[[#This Row],[FAKTUR]]="",INDIRECT(ADDRESS(ROW()-1,COLUMN())),NOTA[[#This Row],[FAKTUR]]))</f>
        <v>UNTANA</v>
      </c>
      <c r="AJ76" s="39" t="str">
        <f ca="1">IF(NOTA[[#This Row],[ID]]="","",COUNTIF(NOTA[ID_H],NOTA[[#This Row],[ID_H]]))</f>
        <v/>
      </c>
      <c r="AK76" s="39">
        <f ca="1">IF(NOTA[[#This Row],[TGL.NOTA]]="",IF(NOTA[[#This Row],[SUPPLIER_H]]="","",AK75),MONTH(NOTA[[#This Row],[TGL.NOTA]]))</f>
        <v>6</v>
      </c>
      <c r="AL76" s="39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9" t="str">
        <f>IF(NOTA[[#This Row],[CONCAT4]]="","",_xlfn.IFNA(MATCH(NOTA[[#This Row],[CONCAT4]],[2]!RAW[CONCAT_H],0),FALSE))</f>
        <v/>
      </c>
      <c r="AQ76" s="39">
        <f>IF(NOTA[[#This Row],[CONCAT1]]="","",MATCH(NOTA[[#This Row],[CONCAT1]],[3]!db[NB NOTA_C],0))</f>
        <v>1680</v>
      </c>
      <c r="AR76" s="39" t="b">
        <f>IF(NOTA[[#This Row],[QTY/ CTN]]="","",TRUE)</f>
        <v>1</v>
      </c>
      <c r="AS76" s="39" t="str">
        <f ca="1">IF(NOTA[[#This Row],[ID_H]]="","",IF(NOTA[[#This Row],[Column3]]=TRUE,NOTA[[#This Row],[QTY/ CTN]],INDEX([3]!db[QTY/ CTN],NOTA[[#This Row],[//DB]])))</f>
        <v>96 LSN</v>
      </c>
      <c r="AT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U76" s="39" t="e">
        <f ca="1">IF(NOTA[[#This Row],[ID_H]]="","",MATCH(NOTA[[#This Row],[NB NOTA_C_QTY]],[4]!db[NB NOTA_C_QTY+F],0))</f>
        <v>#REF!</v>
      </c>
      <c r="AV76" s="55">
        <f ca="1">IF(NOTA[[#This Row],[NB NOTA_C_QTY]]="","",ROW()-2)</f>
        <v>74</v>
      </c>
    </row>
    <row r="77" spans="1:48" ht="20.100000000000001" customHeight="1" x14ac:dyDescent="0.25">
      <c r="A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19</v>
      </c>
      <c r="E77" s="47"/>
      <c r="H77" s="48"/>
      <c r="L77" s="38" t="s">
        <v>224</v>
      </c>
      <c r="M77" s="41">
        <v>1</v>
      </c>
      <c r="N77" s="39">
        <v>96</v>
      </c>
      <c r="O77" s="38" t="s">
        <v>152</v>
      </c>
      <c r="P77" s="42">
        <v>29000</v>
      </c>
      <c r="Q77" s="43"/>
      <c r="R77" s="49" t="s">
        <v>161</v>
      </c>
      <c r="S77" s="50"/>
      <c r="U77" s="51"/>
      <c r="V77" s="46"/>
      <c r="W77" s="51">
        <f>IF(NOTA[[#This Row],[HARGA/ CTN]]="",NOTA[[#This Row],[JUMLAH_H]],NOTA[[#This Row],[HARGA/ CTN]]*IF(NOTA[[#This Row],[C]]="",0,NOTA[[#This Row],[C]]))</f>
        <v>2784000</v>
      </c>
      <c r="X77" s="51">
        <f>IF(NOTA[[#This Row],[JUMLAH]]="","",NOTA[[#This Row],[JUMLAH]]*NOTA[[#This Row],[DISC 1]])</f>
        <v>0</v>
      </c>
      <c r="Y77" s="51">
        <f>IF(NOTA[[#This Row],[JUMLAH]]="","",(NOTA[[#This Row],[JUMLAH]]-NOTA[[#This Row],[DISC 1-]])*NOTA[[#This Row],[DISC 2]])</f>
        <v>0</v>
      </c>
      <c r="Z77" s="51">
        <f>IF(NOTA[[#This Row],[JUMLAH]]="","",NOTA[[#This Row],[DISC 1-]]+NOTA[[#This Row],[DISC 2-]])</f>
        <v>0</v>
      </c>
      <c r="AA77" s="51">
        <f>IF(NOTA[[#This Row],[JUMLAH]]="","",NOTA[[#This Row],[JUMLAH]]-NOTA[[#This Row],[DISC]])</f>
        <v>2784000</v>
      </c>
      <c r="AB77" s="51"/>
      <c r="AC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51">
        <f>IF(OR(NOTA[[#This Row],[QTY]]="",NOTA[[#This Row],[HARGA SATUAN]]="",),"",NOTA[[#This Row],[QTY]]*NOTA[[#This Row],[HARGA SATUAN]])</f>
        <v>2784000</v>
      </c>
      <c r="AG77" s="40">
        <f ca="1">IF(NOTA[ID_H]="","",INDEX(NOTA[TANGGAL],MATCH(,INDIRECT(ADDRESS(ROW(NOTA[TANGGAL]),COLUMN(NOTA[TANGGAL]))&amp;":"&amp;ADDRESS(ROW(),COLUMN(NOTA[TANGGAL]))),-1)))</f>
        <v>45112</v>
      </c>
      <c r="AH77" s="42" t="str">
        <f ca="1">IF(NOTA[[#This Row],[NAMA BARANG]]="","",INDEX(NOTA[SUPPLIER],MATCH(,INDIRECT(ADDRESS(ROW(NOTA[ID]),COLUMN(NOTA[ID]))&amp;":"&amp;ADDRESS(ROW(),COLUMN(NOTA[ID]))),-1)))</f>
        <v>DB STATIONERY</v>
      </c>
      <c r="AI77" s="42" t="str">
        <f ca="1">IF(NOTA[[#This Row],[ID_H]]="","",IF(NOTA[[#This Row],[FAKTUR]]="",INDIRECT(ADDRESS(ROW()-1,COLUMN())),NOTA[[#This Row],[FAKTUR]]))</f>
        <v>UNTANA</v>
      </c>
      <c r="AJ77" s="39" t="str">
        <f ca="1">IF(NOTA[[#This Row],[ID]]="","",COUNTIF(NOTA[ID_H],NOTA[[#This Row],[ID_H]]))</f>
        <v/>
      </c>
      <c r="AK77" s="39">
        <f ca="1">IF(NOTA[[#This Row],[TGL.NOTA]]="",IF(NOTA[[#This Row],[SUPPLIER_H]]="","",AK76),MONTH(NOTA[[#This Row],[TGL.NOTA]]))</f>
        <v>6</v>
      </c>
      <c r="AL77" s="39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9" t="str">
        <f>IF(NOTA[[#This Row],[CONCAT4]]="","",_xlfn.IFNA(MATCH(NOTA[[#This Row],[CONCAT4]],[2]!RAW[CONCAT_H],0),FALSE))</f>
        <v/>
      </c>
      <c r="AQ77" s="39">
        <f>IF(NOTA[[#This Row],[CONCAT1]]="","",MATCH(NOTA[[#This Row],[CONCAT1]],[3]!db[NB NOTA_C],0))</f>
        <v>1717</v>
      </c>
      <c r="AR77" s="39" t="b">
        <f>IF(NOTA[[#This Row],[QTY/ CTN]]="","",TRUE)</f>
        <v>1</v>
      </c>
      <c r="AS77" s="39" t="str">
        <f ca="1">IF(NOTA[[#This Row],[ID_H]]="","",IF(NOTA[[#This Row],[Column3]]=TRUE,NOTA[[#This Row],[QTY/ CTN]],INDEX([3]!db[QTY/ CTN],NOTA[[#This Row],[//DB]])))</f>
        <v>96 LSN</v>
      </c>
      <c r="AT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U77" s="39" t="e">
        <f ca="1">IF(NOTA[[#This Row],[ID_H]]="","",MATCH(NOTA[[#This Row],[NB NOTA_C_QTY]],[4]!db[NB NOTA_C_QTY+F],0))</f>
        <v>#REF!</v>
      </c>
      <c r="AV77" s="55">
        <f ca="1">IF(NOTA[[#This Row],[NB NOTA_C_QTY]]="","",ROW()-2)</f>
        <v>75</v>
      </c>
    </row>
    <row r="78" spans="1:48" ht="20.100000000000001" customHeight="1" x14ac:dyDescent="0.25">
      <c r="A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19</v>
      </c>
      <c r="E78" s="47"/>
      <c r="H78" s="48"/>
      <c r="L78" s="38" t="s">
        <v>225</v>
      </c>
      <c r="M78" s="41">
        <v>10</v>
      </c>
      <c r="N78" s="39">
        <v>1200</v>
      </c>
      <c r="O78" s="38" t="s">
        <v>152</v>
      </c>
      <c r="P78" s="42">
        <v>25500</v>
      </c>
      <c r="Q78" s="43"/>
      <c r="R78" s="49" t="s">
        <v>226</v>
      </c>
      <c r="S78" s="50"/>
      <c r="U78" s="51"/>
      <c r="V78" s="46"/>
      <c r="W78" s="51">
        <f>IF(NOTA[[#This Row],[HARGA/ CTN]]="",NOTA[[#This Row],[JUMLAH_H]],NOTA[[#This Row],[HARGA/ CTN]]*IF(NOTA[[#This Row],[C]]="",0,NOTA[[#This Row],[C]]))</f>
        <v>30600000</v>
      </c>
      <c r="X78" s="51">
        <f>IF(NOTA[[#This Row],[JUMLAH]]="","",NOTA[[#This Row],[JUMLAH]]*NOTA[[#This Row],[DISC 1]])</f>
        <v>0</v>
      </c>
      <c r="Y78" s="51">
        <f>IF(NOTA[[#This Row],[JUMLAH]]="","",(NOTA[[#This Row],[JUMLAH]]-NOTA[[#This Row],[DISC 1-]])*NOTA[[#This Row],[DISC 2]])</f>
        <v>0</v>
      </c>
      <c r="Z78" s="51">
        <f>IF(NOTA[[#This Row],[JUMLAH]]="","",NOTA[[#This Row],[DISC 1-]]+NOTA[[#This Row],[DISC 2-]])</f>
        <v>0</v>
      </c>
      <c r="AA78" s="51">
        <f>IF(NOTA[[#This Row],[JUMLAH]]="","",NOTA[[#This Row],[JUMLAH]]-NOTA[[#This Row],[DISC]])</f>
        <v>30600000</v>
      </c>
      <c r="AB78" s="51"/>
      <c r="AC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4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51">
        <f>IF(OR(NOTA[[#This Row],[QTY]]="",NOTA[[#This Row],[HARGA SATUAN]]="",),"",NOTA[[#This Row],[QTY]]*NOTA[[#This Row],[HARGA SATUAN]])</f>
        <v>30600000</v>
      </c>
      <c r="AG78" s="40">
        <f ca="1">IF(NOTA[ID_H]="","",INDEX(NOTA[TANGGAL],MATCH(,INDIRECT(ADDRESS(ROW(NOTA[TANGGAL]),COLUMN(NOTA[TANGGAL]))&amp;":"&amp;ADDRESS(ROW(),COLUMN(NOTA[TANGGAL]))),-1)))</f>
        <v>45112</v>
      </c>
      <c r="AH78" s="42" t="str">
        <f ca="1">IF(NOTA[[#This Row],[NAMA BARANG]]="","",INDEX(NOTA[SUPPLIER],MATCH(,INDIRECT(ADDRESS(ROW(NOTA[ID]),COLUMN(NOTA[ID]))&amp;":"&amp;ADDRESS(ROW(),COLUMN(NOTA[ID]))),-1)))</f>
        <v>DB STATIONERY</v>
      </c>
      <c r="AI78" s="42" t="str">
        <f ca="1">IF(NOTA[[#This Row],[ID_H]]="","",IF(NOTA[[#This Row],[FAKTUR]]="",INDIRECT(ADDRESS(ROW()-1,COLUMN())),NOTA[[#This Row],[FAKTUR]]))</f>
        <v>UNTANA</v>
      </c>
      <c r="AJ78" s="39" t="str">
        <f ca="1">IF(NOTA[[#This Row],[ID]]="","",COUNTIF(NOTA[ID_H],NOTA[[#This Row],[ID_H]]))</f>
        <v/>
      </c>
      <c r="AK78" s="39">
        <f ca="1">IF(NOTA[[#This Row],[TGL.NOTA]]="",IF(NOTA[[#This Row],[SUPPLIER_H]]="","",AK77),MONTH(NOTA[[#This Row],[TGL.NOTA]]))</f>
        <v>6</v>
      </c>
      <c r="AL78" s="39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9" t="str">
        <f>IF(NOTA[[#This Row],[CONCAT4]]="","",_xlfn.IFNA(MATCH(NOTA[[#This Row],[CONCAT4]],[2]!RAW[CONCAT_H],0),FALSE))</f>
        <v/>
      </c>
      <c r="AQ78" s="39">
        <f>IF(NOTA[[#This Row],[CONCAT1]]="","",MATCH(NOTA[[#This Row],[CONCAT1]],[3]!db[NB NOTA_C],0))</f>
        <v>434</v>
      </c>
      <c r="AR78" s="39" t="b">
        <f>IF(NOTA[[#This Row],[QTY/ CTN]]="","",TRUE)</f>
        <v>1</v>
      </c>
      <c r="AS78" s="39" t="str">
        <f ca="1">IF(NOTA[[#This Row],[ID_H]]="","",IF(NOTA[[#This Row],[Column3]]=TRUE,NOTA[[#This Row],[QTY/ CTN]],INDEX([3]!db[QTY/ CTN],NOTA[[#This Row],[//DB]])))</f>
        <v>120 LSN</v>
      </c>
      <c r="AT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U78" s="39" t="e">
        <f ca="1">IF(NOTA[[#This Row],[ID_H]]="","",MATCH(NOTA[[#This Row],[NB NOTA_C_QTY]],[4]!db[NB NOTA_C_QTY+F],0))</f>
        <v>#REF!</v>
      </c>
      <c r="AV78" s="55">
        <f ca="1">IF(NOTA[[#This Row],[NB NOTA_C_QTY]]="","",ROW()-2)</f>
        <v>76</v>
      </c>
    </row>
    <row r="79" spans="1:48" ht="20.100000000000001" customHeight="1" x14ac:dyDescent="0.25">
      <c r="A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 t="str">
        <f ca="1">IF(NOTA[[#This Row],[NAMA BARANG]]="","",INDEX(NOTA[ID],MATCH(,INDIRECT(ADDRESS(ROW(NOTA[ID]),COLUMN(NOTA[ID]))&amp;":"&amp;ADDRESS(ROW(),COLUMN(NOTA[ID]))),-1)))</f>
        <v/>
      </c>
      <c r="E79" s="47"/>
      <c r="H79" s="48"/>
      <c r="N79" s="39"/>
      <c r="Q79" s="43"/>
      <c r="R79" s="49"/>
      <c r="S79" s="50"/>
      <c r="U79" s="51"/>
      <c r="V79" s="46"/>
      <c r="W79" s="51" t="str">
        <f>IF(NOTA[[#This Row],[HARGA/ CTN]]="",NOTA[[#This Row],[JUMLAH_H]],NOTA[[#This Row],[HARGA/ CTN]]*IF(NOTA[[#This Row],[C]]="",0,NOTA[[#This Row],[C]]))</f>
        <v/>
      </c>
      <c r="X79" s="51" t="str">
        <f>IF(NOTA[[#This Row],[JUMLAH]]="","",NOTA[[#This Row],[JUMLAH]]*NOTA[[#This Row],[DISC 1]])</f>
        <v/>
      </c>
      <c r="Y79" s="51" t="str">
        <f>IF(NOTA[[#This Row],[JUMLAH]]="","",(NOTA[[#This Row],[JUMLAH]]-NOTA[[#This Row],[DISC 1-]])*NOTA[[#This Row],[DISC 2]])</f>
        <v/>
      </c>
      <c r="Z79" s="51" t="str">
        <f>IF(NOTA[[#This Row],[JUMLAH]]="","",NOTA[[#This Row],[DISC 1-]]+NOTA[[#This Row],[DISC 2-]])</f>
        <v/>
      </c>
      <c r="AA79" s="51" t="str">
        <f>IF(NOTA[[#This Row],[JUMLAH]]="","",NOTA[[#This Row],[JUMLAH]]-NOTA[[#This Row],[DISC]])</f>
        <v/>
      </c>
      <c r="AB79" s="51"/>
      <c r="AC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1" t="str">
        <f>IF(OR(NOTA[[#This Row],[QTY]]="",NOTA[[#This Row],[HARGA SATUAN]]="",),"",NOTA[[#This Row],[QTY]]*NOTA[[#This Row],[HARGA SATUAN]])</f>
        <v/>
      </c>
      <c r="AG79" s="40" t="str">
        <f ca="1">IF(NOTA[ID_H]="","",INDEX(NOTA[TANGGAL],MATCH(,INDIRECT(ADDRESS(ROW(NOTA[TANGGAL]),COLUMN(NOTA[TANGGAL]))&amp;":"&amp;ADDRESS(ROW(),COLUMN(NOTA[TANGGAL]))),-1)))</f>
        <v/>
      </c>
      <c r="AH79" s="42" t="str">
        <f ca="1">IF(NOTA[[#This Row],[NAMA BARANG]]="","",INDEX(NOTA[SUPPLIER],MATCH(,INDIRECT(ADDRESS(ROW(NOTA[ID]),COLUMN(NOTA[ID]))&amp;":"&amp;ADDRESS(ROW(),COLUMN(NOTA[ID]))),-1)))</f>
        <v/>
      </c>
      <c r="AI79" s="42" t="str">
        <f ca="1">IF(NOTA[[#This Row],[ID_H]]="","",IF(NOTA[[#This Row],[FAKTUR]]="",INDIRECT(ADDRESS(ROW()-1,COLUMN())),NOTA[[#This Row],[FAKTUR]]))</f>
        <v/>
      </c>
      <c r="AJ79" s="39" t="str">
        <f ca="1">IF(NOTA[[#This Row],[ID]]="","",COUNTIF(NOTA[ID_H],NOTA[[#This Row],[ID_H]]))</f>
        <v/>
      </c>
      <c r="AK79" s="39" t="str">
        <f ca="1">IF(NOTA[[#This Row],[TGL.NOTA]]="",IF(NOTA[[#This Row],[SUPPLIER_H]]="","",AK78),MONTH(NOTA[[#This Row],[TGL.NOTA]]))</f>
        <v/>
      </c>
      <c r="AL79" s="39" t="str">
        <f>LOWER(SUBSTITUTE(SUBSTITUTE(SUBSTITUTE(SUBSTITUTE(SUBSTITUTE(SUBSTITUTE(SUBSTITUTE(SUBSTITUTE(SUBSTITUTE(NOTA[NAMA BARANG]," ",),".",""),"-",""),"(",""),")",""),",",""),"/",""),"""",""),"+",""))</f>
        <v/>
      </c>
      <c r="AM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9" t="str">
        <f>IF(NOTA[[#This Row],[CONCAT4]]="","",_xlfn.IFNA(MATCH(NOTA[[#This Row],[CONCAT4]],[2]!RAW[CONCAT_H],0),FALSE))</f>
        <v/>
      </c>
      <c r="AQ79" s="39" t="str">
        <f>IF(NOTA[[#This Row],[CONCAT1]]="","",MATCH(NOTA[[#This Row],[CONCAT1]],[3]!db[NB NOTA_C],0))</f>
        <v/>
      </c>
      <c r="AR79" s="39" t="str">
        <f>IF(NOTA[[#This Row],[QTY/ CTN]]="","",TRUE)</f>
        <v/>
      </c>
      <c r="AS79" s="39" t="str">
        <f ca="1">IF(NOTA[[#This Row],[ID_H]]="","",IF(NOTA[[#This Row],[Column3]]=TRUE,NOTA[[#This Row],[QTY/ CTN]],INDEX([3]!db[QTY/ CTN],NOTA[[#This Row],[//DB]])))</f>
        <v/>
      </c>
      <c r="AT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9" t="str">
        <f ca="1">IF(NOTA[[#This Row],[ID_H]]="","",MATCH(NOTA[[#This Row],[NB NOTA_C_QTY]],[4]!db[NB NOTA_C_QTY+F],0))</f>
        <v/>
      </c>
      <c r="AV79" s="55" t="str">
        <f ca="1">IF(NOTA[[#This Row],[NB NOTA_C_QTY]]="","",ROW()-2)</f>
        <v/>
      </c>
    </row>
    <row r="80" spans="1:48" ht="20.100000000000001" customHeight="1" x14ac:dyDescent="0.25">
      <c r="A80" s="42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39" t="e">
        <f ca="1">IF(NOTA[[#This Row],[ID_P]]="","",MATCH(NOTA[[#This Row],[ID_P]],[1]!B_MSK[N_ID],0))</f>
        <v>#REF!</v>
      </c>
      <c r="D80" s="39">
        <f ca="1">IF(NOTA[[#This Row],[NAMA BARANG]]="","",INDEX(NOTA[ID],MATCH(,INDIRECT(ADDRESS(ROW(NOTA[ID]),COLUMN(NOTA[ID]))&amp;":"&amp;ADDRESS(ROW(),COLUMN(NOTA[ID]))),-1)))</f>
        <v>20</v>
      </c>
      <c r="E80" s="47"/>
      <c r="F80" s="38" t="s">
        <v>227</v>
      </c>
      <c r="G80" s="38" t="s">
        <v>145</v>
      </c>
      <c r="H80" s="48" t="s">
        <v>228</v>
      </c>
      <c r="J80" s="40">
        <v>45107</v>
      </c>
      <c r="L80" s="38" t="s">
        <v>487</v>
      </c>
      <c r="M80" s="41">
        <v>26</v>
      </c>
      <c r="N80" s="39">
        <v>4992</v>
      </c>
      <c r="O80" s="38" t="s">
        <v>152</v>
      </c>
      <c r="P80" s="42">
        <v>11000</v>
      </c>
      <c r="Q80" s="43"/>
      <c r="R80" s="49" t="s">
        <v>229</v>
      </c>
      <c r="S80" s="50"/>
      <c r="U80" s="51"/>
      <c r="V80" s="46"/>
      <c r="W80" s="51">
        <f>IF(NOTA[[#This Row],[HARGA/ CTN]]="",NOTA[[#This Row],[JUMLAH_H]],NOTA[[#This Row],[HARGA/ CTN]]*IF(NOTA[[#This Row],[C]]="",0,NOTA[[#This Row],[C]]))</f>
        <v>54912000</v>
      </c>
      <c r="X80" s="51">
        <f>IF(NOTA[[#This Row],[JUMLAH]]="","",NOTA[[#This Row],[JUMLAH]]*NOTA[[#This Row],[DISC 1]])</f>
        <v>0</v>
      </c>
      <c r="Y80" s="51">
        <f>IF(NOTA[[#This Row],[JUMLAH]]="","",(NOTA[[#This Row],[JUMLAH]]-NOTA[[#This Row],[DISC 1-]])*NOTA[[#This Row],[DISC 2]])</f>
        <v>0</v>
      </c>
      <c r="Z80" s="51">
        <f>IF(NOTA[[#This Row],[JUMLAH]]="","",NOTA[[#This Row],[DISC 1-]]+NOTA[[#This Row],[DISC 2-]])</f>
        <v>0</v>
      </c>
      <c r="AA80" s="51">
        <f>IF(NOTA[[#This Row],[JUMLAH]]="","",NOTA[[#This Row],[JUMLAH]]-NOTA[[#This Row],[DISC]])</f>
        <v>54912000</v>
      </c>
      <c r="AB80" s="51"/>
      <c r="AC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51">
        <f>IF(OR(NOTA[[#This Row],[QTY]]="",NOTA[[#This Row],[HARGA SATUAN]]="",),"",NOTA[[#This Row],[QTY]]*NOTA[[#This Row],[HARGA SATUAN]])</f>
        <v>54912000</v>
      </c>
      <c r="AG80" s="40">
        <f ca="1">IF(NOTA[ID_H]="","",INDEX(NOTA[TANGGAL],MATCH(,INDIRECT(ADDRESS(ROW(NOTA[TANGGAL]),COLUMN(NOTA[TANGGAL]))&amp;":"&amp;ADDRESS(ROW(),COLUMN(NOTA[TANGGAL]))),-1)))</f>
        <v>45112</v>
      </c>
      <c r="AH80" s="42" t="str">
        <f ca="1">IF(NOTA[[#This Row],[NAMA BARANG]]="","",INDEX(NOTA[SUPPLIER],MATCH(,INDIRECT(ADDRESS(ROW(NOTA[ID]),COLUMN(NOTA[ID]))&amp;":"&amp;ADDRESS(ROW(),COLUMN(NOTA[ID]))),-1)))</f>
        <v>MSI</v>
      </c>
      <c r="AI80" s="42" t="str">
        <f ca="1">IF(NOTA[[#This Row],[ID_H]]="","",IF(NOTA[[#This Row],[FAKTUR]]="",INDIRECT(ADDRESS(ROW()-1,COLUMN())),NOTA[[#This Row],[FAKTUR]]))</f>
        <v>UNTANA</v>
      </c>
      <c r="AJ80" s="39">
        <f ca="1">IF(NOTA[[#This Row],[ID]]="","",COUNTIF(NOTA[ID_H],NOTA[[#This Row],[ID_H]]))</f>
        <v>1</v>
      </c>
      <c r="AK80" s="39">
        <f>IF(NOTA[[#This Row],[TGL.NOTA]]="",IF(NOTA[[#This Row],[SUPPLIER_H]]="","",AK79),MONTH(NOTA[[#This Row],[TGL.NOTA]]))</f>
        <v>6</v>
      </c>
      <c r="AL80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0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MSIUNTANA23/VI/54745107gelpenzuizhuahy1020hitam</v>
      </c>
      <c r="AP80" s="39" t="e">
        <f>IF(NOTA[[#This Row],[CONCAT4]]="","",_xlfn.IFNA(MATCH(NOTA[[#This Row],[CONCAT4]],[2]!RAW[CONCAT_H],0),FALSE))</f>
        <v>#REF!</v>
      </c>
      <c r="AQ80" s="39">
        <f>IF(NOTA[[#This Row],[CONCAT1]]="","",MATCH(NOTA[[#This Row],[CONCAT1]],[3]!db[NB NOTA_C],0))</f>
        <v>620</v>
      </c>
      <c r="AR80" s="39" t="b">
        <f>IF(NOTA[[#This Row],[QTY/ CTN]]="","",TRUE)</f>
        <v>1</v>
      </c>
      <c r="AS80" s="39" t="str">
        <f ca="1">IF(NOTA[[#This Row],[ID_H]]="","",IF(NOTA[[#This Row],[Column3]]=TRUE,NOTA[[#This Row],[QTY/ CTN]],INDEX([3]!db[QTY/ CTN],NOTA[[#This Row],[//DB]])))</f>
        <v>192 LSN</v>
      </c>
      <c r="AT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0" s="39" t="e">
        <f ca="1">IF(NOTA[[#This Row],[ID_H]]="","",MATCH(NOTA[[#This Row],[NB NOTA_C_QTY]],[4]!db[NB NOTA_C_QTY+F],0))</f>
        <v>#REF!</v>
      </c>
      <c r="AV80" s="55">
        <f ca="1">IF(NOTA[[#This Row],[NB NOTA_C_QTY]]="","",ROW()-2)</f>
        <v>78</v>
      </c>
    </row>
    <row r="81" spans="1:48" ht="20.100000000000001" customHeight="1" x14ac:dyDescent="0.25">
      <c r="A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 t="str">
        <f ca="1">IF(NOTA[[#This Row],[NAMA BARANG]]="","",INDEX(NOTA[ID],MATCH(,INDIRECT(ADDRESS(ROW(NOTA[ID]),COLUMN(NOTA[ID]))&amp;":"&amp;ADDRESS(ROW(),COLUMN(NOTA[ID]))),-1)))</f>
        <v/>
      </c>
      <c r="E81" s="47"/>
      <c r="H81" s="48"/>
      <c r="N81" s="39"/>
      <c r="Q81" s="43"/>
      <c r="R81" s="49"/>
      <c r="S81" s="50"/>
      <c r="U81" s="51"/>
      <c r="V81" s="46"/>
      <c r="W81" s="51" t="str">
        <f>IF(NOTA[[#This Row],[HARGA/ CTN]]="",NOTA[[#This Row],[JUMLAH_H]],NOTA[[#This Row],[HARGA/ CTN]]*IF(NOTA[[#This Row],[C]]="",0,NOTA[[#This Row],[C]]))</f>
        <v/>
      </c>
      <c r="X81" s="51" t="str">
        <f>IF(NOTA[[#This Row],[JUMLAH]]="","",NOTA[[#This Row],[JUMLAH]]*NOTA[[#This Row],[DISC 1]])</f>
        <v/>
      </c>
      <c r="Y81" s="51" t="str">
        <f>IF(NOTA[[#This Row],[JUMLAH]]="","",(NOTA[[#This Row],[JUMLAH]]-NOTA[[#This Row],[DISC 1-]])*NOTA[[#This Row],[DISC 2]])</f>
        <v/>
      </c>
      <c r="Z81" s="51" t="str">
        <f>IF(NOTA[[#This Row],[JUMLAH]]="","",NOTA[[#This Row],[DISC 1-]]+NOTA[[#This Row],[DISC 2-]])</f>
        <v/>
      </c>
      <c r="AA81" s="51" t="str">
        <f>IF(NOTA[[#This Row],[JUMLAH]]="","",NOTA[[#This Row],[JUMLAH]]-NOTA[[#This Row],[DISC]])</f>
        <v/>
      </c>
      <c r="AB81" s="51"/>
      <c r="AC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1" t="str">
        <f>IF(OR(NOTA[[#This Row],[QTY]]="",NOTA[[#This Row],[HARGA SATUAN]]="",),"",NOTA[[#This Row],[QTY]]*NOTA[[#This Row],[HARGA SATUAN]])</f>
        <v/>
      </c>
      <c r="AG81" s="40" t="str">
        <f ca="1">IF(NOTA[ID_H]="","",INDEX(NOTA[TANGGAL],MATCH(,INDIRECT(ADDRESS(ROW(NOTA[TANGGAL]),COLUMN(NOTA[TANGGAL]))&amp;":"&amp;ADDRESS(ROW(),COLUMN(NOTA[TANGGAL]))),-1)))</f>
        <v/>
      </c>
      <c r="AH81" s="42" t="str">
        <f ca="1">IF(NOTA[[#This Row],[NAMA BARANG]]="","",INDEX(NOTA[SUPPLIER],MATCH(,INDIRECT(ADDRESS(ROW(NOTA[ID]),COLUMN(NOTA[ID]))&amp;":"&amp;ADDRESS(ROW(),COLUMN(NOTA[ID]))),-1)))</f>
        <v/>
      </c>
      <c r="AI81" s="42" t="str">
        <f ca="1">IF(NOTA[[#This Row],[ID_H]]="","",IF(NOTA[[#This Row],[FAKTUR]]="",INDIRECT(ADDRESS(ROW()-1,COLUMN())),NOTA[[#This Row],[FAKTUR]]))</f>
        <v/>
      </c>
      <c r="AJ81" s="39" t="str">
        <f ca="1">IF(NOTA[[#This Row],[ID]]="","",COUNTIF(NOTA[ID_H],NOTA[[#This Row],[ID_H]]))</f>
        <v/>
      </c>
      <c r="AK81" s="39" t="str">
        <f ca="1">IF(NOTA[[#This Row],[TGL.NOTA]]="",IF(NOTA[[#This Row],[SUPPLIER_H]]="","",AK80),MONTH(NOTA[[#This Row],[TGL.NOTA]]))</f>
        <v/>
      </c>
      <c r="AL81" s="39" t="str">
        <f>LOWER(SUBSTITUTE(SUBSTITUTE(SUBSTITUTE(SUBSTITUTE(SUBSTITUTE(SUBSTITUTE(SUBSTITUTE(SUBSTITUTE(SUBSTITUTE(NOTA[NAMA BARANG]," ",),".",""),"-",""),"(",""),")",""),",",""),"/",""),"""",""),"+",""))</f>
        <v/>
      </c>
      <c r="AM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9" t="str">
        <f>IF(NOTA[[#This Row],[CONCAT4]]="","",_xlfn.IFNA(MATCH(NOTA[[#This Row],[CONCAT4]],[2]!RAW[CONCAT_H],0),FALSE))</f>
        <v/>
      </c>
      <c r="AQ81" s="39" t="str">
        <f>IF(NOTA[[#This Row],[CONCAT1]]="","",MATCH(NOTA[[#This Row],[CONCAT1]],[3]!db[NB NOTA_C],0))</f>
        <v/>
      </c>
      <c r="AR81" s="39" t="str">
        <f>IF(NOTA[[#This Row],[QTY/ CTN]]="","",TRUE)</f>
        <v/>
      </c>
      <c r="AS81" s="39" t="str">
        <f ca="1">IF(NOTA[[#This Row],[ID_H]]="","",IF(NOTA[[#This Row],[Column3]]=TRUE,NOTA[[#This Row],[QTY/ CTN]],INDEX([3]!db[QTY/ CTN],NOTA[[#This Row],[//DB]])))</f>
        <v/>
      </c>
      <c r="AT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9" t="str">
        <f ca="1">IF(NOTA[[#This Row],[ID_H]]="","",MATCH(NOTA[[#This Row],[NB NOTA_C_QTY]],[4]!db[NB NOTA_C_QTY+F],0))</f>
        <v/>
      </c>
      <c r="AV81" s="55" t="str">
        <f ca="1">IF(NOTA[[#This Row],[NB NOTA_C_QTY]]="","",ROW()-2)</f>
        <v/>
      </c>
    </row>
    <row r="82" spans="1:48" ht="20.100000000000001" customHeight="1" x14ac:dyDescent="0.25">
      <c r="A82" s="42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39" t="e">
        <f ca="1">IF(NOTA[[#This Row],[ID_P]]="","",MATCH(NOTA[[#This Row],[ID_P]],[1]!B_MSK[N_ID],0))</f>
        <v>#REF!</v>
      </c>
      <c r="D82" s="39">
        <f ca="1">IF(NOTA[[#This Row],[NAMA BARANG]]="","",INDEX(NOTA[ID],MATCH(,INDIRECT(ADDRESS(ROW(NOTA[ID]),COLUMN(NOTA[ID]))&amp;":"&amp;ADDRESS(ROW(),COLUMN(NOTA[ID]))),-1)))</f>
        <v>21</v>
      </c>
      <c r="E82" s="47"/>
      <c r="F82" s="38" t="s">
        <v>227</v>
      </c>
      <c r="G82" s="38" t="s">
        <v>145</v>
      </c>
      <c r="H82" s="48" t="s">
        <v>230</v>
      </c>
      <c r="J82" s="40">
        <v>45107</v>
      </c>
      <c r="L82" s="38" t="s">
        <v>487</v>
      </c>
      <c r="M82" s="41">
        <v>50</v>
      </c>
      <c r="N82" s="39">
        <v>9600</v>
      </c>
      <c r="O82" s="38" t="s">
        <v>152</v>
      </c>
      <c r="P82" s="42">
        <v>11000</v>
      </c>
      <c r="Q82" s="43"/>
      <c r="R82" s="49" t="s">
        <v>229</v>
      </c>
      <c r="S82" s="50"/>
      <c r="U82" s="51"/>
      <c r="V82" s="46"/>
      <c r="W82" s="51">
        <f>IF(NOTA[[#This Row],[HARGA/ CTN]]="",NOTA[[#This Row],[JUMLAH_H]],NOTA[[#This Row],[HARGA/ CTN]]*IF(NOTA[[#This Row],[C]]="",0,NOTA[[#This Row],[C]]))</f>
        <v>105600000</v>
      </c>
      <c r="X82" s="51">
        <f>IF(NOTA[[#This Row],[JUMLAH]]="","",NOTA[[#This Row],[JUMLAH]]*NOTA[[#This Row],[DISC 1]])</f>
        <v>0</v>
      </c>
      <c r="Y82" s="51">
        <f>IF(NOTA[[#This Row],[JUMLAH]]="","",(NOTA[[#This Row],[JUMLAH]]-NOTA[[#This Row],[DISC 1-]])*NOTA[[#This Row],[DISC 2]])</f>
        <v>0</v>
      </c>
      <c r="Z82" s="51">
        <f>IF(NOTA[[#This Row],[JUMLAH]]="","",NOTA[[#This Row],[DISC 1-]]+NOTA[[#This Row],[DISC 2-]])</f>
        <v>0</v>
      </c>
      <c r="AA82" s="51">
        <f>IF(NOTA[[#This Row],[JUMLAH]]="","",NOTA[[#This Row],[JUMLAH]]-NOTA[[#This Row],[DISC]])</f>
        <v>105600000</v>
      </c>
      <c r="AB82" s="51"/>
      <c r="AC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51">
        <f>IF(OR(NOTA[[#This Row],[QTY]]="",NOTA[[#This Row],[HARGA SATUAN]]="",),"",NOTA[[#This Row],[QTY]]*NOTA[[#This Row],[HARGA SATUAN]])</f>
        <v>105600000</v>
      </c>
      <c r="AG82" s="40">
        <f ca="1">IF(NOTA[ID_H]="","",INDEX(NOTA[TANGGAL],MATCH(,INDIRECT(ADDRESS(ROW(NOTA[TANGGAL]),COLUMN(NOTA[TANGGAL]))&amp;":"&amp;ADDRESS(ROW(),COLUMN(NOTA[TANGGAL]))),-1)))</f>
        <v>45112</v>
      </c>
      <c r="AH82" s="42" t="str">
        <f ca="1">IF(NOTA[[#This Row],[NAMA BARANG]]="","",INDEX(NOTA[SUPPLIER],MATCH(,INDIRECT(ADDRESS(ROW(NOTA[ID]),COLUMN(NOTA[ID]))&amp;":"&amp;ADDRESS(ROW(),COLUMN(NOTA[ID]))),-1)))</f>
        <v>MSI</v>
      </c>
      <c r="AI82" s="42" t="str">
        <f ca="1">IF(NOTA[[#This Row],[ID_H]]="","",IF(NOTA[[#This Row],[FAKTUR]]="",INDIRECT(ADDRESS(ROW()-1,COLUMN())),NOTA[[#This Row],[FAKTUR]]))</f>
        <v>UNTANA</v>
      </c>
      <c r="AJ82" s="39">
        <f ca="1">IF(NOTA[[#This Row],[ID]]="","",COUNTIF(NOTA[ID_H],NOTA[[#This Row],[ID_H]]))</f>
        <v>1</v>
      </c>
      <c r="AK82" s="39">
        <f>IF(NOTA[[#This Row],[TGL.NOTA]]="",IF(NOTA[[#This Row],[SUPPLIER_H]]="","",AK81),MONTH(NOTA[[#This Row],[TGL.NOTA]]))</f>
        <v>6</v>
      </c>
      <c r="AL82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2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MSIUNTANA23/VI/54845107gelpenzuizhuahy1020hitam</v>
      </c>
      <c r="AP82" s="39" t="e">
        <f>IF(NOTA[[#This Row],[CONCAT4]]="","",_xlfn.IFNA(MATCH(NOTA[[#This Row],[CONCAT4]],[2]!RAW[CONCAT_H],0),FALSE))</f>
        <v>#REF!</v>
      </c>
      <c r="AQ82" s="39">
        <f>IF(NOTA[[#This Row],[CONCAT1]]="","",MATCH(NOTA[[#This Row],[CONCAT1]],[3]!db[NB NOTA_C],0))</f>
        <v>620</v>
      </c>
      <c r="AR82" s="39" t="b">
        <f>IF(NOTA[[#This Row],[QTY/ CTN]]="","",TRUE)</f>
        <v>1</v>
      </c>
      <c r="AS82" s="39" t="str">
        <f ca="1">IF(NOTA[[#This Row],[ID_H]]="","",IF(NOTA[[#This Row],[Column3]]=TRUE,NOTA[[#This Row],[QTY/ CTN]],INDEX([3]!db[QTY/ CTN],NOTA[[#This Row],[//DB]])))</f>
        <v>192 LSN</v>
      </c>
      <c r="AT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2" s="39" t="e">
        <f ca="1">IF(NOTA[[#This Row],[ID_H]]="","",MATCH(NOTA[[#This Row],[NB NOTA_C_QTY]],[4]!db[NB NOTA_C_QTY+F],0))</f>
        <v>#REF!</v>
      </c>
      <c r="AV82" s="55">
        <f ca="1">IF(NOTA[[#This Row],[NB NOTA_C_QTY]]="","",ROW()-2)</f>
        <v>80</v>
      </c>
    </row>
    <row r="83" spans="1:48" ht="20.100000000000001" customHeight="1" x14ac:dyDescent="0.25">
      <c r="A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9" t="str">
        <f>IF(NOTA[[#This Row],[ID_P]]="","",MATCH(NOTA[[#This Row],[ID_P]],[1]!B_MSK[N_ID],0))</f>
        <v/>
      </c>
      <c r="D83" s="39" t="str">
        <f ca="1">IF(NOTA[[#This Row],[NAMA BARANG]]="","",INDEX(NOTA[ID],MATCH(,INDIRECT(ADDRESS(ROW(NOTA[ID]),COLUMN(NOTA[ID]))&amp;":"&amp;ADDRESS(ROW(),COLUMN(NOTA[ID]))),-1)))</f>
        <v/>
      </c>
      <c r="E83" s="47"/>
      <c r="H83" s="48"/>
      <c r="N83" s="39"/>
      <c r="Q83" s="43"/>
      <c r="R83" s="49"/>
      <c r="S83" s="50"/>
      <c r="U83" s="51"/>
      <c r="V83" s="46"/>
      <c r="W83" s="51" t="str">
        <f>IF(NOTA[[#This Row],[HARGA/ CTN]]="",NOTA[[#This Row],[JUMLAH_H]],NOTA[[#This Row],[HARGA/ CTN]]*IF(NOTA[[#This Row],[C]]="",0,NOTA[[#This Row],[C]]))</f>
        <v/>
      </c>
      <c r="X83" s="51" t="str">
        <f>IF(NOTA[[#This Row],[JUMLAH]]="","",NOTA[[#This Row],[JUMLAH]]*NOTA[[#This Row],[DISC 1]])</f>
        <v/>
      </c>
      <c r="Y83" s="51" t="str">
        <f>IF(NOTA[[#This Row],[JUMLAH]]="","",(NOTA[[#This Row],[JUMLAH]]-NOTA[[#This Row],[DISC 1-]])*NOTA[[#This Row],[DISC 2]])</f>
        <v/>
      </c>
      <c r="Z83" s="51" t="str">
        <f>IF(NOTA[[#This Row],[JUMLAH]]="","",NOTA[[#This Row],[DISC 1-]]+NOTA[[#This Row],[DISC 2-]])</f>
        <v/>
      </c>
      <c r="AA83" s="51" t="str">
        <f>IF(NOTA[[#This Row],[JUMLAH]]="","",NOTA[[#This Row],[JUMLAH]]-NOTA[[#This Row],[DISC]])</f>
        <v/>
      </c>
      <c r="AB83" s="51"/>
      <c r="AC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1" t="str">
        <f>IF(OR(NOTA[[#This Row],[QTY]]="",NOTA[[#This Row],[HARGA SATUAN]]="",),"",NOTA[[#This Row],[QTY]]*NOTA[[#This Row],[HARGA SATUAN]])</f>
        <v/>
      </c>
      <c r="AG83" s="40" t="str">
        <f ca="1">IF(NOTA[ID_H]="","",INDEX(NOTA[TANGGAL],MATCH(,INDIRECT(ADDRESS(ROW(NOTA[TANGGAL]),COLUMN(NOTA[TANGGAL]))&amp;":"&amp;ADDRESS(ROW(),COLUMN(NOTA[TANGGAL]))),-1)))</f>
        <v/>
      </c>
      <c r="AH83" s="42" t="str">
        <f ca="1">IF(NOTA[[#This Row],[NAMA BARANG]]="","",INDEX(NOTA[SUPPLIER],MATCH(,INDIRECT(ADDRESS(ROW(NOTA[ID]),COLUMN(NOTA[ID]))&amp;":"&amp;ADDRESS(ROW(),COLUMN(NOTA[ID]))),-1)))</f>
        <v/>
      </c>
      <c r="AI83" s="42" t="str">
        <f ca="1">IF(NOTA[[#This Row],[ID_H]]="","",IF(NOTA[[#This Row],[FAKTUR]]="",INDIRECT(ADDRESS(ROW()-1,COLUMN())),NOTA[[#This Row],[FAKTUR]]))</f>
        <v/>
      </c>
      <c r="AJ83" s="39" t="str">
        <f ca="1">IF(NOTA[[#This Row],[ID]]="","",COUNTIF(NOTA[ID_H],NOTA[[#This Row],[ID_H]]))</f>
        <v/>
      </c>
      <c r="AK83" s="39" t="str">
        <f ca="1">IF(NOTA[[#This Row],[TGL.NOTA]]="",IF(NOTA[[#This Row],[SUPPLIER_H]]="","",AK82),MONTH(NOTA[[#This Row],[TGL.NOTA]]))</f>
        <v/>
      </c>
      <c r="AL83" s="39" t="str">
        <f>LOWER(SUBSTITUTE(SUBSTITUTE(SUBSTITUTE(SUBSTITUTE(SUBSTITUTE(SUBSTITUTE(SUBSTITUTE(SUBSTITUTE(SUBSTITUTE(NOTA[NAMA BARANG]," ",),".",""),"-",""),"(",""),")",""),",",""),"/",""),"""",""),"+",""))</f>
        <v/>
      </c>
      <c r="AM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9" t="str">
        <f>IF(NOTA[[#This Row],[CONCAT4]]="","",_xlfn.IFNA(MATCH(NOTA[[#This Row],[CONCAT4]],[2]!RAW[CONCAT_H],0),FALSE))</f>
        <v/>
      </c>
      <c r="AQ83" s="39" t="str">
        <f>IF(NOTA[[#This Row],[CONCAT1]]="","",MATCH(NOTA[[#This Row],[CONCAT1]],[3]!db[NB NOTA_C],0))</f>
        <v/>
      </c>
      <c r="AR83" s="39" t="str">
        <f>IF(NOTA[[#This Row],[QTY/ CTN]]="","",TRUE)</f>
        <v/>
      </c>
      <c r="AS83" s="39" t="str">
        <f ca="1">IF(NOTA[[#This Row],[ID_H]]="","",IF(NOTA[[#This Row],[Column3]]=TRUE,NOTA[[#This Row],[QTY/ CTN]],INDEX([3]!db[QTY/ CTN],NOTA[[#This Row],[//DB]])))</f>
        <v/>
      </c>
      <c r="AT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9" t="str">
        <f ca="1">IF(NOTA[[#This Row],[ID_H]]="","",MATCH(NOTA[[#This Row],[NB NOTA_C_QTY]],[4]!db[NB NOTA_C_QTY+F],0))</f>
        <v/>
      </c>
      <c r="AV83" s="55" t="str">
        <f ca="1">IF(NOTA[[#This Row],[NB NOTA_C_QTY]]="","",ROW()-2)</f>
        <v/>
      </c>
    </row>
    <row r="84" spans="1:48" ht="20.100000000000001" customHeight="1" x14ac:dyDescent="0.25">
      <c r="A84" s="42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39" t="e">
        <f ca="1">IF(NOTA[[#This Row],[ID_P]]="","",MATCH(NOTA[[#This Row],[ID_P]],[1]!B_MSK[N_ID],0))</f>
        <v>#REF!</v>
      </c>
      <c r="D84" s="39">
        <f ca="1">IF(NOTA[[#This Row],[NAMA BARANG]]="","",INDEX(NOTA[ID],MATCH(,INDIRECT(ADDRESS(ROW(NOTA[ID]),COLUMN(NOTA[ID]))&amp;":"&amp;ADDRESS(ROW(),COLUMN(NOTA[ID]))),-1)))</f>
        <v>22</v>
      </c>
      <c r="E84" s="47"/>
      <c r="F84" s="38" t="s">
        <v>227</v>
      </c>
      <c r="G84" s="38" t="s">
        <v>145</v>
      </c>
      <c r="H84" s="48" t="s">
        <v>231</v>
      </c>
      <c r="J84" s="40">
        <v>45107</v>
      </c>
      <c r="L84" s="38" t="s">
        <v>232</v>
      </c>
      <c r="M84" s="41">
        <v>15</v>
      </c>
      <c r="N84" s="39">
        <v>24000</v>
      </c>
      <c r="O84" s="38" t="s">
        <v>210</v>
      </c>
      <c r="P84" s="42">
        <v>1500</v>
      </c>
      <c r="Q84" s="43"/>
      <c r="R84" s="49" t="s">
        <v>233</v>
      </c>
      <c r="S84" s="50"/>
      <c r="U84" s="51"/>
      <c r="V84" s="46"/>
      <c r="W84" s="51">
        <f>IF(NOTA[[#This Row],[HARGA/ CTN]]="",NOTA[[#This Row],[JUMLAH_H]],NOTA[[#This Row],[HARGA/ CTN]]*IF(NOTA[[#This Row],[C]]="",0,NOTA[[#This Row],[C]]))</f>
        <v>36000000</v>
      </c>
      <c r="X84" s="51">
        <f>IF(NOTA[[#This Row],[JUMLAH]]="","",NOTA[[#This Row],[JUMLAH]]*NOTA[[#This Row],[DISC 1]])</f>
        <v>0</v>
      </c>
      <c r="Y84" s="51">
        <f>IF(NOTA[[#This Row],[JUMLAH]]="","",(NOTA[[#This Row],[JUMLAH]]-NOTA[[#This Row],[DISC 1-]])*NOTA[[#This Row],[DISC 2]])</f>
        <v>0</v>
      </c>
      <c r="Z84" s="51">
        <f>IF(NOTA[[#This Row],[JUMLAH]]="","",NOTA[[#This Row],[DISC 1-]]+NOTA[[#This Row],[DISC 2-]])</f>
        <v>0</v>
      </c>
      <c r="AA84" s="51">
        <f>IF(NOTA[[#This Row],[JUMLAH]]="","",NOTA[[#This Row],[JUMLAH]]-NOTA[[#This Row],[DISC]])</f>
        <v>36000000</v>
      </c>
      <c r="AB84" s="51"/>
      <c r="AC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51">
        <f>IF(OR(NOTA[[#This Row],[QTY]]="",NOTA[[#This Row],[HARGA SATUAN]]="",),"",NOTA[[#This Row],[QTY]]*NOTA[[#This Row],[HARGA SATUAN]])</f>
        <v>36000000</v>
      </c>
      <c r="AG84" s="40">
        <f ca="1">IF(NOTA[ID_H]="","",INDEX(NOTA[TANGGAL],MATCH(,INDIRECT(ADDRESS(ROW(NOTA[TANGGAL]),COLUMN(NOTA[TANGGAL]))&amp;":"&amp;ADDRESS(ROW(),COLUMN(NOTA[TANGGAL]))),-1)))</f>
        <v>45112</v>
      </c>
      <c r="AH84" s="42" t="str">
        <f ca="1">IF(NOTA[[#This Row],[NAMA BARANG]]="","",INDEX(NOTA[SUPPLIER],MATCH(,INDIRECT(ADDRESS(ROW(NOTA[ID]),COLUMN(NOTA[ID]))&amp;":"&amp;ADDRESS(ROW(),COLUMN(NOTA[ID]))),-1)))</f>
        <v>MSI</v>
      </c>
      <c r="AI84" s="42" t="str">
        <f ca="1">IF(NOTA[[#This Row],[ID_H]]="","",IF(NOTA[[#This Row],[FAKTUR]]="",INDIRECT(ADDRESS(ROW()-1,COLUMN())),NOTA[[#This Row],[FAKTUR]]))</f>
        <v>UNTANA</v>
      </c>
      <c r="AJ84" s="39">
        <f ca="1">IF(NOTA[[#This Row],[ID]]="","",COUNTIF(NOTA[ID_H],NOTA[[#This Row],[ID_H]]))</f>
        <v>1</v>
      </c>
      <c r="AK84" s="39">
        <f>IF(NOTA[[#This Row],[TGL.NOTA]]="",IF(NOTA[[#This Row],[SUPPLIER_H]]="","",AK83),MONTH(NOTA[[#This Row],[TGL.NOTA]]))</f>
        <v>6</v>
      </c>
      <c r="AL84" s="39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39" t="e">
        <f>IF(NOTA[[#This Row],[CONCAT4]]="","",_xlfn.IFNA(MATCH(NOTA[[#This Row],[CONCAT4]],[2]!RAW[CONCAT_H],0),FALSE))</f>
        <v>#REF!</v>
      </c>
      <c r="AQ84" s="39">
        <f>IF(NOTA[[#This Row],[CONCAT1]]="","",MATCH(NOTA[[#This Row],[CONCAT1]],[3]!db[NB NOTA_C],0))</f>
        <v>2364</v>
      </c>
      <c r="AR84" s="39" t="b">
        <f>IF(NOTA[[#This Row],[QTY/ CTN]]="","",TRUE)</f>
        <v>1</v>
      </c>
      <c r="AS84" s="39" t="str">
        <f ca="1">IF(NOTA[[#This Row],[ID_H]]="","",IF(NOTA[[#This Row],[Column3]]=TRUE,NOTA[[#This Row],[QTY/ CTN]],INDEX([3]!db[QTY/ CTN],NOTA[[#This Row],[//DB]])))</f>
        <v>1600 PAK</v>
      </c>
      <c r="AT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refillisipencilbensialantu11321600pakuntana</v>
      </c>
      <c r="AU84" s="39" t="e">
        <f ca="1">IF(NOTA[[#This Row],[ID_H]]="","",MATCH(NOTA[[#This Row],[NB NOTA_C_QTY]],[4]!db[NB NOTA_C_QTY+F],0))</f>
        <v>#REF!</v>
      </c>
      <c r="AV84" s="55">
        <f ca="1">IF(NOTA[[#This Row],[NB NOTA_C_QTY]]="","",ROW()-2)</f>
        <v>82</v>
      </c>
    </row>
    <row r="85" spans="1:48" ht="20.100000000000001" customHeight="1" x14ac:dyDescent="0.25">
      <c r="A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 t="str">
        <f ca="1">IF(NOTA[[#This Row],[NAMA BARANG]]="","",INDEX(NOTA[ID],MATCH(,INDIRECT(ADDRESS(ROW(NOTA[ID]),COLUMN(NOTA[ID]))&amp;":"&amp;ADDRESS(ROW(),COLUMN(NOTA[ID]))),-1)))</f>
        <v/>
      </c>
      <c r="E85" s="47"/>
      <c r="H85" s="48"/>
      <c r="N85" s="39"/>
      <c r="Q85" s="43"/>
      <c r="R85" s="49"/>
      <c r="S85" s="50"/>
      <c r="U85" s="51"/>
      <c r="V85" s="46"/>
      <c r="W85" s="51" t="str">
        <f>IF(NOTA[[#This Row],[HARGA/ CTN]]="",NOTA[[#This Row],[JUMLAH_H]],NOTA[[#This Row],[HARGA/ CTN]]*IF(NOTA[[#This Row],[C]]="",0,NOTA[[#This Row],[C]]))</f>
        <v/>
      </c>
      <c r="X85" s="51" t="str">
        <f>IF(NOTA[[#This Row],[JUMLAH]]="","",NOTA[[#This Row],[JUMLAH]]*NOTA[[#This Row],[DISC 1]])</f>
        <v/>
      </c>
      <c r="Y85" s="51" t="str">
        <f>IF(NOTA[[#This Row],[JUMLAH]]="","",(NOTA[[#This Row],[JUMLAH]]-NOTA[[#This Row],[DISC 1-]])*NOTA[[#This Row],[DISC 2]])</f>
        <v/>
      </c>
      <c r="Z85" s="51" t="str">
        <f>IF(NOTA[[#This Row],[JUMLAH]]="","",NOTA[[#This Row],[DISC 1-]]+NOTA[[#This Row],[DISC 2-]])</f>
        <v/>
      </c>
      <c r="AA85" s="51" t="str">
        <f>IF(NOTA[[#This Row],[JUMLAH]]="","",NOTA[[#This Row],[JUMLAH]]-NOTA[[#This Row],[DISC]])</f>
        <v/>
      </c>
      <c r="AB85" s="51"/>
      <c r="AC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1" t="str">
        <f>IF(OR(NOTA[[#This Row],[QTY]]="",NOTA[[#This Row],[HARGA SATUAN]]="",),"",NOTA[[#This Row],[QTY]]*NOTA[[#This Row],[HARGA SATUAN]])</f>
        <v/>
      </c>
      <c r="AG85" s="40" t="str">
        <f ca="1">IF(NOTA[ID_H]="","",INDEX(NOTA[TANGGAL],MATCH(,INDIRECT(ADDRESS(ROW(NOTA[TANGGAL]),COLUMN(NOTA[TANGGAL]))&amp;":"&amp;ADDRESS(ROW(),COLUMN(NOTA[TANGGAL]))),-1)))</f>
        <v/>
      </c>
      <c r="AH85" s="42" t="str">
        <f ca="1">IF(NOTA[[#This Row],[NAMA BARANG]]="","",INDEX(NOTA[SUPPLIER],MATCH(,INDIRECT(ADDRESS(ROW(NOTA[ID]),COLUMN(NOTA[ID]))&amp;":"&amp;ADDRESS(ROW(),COLUMN(NOTA[ID]))),-1)))</f>
        <v/>
      </c>
      <c r="AI85" s="42" t="str">
        <f ca="1">IF(NOTA[[#This Row],[ID_H]]="","",IF(NOTA[[#This Row],[FAKTUR]]="",INDIRECT(ADDRESS(ROW()-1,COLUMN())),NOTA[[#This Row],[FAKTUR]]))</f>
        <v/>
      </c>
      <c r="AJ85" s="39" t="str">
        <f ca="1">IF(NOTA[[#This Row],[ID]]="","",COUNTIF(NOTA[ID_H],NOTA[[#This Row],[ID_H]]))</f>
        <v/>
      </c>
      <c r="AK85" s="39" t="str">
        <f ca="1">IF(NOTA[[#This Row],[TGL.NOTA]]="",IF(NOTA[[#This Row],[SUPPLIER_H]]="","",AK84),MONTH(NOTA[[#This Row],[TGL.NOTA]]))</f>
        <v/>
      </c>
      <c r="AL85" s="39" t="str">
        <f>LOWER(SUBSTITUTE(SUBSTITUTE(SUBSTITUTE(SUBSTITUTE(SUBSTITUTE(SUBSTITUTE(SUBSTITUTE(SUBSTITUTE(SUBSTITUTE(NOTA[NAMA BARANG]," ",),".",""),"-",""),"(",""),")",""),",",""),"/",""),"""",""),"+",""))</f>
        <v/>
      </c>
      <c r="AM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9" t="str">
        <f>IF(NOTA[[#This Row],[CONCAT4]]="","",_xlfn.IFNA(MATCH(NOTA[[#This Row],[CONCAT4]],[2]!RAW[CONCAT_H],0),FALSE))</f>
        <v/>
      </c>
      <c r="AQ85" s="39" t="str">
        <f>IF(NOTA[[#This Row],[CONCAT1]]="","",MATCH(NOTA[[#This Row],[CONCAT1]],[3]!db[NB NOTA_C],0))</f>
        <v/>
      </c>
      <c r="AR85" s="39" t="str">
        <f>IF(NOTA[[#This Row],[QTY/ CTN]]="","",TRUE)</f>
        <v/>
      </c>
      <c r="AS85" s="39" t="str">
        <f ca="1">IF(NOTA[[#This Row],[ID_H]]="","",IF(NOTA[[#This Row],[Column3]]=TRUE,NOTA[[#This Row],[QTY/ CTN]],INDEX([3]!db[QTY/ CTN],NOTA[[#This Row],[//DB]])))</f>
        <v/>
      </c>
      <c r="AT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9" t="str">
        <f ca="1">IF(NOTA[[#This Row],[ID_H]]="","",MATCH(NOTA[[#This Row],[NB NOTA_C_QTY]],[4]!db[NB NOTA_C_QTY+F],0))</f>
        <v/>
      </c>
      <c r="AV85" s="55" t="str">
        <f ca="1">IF(NOTA[[#This Row],[NB NOTA_C_QTY]]="","",ROW()-2)</f>
        <v/>
      </c>
    </row>
    <row r="86" spans="1:48" ht="20.100000000000001" customHeight="1" x14ac:dyDescent="0.25">
      <c r="A86" s="42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39" t="e">
        <f ca="1">IF(NOTA[[#This Row],[ID_P]]="","",MATCH(NOTA[[#This Row],[ID_P]],[1]!B_MSK[N_ID],0))</f>
        <v>#REF!</v>
      </c>
      <c r="D86" s="39">
        <f ca="1">IF(NOTA[[#This Row],[NAMA BARANG]]="","",INDEX(NOTA[ID],MATCH(,INDIRECT(ADDRESS(ROW(NOTA[ID]),COLUMN(NOTA[ID]))&amp;":"&amp;ADDRESS(ROW(),COLUMN(NOTA[ID]))),-1)))</f>
        <v>23</v>
      </c>
      <c r="E86" s="47">
        <v>45113</v>
      </c>
      <c r="F86" s="38" t="s">
        <v>56</v>
      </c>
      <c r="G86" s="38" t="s">
        <v>23</v>
      </c>
      <c r="H86" s="48" t="s">
        <v>139</v>
      </c>
      <c r="J86" s="40">
        <v>45110</v>
      </c>
      <c r="L86" s="38" t="s">
        <v>140</v>
      </c>
      <c r="M86" s="41">
        <v>10</v>
      </c>
      <c r="N86" s="39">
        <v>1920</v>
      </c>
      <c r="O86" s="38" t="s">
        <v>117</v>
      </c>
      <c r="P86" s="42">
        <v>9250</v>
      </c>
      <c r="Q86" s="43"/>
      <c r="R86" s="49" t="s">
        <v>141</v>
      </c>
      <c r="S86" s="50">
        <v>7.0000000000000007E-2</v>
      </c>
      <c r="U86" s="51"/>
      <c r="V86" s="46"/>
      <c r="W86" s="51">
        <f>IF(NOTA[[#This Row],[HARGA/ CTN]]="",NOTA[[#This Row],[JUMLAH_H]],NOTA[[#This Row],[HARGA/ CTN]]*IF(NOTA[[#This Row],[C]]="",0,NOTA[[#This Row],[C]]))</f>
        <v>17760000</v>
      </c>
      <c r="X86" s="51">
        <f>IF(NOTA[[#This Row],[JUMLAH]]="","",NOTA[[#This Row],[JUMLAH]]*NOTA[[#This Row],[DISC 1]])</f>
        <v>1243200.0000000002</v>
      </c>
      <c r="Y86" s="51">
        <f>IF(NOTA[[#This Row],[JUMLAH]]="","",(NOTA[[#This Row],[JUMLAH]]-NOTA[[#This Row],[DISC 1-]])*NOTA[[#This Row],[DISC 2]])</f>
        <v>0</v>
      </c>
      <c r="Z86" s="51">
        <f>IF(NOTA[[#This Row],[JUMLAH]]="","",NOTA[[#This Row],[DISC 1-]]+NOTA[[#This Row],[DISC 2-]])</f>
        <v>1243200.0000000002</v>
      </c>
      <c r="AA86" s="51">
        <f>IF(NOTA[[#This Row],[JUMLAH]]="","",NOTA[[#This Row],[JUMLAH]]-NOTA[[#This Row],[DISC]])</f>
        <v>16516800</v>
      </c>
      <c r="AB86" s="51"/>
      <c r="AC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51">
        <f>IF(OR(NOTA[[#This Row],[QTY]]="",NOTA[[#This Row],[HARGA SATUAN]]="",),"",NOTA[[#This Row],[QTY]]*NOTA[[#This Row],[HARGA SATUAN]])</f>
        <v>17760000</v>
      </c>
      <c r="AG86" s="40">
        <f ca="1">IF(NOTA[ID_H]="","",INDEX(NOTA[TANGGAL],MATCH(,INDIRECT(ADDRESS(ROW(NOTA[TANGGAL]),COLUMN(NOTA[TANGGAL]))&amp;":"&amp;ADDRESS(ROW(),COLUMN(NOTA[TANGGAL]))),-1)))</f>
        <v>45113</v>
      </c>
      <c r="AH86" s="42" t="str">
        <f ca="1">IF(NOTA[[#This Row],[NAMA BARANG]]="","",INDEX(NOTA[SUPPLIER],MATCH(,INDIRECT(ADDRESS(ROW(NOTA[ID]),COLUMN(NOTA[ID]))&amp;":"&amp;ADDRESS(ROW(),COLUMN(NOTA[ID]))),-1)))</f>
        <v>SAMUDERA ANGKASA JAYA</v>
      </c>
      <c r="AI86" s="42" t="str">
        <f ca="1">IF(NOTA[[#This Row],[ID_H]]="","",IF(NOTA[[#This Row],[FAKTUR]]="",INDIRECT(ADDRESS(ROW()-1,COLUMN())),NOTA[[#This Row],[FAKTUR]]))</f>
        <v>ARTO MORO</v>
      </c>
      <c r="AJ86" s="39">
        <f ca="1">IF(NOTA[[#This Row],[ID]]="","",COUNTIF(NOTA[ID_H],NOTA[[#This Row],[ID_H]]))</f>
        <v>3</v>
      </c>
      <c r="AK86" s="39">
        <f>IF(NOTA[[#This Row],[TGL.NOTA]]="",IF(NOTA[[#This Row],[SUPPLIER_H]]="","",AK85),MONTH(NOTA[[#This Row],[TGL.NOTA]]))</f>
        <v>7</v>
      </c>
      <c r="AL86" s="39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39" t="e">
        <f>IF(NOTA[[#This Row],[CONCAT4]]="","",_xlfn.IFNA(MATCH(NOTA[[#This Row],[CONCAT4]],[2]!RAW[CONCAT_H],0),FALSE))</f>
        <v>#REF!</v>
      </c>
      <c r="AQ86" s="39">
        <f>IF(NOTA[[#This Row],[CONCAT1]]="","",MATCH(NOTA[[#This Row],[CONCAT1]],[3]!db[NB NOTA_C],0))</f>
        <v>2010</v>
      </c>
      <c r="AR86" s="39" t="b">
        <f>IF(NOTA[[#This Row],[QTY/ CTN]]="","",TRUE)</f>
        <v>1</v>
      </c>
      <c r="AS86" s="39" t="str">
        <f ca="1">IF(NOTA[[#This Row],[ID_H]]="","",IF(NOTA[[#This Row],[Column3]]=TRUE,NOTA[[#This Row],[QTY/ CTN]],INDEX([3]!db[QTY/ CTN],NOTA[[#This Row],[//DB]])))</f>
        <v>192 PCS</v>
      </c>
      <c r="AT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pcmagfy682222*75192pcsartomoro</v>
      </c>
      <c r="AU86" s="39" t="e">
        <f ca="1">IF(NOTA[[#This Row],[ID_H]]="","",MATCH(NOTA[[#This Row],[NB NOTA_C_QTY]],[4]!db[NB NOTA_C_QTY+F],0))</f>
        <v>#REF!</v>
      </c>
      <c r="AV86" s="55">
        <f ca="1">IF(NOTA[[#This Row],[NB NOTA_C_QTY]]="","",ROW()-2)</f>
        <v>84</v>
      </c>
    </row>
    <row r="87" spans="1:48" ht="20.100000000000001" customHeight="1" x14ac:dyDescent="0.25">
      <c r="A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23</v>
      </c>
      <c r="E87" s="47"/>
      <c r="H87" s="48"/>
      <c r="L87" s="38" t="s">
        <v>142</v>
      </c>
      <c r="M87" s="41">
        <v>21</v>
      </c>
      <c r="N87" s="39">
        <v>4032</v>
      </c>
      <c r="O87" s="38" t="s">
        <v>117</v>
      </c>
      <c r="P87" s="42">
        <v>9250</v>
      </c>
      <c r="Q87" s="43"/>
      <c r="R87" s="49" t="s">
        <v>141</v>
      </c>
      <c r="S87" s="50">
        <v>7.0000000000000007E-2</v>
      </c>
      <c r="U87" s="51"/>
      <c r="V87" s="46"/>
      <c r="W87" s="51">
        <f>IF(NOTA[[#This Row],[HARGA/ CTN]]="",NOTA[[#This Row],[JUMLAH_H]],NOTA[[#This Row],[HARGA/ CTN]]*IF(NOTA[[#This Row],[C]]="",0,NOTA[[#This Row],[C]]))</f>
        <v>37296000</v>
      </c>
      <c r="X87" s="51">
        <f>IF(NOTA[[#This Row],[JUMLAH]]="","",NOTA[[#This Row],[JUMLAH]]*NOTA[[#This Row],[DISC 1]])</f>
        <v>2610720.0000000005</v>
      </c>
      <c r="Y87" s="51">
        <f>IF(NOTA[[#This Row],[JUMLAH]]="","",(NOTA[[#This Row],[JUMLAH]]-NOTA[[#This Row],[DISC 1-]])*NOTA[[#This Row],[DISC 2]])</f>
        <v>0</v>
      </c>
      <c r="Z87" s="51">
        <f>IF(NOTA[[#This Row],[JUMLAH]]="","",NOTA[[#This Row],[DISC 1-]]+NOTA[[#This Row],[DISC 2-]])</f>
        <v>2610720.0000000005</v>
      </c>
      <c r="AA87" s="51">
        <f>IF(NOTA[[#This Row],[JUMLAH]]="","",NOTA[[#This Row],[JUMLAH]]-NOTA[[#This Row],[DISC]])</f>
        <v>34685280</v>
      </c>
      <c r="AB87" s="51"/>
      <c r="AC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51">
        <f>IF(OR(NOTA[[#This Row],[QTY]]="",NOTA[[#This Row],[HARGA SATUAN]]="",),"",NOTA[[#This Row],[QTY]]*NOTA[[#This Row],[HARGA SATUAN]])</f>
        <v>37296000</v>
      </c>
      <c r="AG87" s="40">
        <f ca="1">IF(NOTA[ID_H]="","",INDEX(NOTA[TANGGAL],MATCH(,INDIRECT(ADDRESS(ROW(NOTA[TANGGAL]),COLUMN(NOTA[TANGGAL]))&amp;":"&amp;ADDRESS(ROW(),COLUMN(NOTA[TANGGAL]))),-1)))</f>
        <v>45113</v>
      </c>
      <c r="AH87" s="42" t="str">
        <f ca="1">IF(NOTA[[#This Row],[NAMA BARANG]]="","",INDEX(NOTA[SUPPLIER],MATCH(,INDIRECT(ADDRESS(ROW(NOTA[ID]),COLUMN(NOTA[ID]))&amp;":"&amp;ADDRESS(ROW(),COLUMN(NOTA[ID]))),-1)))</f>
        <v>SAMUDERA ANGKASA JAYA</v>
      </c>
      <c r="AI87" s="42" t="str">
        <f ca="1">IF(NOTA[[#This Row],[ID_H]]="","",IF(NOTA[[#This Row],[FAKTUR]]="",INDIRECT(ADDRESS(ROW()-1,COLUMN())),NOTA[[#This Row],[FAKTUR]]))</f>
        <v>ARTO MORO</v>
      </c>
      <c r="AJ87" s="39" t="str">
        <f ca="1">IF(NOTA[[#This Row],[ID]]="","",COUNTIF(NOTA[ID_H],NOTA[[#This Row],[ID_H]]))</f>
        <v/>
      </c>
      <c r="AK87" s="39">
        <f ca="1">IF(NOTA[[#This Row],[TGL.NOTA]]="",IF(NOTA[[#This Row],[SUPPLIER_H]]="","",AK86),MONTH(NOTA[[#This Row],[TGL.NOTA]]))</f>
        <v>7</v>
      </c>
      <c r="AL87" s="39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9" t="str">
        <f>IF(NOTA[[#This Row],[CONCAT4]]="","",_xlfn.IFNA(MATCH(NOTA[[#This Row],[CONCAT4]],[2]!RAW[CONCAT_H],0),FALSE))</f>
        <v/>
      </c>
      <c r="AQ87" s="39">
        <f>IF(NOTA[[#This Row],[CONCAT1]]="","",MATCH(NOTA[[#This Row],[CONCAT1]],[3]!db[NB NOTA_C],0))</f>
        <v>1995</v>
      </c>
      <c r="AR87" s="39" t="b">
        <f>IF(NOTA[[#This Row],[QTY/ CTN]]="","",TRUE)</f>
        <v>1</v>
      </c>
      <c r="AS87" s="39" t="str">
        <f ca="1">IF(NOTA[[#This Row],[ID_H]]="","",IF(NOTA[[#This Row],[Column3]]=TRUE,NOTA[[#This Row],[QTY/ CTN]],INDEX([3]!db[QTY/ CTN],NOTA[[#This Row],[//DB]])))</f>
        <v>192 PCS</v>
      </c>
      <c r="AT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pcmagc2755122*75192pcsartomoro</v>
      </c>
      <c r="AU87" s="39" t="e">
        <f ca="1">IF(NOTA[[#This Row],[ID_H]]="","",MATCH(NOTA[[#This Row],[NB NOTA_C_QTY]],[4]!db[NB NOTA_C_QTY+F],0))</f>
        <v>#REF!</v>
      </c>
      <c r="AV87" s="55">
        <f ca="1">IF(NOTA[[#This Row],[NB NOTA_C_QTY]]="","",ROW()-2)</f>
        <v>85</v>
      </c>
    </row>
    <row r="88" spans="1:48" ht="20.100000000000001" customHeight="1" x14ac:dyDescent="0.25">
      <c r="A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23</v>
      </c>
      <c r="E88" s="47"/>
      <c r="H88" s="48"/>
      <c r="L88" s="38" t="s">
        <v>143</v>
      </c>
      <c r="M88" s="41">
        <v>26</v>
      </c>
      <c r="N88" s="39">
        <v>4992</v>
      </c>
      <c r="O88" s="38" t="s">
        <v>117</v>
      </c>
      <c r="P88" s="42">
        <v>9500</v>
      </c>
      <c r="Q88" s="43"/>
      <c r="R88" s="49" t="s">
        <v>141</v>
      </c>
      <c r="S88" s="50">
        <v>7.0000000000000007E-2</v>
      </c>
      <c r="U88" s="51"/>
      <c r="V88" s="46"/>
      <c r="W88" s="51">
        <f>IF(NOTA[[#This Row],[HARGA/ CTN]]="",NOTA[[#This Row],[JUMLAH_H]],NOTA[[#This Row],[HARGA/ CTN]]*IF(NOTA[[#This Row],[C]]="",0,NOTA[[#This Row],[C]]))</f>
        <v>47424000</v>
      </c>
      <c r="X88" s="51">
        <f>IF(NOTA[[#This Row],[JUMLAH]]="","",NOTA[[#This Row],[JUMLAH]]*NOTA[[#This Row],[DISC 1]])</f>
        <v>3319680.0000000005</v>
      </c>
      <c r="Y88" s="51">
        <f>IF(NOTA[[#This Row],[JUMLAH]]="","",(NOTA[[#This Row],[JUMLAH]]-NOTA[[#This Row],[DISC 1-]])*NOTA[[#This Row],[DISC 2]])</f>
        <v>0</v>
      </c>
      <c r="Z88" s="51">
        <f>IF(NOTA[[#This Row],[JUMLAH]]="","",NOTA[[#This Row],[DISC 1-]]+NOTA[[#This Row],[DISC 2-]])</f>
        <v>3319680.0000000005</v>
      </c>
      <c r="AA88" s="51">
        <f>IF(NOTA[[#This Row],[JUMLAH]]="","",NOTA[[#This Row],[JUMLAH]]-NOTA[[#This Row],[DISC]])</f>
        <v>44104320</v>
      </c>
      <c r="AB88" s="51"/>
      <c r="AC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4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51">
        <f>IF(OR(NOTA[[#This Row],[QTY]]="",NOTA[[#This Row],[HARGA SATUAN]]="",),"",NOTA[[#This Row],[QTY]]*NOTA[[#This Row],[HARGA SATUAN]])</f>
        <v>47424000</v>
      </c>
      <c r="AG88" s="40">
        <f ca="1">IF(NOTA[ID_H]="","",INDEX(NOTA[TANGGAL],MATCH(,INDIRECT(ADDRESS(ROW(NOTA[TANGGAL]),COLUMN(NOTA[TANGGAL]))&amp;":"&amp;ADDRESS(ROW(),COLUMN(NOTA[TANGGAL]))),-1)))</f>
        <v>45113</v>
      </c>
      <c r="AH88" s="42" t="str">
        <f ca="1">IF(NOTA[[#This Row],[NAMA BARANG]]="","",INDEX(NOTA[SUPPLIER],MATCH(,INDIRECT(ADDRESS(ROW(NOTA[ID]),COLUMN(NOTA[ID]))&amp;":"&amp;ADDRESS(ROW(),COLUMN(NOTA[ID]))),-1)))</f>
        <v>SAMUDERA ANGKASA JAYA</v>
      </c>
      <c r="AI88" s="42" t="str">
        <f ca="1">IF(NOTA[[#This Row],[ID_H]]="","",IF(NOTA[[#This Row],[FAKTUR]]="",INDIRECT(ADDRESS(ROW()-1,COLUMN())),NOTA[[#This Row],[FAKTUR]]))</f>
        <v>ARTO MORO</v>
      </c>
      <c r="AJ88" s="39" t="str">
        <f ca="1">IF(NOTA[[#This Row],[ID]]="","",COUNTIF(NOTA[ID_H],NOTA[[#This Row],[ID_H]]))</f>
        <v/>
      </c>
      <c r="AK88" s="39">
        <f ca="1">IF(NOTA[[#This Row],[TGL.NOTA]]="",IF(NOTA[[#This Row],[SUPPLIER_H]]="","",AK87),MONTH(NOTA[[#This Row],[TGL.NOTA]]))</f>
        <v>7</v>
      </c>
      <c r="AL88" s="39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9" t="str">
        <f>IF(NOTA[[#This Row],[CONCAT4]]="","",_xlfn.IFNA(MATCH(NOTA[[#This Row],[CONCAT4]],[2]!RAW[CONCAT_H],0),FALSE))</f>
        <v/>
      </c>
      <c r="AQ88" s="39">
        <f>IF(NOTA[[#This Row],[CONCAT1]]="","",MATCH(NOTA[[#This Row],[CONCAT1]],[3]!db[NB NOTA_C],0))</f>
        <v>2030</v>
      </c>
      <c r="AR88" s="39" t="b">
        <f>IF(NOTA[[#This Row],[QTY/ CTN]]="","",TRUE)</f>
        <v>1</v>
      </c>
      <c r="AS88" s="39" t="str">
        <f ca="1">IF(NOTA[[#This Row],[ID_H]]="","",IF(NOTA[[#This Row],[Column3]]=TRUE,NOTA[[#This Row],[QTY/ CTN]],INDEX([3]!db[QTY/ CTN],NOTA[[#This Row],[//DB]])))</f>
        <v>192 PCS</v>
      </c>
      <c r="AT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pcmagjh220a23*85192pcsartomoro</v>
      </c>
      <c r="AU88" s="39" t="e">
        <f ca="1">IF(NOTA[[#This Row],[ID_H]]="","",MATCH(NOTA[[#This Row],[NB NOTA_C_QTY]],[4]!db[NB NOTA_C_QTY+F],0))</f>
        <v>#REF!</v>
      </c>
      <c r="AV88" s="55">
        <f ca="1">IF(NOTA[[#This Row],[NB NOTA_C_QTY]]="","",ROW()-2)</f>
        <v>86</v>
      </c>
    </row>
    <row r="89" spans="1:48" ht="20.100000000000001" customHeight="1" x14ac:dyDescent="0.25">
      <c r="A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47"/>
      <c r="H89" s="48"/>
      <c r="N89" s="39"/>
      <c r="Q89" s="43"/>
      <c r="R89" s="49"/>
      <c r="S89" s="50"/>
      <c r="U89" s="51"/>
      <c r="V89" s="46"/>
      <c r="W89" s="51" t="str">
        <f>IF(NOTA[[#This Row],[HARGA/ CTN]]="",NOTA[[#This Row],[JUMLAH_H]],NOTA[[#This Row],[HARGA/ CTN]]*IF(NOTA[[#This Row],[C]]="",0,NOTA[[#This Row],[C]]))</f>
        <v/>
      </c>
      <c r="X89" s="51" t="str">
        <f>IF(NOTA[[#This Row],[JUMLAH]]="","",NOTA[[#This Row],[JUMLAH]]*NOTA[[#This Row],[DISC 1]])</f>
        <v/>
      </c>
      <c r="Y89" s="51" t="str">
        <f>IF(NOTA[[#This Row],[JUMLAH]]="","",(NOTA[[#This Row],[JUMLAH]]-NOTA[[#This Row],[DISC 1-]])*NOTA[[#This Row],[DISC 2]])</f>
        <v/>
      </c>
      <c r="Z89" s="51" t="str">
        <f>IF(NOTA[[#This Row],[JUMLAH]]="","",NOTA[[#This Row],[DISC 1-]]+NOTA[[#This Row],[DISC 2-]])</f>
        <v/>
      </c>
      <c r="AA89" s="51" t="str">
        <f>IF(NOTA[[#This Row],[JUMLAH]]="","",NOTA[[#This Row],[JUMLAH]]-NOTA[[#This Row],[DISC]])</f>
        <v/>
      </c>
      <c r="AB89" s="51"/>
      <c r="AC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1" t="str">
        <f>IF(OR(NOTA[[#This Row],[QTY]]="",NOTA[[#This Row],[HARGA SATUAN]]="",),"",NOTA[[#This Row],[QTY]]*NOTA[[#This Row],[HARGA SATUAN]])</f>
        <v/>
      </c>
      <c r="AG89" s="40" t="str">
        <f ca="1">IF(NOTA[ID_H]="","",INDEX(NOTA[TANGGAL],MATCH(,INDIRECT(ADDRESS(ROW(NOTA[TANGGAL]),COLUMN(NOTA[TANGGAL]))&amp;":"&amp;ADDRESS(ROW(),COLUMN(NOTA[TANGGAL]))),-1)))</f>
        <v/>
      </c>
      <c r="AH89" s="42" t="str">
        <f ca="1">IF(NOTA[[#This Row],[NAMA BARANG]]="","",INDEX(NOTA[SUPPLIER],MATCH(,INDIRECT(ADDRESS(ROW(NOTA[ID]),COLUMN(NOTA[ID]))&amp;":"&amp;ADDRESS(ROW(),COLUMN(NOTA[ID]))),-1)))</f>
        <v/>
      </c>
      <c r="AI89" s="42" t="str">
        <f ca="1">IF(NOTA[[#This Row],[ID_H]]="","",IF(NOTA[[#This Row],[FAKTUR]]="",INDIRECT(ADDRESS(ROW()-1,COLUMN())),NOTA[[#This Row],[FAKTUR]]))</f>
        <v/>
      </c>
      <c r="AJ89" s="39" t="str">
        <f ca="1">IF(NOTA[[#This Row],[ID]]="","",COUNTIF(NOTA[ID_H],NOTA[[#This Row],[ID_H]]))</f>
        <v/>
      </c>
      <c r="AK89" s="39" t="str">
        <f ca="1">IF(NOTA[[#This Row],[TGL.NOTA]]="",IF(NOTA[[#This Row],[SUPPLIER_H]]="","",AK88),MONTH(NOTA[[#This Row],[TGL.NOTA]]))</f>
        <v/>
      </c>
      <c r="AL89" s="39" t="str">
        <f>LOWER(SUBSTITUTE(SUBSTITUTE(SUBSTITUTE(SUBSTITUTE(SUBSTITUTE(SUBSTITUTE(SUBSTITUTE(SUBSTITUTE(SUBSTITUTE(NOTA[NAMA BARANG]," ",),".",""),"-",""),"(",""),")",""),",",""),"/",""),"""",""),"+",""))</f>
        <v/>
      </c>
      <c r="AM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9" t="str">
        <f>IF(NOTA[[#This Row],[CONCAT4]]="","",_xlfn.IFNA(MATCH(NOTA[[#This Row],[CONCAT4]],[2]!RAW[CONCAT_H],0),FALSE))</f>
        <v/>
      </c>
      <c r="AQ89" s="39" t="str">
        <f>IF(NOTA[[#This Row],[CONCAT1]]="","",MATCH(NOTA[[#This Row],[CONCAT1]],[3]!db[NB NOTA_C],0))</f>
        <v/>
      </c>
      <c r="AR89" s="39" t="str">
        <f>IF(NOTA[[#This Row],[QTY/ CTN]]="","",TRUE)</f>
        <v/>
      </c>
      <c r="AS89" s="39" t="str">
        <f ca="1">IF(NOTA[[#This Row],[ID_H]]="","",IF(NOTA[[#This Row],[Column3]]=TRUE,NOTA[[#This Row],[QTY/ CTN]],INDEX([3]!db[QTY/ CTN],NOTA[[#This Row],[//DB]])))</f>
        <v/>
      </c>
      <c r="AT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9" t="str">
        <f ca="1">IF(NOTA[[#This Row],[ID_H]]="","",MATCH(NOTA[[#This Row],[NB NOTA_C_QTY]],[4]!db[NB NOTA_C_QTY+F],0))</f>
        <v/>
      </c>
      <c r="AV89" s="55" t="str">
        <f ca="1">IF(NOTA[[#This Row],[NB NOTA_C_QTY]]="","",ROW()-2)</f>
        <v/>
      </c>
    </row>
    <row r="90" spans="1:48" ht="20.100000000000001" customHeight="1" x14ac:dyDescent="0.25">
      <c r="A90" s="42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24</v>
      </c>
      <c r="E90" s="47"/>
      <c r="F90" s="38" t="s">
        <v>144</v>
      </c>
      <c r="G90" s="38" t="s">
        <v>145</v>
      </c>
      <c r="H90" s="48"/>
      <c r="J90" s="40">
        <v>45108</v>
      </c>
      <c r="L90" s="38" t="s">
        <v>146</v>
      </c>
      <c r="M90" s="41">
        <v>15</v>
      </c>
      <c r="N90" s="39">
        <v>2700</v>
      </c>
      <c r="O90" s="38" t="s">
        <v>117</v>
      </c>
      <c r="P90" s="42">
        <v>7555</v>
      </c>
      <c r="Q90" s="43"/>
      <c r="R90" s="49" t="s">
        <v>260</v>
      </c>
      <c r="S90" s="50">
        <v>0.1</v>
      </c>
      <c r="T90" s="45">
        <v>0.1</v>
      </c>
      <c r="U90" s="51"/>
      <c r="V90" s="46"/>
      <c r="W90" s="51">
        <f>IF(NOTA[[#This Row],[HARGA/ CTN]]="",NOTA[[#This Row],[JUMLAH_H]],NOTA[[#This Row],[HARGA/ CTN]]*IF(NOTA[[#This Row],[C]]="",0,NOTA[[#This Row],[C]]))</f>
        <v>20398500</v>
      </c>
      <c r="X90" s="51">
        <f>IF(NOTA[[#This Row],[JUMLAH]]="","",NOTA[[#This Row],[JUMLAH]]*NOTA[[#This Row],[DISC 1]])</f>
        <v>2039850</v>
      </c>
      <c r="Y90" s="51">
        <f>IF(NOTA[[#This Row],[JUMLAH]]="","",(NOTA[[#This Row],[JUMLAH]]-NOTA[[#This Row],[DISC 1-]])*NOTA[[#This Row],[DISC 2]])</f>
        <v>1835865</v>
      </c>
      <c r="Z90" s="51">
        <f>IF(NOTA[[#This Row],[JUMLAH]]="","",NOTA[[#This Row],[DISC 1-]]+NOTA[[#This Row],[DISC 2-]])</f>
        <v>3875715</v>
      </c>
      <c r="AA90" s="51">
        <f>IF(NOTA[[#This Row],[JUMLAH]]="","",NOTA[[#This Row],[JUMLAH]]-NOTA[[#This Row],[DISC]])</f>
        <v>16522785</v>
      </c>
      <c r="AB90" s="51"/>
      <c r="AC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51">
        <f>IF(OR(NOTA[[#This Row],[QTY]]="",NOTA[[#This Row],[HARGA SATUAN]]="",),"",NOTA[[#This Row],[QTY]]*NOTA[[#This Row],[HARGA SATUAN]])</f>
        <v>20398500</v>
      </c>
      <c r="AG90" s="40">
        <f ca="1">IF(NOTA[ID_H]="","",INDEX(NOTA[TANGGAL],MATCH(,INDIRECT(ADDRESS(ROW(NOTA[TANGGAL]),COLUMN(NOTA[TANGGAL]))&amp;":"&amp;ADDRESS(ROW(),COLUMN(NOTA[TANGGAL]))),-1)))</f>
        <v>45113</v>
      </c>
      <c r="AH90" s="42" t="str">
        <f ca="1">IF(NOTA[[#This Row],[NAMA BARANG]]="","",INDEX(NOTA[SUPPLIER],MATCH(,INDIRECT(ADDRESS(ROW(NOTA[ID]),COLUMN(NOTA[ID]))&amp;":"&amp;ADDRESS(ROW(),COLUMN(NOTA[ID]))),-1)))</f>
        <v>PARAMA</v>
      </c>
      <c r="AI90" s="42" t="str">
        <f ca="1">IF(NOTA[[#This Row],[ID_H]]="","",IF(NOTA[[#This Row],[FAKTUR]]="",INDIRECT(ADDRESS(ROW()-1,COLUMN())),NOTA[[#This Row],[FAKTUR]]))</f>
        <v>UNTANA</v>
      </c>
      <c r="AJ90" s="39">
        <f ca="1">IF(NOTA[[#This Row],[ID]]="","",COUNTIF(NOTA[ID_H],NOTA[[#This Row],[ID_H]]))</f>
        <v>1</v>
      </c>
      <c r="AK90" s="39">
        <f>IF(NOTA[[#This Row],[TGL.NOTA]]="",IF(NOTA[[#This Row],[SUPPLIER_H]]="","",AK89),MONTH(NOTA[[#This Row],[TGL.NOTA]]))</f>
        <v>7</v>
      </c>
      <c r="AL90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39" t="e">
        <f>IF(NOTA[[#This Row],[CONCAT4]]="","",_xlfn.IFNA(MATCH(NOTA[[#This Row],[CONCAT4]],[2]!RAW[CONCAT_H],0),FALSE))</f>
        <v>#REF!</v>
      </c>
      <c r="AQ90" s="39">
        <f>IF(NOTA[[#This Row],[CONCAT1]]="","",MATCH(NOTA[[#This Row],[CONCAT1]],[3]!db[NB NOTA_C],0))</f>
        <v>2367</v>
      </c>
      <c r="AR90" s="39" t="b">
        <f>IF(NOTA[[#This Row],[QTY/ CTN]]="","",TRUE)</f>
        <v>1</v>
      </c>
      <c r="AS90" s="39" t="str">
        <f ca="1">IF(NOTA[[#This Row],[ID_H]]="","",IF(NOTA[[#This Row],[Column3]]=TRUE,NOTA[[#This Row],[QTY/ CTN]],INDEX([3]!db[QTY/ CTN],NOTA[[#This Row],[//DB]])))</f>
        <v>180 PCS</v>
      </c>
      <c r="AT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90" s="39" t="e">
        <f ca="1">IF(NOTA[[#This Row],[ID_H]]="","",MATCH(NOTA[[#This Row],[NB NOTA_C_QTY]],[4]!db[NB NOTA_C_QTY+F],0))</f>
        <v>#REF!</v>
      </c>
      <c r="AV90" s="55">
        <f ca="1">IF(NOTA[[#This Row],[NB NOTA_C_QTY]]="","",ROW()-2)</f>
        <v>88</v>
      </c>
    </row>
    <row r="91" spans="1:48" ht="20.100000000000001" customHeight="1" x14ac:dyDescent="0.25">
      <c r="A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 t="str">
        <f ca="1">IF(NOTA[[#This Row],[NAMA BARANG]]="","",INDEX(NOTA[ID],MATCH(,INDIRECT(ADDRESS(ROW(NOTA[ID]),COLUMN(NOTA[ID]))&amp;":"&amp;ADDRESS(ROW(),COLUMN(NOTA[ID]))),-1)))</f>
        <v/>
      </c>
      <c r="E91" s="47"/>
      <c r="H91" s="48"/>
      <c r="N91" s="39"/>
      <c r="Q91" s="43"/>
      <c r="R91" s="49"/>
      <c r="S91" s="50"/>
      <c r="U91" s="51"/>
      <c r="V91" s="46"/>
      <c r="W91" s="51" t="str">
        <f>IF(NOTA[[#This Row],[HARGA/ CTN]]="",NOTA[[#This Row],[JUMLAH_H]],NOTA[[#This Row],[HARGA/ CTN]]*IF(NOTA[[#This Row],[C]]="",0,NOTA[[#This Row],[C]]))</f>
        <v/>
      </c>
      <c r="X91" s="51" t="str">
        <f>IF(NOTA[[#This Row],[JUMLAH]]="","",NOTA[[#This Row],[JUMLAH]]*NOTA[[#This Row],[DISC 1]])</f>
        <v/>
      </c>
      <c r="Y91" s="51" t="str">
        <f>IF(NOTA[[#This Row],[JUMLAH]]="","",(NOTA[[#This Row],[JUMLAH]]-NOTA[[#This Row],[DISC 1-]])*NOTA[[#This Row],[DISC 2]])</f>
        <v/>
      </c>
      <c r="Z91" s="51" t="str">
        <f>IF(NOTA[[#This Row],[JUMLAH]]="","",NOTA[[#This Row],[DISC 1-]]+NOTA[[#This Row],[DISC 2-]])</f>
        <v/>
      </c>
      <c r="AA91" s="51" t="str">
        <f>IF(NOTA[[#This Row],[JUMLAH]]="","",NOTA[[#This Row],[JUMLAH]]-NOTA[[#This Row],[DISC]])</f>
        <v/>
      </c>
      <c r="AB91" s="51"/>
      <c r="AC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1" t="str">
        <f>IF(OR(NOTA[[#This Row],[QTY]]="",NOTA[[#This Row],[HARGA SATUAN]]="",),"",NOTA[[#This Row],[QTY]]*NOTA[[#This Row],[HARGA SATUAN]])</f>
        <v/>
      </c>
      <c r="AG91" s="40" t="str">
        <f ca="1">IF(NOTA[ID_H]="","",INDEX(NOTA[TANGGAL],MATCH(,INDIRECT(ADDRESS(ROW(NOTA[TANGGAL]),COLUMN(NOTA[TANGGAL]))&amp;":"&amp;ADDRESS(ROW(),COLUMN(NOTA[TANGGAL]))),-1)))</f>
        <v/>
      </c>
      <c r="AH91" s="42" t="str">
        <f ca="1">IF(NOTA[[#This Row],[NAMA BARANG]]="","",INDEX(NOTA[SUPPLIER],MATCH(,INDIRECT(ADDRESS(ROW(NOTA[ID]),COLUMN(NOTA[ID]))&amp;":"&amp;ADDRESS(ROW(),COLUMN(NOTA[ID]))),-1)))</f>
        <v/>
      </c>
      <c r="AI91" s="42" t="str">
        <f ca="1">IF(NOTA[[#This Row],[ID_H]]="","",IF(NOTA[[#This Row],[FAKTUR]]="",INDIRECT(ADDRESS(ROW()-1,COLUMN())),NOTA[[#This Row],[FAKTUR]]))</f>
        <v/>
      </c>
      <c r="AJ91" s="39" t="str">
        <f ca="1">IF(NOTA[[#This Row],[ID]]="","",COUNTIF(NOTA[ID_H],NOTA[[#This Row],[ID_H]]))</f>
        <v/>
      </c>
      <c r="AK91" s="39" t="str">
        <f ca="1">IF(NOTA[[#This Row],[TGL.NOTA]]="",IF(NOTA[[#This Row],[SUPPLIER_H]]="","",AK90),MONTH(NOTA[[#This Row],[TGL.NOTA]]))</f>
        <v/>
      </c>
      <c r="AL91" s="39" t="str">
        <f>LOWER(SUBSTITUTE(SUBSTITUTE(SUBSTITUTE(SUBSTITUTE(SUBSTITUTE(SUBSTITUTE(SUBSTITUTE(SUBSTITUTE(SUBSTITUTE(NOTA[NAMA BARANG]," ",),".",""),"-",""),"(",""),")",""),",",""),"/",""),"""",""),"+",""))</f>
        <v/>
      </c>
      <c r="AM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9" t="str">
        <f>IF(NOTA[[#This Row],[CONCAT4]]="","",_xlfn.IFNA(MATCH(NOTA[[#This Row],[CONCAT4]],[2]!RAW[CONCAT_H],0),FALSE))</f>
        <v/>
      </c>
      <c r="AQ91" s="39" t="str">
        <f>IF(NOTA[[#This Row],[CONCAT1]]="","",MATCH(NOTA[[#This Row],[CONCAT1]],[3]!db[NB NOTA_C],0))</f>
        <v/>
      </c>
      <c r="AR91" s="39" t="str">
        <f>IF(NOTA[[#This Row],[QTY/ CTN]]="","",TRUE)</f>
        <v/>
      </c>
      <c r="AS91" s="39" t="str">
        <f ca="1">IF(NOTA[[#This Row],[ID_H]]="","",IF(NOTA[[#This Row],[Column3]]=TRUE,NOTA[[#This Row],[QTY/ CTN]],INDEX([3]!db[QTY/ CTN],NOTA[[#This Row],[//DB]])))</f>
        <v/>
      </c>
      <c r="AT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9" t="str">
        <f ca="1">IF(NOTA[[#This Row],[ID_H]]="","",MATCH(NOTA[[#This Row],[NB NOTA_C_QTY]],[4]!db[NB NOTA_C_QTY+F],0))</f>
        <v/>
      </c>
      <c r="AV91" s="55" t="str">
        <f ca="1">IF(NOTA[[#This Row],[NB NOTA_C_QTY]]="","",ROW()-2)</f>
        <v/>
      </c>
    </row>
    <row r="92" spans="1:48" ht="20.100000000000001" customHeight="1" x14ac:dyDescent="0.25">
      <c r="A92" s="42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39" t="e">
        <f ca="1">IF(NOTA[[#This Row],[ID_P]]="","",MATCH(NOTA[[#This Row],[ID_P]],[1]!B_MSK[N_ID],0))</f>
        <v>#REF!</v>
      </c>
      <c r="D92" s="39">
        <f ca="1">IF(NOTA[[#This Row],[NAMA BARANG]]="","",INDEX(NOTA[ID],MATCH(,INDIRECT(ADDRESS(ROW(NOTA[ID]),COLUMN(NOTA[ID]))&amp;":"&amp;ADDRESS(ROW(),COLUMN(NOTA[ID]))),-1)))</f>
        <v>25</v>
      </c>
      <c r="E92" s="47">
        <v>45113</v>
      </c>
      <c r="F92" s="38" t="s">
        <v>193</v>
      </c>
      <c r="G92" s="38" t="s">
        <v>145</v>
      </c>
      <c r="H92" s="48" t="s">
        <v>194</v>
      </c>
      <c r="J92" s="40">
        <v>45113</v>
      </c>
      <c r="L92" s="38" t="s">
        <v>195</v>
      </c>
      <c r="N92" s="39">
        <v>12</v>
      </c>
      <c r="O92" s="38" t="s">
        <v>117</v>
      </c>
      <c r="P92" s="42">
        <v>4550</v>
      </c>
      <c r="Q92" s="43"/>
      <c r="R92" s="49"/>
      <c r="S92" s="50"/>
      <c r="U92" s="51"/>
      <c r="V92" s="46"/>
      <c r="W92" s="51">
        <f>IF(NOTA[[#This Row],[HARGA/ CTN]]="",NOTA[[#This Row],[JUMLAH_H]],NOTA[[#This Row],[HARGA/ CTN]]*IF(NOTA[[#This Row],[C]]="",0,NOTA[[#This Row],[C]]))</f>
        <v>54600</v>
      </c>
      <c r="X92" s="51">
        <f>IF(NOTA[[#This Row],[JUMLAH]]="","",NOTA[[#This Row],[JUMLAH]]*NOTA[[#This Row],[DISC 1]])</f>
        <v>0</v>
      </c>
      <c r="Y92" s="51">
        <f>IF(NOTA[[#This Row],[JUMLAH]]="","",(NOTA[[#This Row],[JUMLAH]]-NOTA[[#This Row],[DISC 1-]])*NOTA[[#This Row],[DISC 2]])</f>
        <v>0</v>
      </c>
      <c r="Z92" s="51">
        <f>IF(NOTA[[#This Row],[JUMLAH]]="","",NOTA[[#This Row],[DISC 1-]]+NOTA[[#This Row],[DISC 2-]])</f>
        <v>0</v>
      </c>
      <c r="AA92" s="51">
        <f>IF(NOTA[[#This Row],[JUMLAH]]="","",NOTA[[#This Row],[JUMLAH]]-NOTA[[#This Row],[DISC]])</f>
        <v>54600</v>
      </c>
      <c r="AB92" s="51"/>
      <c r="AC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51">
        <f>IF(OR(NOTA[[#This Row],[QTY]]="",NOTA[[#This Row],[HARGA SATUAN]]="",),"",NOTA[[#This Row],[QTY]]*NOTA[[#This Row],[HARGA SATUAN]])</f>
        <v>54600</v>
      </c>
      <c r="AG92" s="40">
        <f ca="1">IF(NOTA[ID_H]="","",INDEX(NOTA[TANGGAL],MATCH(,INDIRECT(ADDRESS(ROW(NOTA[TANGGAL]),COLUMN(NOTA[TANGGAL]))&amp;":"&amp;ADDRESS(ROW(),COLUMN(NOTA[TANGGAL]))),-1)))</f>
        <v>45113</v>
      </c>
      <c r="AH92" s="42" t="str">
        <f ca="1">IF(NOTA[[#This Row],[NAMA BARANG]]="","",INDEX(NOTA[SUPPLIER],MATCH(,INDIRECT(ADDRESS(ROW(NOTA[ID]),COLUMN(NOTA[ID]))&amp;":"&amp;ADDRESS(ROW(),COLUMN(NOTA[ID]))),-1)))</f>
        <v>HANSA</v>
      </c>
      <c r="AI92" s="42" t="str">
        <f ca="1">IF(NOTA[[#This Row],[ID_H]]="","",IF(NOTA[[#This Row],[FAKTUR]]="",INDIRECT(ADDRESS(ROW()-1,COLUMN())),NOTA[[#This Row],[FAKTUR]]))</f>
        <v>UNTANA</v>
      </c>
      <c r="AJ92" s="39">
        <f ca="1">IF(NOTA[[#This Row],[ID]]="","",COUNTIF(NOTA[ID_H],NOTA[[#This Row],[ID_H]]))</f>
        <v>3</v>
      </c>
      <c r="AK92" s="39">
        <f>IF(NOTA[[#This Row],[TGL.NOTA]]="",IF(NOTA[[#This Row],[SUPPLIER_H]]="","",AK91),MONTH(NOTA[[#This Row],[TGL.NOTA]]))</f>
        <v>7</v>
      </c>
      <c r="AL92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39" t="e">
        <f>IF(NOTA[[#This Row],[CONCAT4]]="","",_xlfn.IFNA(MATCH(NOTA[[#This Row],[CONCAT4]],[2]!RAW[CONCAT_H],0),FALSE))</f>
        <v>#REF!</v>
      </c>
      <c r="AQ92" s="39">
        <f>IF(NOTA[[#This Row],[CONCAT1]]="","",MATCH(NOTA[[#This Row],[CONCAT1]],[3]!db[NB NOTA_C],0))</f>
        <v>1578</v>
      </c>
      <c r="AR92" s="39" t="str">
        <f>IF(NOTA[[#This Row],[QTY/ CTN]]="","",TRUE)</f>
        <v/>
      </c>
      <c r="AS92" s="39" t="str">
        <f ca="1">IF(NOTA[[#This Row],[ID_H]]="","",IF(NOTA[[#This Row],[Column3]]=TRUE,NOTA[[#This Row],[QTY/ CTN]],INDEX([3]!db[QTY/ CTN],NOTA[[#This Row],[//DB]])))</f>
        <v>210 PCS</v>
      </c>
      <c r="AT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92" s="39" t="e">
        <f ca="1">IF(NOTA[[#This Row],[ID_H]]="","",MATCH(NOTA[[#This Row],[NB NOTA_C_QTY]],[4]!db[NB NOTA_C_QTY+F],0))</f>
        <v>#REF!</v>
      </c>
      <c r="AV92" s="55">
        <f ca="1">IF(NOTA[[#This Row],[NB NOTA_C_QTY]]="","",ROW()-2)</f>
        <v>90</v>
      </c>
    </row>
    <row r="93" spans="1:48" ht="20.100000000000001" customHeight="1" x14ac:dyDescent="0.25">
      <c r="A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25</v>
      </c>
      <c r="E93" s="47"/>
      <c r="H93" s="48"/>
      <c r="L93" s="38" t="s">
        <v>196</v>
      </c>
      <c r="N93" s="39">
        <v>12</v>
      </c>
      <c r="O93" s="38" t="s">
        <v>117</v>
      </c>
      <c r="P93" s="42">
        <v>1600</v>
      </c>
      <c r="Q93" s="43"/>
      <c r="R93" s="49"/>
      <c r="S93" s="50"/>
      <c r="U93" s="51"/>
      <c r="V93" s="46"/>
      <c r="W93" s="51">
        <f>IF(NOTA[[#This Row],[HARGA/ CTN]]="",NOTA[[#This Row],[JUMLAH_H]],NOTA[[#This Row],[HARGA/ CTN]]*IF(NOTA[[#This Row],[C]]="",0,NOTA[[#This Row],[C]]))</f>
        <v>19200</v>
      </c>
      <c r="X93" s="51">
        <f>IF(NOTA[[#This Row],[JUMLAH]]="","",NOTA[[#This Row],[JUMLAH]]*NOTA[[#This Row],[DISC 1]])</f>
        <v>0</v>
      </c>
      <c r="Y93" s="51">
        <f>IF(NOTA[[#This Row],[JUMLAH]]="","",(NOTA[[#This Row],[JUMLAH]]-NOTA[[#This Row],[DISC 1-]])*NOTA[[#This Row],[DISC 2]])</f>
        <v>0</v>
      </c>
      <c r="Z93" s="51">
        <f>IF(NOTA[[#This Row],[JUMLAH]]="","",NOTA[[#This Row],[DISC 1-]]+NOTA[[#This Row],[DISC 2-]])</f>
        <v>0</v>
      </c>
      <c r="AA93" s="51">
        <f>IF(NOTA[[#This Row],[JUMLAH]]="","",NOTA[[#This Row],[JUMLAH]]-NOTA[[#This Row],[DISC]])</f>
        <v>19200</v>
      </c>
      <c r="AB93" s="51"/>
      <c r="AC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51">
        <f>IF(OR(NOTA[[#This Row],[QTY]]="",NOTA[[#This Row],[HARGA SATUAN]]="",),"",NOTA[[#This Row],[QTY]]*NOTA[[#This Row],[HARGA SATUAN]])</f>
        <v>19200</v>
      </c>
      <c r="AG93" s="40">
        <f ca="1">IF(NOTA[ID_H]="","",INDEX(NOTA[TANGGAL],MATCH(,INDIRECT(ADDRESS(ROW(NOTA[TANGGAL]),COLUMN(NOTA[TANGGAL]))&amp;":"&amp;ADDRESS(ROW(),COLUMN(NOTA[TANGGAL]))),-1)))</f>
        <v>45113</v>
      </c>
      <c r="AH93" s="42" t="str">
        <f ca="1">IF(NOTA[[#This Row],[NAMA BARANG]]="","",INDEX(NOTA[SUPPLIER],MATCH(,INDIRECT(ADDRESS(ROW(NOTA[ID]),COLUMN(NOTA[ID]))&amp;":"&amp;ADDRESS(ROW(),COLUMN(NOTA[ID]))),-1)))</f>
        <v>HANSA</v>
      </c>
      <c r="AI93" s="42" t="str">
        <f ca="1">IF(NOTA[[#This Row],[ID_H]]="","",IF(NOTA[[#This Row],[FAKTUR]]="",INDIRECT(ADDRESS(ROW()-1,COLUMN())),NOTA[[#This Row],[FAKTUR]]))</f>
        <v>UNTANA</v>
      </c>
      <c r="AJ93" s="39" t="str">
        <f ca="1">IF(NOTA[[#This Row],[ID]]="","",COUNTIF(NOTA[ID_H],NOTA[[#This Row],[ID_H]]))</f>
        <v/>
      </c>
      <c r="AK93" s="39">
        <f ca="1">IF(NOTA[[#This Row],[TGL.NOTA]]="",IF(NOTA[[#This Row],[SUPPLIER_H]]="","",AK92),MONTH(NOTA[[#This Row],[TGL.NOTA]]))</f>
        <v>7</v>
      </c>
      <c r="AL93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9" t="str">
        <f>IF(NOTA[[#This Row],[CONCAT4]]="","",_xlfn.IFNA(MATCH(NOTA[[#This Row],[CONCAT4]],[2]!RAW[CONCAT_H],0),FALSE))</f>
        <v/>
      </c>
      <c r="AQ93" s="39">
        <f>IF(NOTA[[#This Row],[CONCAT1]]="","",MATCH(NOTA[[#This Row],[CONCAT1]],[3]!db[NB NOTA_C],0))</f>
        <v>1573</v>
      </c>
      <c r="AR93" s="39" t="str">
        <f>IF(NOTA[[#This Row],[QTY/ CTN]]="","",TRUE)</f>
        <v/>
      </c>
      <c r="AS93" s="39" t="str">
        <f ca="1">IF(NOTA[[#This Row],[ID_H]]="","",IF(NOTA[[#This Row],[Column3]]=TRUE,NOTA[[#This Row],[QTY/ CTN]],INDEX([3]!db[QTY/ CTN],NOTA[[#This Row],[//DB]])))</f>
        <v>480 PCS</v>
      </c>
      <c r="AT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93" s="39" t="e">
        <f ca="1">IF(NOTA[[#This Row],[ID_H]]="","",MATCH(NOTA[[#This Row],[NB NOTA_C_QTY]],[4]!db[NB NOTA_C_QTY+F],0))</f>
        <v>#REF!</v>
      </c>
      <c r="AV93" s="55">
        <f ca="1">IF(NOTA[[#This Row],[NB NOTA_C_QTY]]="","",ROW()-2)</f>
        <v>91</v>
      </c>
    </row>
    <row r="94" spans="1:48" ht="20.100000000000001" customHeight="1" x14ac:dyDescent="0.25">
      <c r="A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25</v>
      </c>
      <c r="E94" s="47"/>
      <c r="H94" s="48"/>
      <c r="L94" s="38" t="s">
        <v>197</v>
      </c>
      <c r="N94" s="39">
        <v>12</v>
      </c>
      <c r="O94" s="38" t="s">
        <v>117</v>
      </c>
      <c r="P94" s="42">
        <v>1600</v>
      </c>
      <c r="Q94" s="43"/>
      <c r="R94" s="49"/>
      <c r="S94" s="50"/>
      <c r="U94" s="51"/>
      <c r="V94" s="46"/>
      <c r="W94" s="51">
        <f>IF(NOTA[[#This Row],[HARGA/ CTN]]="",NOTA[[#This Row],[JUMLAH_H]],NOTA[[#This Row],[HARGA/ CTN]]*IF(NOTA[[#This Row],[C]]="",0,NOTA[[#This Row],[C]]))</f>
        <v>19200</v>
      </c>
      <c r="X94" s="51">
        <f>IF(NOTA[[#This Row],[JUMLAH]]="","",NOTA[[#This Row],[JUMLAH]]*NOTA[[#This Row],[DISC 1]])</f>
        <v>0</v>
      </c>
      <c r="Y94" s="51">
        <f>IF(NOTA[[#This Row],[JUMLAH]]="","",(NOTA[[#This Row],[JUMLAH]]-NOTA[[#This Row],[DISC 1-]])*NOTA[[#This Row],[DISC 2]])</f>
        <v>0</v>
      </c>
      <c r="Z94" s="51">
        <f>IF(NOTA[[#This Row],[JUMLAH]]="","",NOTA[[#This Row],[DISC 1-]]+NOTA[[#This Row],[DISC 2-]])</f>
        <v>0</v>
      </c>
      <c r="AA94" s="51">
        <f>IF(NOTA[[#This Row],[JUMLAH]]="","",NOTA[[#This Row],[JUMLAH]]-NOTA[[#This Row],[DISC]])</f>
        <v>19200</v>
      </c>
      <c r="AB94" s="51"/>
      <c r="AC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51">
        <f>IF(OR(NOTA[[#This Row],[QTY]]="",NOTA[[#This Row],[HARGA SATUAN]]="",),"",NOTA[[#This Row],[QTY]]*NOTA[[#This Row],[HARGA SATUAN]])</f>
        <v>19200</v>
      </c>
      <c r="AG94" s="40">
        <f ca="1">IF(NOTA[ID_H]="","",INDEX(NOTA[TANGGAL],MATCH(,INDIRECT(ADDRESS(ROW(NOTA[TANGGAL]),COLUMN(NOTA[TANGGAL]))&amp;":"&amp;ADDRESS(ROW(),COLUMN(NOTA[TANGGAL]))),-1)))</f>
        <v>45113</v>
      </c>
      <c r="AH94" s="42" t="str">
        <f ca="1">IF(NOTA[[#This Row],[NAMA BARANG]]="","",INDEX(NOTA[SUPPLIER],MATCH(,INDIRECT(ADDRESS(ROW(NOTA[ID]),COLUMN(NOTA[ID]))&amp;":"&amp;ADDRESS(ROW(),COLUMN(NOTA[ID]))),-1)))</f>
        <v>HANSA</v>
      </c>
      <c r="AI94" s="42" t="str">
        <f ca="1">IF(NOTA[[#This Row],[ID_H]]="","",IF(NOTA[[#This Row],[FAKTUR]]="",INDIRECT(ADDRESS(ROW()-1,COLUMN())),NOTA[[#This Row],[FAKTUR]]))</f>
        <v>UNTANA</v>
      </c>
      <c r="AJ94" s="39" t="str">
        <f ca="1">IF(NOTA[[#This Row],[ID]]="","",COUNTIF(NOTA[ID_H],NOTA[[#This Row],[ID_H]]))</f>
        <v/>
      </c>
      <c r="AK94" s="39">
        <f ca="1">IF(NOTA[[#This Row],[TGL.NOTA]]="",IF(NOTA[[#This Row],[SUPPLIER_H]]="","",AK93),MONTH(NOTA[[#This Row],[TGL.NOTA]]))</f>
        <v>7</v>
      </c>
      <c r="AL94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9" t="str">
        <f>IF(NOTA[[#This Row],[CONCAT4]]="","",_xlfn.IFNA(MATCH(NOTA[[#This Row],[CONCAT4]],[2]!RAW[CONCAT_H],0),FALSE))</f>
        <v/>
      </c>
      <c r="AQ94" s="39">
        <f>IF(NOTA[[#This Row],[CONCAT1]]="","",MATCH(NOTA[[#This Row],[CONCAT1]],[3]!db[NB NOTA_C],0))</f>
        <v>1572</v>
      </c>
      <c r="AR94" s="39" t="str">
        <f>IF(NOTA[[#This Row],[QTY/ CTN]]="","",TRUE)</f>
        <v/>
      </c>
      <c r="AS94" s="39" t="str">
        <f ca="1">IF(NOTA[[#This Row],[ID_H]]="","",IF(NOTA[[#This Row],[Column3]]=TRUE,NOTA[[#This Row],[QTY/ CTN]],INDEX([3]!db[QTY/ CTN],NOTA[[#This Row],[//DB]])))</f>
        <v>480 PCS</v>
      </c>
      <c r="AT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94" s="39" t="e">
        <f ca="1">IF(NOTA[[#This Row],[ID_H]]="","",MATCH(NOTA[[#This Row],[NB NOTA_C_QTY]],[4]!db[NB NOTA_C_QTY+F],0))</f>
        <v>#REF!</v>
      </c>
      <c r="AV94" s="55">
        <f ca="1">IF(NOTA[[#This Row],[NB NOTA_C_QTY]]="","",ROW()-2)</f>
        <v>92</v>
      </c>
    </row>
    <row r="95" spans="1:48" ht="20.100000000000001" customHeight="1" x14ac:dyDescent="0.25">
      <c r="A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47"/>
      <c r="H95" s="48"/>
      <c r="N95" s="39"/>
      <c r="Q95" s="43"/>
      <c r="R95" s="49"/>
      <c r="S95" s="50"/>
      <c r="U95" s="51"/>
      <c r="V95" s="46"/>
      <c r="W95" s="51" t="str">
        <f>IF(NOTA[[#This Row],[HARGA/ CTN]]="",NOTA[[#This Row],[JUMLAH_H]],NOTA[[#This Row],[HARGA/ CTN]]*IF(NOTA[[#This Row],[C]]="",0,NOTA[[#This Row],[C]]))</f>
        <v/>
      </c>
      <c r="X95" s="51" t="str">
        <f>IF(NOTA[[#This Row],[JUMLAH]]="","",NOTA[[#This Row],[JUMLAH]]*NOTA[[#This Row],[DISC 1]])</f>
        <v/>
      </c>
      <c r="Y95" s="51" t="str">
        <f>IF(NOTA[[#This Row],[JUMLAH]]="","",(NOTA[[#This Row],[JUMLAH]]-NOTA[[#This Row],[DISC 1-]])*NOTA[[#This Row],[DISC 2]])</f>
        <v/>
      </c>
      <c r="Z95" s="51" t="str">
        <f>IF(NOTA[[#This Row],[JUMLAH]]="","",NOTA[[#This Row],[DISC 1-]]+NOTA[[#This Row],[DISC 2-]])</f>
        <v/>
      </c>
      <c r="AA95" s="51" t="str">
        <f>IF(NOTA[[#This Row],[JUMLAH]]="","",NOTA[[#This Row],[JUMLAH]]-NOTA[[#This Row],[DISC]])</f>
        <v/>
      </c>
      <c r="AB95" s="51"/>
      <c r="AC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1" t="str">
        <f>IF(OR(NOTA[[#This Row],[QTY]]="",NOTA[[#This Row],[HARGA SATUAN]]="",),"",NOTA[[#This Row],[QTY]]*NOTA[[#This Row],[HARGA SATUAN]])</f>
        <v/>
      </c>
      <c r="AG95" s="40" t="str">
        <f ca="1">IF(NOTA[ID_H]="","",INDEX(NOTA[TANGGAL],MATCH(,INDIRECT(ADDRESS(ROW(NOTA[TANGGAL]),COLUMN(NOTA[TANGGAL]))&amp;":"&amp;ADDRESS(ROW(),COLUMN(NOTA[TANGGAL]))),-1)))</f>
        <v/>
      </c>
      <c r="AH95" s="42" t="str">
        <f ca="1">IF(NOTA[[#This Row],[NAMA BARANG]]="","",INDEX(NOTA[SUPPLIER],MATCH(,INDIRECT(ADDRESS(ROW(NOTA[ID]),COLUMN(NOTA[ID]))&amp;":"&amp;ADDRESS(ROW(),COLUMN(NOTA[ID]))),-1)))</f>
        <v/>
      </c>
      <c r="AI95" s="42" t="str">
        <f ca="1">IF(NOTA[[#This Row],[ID_H]]="","",IF(NOTA[[#This Row],[FAKTUR]]="",INDIRECT(ADDRESS(ROW()-1,COLUMN())),NOTA[[#This Row],[FAKTUR]]))</f>
        <v/>
      </c>
      <c r="AJ95" s="39" t="str">
        <f ca="1">IF(NOTA[[#This Row],[ID]]="","",COUNTIF(NOTA[ID_H],NOTA[[#This Row],[ID_H]]))</f>
        <v/>
      </c>
      <c r="AK95" s="39" t="str">
        <f ca="1">IF(NOTA[[#This Row],[TGL.NOTA]]="",IF(NOTA[[#This Row],[SUPPLIER_H]]="","",AK94),MONTH(NOTA[[#This Row],[TGL.NOTA]]))</f>
        <v/>
      </c>
      <c r="AL95" s="39" t="str">
        <f>LOWER(SUBSTITUTE(SUBSTITUTE(SUBSTITUTE(SUBSTITUTE(SUBSTITUTE(SUBSTITUTE(SUBSTITUTE(SUBSTITUTE(SUBSTITUTE(NOTA[NAMA BARANG]," ",),".",""),"-",""),"(",""),")",""),",",""),"/",""),"""",""),"+",""))</f>
        <v/>
      </c>
      <c r="AM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9" t="str">
        <f>IF(NOTA[[#This Row],[CONCAT4]]="","",_xlfn.IFNA(MATCH(NOTA[[#This Row],[CONCAT4]],[2]!RAW[CONCAT_H],0),FALSE))</f>
        <v/>
      </c>
      <c r="AQ95" s="39" t="str">
        <f>IF(NOTA[[#This Row],[CONCAT1]]="","",MATCH(NOTA[[#This Row],[CONCAT1]],[3]!db[NB NOTA_C],0))</f>
        <v/>
      </c>
      <c r="AR95" s="39" t="str">
        <f>IF(NOTA[[#This Row],[QTY/ CTN]]="","",TRUE)</f>
        <v/>
      </c>
      <c r="AS95" s="39" t="str">
        <f ca="1">IF(NOTA[[#This Row],[ID_H]]="","",IF(NOTA[[#This Row],[Column3]]=TRUE,NOTA[[#This Row],[QTY/ CTN]],INDEX([3]!db[QTY/ CTN],NOTA[[#This Row],[//DB]])))</f>
        <v/>
      </c>
      <c r="AT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9" t="str">
        <f ca="1">IF(NOTA[[#This Row],[ID_H]]="","",MATCH(NOTA[[#This Row],[NB NOTA_C_QTY]],[4]!db[NB NOTA_C_QTY+F],0))</f>
        <v/>
      </c>
      <c r="AV95" s="55" t="str">
        <f ca="1">IF(NOTA[[#This Row],[NB NOTA_C_QTY]]="","",ROW()-2)</f>
        <v/>
      </c>
    </row>
    <row r="96" spans="1:48" ht="20.100000000000001" customHeight="1" x14ac:dyDescent="0.25">
      <c r="A96" s="42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26</v>
      </c>
      <c r="E96" s="47"/>
      <c r="F96" s="38" t="s">
        <v>151</v>
      </c>
      <c r="G96" s="38" t="s">
        <v>145</v>
      </c>
      <c r="H96" s="48" t="s">
        <v>198</v>
      </c>
      <c r="J96" s="40">
        <v>45111</v>
      </c>
      <c r="L96" s="38" t="s">
        <v>242</v>
      </c>
      <c r="M96" s="41">
        <v>2</v>
      </c>
      <c r="N96" s="39">
        <v>8000</v>
      </c>
      <c r="O96" s="38" t="s">
        <v>117</v>
      </c>
      <c r="P96" s="42">
        <v>700</v>
      </c>
      <c r="Q96" s="43"/>
      <c r="R96" s="49" t="s">
        <v>199</v>
      </c>
      <c r="S96" s="50"/>
      <c r="U96" s="51"/>
      <c r="V96" s="46"/>
      <c r="W96" s="51">
        <f>IF(NOTA[[#This Row],[HARGA/ CTN]]="",NOTA[[#This Row],[JUMLAH_H]],NOTA[[#This Row],[HARGA/ CTN]]*IF(NOTA[[#This Row],[C]]="",0,NOTA[[#This Row],[C]]))</f>
        <v>5600000</v>
      </c>
      <c r="X96" s="51">
        <f>IF(NOTA[[#This Row],[JUMLAH]]="","",NOTA[[#This Row],[JUMLAH]]*NOTA[[#This Row],[DISC 1]])</f>
        <v>0</v>
      </c>
      <c r="Y96" s="51">
        <f>IF(NOTA[[#This Row],[JUMLAH]]="","",(NOTA[[#This Row],[JUMLAH]]-NOTA[[#This Row],[DISC 1-]])*NOTA[[#This Row],[DISC 2]])</f>
        <v>0</v>
      </c>
      <c r="Z96" s="51">
        <f>IF(NOTA[[#This Row],[JUMLAH]]="","",NOTA[[#This Row],[DISC 1-]]+NOTA[[#This Row],[DISC 2-]])</f>
        <v>0</v>
      </c>
      <c r="AA96" s="51">
        <f>IF(NOTA[[#This Row],[JUMLAH]]="","",NOTA[[#This Row],[JUMLAH]]-NOTA[[#This Row],[DISC]])</f>
        <v>5600000</v>
      </c>
      <c r="AB96" s="51"/>
      <c r="AC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51">
        <f>IF(OR(NOTA[[#This Row],[QTY]]="",NOTA[[#This Row],[HARGA SATUAN]]="",),"",NOTA[[#This Row],[QTY]]*NOTA[[#This Row],[HARGA SATUAN]])</f>
        <v>5600000</v>
      </c>
      <c r="AG96" s="40">
        <f ca="1">IF(NOTA[ID_H]="","",INDEX(NOTA[TANGGAL],MATCH(,INDIRECT(ADDRESS(ROW(NOTA[TANGGAL]),COLUMN(NOTA[TANGGAL]))&amp;":"&amp;ADDRESS(ROW(),COLUMN(NOTA[TANGGAL]))),-1)))</f>
        <v>45113</v>
      </c>
      <c r="AH96" s="42" t="str">
        <f ca="1">IF(NOTA[[#This Row],[NAMA BARANG]]="","",INDEX(NOTA[SUPPLIER],MATCH(,INDIRECT(ADDRESS(ROW(NOTA[ID]),COLUMN(NOTA[ID]))&amp;":"&amp;ADDRESS(ROW(),COLUMN(NOTA[ID]))),-1)))</f>
        <v>ETJ</v>
      </c>
      <c r="AI96" s="42" t="str">
        <f ca="1">IF(NOTA[[#This Row],[ID_H]]="","",IF(NOTA[[#This Row],[FAKTUR]]="",INDIRECT(ADDRESS(ROW()-1,COLUMN())),NOTA[[#This Row],[FAKTUR]]))</f>
        <v>UNTANA</v>
      </c>
      <c r="AJ96" s="39">
        <f ca="1">IF(NOTA[[#This Row],[ID]]="","",COUNTIF(NOTA[ID_H],NOTA[[#This Row],[ID_H]]))</f>
        <v>1</v>
      </c>
      <c r="AK96" s="39">
        <f>IF(NOTA[[#This Row],[TGL.NOTA]]="",IF(NOTA[[#This Row],[SUPPLIER_H]]="","",AK95),MONTH(NOTA[[#This Row],[TGL.NOTA]]))</f>
        <v>7</v>
      </c>
      <c r="AL96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96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96" s="39" t="e">
        <f>IF(NOTA[[#This Row],[CONCAT4]]="","",_xlfn.IFNA(MATCH(NOTA[[#This Row],[CONCAT4]],[2]!RAW[CONCAT_H],0),FALSE))</f>
        <v>#REF!</v>
      </c>
      <c r="AQ96" s="39">
        <f>IF(NOTA[[#This Row],[CONCAT1]]="","",MATCH(NOTA[[#This Row],[CONCAT1]],[3]!db[NB NOTA_C],0))</f>
        <v>1741</v>
      </c>
      <c r="AR96" s="39" t="b">
        <f>IF(NOTA[[#This Row],[QTY/ CTN]]="","",TRUE)</f>
        <v>1</v>
      </c>
      <c r="AS96" s="39" t="str">
        <f ca="1">IF(NOTA[[#This Row],[ID_H]]="","",IF(NOTA[[#This Row],[Column3]]=TRUE,NOTA[[#This Row],[QTY/ CTN]],INDEX([3]!db[QTY/ CTN],NOTA[[#This Row],[//DB]])))</f>
        <v>4000 PCS</v>
      </c>
      <c r="AT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96" s="39" t="e">
        <f ca="1">IF(NOTA[[#This Row],[ID_H]]="","",MATCH(NOTA[[#This Row],[NB NOTA_C_QTY]],[4]!db[NB NOTA_C_QTY+F],0))</f>
        <v>#REF!</v>
      </c>
      <c r="AV96" s="55">
        <f ca="1">IF(NOTA[[#This Row],[NB NOTA_C_QTY]]="","",ROW()-2)</f>
        <v>94</v>
      </c>
    </row>
    <row r="97" spans="1:48" ht="20.100000000000001" customHeight="1" x14ac:dyDescent="0.25">
      <c r="A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 t="str">
        <f ca="1">IF(NOTA[[#This Row],[NAMA BARANG]]="","",INDEX(NOTA[ID],MATCH(,INDIRECT(ADDRESS(ROW(NOTA[ID]),COLUMN(NOTA[ID]))&amp;":"&amp;ADDRESS(ROW(),COLUMN(NOTA[ID]))),-1)))</f>
        <v/>
      </c>
      <c r="E97" s="47"/>
      <c r="H97" s="48"/>
      <c r="N97" s="39"/>
      <c r="Q97" s="43"/>
      <c r="R97" s="49"/>
      <c r="S97" s="50"/>
      <c r="U97" s="51"/>
      <c r="V97" s="46"/>
      <c r="W97" s="51" t="str">
        <f>IF(NOTA[[#This Row],[HARGA/ CTN]]="",NOTA[[#This Row],[JUMLAH_H]],NOTA[[#This Row],[HARGA/ CTN]]*IF(NOTA[[#This Row],[C]]="",0,NOTA[[#This Row],[C]]))</f>
        <v/>
      </c>
      <c r="X97" s="51" t="str">
        <f>IF(NOTA[[#This Row],[JUMLAH]]="","",NOTA[[#This Row],[JUMLAH]]*NOTA[[#This Row],[DISC 1]])</f>
        <v/>
      </c>
      <c r="Y97" s="51" t="str">
        <f>IF(NOTA[[#This Row],[JUMLAH]]="","",(NOTA[[#This Row],[JUMLAH]]-NOTA[[#This Row],[DISC 1-]])*NOTA[[#This Row],[DISC 2]])</f>
        <v/>
      </c>
      <c r="Z97" s="51" t="str">
        <f>IF(NOTA[[#This Row],[JUMLAH]]="","",NOTA[[#This Row],[DISC 1-]]+NOTA[[#This Row],[DISC 2-]])</f>
        <v/>
      </c>
      <c r="AA97" s="51" t="str">
        <f>IF(NOTA[[#This Row],[JUMLAH]]="","",NOTA[[#This Row],[JUMLAH]]-NOTA[[#This Row],[DISC]])</f>
        <v/>
      </c>
      <c r="AB97" s="51"/>
      <c r="AC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1" t="str">
        <f>IF(OR(NOTA[[#This Row],[QTY]]="",NOTA[[#This Row],[HARGA SATUAN]]="",),"",NOTA[[#This Row],[QTY]]*NOTA[[#This Row],[HARGA SATUAN]])</f>
        <v/>
      </c>
      <c r="AG97" s="40" t="str">
        <f ca="1">IF(NOTA[ID_H]="","",INDEX(NOTA[TANGGAL],MATCH(,INDIRECT(ADDRESS(ROW(NOTA[TANGGAL]),COLUMN(NOTA[TANGGAL]))&amp;":"&amp;ADDRESS(ROW(),COLUMN(NOTA[TANGGAL]))),-1)))</f>
        <v/>
      </c>
      <c r="AH97" s="42" t="str">
        <f ca="1">IF(NOTA[[#This Row],[NAMA BARANG]]="","",INDEX(NOTA[SUPPLIER],MATCH(,INDIRECT(ADDRESS(ROW(NOTA[ID]),COLUMN(NOTA[ID]))&amp;":"&amp;ADDRESS(ROW(),COLUMN(NOTA[ID]))),-1)))</f>
        <v/>
      </c>
      <c r="AI97" s="42" t="str">
        <f ca="1">IF(NOTA[[#This Row],[ID_H]]="","",IF(NOTA[[#This Row],[FAKTUR]]="",INDIRECT(ADDRESS(ROW()-1,COLUMN())),NOTA[[#This Row],[FAKTUR]]))</f>
        <v/>
      </c>
      <c r="AJ97" s="39" t="str">
        <f ca="1">IF(NOTA[[#This Row],[ID]]="","",COUNTIF(NOTA[ID_H],NOTA[[#This Row],[ID_H]]))</f>
        <v/>
      </c>
      <c r="AK97" s="39" t="str">
        <f ca="1">IF(NOTA[[#This Row],[TGL.NOTA]]="",IF(NOTA[[#This Row],[SUPPLIER_H]]="","",AK96),MONTH(NOTA[[#This Row],[TGL.NOTA]]))</f>
        <v/>
      </c>
      <c r="AL97" s="39" t="str">
        <f>LOWER(SUBSTITUTE(SUBSTITUTE(SUBSTITUTE(SUBSTITUTE(SUBSTITUTE(SUBSTITUTE(SUBSTITUTE(SUBSTITUTE(SUBSTITUTE(NOTA[NAMA BARANG]," ",),".",""),"-",""),"(",""),")",""),",",""),"/",""),"""",""),"+",""))</f>
        <v/>
      </c>
      <c r="AM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9" t="str">
        <f>IF(NOTA[[#This Row],[CONCAT4]]="","",_xlfn.IFNA(MATCH(NOTA[[#This Row],[CONCAT4]],[2]!RAW[CONCAT_H],0),FALSE))</f>
        <v/>
      </c>
      <c r="AQ97" s="39" t="str">
        <f>IF(NOTA[[#This Row],[CONCAT1]]="","",MATCH(NOTA[[#This Row],[CONCAT1]],[3]!db[NB NOTA_C],0))</f>
        <v/>
      </c>
      <c r="AR97" s="39" t="str">
        <f>IF(NOTA[[#This Row],[QTY/ CTN]]="","",TRUE)</f>
        <v/>
      </c>
      <c r="AS97" s="39" t="str">
        <f ca="1">IF(NOTA[[#This Row],[ID_H]]="","",IF(NOTA[[#This Row],[Column3]]=TRUE,NOTA[[#This Row],[QTY/ CTN]],INDEX([3]!db[QTY/ CTN],NOTA[[#This Row],[//DB]])))</f>
        <v/>
      </c>
      <c r="AT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9" t="str">
        <f ca="1">IF(NOTA[[#This Row],[ID_H]]="","",MATCH(NOTA[[#This Row],[NB NOTA_C_QTY]],[4]!db[NB NOTA_C_QTY+F],0))</f>
        <v/>
      </c>
      <c r="AV97" s="55" t="str">
        <f ca="1">IF(NOTA[[#This Row],[NB NOTA_C_QTY]]="","",ROW()-2)</f>
        <v/>
      </c>
    </row>
    <row r="98" spans="1:48" ht="20.100000000000001" customHeight="1" x14ac:dyDescent="0.25">
      <c r="A98" s="42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39" t="e">
        <f ca="1">IF(NOTA[[#This Row],[ID_P]]="","",MATCH(NOTA[[#This Row],[ID_P]],[1]!B_MSK[N_ID],0))</f>
        <v>#REF!</v>
      </c>
      <c r="D98" s="39">
        <f ca="1">IF(NOTA[[#This Row],[NAMA BARANG]]="","",INDEX(NOTA[ID],MATCH(,INDIRECT(ADDRESS(ROW(NOTA[ID]),COLUMN(NOTA[ID]))&amp;":"&amp;ADDRESS(ROW(),COLUMN(NOTA[ID]))),-1)))</f>
        <v>27</v>
      </c>
      <c r="E98" s="47"/>
      <c r="F98" s="38" t="s">
        <v>147</v>
      </c>
      <c r="G98" s="38" t="s">
        <v>145</v>
      </c>
      <c r="H98" s="48" t="s">
        <v>200</v>
      </c>
      <c r="J98" s="40">
        <v>45111</v>
      </c>
      <c r="L98" s="38" t="s">
        <v>149</v>
      </c>
      <c r="M98" s="41">
        <v>20</v>
      </c>
      <c r="N98" s="39">
        <v>200</v>
      </c>
      <c r="O98" s="38" t="s">
        <v>117</v>
      </c>
      <c r="P98" s="42">
        <v>48000</v>
      </c>
      <c r="Q98" s="43"/>
      <c r="R98" s="49" t="s">
        <v>150</v>
      </c>
      <c r="S98" s="50"/>
      <c r="U98" s="51"/>
      <c r="V98" s="46"/>
      <c r="W98" s="51">
        <f>IF(NOTA[[#This Row],[HARGA/ CTN]]="",NOTA[[#This Row],[JUMLAH_H]],NOTA[[#This Row],[HARGA/ CTN]]*IF(NOTA[[#This Row],[C]]="",0,NOTA[[#This Row],[C]]))</f>
        <v>9600000</v>
      </c>
      <c r="X98" s="51">
        <f>IF(NOTA[[#This Row],[JUMLAH]]="","",NOTA[[#This Row],[JUMLAH]]*NOTA[[#This Row],[DISC 1]])</f>
        <v>0</v>
      </c>
      <c r="Y98" s="51">
        <f>IF(NOTA[[#This Row],[JUMLAH]]="","",(NOTA[[#This Row],[JUMLAH]]-NOTA[[#This Row],[DISC 1-]])*NOTA[[#This Row],[DISC 2]])</f>
        <v>0</v>
      </c>
      <c r="Z98" s="51">
        <f>IF(NOTA[[#This Row],[JUMLAH]]="","",NOTA[[#This Row],[DISC 1-]]+NOTA[[#This Row],[DISC 2-]])</f>
        <v>0</v>
      </c>
      <c r="AA98" s="51">
        <f>IF(NOTA[[#This Row],[JUMLAH]]="","",NOTA[[#This Row],[JUMLAH]]-NOTA[[#This Row],[DISC]])</f>
        <v>9600000</v>
      </c>
      <c r="AB98" s="51"/>
      <c r="AC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51">
        <f>IF(OR(NOTA[[#This Row],[QTY]]="",NOTA[[#This Row],[HARGA SATUAN]]="",),"",NOTA[[#This Row],[QTY]]*NOTA[[#This Row],[HARGA SATUAN]])</f>
        <v>9600000</v>
      </c>
      <c r="AG98" s="40">
        <f ca="1">IF(NOTA[ID_H]="","",INDEX(NOTA[TANGGAL],MATCH(,INDIRECT(ADDRESS(ROW(NOTA[TANGGAL]),COLUMN(NOTA[TANGGAL]))&amp;":"&amp;ADDRESS(ROW(),COLUMN(NOTA[TANGGAL]))),-1)))</f>
        <v>45113</v>
      </c>
      <c r="AH98" s="42" t="str">
        <f ca="1">IF(NOTA[[#This Row],[NAMA BARANG]]="","",INDEX(NOTA[SUPPLIER],MATCH(,INDIRECT(ADDRESS(ROW(NOTA[ID]),COLUMN(NOTA[ID]))&amp;":"&amp;ADDRESS(ROW(),COLUMN(NOTA[ID]))),-1)))</f>
        <v>SAPUTRO</v>
      </c>
      <c r="AI98" s="42" t="str">
        <f ca="1">IF(NOTA[[#This Row],[ID_H]]="","",IF(NOTA[[#This Row],[FAKTUR]]="",INDIRECT(ADDRESS(ROW()-1,COLUMN())),NOTA[[#This Row],[FAKTUR]]))</f>
        <v>UNTANA</v>
      </c>
      <c r="AJ98" s="39">
        <f ca="1">IF(NOTA[[#This Row],[ID]]="","",COUNTIF(NOTA[ID_H],NOTA[[#This Row],[ID_H]]))</f>
        <v>1</v>
      </c>
      <c r="AK98" s="39">
        <f>IF(NOTA[[#This Row],[TGL.NOTA]]="",IF(NOTA[[#This Row],[SUPPLIER_H]]="","",AK97),MONTH(NOTA[[#This Row],[TGL.NOTA]]))</f>
        <v>7</v>
      </c>
      <c r="AL98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98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SAPUTROUNTANAG-165145111mejaipadimportjumbokarakter</v>
      </c>
      <c r="AP98" s="39" t="e">
        <f>IF(NOTA[[#This Row],[CONCAT4]]="","",_xlfn.IFNA(MATCH(NOTA[[#This Row],[CONCAT4]],[2]!RAW[CONCAT_H],0),FALSE))</f>
        <v>#REF!</v>
      </c>
      <c r="AQ98" s="39">
        <f>IF(NOTA[[#This Row],[CONCAT1]]="","",MATCH(NOTA[[#This Row],[CONCAT1]],[3]!db[NB NOTA_C],0))</f>
        <v>1721</v>
      </c>
      <c r="AR98" s="39" t="b">
        <f>IF(NOTA[[#This Row],[QTY/ CTN]]="","",TRUE)</f>
        <v>1</v>
      </c>
      <c r="AS98" s="39" t="str">
        <f ca="1">IF(NOTA[[#This Row],[ID_H]]="","",IF(NOTA[[#This Row],[Column3]]=TRUE,NOTA[[#This Row],[QTY/ CTN]],INDEX([3]!db[QTY/ CTN],NOTA[[#This Row],[//DB]])))</f>
        <v>10 PCS</v>
      </c>
      <c r="AT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98" s="39" t="e">
        <f ca="1">IF(NOTA[[#This Row],[ID_H]]="","",MATCH(NOTA[[#This Row],[NB NOTA_C_QTY]],[4]!db[NB NOTA_C_QTY+F],0))</f>
        <v>#REF!</v>
      </c>
      <c r="AV98" s="55">
        <f ca="1">IF(NOTA[[#This Row],[NB NOTA_C_QTY]]="","",ROW()-2)</f>
        <v>96</v>
      </c>
    </row>
    <row r="99" spans="1:48" ht="20.100000000000001" customHeight="1" x14ac:dyDescent="0.25">
      <c r="A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47"/>
      <c r="H99" s="48"/>
      <c r="N99" s="39"/>
      <c r="Q99" s="43"/>
      <c r="R99" s="49"/>
      <c r="S99" s="50"/>
      <c r="U99" s="51"/>
      <c r="V99" s="46"/>
      <c r="W99" s="51" t="str">
        <f>IF(NOTA[[#This Row],[HARGA/ CTN]]="",NOTA[[#This Row],[JUMLAH_H]],NOTA[[#This Row],[HARGA/ CTN]]*IF(NOTA[[#This Row],[C]]="",0,NOTA[[#This Row],[C]]))</f>
        <v/>
      </c>
      <c r="X99" s="51" t="str">
        <f>IF(NOTA[[#This Row],[JUMLAH]]="","",NOTA[[#This Row],[JUMLAH]]*NOTA[[#This Row],[DISC 1]])</f>
        <v/>
      </c>
      <c r="Y99" s="51" t="str">
        <f>IF(NOTA[[#This Row],[JUMLAH]]="","",(NOTA[[#This Row],[JUMLAH]]-NOTA[[#This Row],[DISC 1-]])*NOTA[[#This Row],[DISC 2]])</f>
        <v/>
      </c>
      <c r="Z99" s="51" t="str">
        <f>IF(NOTA[[#This Row],[JUMLAH]]="","",NOTA[[#This Row],[DISC 1-]]+NOTA[[#This Row],[DISC 2-]])</f>
        <v/>
      </c>
      <c r="AA99" s="51" t="str">
        <f>IF(NOTA[[#This Row],[JUMLAH]]="","",NOTA[[#This Row],[JUMLAH]]-NOTA[[#This Row],[DISC]])</f>
        <v/>
      </c>
      <c r="AB99" s="51"/>
      <c r="AC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1" t="str">
        <f>IF(OR(NOTA[[#This Row],[QTY]]="",NOTA[[#This Row],[HARGA SATUAN]]="",),"",NOTA[[#This Row],[QTY]]*NOTA[[#This Row],[HARGA SATUAN]])</f>
        <v/>
      </c>
      <c r="AG99" s="40" t="str">
        <f ca="1">IF(NOTA[ID_H]="","",INDEX(NOTA[TANGGAL],MATCH(,INDIRECT(ADDRESS(ROW(NOTA[TANGGAL]),COLUMN(NOTA[TANGGAL]))&amp;":"&amp;ADDRESS(ROW(),COLUMN(NOTA[TANGGAL]))),-1)))</f>
        <v/>
      </c>
      <c r="AH99" s="42" t="str">
        <f ca="1">IF(NOTA[[#This Row],[NAMA BARANG]]="","",INDEX(NOTA[SUPPLIER],MATCH(,INDIRECT(ADDRESS(ROW(NOTA[ID]),COLUMN(NOTA[ID]))&amp;":"&amp;ADDRESS(ROW(),COLUMN(NOTA[ID]))),-1)))</f>
        <v/>
      </c>
      <c r="AI99" s="42" t="str">
        <f ca="1">IF(NOTA[[#This Row],[ID_H]]="","",IF(NOTA[[#This Row],[FAKTUR]]="",INDIRECT(ADDRESS(ROW()-1,COLUMN())),NOTA[[#This Row],[FAKTUR]]))</f>
        <v/>
      </c>
      <c r="AJ99" s="39" t="str">
        <f ca="1">IF(NOTA[[#This Row],[ID]]="","",COUNTIF(NOTA[ID_H],NOTA[[#This Row],[ID_H]]))</f>
        <v/>
      </c>
      <c r="AK99" s="39" t="str">
        <f ca="1">IF(NOTA[[#This Row],[TGL.NOTA]]="",IF(NOTA[[#This Row],[SUPPLIER_H]]="","",AK98),MONTH(NOTA[[#This Row],[TGL.NOTA]]))</f>
        <v/>
      </c>
      <c r="AL99" s="39" t="str">
        <f>LOWER(SUBSTITUTE(SUBSTITUTE(SUBSTITUTE(SUBSTITUTE(SUBSTITUTE(SUBSTITUTE(SUBSTITUTE(SUBSTITUTE(SUBSTITUTE(NOTA[NAMA BARANG]," ",),".",""),"-",""),"(",""),")",""),",",""),"/",""),"""",""),"+",""))</f>
        <v/>
      </c>
      <c r="AM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9" t="str">
        <f>IF(NOTA[[#This Row],[CONCAT4]]="","",_xlfn.IFNA(MATCH(NOTA[[#This Row],[CONCAT4]],[2]!RAW[CONCAT_H],0),FALSE))</f>
        <v/>
      </c>
      <c r="AQ99" s="39" t="str">
        <f>IF(NOTA[[#This Row],[CONCAT1]]="","",MATCH(NOTA[[#This Row],[CONCAT1]],[3]!db[NB NOTA_C],0))</f>
        <v/>
      </c>
      <c r="AR99" s="39" t="str">
        <f>IF(NOTA[[#This Row],[QTY/ CTN]]="","",TRUE)</f>
        <v/>
      </c>
      <c r="AS99" s="39" t="str">
        <f ca="1">IF(NOTA[[#This Row],[ID_H]]="","",IF(NOTA[[#This Row],[Column3]]=TRUE,NOTA[[#This Row],[QTY/ CTN]],INDEX([3]!db[QTY/ CTN],NOTA[[#This Row],[//DB]])))</f>
        <v/>
      </c>
      <c r="AT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9" t="str">
        <f ca="1">IF(NOTA[[#This Row],[ID_H]]="","",MATCH(NOTA[[#This Row],[NB NOTA_C_QTY]],[4]!db[NB NOTA_C_QTY+F],0))</f>
        <v/>
      </c>
      <c r="AV99" s="55" t="str">
        <f ca="1">IF(NOTA[[#This Row],[NB NOTA_C_QTY]]="","",ROW()-2)</f>
        <v/>
      </c>
    </row>
    <row r="100" spans="1:48" ht="20.100000000000001" customHeight="1" x14ac:dyDescent="0.25">
      <c r="A100" s="42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28</v>
      </c>
      <c r="E100" s="47">
        <v>45114</v>
      </c>
      <c r="F100" s="38" t="s">
        <v>72</v>
      </c>
      <c r="G100" s="38" t="s">
        <v>23</v>
      </c>
      <c r="H100" s="48" t="s">
        <v>234</v>
      </c>
      <c r="J100" s="40">
        <v>45112</v>
      </c>
      <c r="L100" s="38" t="s">
        <v>235</v>
      </c>
      <c r="M100" s="41">
        <v>1</v>
      </c>
      <c r="N100" s="39">
        <v>30</v>
      </c>
      <c r="O100" s="38" t="s">
        <v>152</v>
      </c>
      <c r="P100" s="42">
        <v>124342.32</v>
      </c>
      <c r="Q100" s="43"/>
      <c r="R100" s="49" t="s">
        <v>236</v>
      </c>
      <c r="S100" s="50">
        <v>0.17499999999999999</v>
      </c>
      <c r="U100" s="51"/>
      <c r="V100" s="46"/>
      <c r="W100" s="51">
        <f>IF(NOTA[[#This Row],[HARGA/ CTN]]="",NOTA[[#This Row],[JUMLAH_H]],NOTA[[#This Row],[HARGA/ CTN]]*IF(NOTA[[#This Row],[C]]="",0,NOTA[[#This Row],[C]]))</f>
        <v>3730269.6</v>
      </c>
      <c r="X100" s="51">
        <f>IF(NOTA[[#This Row],[JUMLAH]]="","",NOTA[[#This Row],[JUMLAH]]*NOTA[[#This Row],[DISC 1]])</f>
        <v>652797.17999999993</v>
      </c>
      <c r="Y100" s="51">
        <f>IF(NOTA[[#This Row],[JUMLAH]]="","",(NOTA[[#This Row],[JUMLAH]]-NOTA[[#This Row],[DISC 1-]])*NOTA[[#This Row],[DISC 2]])</f>
        <v>0</v>
      </c>
      <c r="Z100" s="51">
        <f>IF(NOTA[[#This Row],[JUMLAH]]="","",NOTA[[#This Row],[DISC 1-]]+NOTA[[#This Row],[DISC 2-]])</f>
        <v>652797.17999999993</v>
      </c>
      <c r="AA100" s="51">
        <f>IF(NOTA[[#This Row],[JUMLAH]]="","",NOTA[[#This Row],[JUMLAH]]-NOTA[[#This Row],[DISC]])</f>
        <v>3077472.42</v>
      </c>
      <c r="AB100" s="51"/>
      <c r="AC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100" s="51">
        <f>IF(OR(NOTA[[#This Row],[QTY]]="",NOTA[[#This Row],[HARGA SATUAN]]="",),"",NOTA[[#This Row],[QTY]]*NOTA[[#This Row],[HARGA SATUAN]])</f>
        <v>3730269.6</v>
      </c>
      <c r="AG100" s="40">
        <f ca="1">IF(NOTA[ID_H]="","",INDEX(NOTA[TANGGAL],MATCH(,INDIRECT(ADDRESS(ROW(NOTA[TANGGAL]),COLUMN(NOTA[TANGGAL]))&amp;":"&amp;ADDRESS(ROW(),COLUMN(NOTA[TANGGAL]))),-1)))</f>
        <v>45114</v>
      </c>
      <c r="AH100" s="42" t="str">
        <f ca="1">IF(NOTA[[#This Row],[NAMA BARANG]]="","",INDEX(NOTA[SUPPLIER],MATCH(,INDIRECT(ADDRESS(ROW(NOTA[ID]),COLUMN(NOTA[ID]))&amp;":"&amp;ADDRESS(ROW(),COLUMN(NOTA[ID]))),-1)))</f>
        <v>SDI</v>
      </c>
      <c r="AI100" s="42" t="str">
        <f ca="1">IF(NOTA[[#This Row],[ID_H]]="","",IF(NOTA[[#This Row],[FAKTUR]]="",INDIRECT(ADDRESS(ROW()-1,COLUMN())),NOTA[[#This Row],[FAKTUR]]))</f>
        <v>ARTO MORO</v>
      </c>
      <c r="AJ100" s="39">
        <f ca="1">IF(NOTA[[#This Row],[ID]]="","",COUNTIF(NOTA[ID_H],NOTA[[#This Row],[ID_H]]))</f>
        <v>3</v>
      </c>
      <c r="AK100" s="39">
        <f>IF(NOTA[[#This Row],[TGL.NOTA]]="",IF(NOTA[[#This Row],[SUPPLIER_H]]="","",AK99),MONTH(NOTA[[#This Row],[TGL.NOTA]]))</f>
        <v>7</v>
      </c>
      <c r="AL100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</v>
      </c>
      <c r="AN1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</v>
      </c>
      <c r="AO100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39" t="e">
        <f>IF(NOTA[[#This Row],[CONCAT4]]="","",_xlfn.IFNA(MATCH(NOTA[[#This Row],[CONCAT4]],[2]!RAW[CONCAT_H],0),FALSE))</f>
        <v>#REF!</v>
      </c>
      <c r="AQ100" s="39">
        <f>IF(NOTA[[#This Row],[CONCAT1]]="","",MATCH(NOTA[[#This Row],[CONCAT1]],[3]!db[NB NOTA_C],0))</f>
        <v>2477</v>
      </c>
      <c r="AR100" s="39" t="b">
        <f>IF(NOTA[[#This Row],[QTY/ CTN]]="","",TRUE)</f>
        <v>1</v>
      </c>
      <c r="AS100" s="39" t="str">
        <f ca="1">IF(NOTA[[#This Row],[ID_H]]="","",IF(NOTA[[#This Row],[Column3]]=TRUE,NOTA[[#This Row],[QTY/ CTN]],INDEX([3]!db[QTY/ CTN],NOTA[[#This Row],[//DB]])))</f>
        <v>30 LSN</v>
      </c>
      <c r="AT1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100" s="39" t="e">
        <f ca="1">IF(NOTA[[#This Row],[ID_H]]="","",MATCH(NOTA[[#This Row],[NB NOTA_C_QTY]],[4]!db[NB NOTA_C_QTY+F],0))</f>
        <v>#REF!</v>
      </c>
      <c r="AV100" s="55">
        <f ca="1">IF(NOTA[[#This Row],[NB NOTA_C_QTY]]="","",ROW()-2)</f>
        <v>98</v>
      </c>
    </row>
    <row r="101" spans="1:48" ht="20.100000000000001" customHeight="1" x14ac:dyDescent="0.25">
      <c r="A1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28</v>
      </c>
      <c r="E101" s="47"/>
      <c r="H101" s="48"/>
      <c r="L101" s="38" t="s">
        <v>237</v>
      </c>
      <c r="M101" s="41">
        <v>1</v>
      </c>
      <c r="N101" s="39">
        <v>48</v>
      </c>
      <c r="O101" s="38" t="s">
        <v>152</v>
      </c>
      <c r="P101" s="42">
        <v>54594.59</v>
      </c>
      <c r="Q101" s="43"/>
      <c r="R101" s="49" t="s">
        <v>238</v>
      </c>
      <c r="S101" s="50">
        <v>0.15</v>
      </c>
      <c r="U101" s="51"/>
      <c r="V101" s="46"/>
      <c r="W101" s="51">
        <f>IF(NOTA[[#This Row],[HARGA/ CTN]]="",NOTA[[#This Row],[JUMLAH_H]],NOTA[[#This Row],[HARGA/ CTN]]*IF(NOTA[[#This Row],[C]]="",0,NOTA[[#This Row],[C]]))</f>
        <v>2620540.3199999998</v>
      </c>
      <c r="X101" s="51">
        <f>IF(NOTA[[#This Row],[JUMLAH]]="","",NOTA[[#This Row],[JUMLAH]]*NOTA[[#This Row],[DISC 1]])</f>
        <v>393081.04799999995</v>
      </c>
      <c r="Y101" s="51">
        <f>IF(NOTA[[#This Row],[JUMLAH]]="","",(NOTA[[#This Row],[JUMLAH]]-NOTA[[#This Row],[DISC 1-]])*NOTA[[#This Row],[DISC 2]])</f>
        <v>0</v>
      </c>
      <c r="Z101" s="51">
        <f>IF(NOTA[[#This Row],[JUMLAH]]="","",NOTA[[#This Row],[DISC 1-]]+NOTA[[#This Row],[DISC 2-]])</f>
        <v>393081.04799999995</v>
      </c>
      <c r="AA101" s="51">
        <f>IF(NOTA[[#This Row],[JUMLAH]]="","",NOTA[[#This Row],[JUMLAH]]-NOTA[[#This Row],[DISC]])</f>
        <v>2227459.2719999999</v>
      </c>
      <c r="AB101" s="51"/>
      <c r="AC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2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51">
        <f>IF(OR(NOTA[[#This Row],[QTY]]="",NOTA[[#This Row],[HARGA SATUAN]]="",),"",NOTA[[#This Row],[QTY]]*NOTA[[#This Row],[HARGA SATUAN]])</f>
        <v>2620540.3199999998</v>
      </c>
      <c r="AG101" s="40">
        <f ca="1">IF(NOTA[ID_H]="","",INDEX(NOTA[TANGGAL],MATCH(,INDIRECT(ADDRESS(ROW(NOTA[TANGGAL]),COLUMN(NOTA[TANGGAL]))&amp;":"&amp;ADDRESS(ROW(),COLUMN(NOTA[TANGGAL]))),-1)))</f>
        <v>45114</v>
      </c>
      <c r="AH101" s="42" t="str">
        <f ca="1">IF(NOTA[[#This Row],[NAMA BARANG]]="","",INDEX(NOTA[SUPPLIER],MATCH(,INDIRECT(ADDRESS(ROW(NOTA[ID]),COLUMN(NOTA[ID]))&amp;":"&amp;ADDRESS(ROW(),COLUMN(NOTA[ID]))),-1)))</f>
        <v>SDI</v>
      </c>
      <c r="AI101" s="42" t="str">
        <f ca="1">IF(NOTA[[#This Row],[ID_H]]="","",IF(NOTA[[#This Row],[FAKTUR]]="",INDIRECT(ADDRESS(ROW()-1,COLUMN())),NOTA[[#This Row],[FAKTUR]]))</f>
        <v>ARTO MORO</v>
      </c>
      <c r="AJ101" s="39" t="str">
        <f ca="1">IF(NOTA[[#This Row],[ID]]="","",COUNTIF(NOTA[ID_H],NOTA[[#This Row],[ID_H]]))</f>
        <v/>
      </c>
      <c r="AK101" s="39">
        <f ca="1">IF(NOTA[[#This Row],[TGL.NOTA]]="",IF(NOTA[[#This Row],[SUPPLIER_H]]="","",AK100),MONTH(NOTA[[#This Row],[TGL.NOTA]]))</f>
        <v>7</v>
      </c>
      <c r="AL101" s="39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9" t="str">
        <f>IF(NOTA[[#This Row],[CONCAT4]]="","",_xlfn.IFNA(MATCH(NOTA[[#This Row],[CONCAT4]],[2]!RAW[CONCAT_H],0),FALSE))</f>
        <v/>
      </c>
      <c r="AQ101" s="39">
        <f>IF(NOTA[[#This Row],[CONCAT1]]="","",MATCH(NOTA[[#This Row],[CONCAT1]],[3]!db[NB NOTA_C],0))</f>
        <v>956</v>
      </c>
      <c r="AR101" s="39" t="b">
        <f>IF(NOTA[[#This Row],[QTY/ CTN]]="","",TRUE)</f>
        <v>1</v>
      </c>
      <c r="AS101" s="39" t="str">
        <f ca="1">IF(NOTA[[#This Row],[ID_H]]="","",IF(NOTA[[#This Row],[Column3]]=TRUE,NOTA[[#This Row],[QTY/ CTN]],INDEX([3]!db[QTY/ CTN],NOTA[[#This Row],[//DB]])))</f>
        <v>48 LSN</v>
      </c>
      <c r="AT1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zrmcuttera300alock48lsnartomoro</v>
      </c>
      <c r="AU101" s="39" t="e">
        <f ca="1">IF(NOTA[[#This Row],[ID_H]]="","",MATCH(NOTA[[#This Row],[NB NOTA_C_QTY]],[4]!db[NB NOTA_C_QTY+F],0))</f>
        <v>#REF!</v>
      </c>
      <c r="AV101" s="55">
        <f ca="1">IF(NOTA[[#This Row],[NB NOTA_C_QTY]]="","",ROW()-2)</f>
        <v>99</v>
      </c>
    </row>
    <row r="102" spans="1:48" ht="20.100000000000001" customHeight="1" x14ac:dyDescent="0.25">
      <c r="A1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28</v>
      </c>
      <c r="E102" s="47"/>
      <c r="H102" s="48"/>
      <c r="L102" s="38" t="s">
        <v>239</v>
      </c>
      <c r="M102" s="41">
        <v>1</v>
      </c>
      <c r="N102" s="39">
        <v>24</v>
      </c>
      <c r="O102" s="38" t="s">
        <v>152</v>
      </c>
      <c r="P102" s="42">
        <v>129729.73</v>
      </c>
      <c r="Q102" s="43"/>
      <c r="R102" s="49" t="s">
        <v>240</v>
      </c>
      <c r="S102" s="50">
        <v>0.15</v>
      </c>
      <c r="U102" s="51">
        <v>238529.18052000002</v>
      </c>
      <c r="V102" s="46"/>
      <c r="W102" s="51">
        <f>IF(NOTA[[#This Row],[HARGA/ CTN]]="",NOTA[[#This Row],[JUMLAH_H]],NOTA[[#This Row],[HARGA/ CTN]]*IF(NOTA[[#This Row],[C]]="",0,NOTA[[#This Row],[C]]))</f>
        <v>3113513.52</v>
      </c>
      <c r="X102" s="51">
        <f>IF(NOTA[[#This Row],[JUMLAH]]="","",NOTA[[#This Row],[JUMLAH]]*NOTA[[#This Row],[DISC 1]])</f>
        <v>467027.02799999999</v>
      </c>
      <c r="Y102" s="51">
        <f>IF(NOTA[[#This Row],[JUMLAH]]="","",(NOTA[[#This Row],[JUMLAH]]-NOTA[[#This Row],[DISC 1-]])*NOTA[[#This Row],[DISC 2]])</f>
        <v>0</v>
      </c>
      <c r="Z102" s="51">
        <f>IF(NOTA[[#This Row],[JUMLAH]]="","",NOTA[[#This Row],[DISC 1-]]+NOTA[[#This Row],[DISC 2-]])</f>
        <v>467027.02799999999</v>
      </c>
      <c r="AA102" s="51">
        <f>IF(NOTA[[#This Row],[JUMLAH]]="","",NOTA[[#This Row],[JUMLAH]]-NOTA[[#This Row],[DISC]])</f>
        <v>2646486.4920000001</v>
      </c>
      <c r="AB102" s="51">
        <f ca="1">NOTA[[#This Row],[TOTAL INVOICE]]*11/100</f>
        <v>848417.79038280016</v>
      </c>
      <c r="AC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1751434.4365199998</v>
      </c>
      <c r="AD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7712889.0034800004</v>
      </c>
      <c r="AE102" s="42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51">
        <f>IF(OR(NOTA[[#This Row],[QTY]]="",NOTA[[#This Row],[HARGA SATUAN]]="",),"",NOTA[[#This Row],[QTY]]*NOTA[[#This Row],[HARGA SATUAN]])</f>
        <v>3113513.52</v>
      </c>
      <c r="AG102" s="40">
        <f ca="1">IF(NOTA[ID_H]="","",INDEX(NOTA[TANGGAL],MATCH(,INDIRECT(ADDRESS(ROW(NOTA[TANGGAL]),COLUMN(NOTA[TANGGAL]))&amp;":"&amp;ADDRESS(ROW(),COLUMN(NOTA[TANGGAL]))),-1)))</f>
        <v>45114</v>
      </c>
      <c r="AH102" s="42" t="str">
        <f ca="1">IF(NOTA[[#This Row],[NAMA BARANG]]="","",INDEX(NOTA[SUPPLIER],MATCH(,INDIRECT(ADDRESS(ROW(NOTA[ID]),COLUMN(NOTA[ID]))&amp;":"&amp;ADDRESS(ROW(),COLUMN(NOTA[ID]))),-1)))</f>
        <v>SDI</v>
      </c>
      <c r="AI102" s="42" t="str">
        <f ca="1">IF(NOTA[[#This Row],[ID_H]]="","",IF(NOTA[[#This Row],[FAKTUR]]="",INDIRECT(ADDRESS(ROW()-1,COLUMN())),NOTA[[#This Row],[FAKTUR]]))</f>
        <v>ARTO MORO</v>
      </c>
      <c r="AJ102" s="39" t="str">
        <f ca="1">IF(NOTA[[#This Row],[ID]]="","",COUNTIF(NOTA[ID_H],NOTA[[#This Row],[ID_H]]))</f>
        <v/>
      </c>
      <c r="AK102" s="39">
        <f ca="1">IF(NOTA[[#This Row],[TGL.NOTA]]="",IF(NOTA[[#This Row],[SUPPLIER_H]]="","",AK101),MONTH(NOTA[[#This Row],[TGL.NOTA]]))</f>
        <v>7</v>
      </c>
      <c r="AL102" s="39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9" t="str">
        <f>IF(NOTA[[#This Row],[CONCAT4]]="","",_xlfn.IFNA(MATCH(NOTA[[#This Row],[CONCAT4]],[2]!RAW[CONCAT_H],0),FALSE))</f>
        <v/>
      </c>
      <c r="AQ102" s="39">
        <f>IF(NOTA[[#This Row],[CONCAT1]]="","",MATCH(NOTA[[#This Row],[CONCAT1]],[3]!db[NB NOTA_C],0))</f>
        <v>957</v>
      </c>
      <c r="AR102" s="39" t="b">
        <f>IF(NOTA[[#This Row],[QTY/ CTN]]="","",TRUE)</f>
        <v>1</v>
      </c>
      <c r="AS102" s="39" t="str">
        <f ca="1">IF(NOTA[[#This Row],[ID_H]]="","",IF(NOTA[[#This Row],[Column3]]=TRUE,NOTA[[#This Row],[QTY/ CTN]],INDEX([3]!db[QTY/ CTN],NOTA[[#This Row],[//DB]])))</f>
        <v>24 LSN</v>
      </c>
      <c r="AT1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zrmcutterl50024lsnartomoro</v>
      </c>
      <c r="AU102" s="39" t="e">
        <f ca="1">IF(NOTA[[#This Row],[ID_H]]="","",MATCH(NOTA[[#This Row],[NB NOTA_C_QTY]],[4]!db[NB NOTA_C_QTY+F],0))</f>
        <v>#REF!</v>
      </c>
      <c r="AV102" s="55">
        <f ca="1">IF(NOTA[[#This Row],[NB NOTA_C_QTY]]="","",ROW()-2)</f>
        <v>100</v>
      </c>
    </row>
    <row r="103" spans="1:48" ht="20.100000000000001" customHeight="1" x14ac:dyDescent="0.25">
      <c r="A1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 t="str">
        <f ca="1">IF(NOTA[[#This Row],[NAMA BARANG]]="","",INDEX(NOTA[ID],MATCH(,INDIRECT(ADDRESS(ROW(NOTA[ID]),COLUMN(NOTA[ID]))&amp;":"&amp;ADDRESS(ROW(),COLUMN(NOTA[ID]))),-1)))</f>
        <v/>
      </c>
      <c r="E103" s="47" t="s">
        <v>241</v>
      </c>
      <c r="H103" s="48"/>
      <c r="N103" s="39"/>
      <c r="Q103" s="43"/>
      <c r="R103" s="49"/>
      <c r="S103" s="50"/>
      <c r="U103" s="51"/>
      <c r="V103" s="46"/>
      <c r="W103" s="51" t="str">
        <f>IF(NOTA[[#This Row],[HARGA/ CTN]]="",NOTA[[#This Row],[JUMLAH_H]],NOTA[[#This Row],[HARGA/ CTN]]*IF(NOTA[[#This Row],[C]]="",0,NOTA[[#This Row],[C]]))</f>
        <v/>
      </c>
      <c r="X103" s="51" t="str">
        <f>IF(NOTA[[#This Row],[JUMLAH]]="","",NOTA[[#This Row],[JUMLAH]]*NOTA[[#This Row],[DISC 1]])</f>
        <v/>
      </c>
      <c r="Y103" s="51" t="str">
        <f>IF(NOTA[[#This Row],[JUMLAH]]="","",(NOTA[[#This Row],[JUMLAH]]-NOTA[[#This Row],[DISC 1-]])*NOTA[[#This Row],[DISC 2]])</f>
        <v/>
      </c>
      <c r="Z103" s="51" t="str">
        <f>IF(NOTA[[#This Row],[JUMLAH]]="","",NOTA[[#This Row],[DISC 1-]]+NOTA[[#This Row],[DISC 2-]])</f>
        <v/>
      </c>
      <c r="AA103" s="51" t="str">
        <f>IF(NOTA[[#This Row],[JUMLAH]]="","",NOTA[[#This Row],[JUMLAH]]-NOTA[[#This Row],[DISC]])</f>
        <v/>
      </c>
      <c r="AB103" s="51"/>
      <c r="AC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1" t="str">
        <f>IF(OR(NOTA[[#This Row],[QTY]]="",NOTA[[#This Row],[HARGA SATUAN]]="",),"",NOTA[[#This Row],[QTY]]*NOTA[[#This Row],[HARGA SATUAN]])</f>
        <v/>
      </c>
      <c r="AG103" s="40" t="str">
        <f ca="1">IF(NOTA[ID_H]="","",INDEX(NOTA[TANGGAL],MATCH(,INDIRECT(ADDRESS(ROW(NOTA[TANGGAL]),COLUMN(NOTA[TANGGAL]))&amp;":"&amp;ADDRESS(ROW(),COLUMN(NOTA[TANGGAL]))),-1)))</f>
        <v/>
      </c>
      <c r="AH103" s="42" t="str">
        <f ca="1">IF(NOTA[[#This Row],[NAMA BARANG]]="","",INDEX(NOTA[SUPPLIER],MATCH(,INDIRECT(ADDRESS(ROW(NOTA[ID]),COLUMN(NOTA[ID]))&amp;":"&amp;ADDRESS(ROW(),COLUMN(NOTA[ID]))),-1)))</f>
        <v/>
      </c>
      <c r="AI103" s="42" t="str">
        <f ca="1">IF(NOTA[[#This Row],[ID_H]]="","",IF(NOTA[[#This Row],[FAKTUR]]="",INDIRECT(ADDRESS(ROW()-1,COLUMN())),NOTA[[#This Row],[FAKTUR]]))</f>
        <v/>
      </c>
      <c r="AJ103" s="39" t="str">
        <f ca="1">IF(NOTA[[#This Row],[ID]]="","",COUNTIF(NOTA[ID_H],NOTA[[#This Row],[ID_H]]))</f>
        <v/>
      </c>
      <c r="AK103" s="39" t="str">
        <f ca="1">IF(NOTA[[#This Row],[TGL.NOTA]]="",IF(NOTA[[#This Row],[SUPPLIER_H]]="","",AK102),MONTH(NOTA[[#This Row],[TGL.NOTA]]))</f>
        <v/>
      </c>
      <c r="AL103" s="39" t="str">
        <f>LOWER(SUBSTITUTE(SUBSTITUTE(SUBSTITUTE(SUBSTITUTE(SUBSTITUTE(SUBSTITUTE(SUBSTITUTE(SUBSTITUTE(SUBSTITUTE(NOTA[NAMA BARANG]," ",),".",""),"-",""),"(",""),")",""),",",""),"/",""),"""",""),"+",""))</f>
        <v/>
      </c>
      <c r="AM1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9" t="str">
        <f>IF(NOTA[[#This Row],[CONCAT4]]="","",_xlfn.IFNA(MATCH(NOTA[[#This Row],[CONCAT4]],[2]!RAW[CONCAT_H],0),FALSE))</f>
        <v/>
      </c>
      <c r="AQ103" s="39" t="str">
        <f>IF(NOTA[[#This Row],[CONCAT1]]="","",MATCH(NOTA[[#This Row],[CONCAT1]],[3]!db[NB NOTA_C],0))</f>
        <v/>
      </c>
      <c r="AR103" s="39" t="str">
        <f>IF(NOTA[[#This Row],[QTY/ CTN]]="","",TRUE)</f>
        <v/>
      </c>
      <c r="AS103" s="39" t="str">
        <f ca="1">IF(NOTA[[#This Row],[ID_H]]="","",IF(NOTA[[#This Row],[Column3]]=TRUE,NOTA[[#This Row],[QTY/ CTN]],INDEX([3]!db[QTY/ CTN],NOTA[[#This Row],[//DB]])))</f>
        <v/>
      </c>
      <c r="AT1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9" t="str">
        <f ca="1">IF(NOTA[[#This Row],[ID_H]]="","",MATCH(NOTA[[#This Row],[NB NOTA_C_QTY]],[4]!db[NB NOTA_C_QTY+F],0))</f>
        <v/>
      </c>
      <c r="AV103" s="55" t="str">
        <f ca="1">IF(NOTA[[#This Row],[NB NOTA_C_QTY]]="","",ROW()-2)</f>
        <v/>
      </c>
    </row>
    <row r="104" spans="1:48" ht="20.100000000000001" customHeight="1" x14ac:dyDescent="0.25">
      <c r="A104" s="42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39" t="e">
        <f ca="1">IF(NOTA[[#This Row],[ID_P]]="","",MATCH(NOTA[[#This Row],[ID_P]],[1]!B_MSK[N_ID],0))</f>
        <v>#REF!</v>
      </c>
      <c r="D104" s="39">
        <f ca="1">IF(NOTA[[#This Row],[NAMA BARANG]]="","",INDEX(NOTA[ID],MATCH(,INDIRECT(ADDRESS(ROW(NOTA[ID]),COLUMN(NOTA[ID]))&amp;":"&amp;ADDRESS(ROW(),COLUMN(NOTA[ID]))),-1)))</f>
        <v>29</v>
      </c>
      <c r="E104" s="47">
        <v>45113</v>
      </c>
      <c r="F104" s="38" t="s">
        <v>151</v>
      </c>
      <c r="G104" s="38" t="s">
        <v>145</v>
      </c>
      <c r="H104" s="48" t="s">
        <v>198</v>
      </c>
      <c r="J104" s="40">
        <v>45111</v>
      </c>
      <c r="L104" s="38" t="s">
        <v>242</v>
      </c>
      <c r="M104" s="41">
        <v>2</v>
      </c>
      <c r="N104" s="39">
        <v>8000</v>
      </c>
      <c r="O104" s="38" t="s">
        <v>117</v>
      </c>
      <c r="P104" s="42">
        <v>700</v>
      </c>
      <c r="Q104" s="43"/>
      <c r="R104" s="49" t="s">
        <v>199</v>
      </c>
      <c r="S104" s="50"/>
      <c r="U104" s="51"/>
      <c r="V104" s="46"/>
      <c r="W104" s="51">
        <f>IF(NOTA[[#This Row],[HARGA/ CTN]]="",NOTA[[#This Row],[JUMLAH_H]],NOTA[[#This Row],[HARGA/ CTN]]*IF(NOTA[[#This Row],[C]]="",0,NOTA[[#This Row],[C]]))</f>
        <v>5600000</v>
      </c>
      <c r="X104" s="51">
        <f>IF(NOTA[[#This Row],[JUMLAH]]="","",NOTA[[#This Row],[JUMLAH]]*NOTA[[#This Row],[DISC 1]])</f>
        <v>0</v>
      </c>
      <c r="Y104" s="51">
        <f>IF(NOTA[[#This Row],[JUMLAH]]="","",(NOTA[[#This Row],[JUMLAH]]-NOTA[[#This Row],[DISC 1-]])*NOTA[[#This Row],[DISC 2]])</f>
        <v>0</v>
      </c>
      <c r="Z104" s="51">
        <f>IF(NOTA[[#This Row],[JUMLAH]]="","",NOTA[[#This Row],[DISC 1-]]+NOTA[[#This Row],[DISC 2-]])</f>
        <v>0</v>
      </c>
      <c r="AA104" s="51">
        <f>IF(NOTA[[#This Row],[JUMLAH]]="","",NOTA[[#This Row],[JUMLAH]]-NOTA[[#This Row],[DISC]])</f>
        <v>5600000</v>
      </c>
      <c r="AB104" s="51"/>
      <c r="AC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51">
        <f>IF(OR(NOTA[[#This Row],[QTY]]="",NOTA[[#This Row],[HARGA SATUAN]]="",),"",NOTA[[#This Row],[QTY]]*NOTA[[#This Row],[HARGA SATUAN]])</f>
        <v>5600000</v>
      </c>
      <c r="AG104" s="40">
        <f ca="1">IF(NOTA[ID_H]="","",INDEX(NOTA[TANGGAL],MATCH(,INDIRECT(ADDRESS(ROW(NOTA[TANGGAL]),COLUMN(NOTA[TANGGAL]))&amp;":"&amp;ADDRESS(ROW(),COLUMN(NOTA[TANGGAL]))),-1)))</f>
        <v>45113</v>
      </c>
      <c r="AH104" s="42" t="str">
        <f ca="1">IF(NOTA[[#This Row],[NAMA BARANG]]="","",INDEX(NOTA[SUPPLIER],MATCH(,INDIRECT(ADDRESS(ROW(NOTA[ID]),COLUMN(NOTA[ID]))&amp;":"&amp;ADDRESS(ROW(),COLUMN(NOTA[ID]))),-1)))</f>
        <v>ETJ</v>
      </c>
      <c r="AI104" s="42" t="str">
        <f ca="1">IF(NOTA[[#This Row],[ID_H]]="","",IF(NOTA[[#This Row],[FAKTUR]]="",INDIRECT(ADDRESS(ROW()-1,COLUMN())),NOTA[[#This Row],[FAKTUR]]))</f>
        <v>UNTANA</v>
      </c>
      <c r="AJ104" s="39">
        <f ca="1">IF(NOTA[[#This Row],[ID]]="","",COUNTIF(NOTA[ID_H],NOTA[[#This Row],[ID_H]]))</f>
        <v>1</v>
      </c>
      <c r="AK104" s="39">
        <f>IF(NOTA[[#This Row],[TGL.NOTA]]="",IF(NOTA[[#This Row],[SUPPLIER_H]]="","",AK103),MONTH(NOTA[[#This Row],[TGL.NOTA]]))</f>
        <v>7</v>
      </c>
      <c r="AL104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39" t="e">
        <f>IF(NOTA[[#This Row],[CONCAT4]]="","",_xlfn.IFNA(MATCH(NOTA[[#This Row],[CONCAT4]],[2]!RAW[CONCAT_H],0),FALSE))</f>
        <v>#REF!</v>
      </c>
      <c r="AQ104" s="39">
        <f>IF(NOTA[[#This Row],[CONCAT1]]="","",MATCH(NOTA[[#This Row],[CONCAT1]],[3]!db[NB NOTA_C],0))</f>
        <v>1741</v>
      </c>
      <c r="AR104" s="39" t="b">
        <f>IF(NOTA[[#This Row],[QTY/ CTN]]="","",TRUE)</f>
        <v>1</v>
      </c>
      <c r="AS104" s="39" t="str">
        <f ca="1">IF(NOTA[[#This Row],[ID_H]]="","",IF(NOTA[[#This Row],[Column3]]=TRUE,NOTA[[#This Row],[QTY/ CTN]],INDEX([3]!db[QTY/ CTN],NOTA[[#This Row],[//DB]])))</f>
        <v>4000 PCS</v>
      </c>
      <c r="AT1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104" s="39" t="e">
        <f ca="1">IF(NOTA[[#This Row],[ID_H]]="","",MATCH(NOTA[[#This Row],[NB NOTA_C_QTY]],[4]!db[NB NOTA_C_QTY+F],0))</f>
        <v>#REF!</v>
      </c>
      <c r="AV104" s="55">
        <f ca="1">IF(NOTA[[#This Row],[NB NOTA_C_QTY]]="","",ROW()-2)</f>
        <v>102</v>
      </c>
    </row>
    <row r="105" spans="1:48" ht="20.100000000000001" customHeight="1" x14ac:dyDescent="0.25">
      <c r="A1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9" t="str">
        <f>IF(NOTA[[#This Row],[ID_P]]="","",MATCH(NOTA[[#This Row],[ID_P]],[1]!B_MSK[N_ID],0))</f>
        <v/>
      </c>
      <c r="D105" s="39" t="str">
        <f ca="1">IF(NOTA[[#This Row],[NAMA BARANG]]="","",INDEX(NOTA[ID],MATCH(,INDIRECT(ADDRESS(ROW(NOTA[ID]),COLUMN(NOTA[ID]))&amp;":"&amp;ADDRESS(ROW(),COLUMN(NOTA[ID]))),-1)))</f>
        <v/>
      </c>
      <c r="E105" s="47" t="s">
        <v>241</v>
      </c>
      <c r="H105" s="48"/>
      <c r="N105" s="39"/>
      <c r="Q105" s="43"/>
      <c r="R105" s="49"/>
      <c r="S105" s="50"/>
      <c r="U105" s="51"/>
      <c r="V105" s="46"/>
      <c r="W105" s="51" t="str">
        <f>IF(NOTA[[#This Row],[HARGA/ CTN]]="",NOTA[[#This Row],[JUMLAH_H]],NOTA[[#This Row],[HARGA/ CTN]]*IF(NOTA[[#This Row],[C]]="",0,NOTA[[#This Row],[C]]))</f>
        <v/>
      </c>
      <c r="X105" s="51" t="str">
        <f>IF(NOTA[[#This Row],[JUMLAH]]="","",NOTA[[#This Row],[JUMLAH]]*NOTA[[#This Row],[DISC 1]])</f>
        <v/>
      </c>
      <c r="Y105" s="51" t="str">
        <f>IF(NOTA[[#This Row],[JUMLAH]]="","",(NOTA[[#This Row],[JUMLAH]]-NOTA[[#This Row],[DISC 1-]])*NOTA[[#This Row],[DISC 2]])</f>
        <v/>
      </c>
      <c r="Z105" s="51" t="str">
        <f>IF(NOTA[[#This Row],[JUMLAH]]="","",NOTA[[#This Row],[DISC 1-]]+NOTA[[#This Row],[DISC 2-]])</f>
        <v/>
      </c>
      <c r="AA105" s="51" t="str">
        <f>IF(NOTA[[#This Row],[JUMLAH]]="","",NOTA[[#This Row],[JUMLAH]]-NOTA[[#This Row],[DISC]])</f>
        <v/>
      </c>
      <c r="AB105" s="51"/>
      <c r="AC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1" t="str">
        <f>IF(OR(NOTA[[#This Row],[QTY]]="",NOTA[[#This Row],[HARGA SATUAN]]="",),"",NOTA[[#This Row],[QTY]]*NOTA[[#This Row],[HARGA SATUAN]])</f>
        <v/>
      </c>
      <c r="AG105" s="40" t="str">
        <f ca="1">IF(NOTA[ID_H]="","",INDEX(NOTA[TANGGAL],MATCH(,INDIRECT(ADDRESS(ROW(NOTA[TANGGAL]),COLUMN(NOTA[TANGGAL]))&amp;":"&amp;ADDRESS(ROW(),COLUMN(NOTA[TANGGAL]))),-1)))</f>
        <v/>
      </c>
      <c r="AH105" s="42" t="str">
        <f ca="1">IF(NOTA[[#This Row],[NAMA BARANG]]="","",INDEX(NOTA[SUPPLIER],MATCH(,INDIRECT(ADDRESS(ROW(NOTA[ID]),COLUMN(NOTA[ID]))&amp;":"&amp;ADDRESS(ROW(),COLUMN(NOTA[ID]))),-1)))</f>
        <v/>
      </c>
      <c r="AI105" s="42" t="str">
        <f ca="1">IF(NOTA[[#This Row],[ID_H]]="","",IF(NOTA[[#This Row],[FAKTUR]]="",INDIRECT(ADDRESS(ROW()-1,COLUMN())),NOTA[[#This Row],[FAKTUR]]))</f>
        <v/>
      </c>
      <c r="AJ105" s="39" t="str">
        <f ca="1">IF(NOTA[[#This Row],[ID]]="","",COUNTIF(NOTA[ID_H],NOTA[[#This Row],[ID_H]]))</f>
        <v/>
      </c>
      <c r="AK105" s="39" t="str">
        <f ca="1">IF(NOTA[[#This Row],[TGL.NOTA]]="",IF(NOTA[[#This Row],[SUPPLIER_H]]="","",AK104),MONTH(NOTA[[#This Row],[TGL.NOTA]]))</f>
        <v/>
      </c>
      <c r="AL105" s="39" t="str">
        <f>LOWER(SUBSTITUTE(SUBSTITUTE(SUBSTITUTE(SUBSTITUTE(SUBSTITUTE(SUBSTITUTE(SUBSTITUTE(SUBSTITUTE(SUBSTITUTE(NOTA[NAMA BARANG]," ",),".",""),"-",""),"(",""),")",""),",",""),"/",""),"""",""),"+",""))</f>
        <v/>
      </c>
      <c r="AM1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9" t="str">
        <f>IF(NOTA[[#This Row],[CONCAT4]]="","",_xlfn.IFNA(MATCH(NOTA[[#This Row],[CONCAT4]],[2]!RAW[CONCAT_H],0),FALSE))</f>
        <v/>
      </c>
      <c r="AQ105" s="39" t="str">
        <f>IF(NOTA[[#This Row],[CONCAT1]]="","",MATCH(NOTA[[#This Row],[CONCAT1]],[3]!db[NB NOTA_C],0))</f>
        <v/>
      </c>
      <c r="AR105" s="39" t="str">
        <f>IF(NOTA[[#This Row],[QTY/ CTN]]="","",TRUE)</f>
        <v/>
      </c>
      <c r="AS105" s="39" t="str">
        <f ca="1">IF(NOTA[[#This Row],[ID_H]]="","",IF(NOTA[[#This Row],[Column3]]=TRUE,NOTA[[#This Row],[QTY/ CTN]],INDEX([3]!db[QTY/ CTN],NOTA[[#This Row],[//DB]])))</f>
        <v/>
      </c>
      <c r="AT1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9" t="str">
        <f ca="1">IF(NOTA[[#This Row],[ID_H]]="","",MATCH(NOTA[[#This Row],[NB NOTA_C_QTY]],[4]!db[NB NOTA_C_QTY+F],0))</f>
        <v/>
      </c>
      <c r="AV105" s="55" t="str">
        <f ca="1">IF(NOTA[[#This Row],[NB NOTA_C_QTY]]="","",ROW()-2)</f>
        <v/>
      </c>
    </row>
    <row r="106" spans="1:48" ht="20.100000000000001" customHeight="1" x14ac:dyDescent="0.25">
      <c r="A106" s="42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39" t="e">
        <f ca="1">IF(NOTA[[#This Row],[ID_P]]="","",MATCH(NOTA[[#This Row],[ID_P]],[1]!B_MSK[N_ID],0))</f>
        <v>#REF!</v>
      </c>
      <c r="D106" s="39">
        <f ca="1">IF(NOTA[[#This Row],[NAMA BARANG]]="","",INDEX(NOTA[ID],MATCH(,INDIRECT(ADDRESS(ROW(NOTA[ID]),COLUMN(NOTA[ID]))&amp;":"&amp;ADDRESS(ROW(),COLUMN(NOTA[ID]))),-1)))</f>
        <v>30</v>
      </c>
      <c r="E106" s="47">
        <v>45114</v>
      </c>
      <c r="F106" s="38" t="s">
        <v>243</v>
      </c>
      <c r="G106" s="38" t="s">
        <v>145</v>
      </c>
      <c r="H106" s="48" t="s">
        <v>244</v>
      </c>
      <c r="J106" s="40">
        <v>45114</v>
      </c>
      <c r="L106" s="38" t="s">
        <v>488</v>
      </c>
      <c r="M106" s="41">
        <v>1</v>
      </c>
      <c r="N106" s="39">
        <v>7</v>
      </c>
      <c r="O106" s="38" t="s">
        <v>152</v>
      </c>
      <c r="P106" s="42">
        <v>161000</v>
      </c>
      <c r="Q106" s="43"/>
      <c r="R106" s="49" t="s">
        <v>485</v>
      </c>
      <c r="S106" s="50"/>
      <c r="U106" s="51">
        <v>56500</v>
      </c>
      <c r="V106" s="46"/>
      <c r="W106" s="51">
        <f>IF(NOTA[[#This Row],[HARGA/ CTN]]="",NOTA[[#This Row],[JUMLAH_H]],NOTA[[#This Row],[HARGA/ CTN]]*IF(NOTA[[#This Row],[C]]="",0,NOTA[[#This Row],[C]]))</f>
        <v>1127000</v>
      </c>
      <c r="X106" s="51">
        <f>IF(NOTA[[#This Row],[JUMLAH]]="","",NOTA[[#This Row],[JUMLAH]]*NOTA[[#This Row],[DISC 1]])</f>
        <v>0</v>
      </c>
      <c r="Y106" s="51">
        <f>IF(NOTA[[#This Row],[JUMLAH]]="","",(NOTA[[#This Row],[JUMLAH]]-NOTA[[#This Row],[DISC 1-]])*NOTA[[#This Row],[DISC 2]])</f>
        <v>0</v>
      </c>
      <c r="Z106" s="51">
        <f>IF(NOTA[[#This Row],[JUMLAH]]="","",NOTA[[#This Row],[DISC 1-]]+NOTA[[#This Row],[DISC 2-]])</f>
        <v>0</v>
      </c>
      <c r="AA106" s="51">
        <f>IF(NOTA[[#This Row],[JUMLAH]]="","",NOTA[[#This Row],[JUMLAH]]-NOTA[[#This Row],[DISC]])</f>
        <v>1127000</v>
      </c>
      <c r="AB106" s="51"/>
      <c r="AC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42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51">
        <f>IF(OR(NOTA[[#This Row],[QTY]]="",NOTA[[#This Row],[HARGA SATUAN]]="",),"",NOTA[[#This Row],[QTY]]*NOTA[[#This Row],[HARGA SATUAN]])</f>
        <v>1127000</v>
      </c>
      <c r="AG106" s="40">
        <f ca="1">IF(NOTA[ID_H]="","",INDEX(NOTA[TANGGAL],MATCH(,INDIRECT(ADDRESS(ROW(NOTA[TANGGAL]),COLUMN(NOTA[TANGGAL]))&amp;":"&amp;ADDRESS(ROW(),COLUMN(NOTA[TANGGAL]))),-1)))</f>
        <v>45114</v>
      </c>
      <c r="AH106" s="42" t="str">
        <f ca="1">IF(NOTA[[#This Row],[NAMA BARANG]]="","",INDEX(NOTA[SUPPLIER],MATCH(,INDIRECT(ADDRESS(ROW(NOTA[ID]),COLUMN(NOTA[ID]))&amp;":"&amp;ADDRESS(ROW(),COLUMN(NOTA[ID]))),-1)))</f>
        <v>GLORY</v>
      </c>
      <c r="AI106" s="42" t="str">
        <f ca="1">IF(NOTA[[#This Row],[ID_H]]="","",IF(NOTA[[#This Row],[FAKTUR]]="",INDIRECT(ADDRESS(ROW()-1,COLUMN())),NOTA[[#This Row],[FAKTUR]]))</f>
        <v>UNTANA</v>
      </c>
      <c r="AJ106" s="39">
        <f ca="1">IF(NOTA[[#This Row],[ID]]="","",COUNTIF(NOTA[ID_H],NOTA[[#This Row],[ID_H]]))</f>
        <v>1</v>
      </c>
      <c r="AK106" s="39">
        <f>IF(NOTA[[#This Row],[TGL.NOTA]]="",IF(NOTA[[#This Row],[SUPPLIER_H]]="","",AK105),MONTH(NOTA[[#This Row],[TGL.NOTA]]))</f>
        <v>7</v>
      </c>
      <c r="AL106" s="39" t="str">
        <f>LOWER(SUBSTITUTE(SUBSTITUTE(SUBSTITUTE(SUBSTITUTE(SUBSTITUTE(SUBSTITUTE(SUBSTITUTE(SUBSTITUTE(SUBSTITUTE(NOTA[NAMA BARANG]," ",),".",""),"-",""),"(",""),")",""),",",""),"/",""),"""",""),"+",""))</f>
        <v>btbatik</v>
      </c>
      <c r="AM1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1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btbatik1127000</v>
      </c>
      <c r="AO106" s="39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</v>
      </c>
      <c r="AP106" s="39" t="e">
        <f>IF(NOTA[[#This Row],[CONCAT4]]="","",_xlfn.IFNA(MATCH(NOTA[[#This Row],[CONCAT4]],[2]!RAW[CONCAT_H],0),FALSE))</f>
        <v>#REF!</v>
      </c>
      <c r="AQ106" s="39">
        <f>IF(NOTA[[#This Row],[CONCAT1]]="","",MATCH(NOTA[[#This Row],[CONCAT1]],[3]!db[NB NOTA_C],0))</f>
        <v>735</v>
      </c>
      <c r="AR106" s="39" t="b">
        <f>IF(NOTA[[#This Row],[QTY/ CTN]]="","",TRUE)</f>
        <v>1</v>
      </c>
      <c r="AS106" s="39" t="str">
        <f ca="1">IF(NOTA[[#This Row],[ID_H]]="","",IF(NOTA[[#This Row],[Column3]]=TRUE,NOTA[[#This Row],[QTY/ CTN]],INDEX([3]!db[QTY/ CTN],NOTA[[#This Row],[//DB]])))</f>
        <v>7 LSN</v>
      </c>
      <c r="AT1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106" s="39" t="e">
        <f ca="1">IF(NOTA[[#This Row],[ID_H]]="","",MATCH(NOTA[[#This Row],[NB NOTA_C_QTY]],[4]!db[NB NOTA_C_QTY+F],0))</f>
        <v>#REF!</v>
      </c>
      <c r="AV106" s="55">
        <f ca="1">IF(NOTA[[#This Row],[NB NOTA_C_QTY]]="","",ROW()-2)</f>
        <v>104</v>
      </c>
    </row>
    <row r="107" spans="1:48" ht="20.100000000000001" customHeight="1" x14ac:dyDescent="0.25">
      <c r="A1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9" t="str">
        <f>IF(NOTA[[#This Row],[ID_P]]="","",MATCH(NOTA[[#This Row],[ID_P]],[1]!B_MSK[N_ID],0))</f>
        <v/>
      </c>
      <c r="D107" s="39" t="str">
        <f ca="1">IF(NOTA[[#This Row],[NAMA BARANG]]="","",INDEX(NOTA[ID],MATCH(,INDIRECT(ADDRESS(ROW(NOTA[ID]),COLUMN(NOTA[ID]))&amp;":"&amp;ADDRESS(ROW(),COLUMN(NOTA[ID]))),-1)))</f>
        <v/>
      </c>
      <c r="E107" s="47" t="s">
        <v>241</v>
      </c>
      <c r="H107" s="48"/>
      <c r="N107" s="39"/>
      <c r="Q107" s="43"/>
      <c r="R107" s="49"/>
      <c r="S107" s="50"/>
      <c r="U107" s="51"/>
      <c r="V107" s="46"/>
      <c r="W107" s="51" t="str">
        <f>IF(NOTA[[#This Row],[HARGA/ CTN]]="",NOTA[[#This Row],[JUMLAH_H]],NOTA[[#This Row],[HARGA/ CTN]]*IF(NOTA[[#This Row],[C]]="",0,NOTA[[#This Row],[C]]))</f>
        <v/>
      </c>
      <c r="X107" s="51" t="str">
        <f>IF(NOTA[[#This Row],[JUMLAH]]="","",NOTA[[#This Row],[JUMLAH]]*NOTA[[#This Row],[DISC 1]])</f>
        <v/>
      </c>
      <c r="Y107" s="51" t="str">
        <f>IF(NOTA[[#This Row],[JUMLAH]]="","",(NOTA[[#This Row],[JUMLAH]]-NOTA[[#This Row],[DISC 1-]])*NOTA[[#This Row],[DISC 2]])</f>
        <v/>
      </c>
      <c r="Z107" s="51" t="str">
        <f>IF(NOTA[[#This Row],[JUMLAH]]="","",NOTA[[#This Row],[DISC 1-]]+NOTA[[#This Row],[DISC 2-]])</f>
        <v/>
      </c>
      <c r="AA107" s="51" t="str">
        <f>IF(NOTA[[#This Row],[JUMLAH]]="","",NOTA[[#This Row],[JUMLAH]]-NOTA[[#This Row],[DISC]])</f>
        <v/>
      </c>
      <c r="AB107" s="51"/>
      <c r="AC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1" t="str">
        <f>IF(OR(NOTA[[#This Row],[QTY]]="",NOTA[[#This Row],[HARGA SATUAN]]="",),"",NOTA[[#This Row],[QTY]]*NOTA[[#This Row],[HARGA SATUAN]])</f>
        <v/>
      </c>
      <c r="AG107" s="40" t="str">
        <f ca="1">IF(NOTA[ID_H]="","",INDEX(NOTA[TANGGAL],MATCH(,INDIRECT(ADDRESS(ROW(NOTA[TANGGAL]),COLUMN(NOTA[TANGGAL]))&amp;":"&amp;ADDRESS(ROW(),COLUMN(NOTA[TANGGAL]))),-1)))</f>
        <v/>
      </c>
      <c r="AH107" s="42" t="str">
        <f ca="1">IF(NOTA[[#This Row],[NAMA BARANG]]="","",INDEX(NOTA[SUPPLIER],MATCH(,INDIRECT(ADDRESS(ROW(NOTA[ID]),COLUMN(NOTA[ID]))&amp;":"&amp;ADDRESS(ROW(),COLUMN(NOTA[ID]))),-1)))</f>
        <v/>
      </c>
      <c r="AI107" s="42" t="str">
        <f ca="1">IF(NOTA[[#This Row],[ID_H]]="","",IF(NOTA[[#This Row],[FAKTUR]]="",INDIRECT(ADDRESS(ROW()-1,COLUMN())),NOTA[[#This Row],[FAKTUR]]))</f>
        <v/>
      </c>
      <c r="AJ107" s="39" t="str">
        <f ca="1">IF(NOTA[[#This Row],[ID]]="","",COUNTIF(NOTA[ID_H],NOTA[[#This Row],[ID_H]]))</f>
        <v/>
      </c>
      <c r="AK107" s="39" t="str">
        <f ca="1">IF(NOTA[[#This Row],[TGL.NOTA]]="",IF(NOTA[[#This Row],[SUPPLIER_H]]="","",AK106),MONTH(NOTA[[#This Row],[TGL.NOTA]]))</f>
        <v/>
      </c>
      <c r="AL107" s="39" t="str">
        <f>LOWER(SUBSTITUTE(SUBSTITUTE(SUBSTITUTE(SUBSTITUTE(SUBSTITUTE(SUBSTITUTE(SUBSTITUTE(SUBSTITUTE(SUBSTITUTE(NOTA[NAMA BARANG]," ",),".",""),"-",""),"(",""),")",""),",",""),"/",""),"""",""),"+",""))</f>
        <v/>
      </c>
      <c r="AM1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9" t="str">
        <f>IF(NOTA[[#This Row],[CONCAT4]]="","",_xlfn.IFNA(MATCH(NOTA[[#This Row],[CONCAT4]],[2]!RAW[CONCAT_H],0),FALSE))</f>
        <v/>
      </c>
      <c r="AQ107" s="39" t="str">
        <f>IF(NOTA[[#This Row],[CONCAT1]]="","",MATCH(NOTA[[#This Row],[CONCAT1]],[3]!db[NB NOTA_C],0))</f>
        <v/>
      </c>
      <c r="AR107" s="39" t="str">
        <f>IF(NOTA[[#This Row],[QTY/ CTN]]="","",TRUE)</f>
        <v/>
      </c>
      <c r="AS107" s="39" t="str">
        <f ca="1">IF(NOTA[[#This Row],[ID_H]]="","",IF(NOTA[[#This Row],[Column3]]=TRUE,NOTA[[#This Row],[QTY/ CTN]],INDEX([3]!db[QTY/ CTN],NOTA[[#This Row],[//DB]])))</f>
        <v/>
      </c>
      <c r="AT1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9" t="str">
        <f ca="1">IF(NOTA[[#This Row],[ID_H]]="","",MATCH(NOTA[[#This Row],[NB NOTA_C_QTY]],[4]!db[NB NOTA_C_QTY+F],0))</f>
        <v/>
      </c>
      <c r="AV107" s="55" t="str">
        <f ca="1">IF(NOTA[[#This Row],[NB NOTA_C_QTY]]="","",ROW()-2)</f>
        <v/>
      </c>
    </row>
    <row r="108" spans="1:48" ht="20.100000000000001" customHeight="1" x14ac:dyDescent="0.25">
      <c r="A108" s="42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39" t="e">
        <f ca="1">IF(NOTA[[#This Row],[ID_P]]="","",MATCH(NOTA[[#This Row],[ID_P]],[1]!B_MSK[N_ID],0))</f>
        <v>#REF!</v>
      </c>
      <c r="D108" s="39">
        <f ca="1">IF(NOTA[[#This Row],[NAMA BARANG]]="","",INDEX(NOTA[ID],MATCH(,INDIRECT(ADDRESS(ROW(NOTA[ID]),COLUMN(NOTA[ID]))&amp;":"&amp;ADDRESS(ROW(),COLUMN(NOTA[ID]))),-1)))</f>
        <v>31</v>
      </c>
      <c r="E108" s="47">
        <v>45114</v>
      </c>
      <c r="F108" s="38" t="s">
        <v>218</v>
      </c>
      <c r="G108" s="38" t="s">
        <v>145</v>
      </c>
      <c r="H108" s="48" t="s">
        <v>245</v>
      </c>
      <c r="J108" s="40">
        <v>45112</v>
      </c>
      <c r="L108" s="38" t="s">
        <v>246</v>
      </c>
      <c r="M108" s="41">
        <v>10</v>
      </c>
      <c r="N108" s="39">
        <v>960</v>
      </c>
      <c r="O108" s="38" t="s">
        <v>152</v>
      </c>
      <c r="P108" s="42">
        <v>31500</v>
      </c>
      <c r="Q108" s="43"/>
      <c r="R108" s="49" t="s">
        <v>161</v>
      </c>
      <c r="S108" s="50"/>
      <c r="U108" s="51"/>
      <c r="V108" s="46"/>
      <c r="W108" s="51">
        <f>IF(NOTA[[#This Row],[HARGA/ CTN]]="",NOTA[[#This Row],[JUMLAH_H]],NOTA[[#This Row],[HARGA/ CTN]]*IF(NOTA[[#This Row],[C]]="",0,NOTA[[#This Row],[C]]))</f>
        <v>30240000</v>
      </c>
      <c r="X108" s="51">
        <f>IF(NOTA[[#This Row],[JUMLAH]]="","",NOTA[[#This Row],[JUMLAH]]*NOTA[[#This Row],[DISC 1]])</f>
        <v>0</v>
      </c>
      <c r="Y108" s="51">
        <f>IF(NOTA[[#This Row],[JUMLAH]]="","",(NOTA[[#This Row],[JUMLAH]]-NOTA[[#This Row],[DISC 1-]])*NOTA[[#This Row],[DISC 2]])</f>
        <v>0</v>
      </c>
      <c r="Z108" s="51">
        <f>IF(NOTA[[#This Row],[JUMLAH]]="","",NOTA[[#This Row],[DISC 1-]]+NOTA[[#This Row],[DISC 2-]])</f>
        <v>0</v>
      </c>
      <c r="AA108" s="51">
        <f>IF(NOTA[[#This Row],[JUMLAH]]="","",NOTA[[#This Row],[JUMLAH]]-NOTA[[#This Row],[DISC]])</f>
        <v>30240000</v>
      </c>
      <c r="AB108" s="51"/>
      <c r="AC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51">
        <f>IF(OR(NOTA[[#This Row],[QTY]]="",NOTA[[#This Row],[HARGA SATUAN]]="",),"",NOTA[[#This Row],[QTY]]*NOTA[[#This Row],[HARGA SATUAN]])</f>
        <v>30240000</v>
      </c>
      <c r="AG108" s="40">
        <f ca="1">IF(NOTA[ID_H]="","",INDEX(NOTA[TANGGAL],MATCH(,INDIRECT(ADDRESS(ROW(NOTA[TANGGAL]),COLUMN(NOTA[TANGGAL]))&amp;":"&amp;ADDRESS(ROW(),COLUMN(NOTA[TANGGAL]))),-1)))</f>
        <v>45114</v>
      </c>
      <c r="AH108" s="42" t="str">
        <f ca="1">IF(NOTA[[#This Row],[NAMA BARANG]]="","",INDEX(NOTA[SUPPLIER],MATCH(,INDIRECT(ADDRESS(ROW(NOTA[ID]),COLUMN(NOTA[ID]))&amp;":"&amp;ADDRESS(ROW(),COLUMN(NOTA[ID]))),-1)))</f>
        <v>DB STATIONERY</v>
      </c>
      <c r="AI108" s="42" t="str">
        <f ca="1">IF(NOTA[[#This Row],[ID_H]]="","",IF(NOTA[[#This Row],[FAKTUR]]="",INDIRECT(ADDRESS(ROW()-1,COLUMN())),NOTA[[#This Row],[FAKTUR]]))</f>
        <v>UNTANA</v>
      </c>
      <c r="AJ108" s="39">
        <f ca="1">IF(NOTA[[#This Row],[ID]]="","",COUNTIF(NOTA[ID_H],NOTA[[#This Row],[ID_H]]))</f>
        <v>7</v>
      </c>
      <c r="AK108" s="39">
        <f>IF(NOTA[[#This Row],[TGL.NOTA]]="",IF(NOTA[[#This Row],[SUPPLIER_H]]="","",AK107),MONTH(NOTA[[#This Row],[TGL.NOTA]]))</f>
        <v>7</v>
      </c>
      <c r="AL108" s="39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39" t="e">
        <f>IF(NOTA[[#This Row],[CONCAT4]]="","",_xlfn.IFNA(MATCH(NOTA[[#This Row],[CONCAT4]],[2]!RAW[CONCAT_H],0),FALSE))</f>
        <v>#REF!</v>
      </c>
      <c r="AQ108" s="39">
        <f>IF(NOTA[[#This Row],[CONCAT1]]="","",MATCH(NOTA[[#This Row],[CONCAT1]],[3]!db[NB NOTA_C],0))</f>
        <v>700</v>
      </c>
      <c r="AR108" s="39" t="b">
        <f>IF(NOTA[[#This Row],[QTY/ CTN]]="","",TRUE)</f>
        <v>1</v>
      </c>
      <c r="AS108" s="39" t="str">
        <f ca="1">IF(NOTA[[#This Row],[ID_H]]="","",IF(NOTA[[#This Row],[Column3]]=TRUE,NOTA[[#This Row],[QTY/ CTN]],INDEX([3]!db[QTY/ CTN],NOTA[[#This Row],[//DB]])))</f>
        <v>96 LSN</v>
      </c>
      <c r="AT1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108" s="39" t="e">
        <f ca="1">IF(NOTA[[#This Row],[ID_H]]="","",MATCH(NOTA[[#This Row],[NB NOTA_C_QTY]],[4]!db[NB NOTA_C_QTY+F],0))</f>
        <v>#REF!</v>
      </c>
      <c r="AV108" s="55">
        <f ca="1">IF(NOTA[[#This Row],[NB NOTA_C_QTY]]="","",ROW()-2)</f>
        <v>106</v>
      </c>
    </row>
    <row r="109" spans="1:48" ht="20.100000000000001" customHeight="1" x14ac:dyDescent="0.25">
      <c r="A1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31</v>
      </c>
      <c r="E109" s="47"/>
      <c r="H109" s="48"/>
      <c r="L109" s="38" t="s">
        <v>247</v>
      </c>
      <c r="M109" s="41">
        <v>5</v>
      </c>
      <c r="N109" s="39">
        <v>480</v>
      </c>
      <c r="O109" s="38" t="s">
        <v>152</v>
      </c>
      <c r="P109" s="43">
        <v>31500</v>
      </c>
      <c r="Q109" s="43"/>
      <c r="R109" s="49" t="s">
        <v>161</v>
      </c>
      <c r="S109" s="50"/>
      <c r="U109" s="51"/>
      <c r="V109" s="46"/>
      <c r="W109" s="51">
        <f>IF(NOTA[[#This Row],[HARGA/ CTN]]="",NOTA[[#This Row],[JUMLAH_H]],NOTA[[#This Row],[HARGA/ CTN]]*IF(NOTA[[#This Row],[C]]="",0,NOTA[[#This Row],[C]]))</f>
        <v>15120000</v>
      </c>
      <c r="X109" s="51">
        <f>IF(NOTA[[#This Row],[JUMLAH]]="","",NOTA[[#This Row],[JUMLAH]]*NOTA[[#This Row],[DISC 1]])</f>
        <v>0</v>
      </c>
      <c r="Y109" s="51">
        <f>IF(NOTA[[#This Row],[JUMLAH]]="","",(NOTA[[#This Row],[JUMLAH]]-NOTA[[#This Row],[DISC 1-]])*NOTA[[#This Row],[DISC 2]])</f>
        <v>0</v>
      </c>
      <c r="Z109" s="51">
        <f>IF(NOTA[[#This Row],[JUMLAH]]="","",NOTA[[#This Row],[DISC 1-]]+NOTA[[#This Row],[DISC 2-]])</f>
        <v>0</v>
      </c>
      <c r="AA109" s="51">
        <f>IF(NOTA[[#This Row],[JUMLAH]]="","",NOTA[[#This Row],[JUMLAH]]-NOTA[[#This Row],[DISC]])</f>
        <v>15120000</v>
      </c>
      <c r="AB109" s="51"/>
      <c r="AC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51">
        <f>IF(OR(NOTA[[#This Row],[QTY]]="",NOTA[[#This Row],[HARGA SATUAN]]="",),"",NOTA[[#This Row],[QTY]]*NOTA[[#This Row],[HARGA SATUAN]])</f>
        <v>15120000</v>
      </c>
      <c r="AG109" s="40">
        <f ca="1">IF(NOTA[ID_H]="","",INDEX(NOTA[TANGGAL],MATCH(,INDIRECT(ADDRESS(ROW(NOTA[TANGGAL]),COLUMN(NOTA[TANGGAL]))&amp;":"&amp;ADDRESS(ROW(),COLUMN(NOTA[TANGGAL]))),-1)))</f>
        <v>45114</v>
      </c>
      <c r="AH109" s="42" t="str">
        <f ca="1">IF(NOTA[[#This Row],[NAMA BARANG]]="","",INDEX(NOTA[SUPPLIER],MATCH(,INDIRECT(ADDRESS(ROW(NOTA[ID]),COLUMN(NOTA[ID]))&amp;":"&amp;ADDRESS(ROW(),COLUMN(NOTA[ID]))),-1)))</f>
        <v>DB STATIONERY</v>
      </c>
      <c r="AI109" s="42" t="str">
        <f ca="1">IF(NOTA[[#This Row],[ID_H]]="","",IF(NOTA[[#This Row],[FAKTUR]]="",INDIRECT(ADDRESS(ROW()-1,COLUMN())),NOTA[[#This Row],[FAKTUR]]))</f>
        <v>UNTANA</v>
      </c>
      <c r="AJ109" s="39" t="str">
        <f ca="1">IF(NOTA[[#This Row],[ID]]="","",COUNTIF(NOTA[ID_H],NOTA[[#This Row],[ID_H]]))</f>
        <v/>
      </c>
      <c r="AK109" s="39">
        <f ca="1">IF(NOTA[[#This Row],[TGL.NOTA]]="",IF(NOTA[[#This Row],[SUPPLIER_H]]="","",AK108),MONTH(NOTA[[#This Row],[TGL.NOTA]]))</f>
        <v>7</v>
      </c>
      <c r="AL109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9" t="str">
        <f>IF(NOTA[[#This Row],[CONCAT4]]="","",_xlfn.IFNA(MATCH(NOTA[[#This Row],[CONCAT4]],[2]!RAW[CONCAT_H],0),FALSE))</f>
        <v/>
      </c>
      <c r="AQ109" s="39">
        <f>IF(NOTA[[#This Row],[CONCAT1]]="","",MATCH(NOTA[[#This Row],[CONCAT1]],[3]!db[NB NOTA_C],0))</f>
        <v>702</v>
      </c>
      <c r="AR109" s="39" t="b">
        <f>IF(NOTA[[#This Row],[QTY/ CTN]]="","",TRUE)</f>
        <v>1</v>
      </c>
      <c r="AS109" s="39" t="str">
        <f ca="1">IF(NOTA[[#This Row],[ID_H]]="","",IF(NOTA[[#This Row],[Column3]]=TRUE,NOTA[[#This Row],[QTY/ CTN]],INDEX([3]!db[QTY/ CTN],NOTA[[#This Row],[//DB]])))</f>
        <v>96 LSN</v>
      </c>
      <c r="AT1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09" s="39" t="e">
        <f ca="1">IF(NOTA[[#This Row],[ID_H]]="","",MATCH(NOTA[[#This Row],[NB NOTA_C_QTY]],[4]!db[NB NOTA_C_QTY+F],0))</f>
        <v>#REF!</v>
      </c>
      <c r="AV109" s="55">
        <f ca="1">IF(NOTA[[#This Row],[NB NOTA_C_QTY]]="","",ROW()-2)</f>
        <v>107</v>
      </c>
    </row>
    <row r="110" spans="1:48" ht="20.100000000000001" customHeight="1" x14ac:dyDescent="0.25">
      <c r="A1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>
        <f ca="1">IF(NOTA[[#This Row],[NAMA BARANG]]="","",INDEX(NOTA[ID],MATCH(,INDIRECT(ADDRESS(ROW(NOTA[ID]),COLUMN(NOTA[ID]))&amp;":"&amp;ADDRESS(ROW(),COLUMN(NOTA[ID]))),-1)))</f>
        <v>31</v>
      </c>
      <c r="E110" s="47"/>
      <c r="H110" s="48"/>
      <c r="L110" s="38" t="s">
        <v>489</v>
      </c>
      <c r="M110" s="41">
        <v>2</v>
      </c>
      <c r="N110" s="39">
        <v>192</v>
      </c>
      <c r="O110" s="38" t="s">
        <v>152</v>
      </c>
      <c r="P110" s="43">
        <v>29000</v>
      </c>
      <c r="Q110" s="43"/>
      <c r="R110" s="49" t="s">
        <v>161</v>
      </c>
      <c r="S110" s="50"/>
      <c r="U110" s="51"/>
      <c r="V110" s="46"/>
      <c r="W110" s="51">
        <f>IF(NOTA[[#This Row],[HARGA/ CTN]]="",NOTA[[#This Row],[JUMLAH_H]],NOTA[[#This Row],[HARGA/ CTN]]*IF(NOTA[[#This Row],[C]]="",0,NOTA[[#This Row],[C]]))</f>
        <v>5568000</v>
      </c>
      <c r="X110" s="51">
        <f>IF(NOTA[[#This Row],[JUMLAH]]="","",NOTA[[#This Row],[JUMLAH]]*NOTA[[#This Row],[DISC 1]])</f>
        <v>0</v>
      </c>
      <c r="Y110" s="51">
        <f>IF(NOTA[[#This Row],[JUMLAH]]="","",(NOTA[[#This Row],[JUMLAH]]-NOTA[[#This Row],[DISC 1-]])*NOTA[[#This Row],[DISC 2]])</f>
        <v>0</v>
      </c>
      <c r="Z110" s="51">
        <f>IF(NOTA[[#This Row],[JUMLAH]]="","",NOTA[[#This Row],[DISC 1-]]+NOTA[[#This Row],[DISC 2-]])</f>
        <v>0</v>
      </c>
      <c r="AA110" s="51">
        <f>IF(NOTA[[#This Row],[JUMLAH]]="","",NOTA[[#This Row],[JUMLAH]]-NOTA[[#This Row],[DISC]])</f>
        <v>5568000</v>
      </c>
      <c r="AB110" s="51"/>
      <c r="AC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51">
        <f>IF(OR(NOTA[[#This Row],[QTY]]="",NOTA[[#This Row],[HARGA SATUAN]]="",),"",NOTA[[#This Row],[QTY]]*NOTA[[#This Row],[HARGA SATUAN]])</f>
        <v>5568000</v>
      </c>
      <c r="AG110" s="40">
        <f ca="1">IF(NOTA[ID_H]="","",INDEX(NOTA[TANGGAL],MATCH(,INDIRECT(ADDRESS(ROW(NOTA[TANGGAL]),COLUMN(NOTA[TANGGAL]))&amp;":"&amp;ADDRESS(ROW(),COLUMN(NOTA[TANGGAL]))),-1)))</f>
        <v>45114</v>
      </c>
      <c r="AH110" s="42" t="str">
        <f ca="1">IF(NOTA[[#This Row],[NAMA BARANG]]="","",INDEX(NOTA[SUPPLIER],MATCH(,INDIRECT(ADDRESS(ROW(NOTA[ID]),COLUMN(NOTA[ID]))&amp;":"&amp;ADDRESS(ROW(),COLUMN(NOTA[ID]))),-1)))</f>
        <v>DB STATIONERY</v>
      </c>
      <c r="AI110" s="42" t="str">
        <f ca="1">IF(NOTA[[#This Row],[ID_H]]="","",IF(NOTA[[#This Row],[FAKTUR]]="",INDIRECT(ADDRESS(ROW()-1,COLUMN())),NOTA[[#This Row],[FAKTUR]]))</f>
        <v>UNTANA</v>
      </c>
      <c r="AJ110" s="39" t="str">
        <f ca="1">IF(NOTA[[#This Row],[ID]]="","",COUNTIF(NOTA[ID_H],NOTA[[#This Row],[ID_H]]))</f>
        <v/>
      </c>
      <c r="AK110" s="39">
        <f ca="1">IF(NOTA[[#This Row],[TGL.NOTA]]="",IF(NOTA[[#This Row],[SUPPLIER_H]]="","",AK109),MONTH(NOTA[[#This Row],[TGL.NOTA]]))</f>
        <v>7</v>
      </c>
      <c r="AL110" s="39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M1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N1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O1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9" t="str">
        <f>IF(NOTA[[#This Row],[CONCAT4]]="","",_xlfn.IFNA(MATCH(NOTA[[#This Row],[CONCAT4]],[2]!RAW[CONCAT_H],0),FALSE))</f>
        <v/>
      </c>
      <c r="AQ110" s="39">
        <f>IF(NOTA[[#This Row],[CONCAT1]]="","",MATCH(NOTA[[#This Row],[CONCAT1]],[3]!db[NB NOTA_C],0))</f>
        <v>1677</v>
      </c>
      <c r="AR110" s="39" t="b">
        <f>IF(NOTA[[#This Row],[QTY/ CTN]]="","",TRUE)</f>
        <v>1</v>
      </c>
      <c r="AS110" s="39" t="str">
        <f ca="1">IF(NOTA[[#This Row],[ID_H]]="","",IF(NOTA[[#This Row],[Column3]]=TRUE,NOTA[[#This Row],[QTY/ CTN]],INDEX([3]!db[QTY/ CTN],NOTA[[#This Row],[//DB]])))</f>
        <v>96 LSN</v>
      </c>
      <c r="AT1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U110" s="39" t="e">
        <f ca="1">IF(NOTA[[#This Row],[ID_H]]="","",MATCH(NOTA[[#This Row],[NB NOTA_C_QTY]],[4]!db[NB NOTA_C_QTY+F],0))</f>
        <v>#REF!</v>
      </c>
      <c r="AV110" s="55">
        <f ca="1">IF(NOTA[[#This Row],[NB NOTA_C_QTY]]="","",ROW()-2)</f>
        <v>108</v>
      </c>
    </row>
    <row r="111" spans="1:48" ht="20.100000000000001" customHeight="1" x14ac:dyDescent="0.25">
      <c r="A1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31</v>
      </c>
      <c r="E111" s="47"/>
      <c r="H111" s="48"/>
      <c r="L111" s="38" t="s">
        <v>220</v>
      </c>
      <c r="M111" s="41">
        <v>2</v>
      </c>
      <c r="N111" s="39">
        <v>192</v>
      </c>
      <c r="O111" s="38" t="s">
        <v>152</v>
      </c>
      <c r="P111" s="43">
        <v>29000</v>
      </c>
      <c r="Q111" s="43"/>
      <c r="R111" s="49" t="s">
        <v>161</v>
      </c>
      <c r="S111" s="50"/>
      <c r="U111" s="51"/>
      <c r="V111" s="46"/>
      <c r="W111" s="51">
        <f>IF(NOTA[[#This Row],[HARGA/ CTN]]="",NOTA[[#This Row],[JUMLAH_H]],NOTA[[#This Row],[HARGA/ CTN]]*IF(NOTA[[#This Row],[C]]="",0,NOTA[[#This Row],[C]]))</f>
        <v>5568000</v>
      </c>
      <c r="X111" s="51">
        <f>IF(NOTA[[#This Row],[JUMLAH]]="","",NOTA[[#This Row],[JUMLAH]]*NOTA[[#This Row],[DISC 1]])</f>
        <v>0</v>
      </c>
      <c r="Y111" s="51">
        <f>IF(NOTA[[#This Row],[JUMLAH]]="","",(NOTA[[#This Row],[JUMLAH]]-NOTA[[#This Row],[DISC 1-]])*NOTA[[#This Row],[DISC 2]])</f>
        <v>0</v>
      </c>
      <c r="Z111" s="51">
        <f>IF(NOTA[[#This Row],[JUMLAH]]="","",NOTA[[#This Row],[DISC 1-]]+NOTA[[#This Row],[DISC 2-]])</f>
        <v>0</v>
      </c>
      <c r="AA111" s="51">
        <f>IF(NOTA[[#This Row],[JUMLAH]]="","",NOTA[[#This Row],[JUMLAH]]-NOTA[[#This Row],[DISC]])</f>
        <v>5568000</v>
      </c>
      <c r="AB111" s="51"/>
      <c r="AC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51">
        <f>IF(OR(NOTA[[#This Row],[QTY]]="",NOTA[[#This Row],[HARGA SATUAN]]="",),"",NOTA[[#This Row],[QTY]]*NOTA[[#This Row],[HARGA SATUAN]])</f>
        <v>5568000</v>
      </c>
      <c r="AG111" s="40">
        <f ca="1">IF(NOTA[ID_H]="","",INDEX(NOTA[TANGGAL],MATCH(,INDIRECT(ADDRESS(ROW(NOTA[TANGGAL]),COLUMN(NOTA[TANGGAL]))&amp;":"&amp;ADDRESS(ROW(),COLUMN(NOTA[TANGGAL]))),-1)))</f>
        <v>45114</v>
      </c>
      <c r="AH111" s="42" t="str">
        <f ca="1">IF(NOTA[[#This Row],[NAMA BARANG]]="","",INDEX(NOTA[SUPPLIER],MATCH(,INDIRECT(ADDRESS(ROW(NOTA[ID]),COLUMN(NOTA[ID]))&amp;":"&amp;ADDRESS(ROW(),COLUMN(NOTA[ID]))),-1)))</f>
        <v>DB STATIONERY</v>
      </c>
      <c r="AI111" s="42" t="str">
        <f ca="1">IF(NOTA[[#This Row],[ID_H]]="","",IF(NOTA[[#This Row],[FAKTUR]]="",INDIRECT(ADDRESS(ROW()-1,COLUMN())),NOTA[[#This Row],[FAKTUR]]))</f>
        <v>UNTANA</v>
      </c>
      <c r="AJ111" s="39" t="str">
        <f ca="1">IF(NOTA[[#This Row],[ID]]="","",COUNTIF(NOTA[ID_H],NOTA[[#This Row],[ID_H]]))</f>
        <v/>
      </c>
      <c r="AK111" s="39">
        <f ca="1">IF(NOTA[[#This Row],[TGL.NOTA]]="",IF(NOTA[[#This Row],[SUPPLIER_H]]="","",AK110),MONTH(NOTA[[#This Row],[TGL.NOTA]]))</f>
        <v>7</v>
      </c>
      <c r="AL111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9" t="str">
        <f>IF(NOTA[[#This Row],[CONCAT4]]="","",_xlfn.IFNA(MATCH(NOTA[[#This Row],[CONCAT4]],[2]!RAW[CONCAT_H],0),FALSE))</f>
        <v/>
      </c>
      <c r="AQ111" s="39">
        <f>IF(NOTA[[#This Row],[CONCAT1]]="","",MATCH(NOTA[[#This Row],[CONCAT1]],[3]!db[NB NOTA_C],0))</f>
        <v>1701</v>
      </c>
      <c r="AR111" s="39" t="b">
        <f>IF(NOTA[[#This Row],[QTY/ CTN]]="","",TRUE)</f>
        <v>1</v>
      </c>
      <c r="AS111" s="39" t="str">
        <f ca="1">IF(NOTA[[#This Row],[ID_H]]="","",IF(NOTA[[#This Row],[Column3]]=TRUE,NOTA[[#This Row],[QTY/ CTN]],INDEX([3]!db[QTY/ CTN],NOTA[[#This Row],[//DB]])))</f>
        <v>96 LSN</v>
      </c>
      <c r="AT1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111" s="39" t="e">
        <f ca="1">IF(NOTA[[#This Row],[ID_H]]="","",MATCH(NOTA[[#This Row],[NB NOTA_C_QTY]],[4]!db[NB NOTA_C_QTY+F],0))</f>
        <v>#REF!</v>
      </c>
      <c r="AV111" s="55">
        <f ca="1">IF(NOTA[[#This Row],[NB NOTA_C_QTY]]="","",ROW()-2)</f>
        <v>109</v>
      </c>
    </row>
    <row r="112" spans="1:48" ht="20.100000000000001" customHeight="1" x14ac:dyDescent="0.25">
      <c r="A1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31</v>
      </c>
      <c r="E112" s="47"/>
      <c r="H112" s="48"/>
      <c r="L112" s="38" t="s">
        <v>248</v>
      </c>
      <c r="M112" s="41">
        <v>4</v>
      </c>
      <c r="N112" s="39">
        <v>384</v>
      </c>
      <c r="O112" s="38" t="s">
        <v>152</v>
      </c>
      <c r="P112" s="43">
        <v>9500</v>
      </c>
      <c r="Q112" s="43"/>
      <c r="R112" s="49" t="s">
        <v>161</v>
      </c>
      <c r="S112" s="50"/>
      <c r="U112" s="51"/>
      <c r="V112" s="46"/>
      <c r="W112" s="51">
        <f>IF(NOTA[[#This Row],[HARGA/ CTN]]="",NOTA[[#This Row],[JUMLAH_H]],NOTA[[#This Row],[HARGA/ CTN]]*IF(NOTA[[#This Row],[C]]="",0,NOTA[[#This Row],[C]]))</f>
        <v>3648000</v>
      </c>
      <c r="X112" s="51">
        <f>IF(NOTA[[#This Row],[JUMLAH]]="","",NOTA[[#This Row],[JUMLAH]]*NOTA[[#This Row],[DISC 1]])</f>
        <v>0</v>
      </c>
      <c r="Y112" s="51">
        <f>IF(NOTA[[#This Row],[JUMLAH]]="","",(NOTA[[#This Row],[JUMLAH]]-NOTA[[#This Row],[DISC 1-]])*NOTA[[#This Row],[DISC 2]])</f>
        <v>0</v>
      </c>
      <c r="Z112" s="51">
        <f>IF(NOTA[[#This Row],[JUMLAH]]="","",NOTA[[#This Row],[DISC 1-]]+NOTA[[#This Row],[DISC 2-]])</f>
        <v>0</v>
      </c>
      <c r="AA112" s="51">
        <f>IF(NOTA[[#This Row],[JUMLAH]]="","",NOTA[[#This Row],[JUMLAH]]-NOTA[[#This Row],[DISC]])</f>
        <v>3648000</v>
      </c>
      <c r="AB112" s="51"/>
      <c r="AC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51">
        <f>IF(OR(NOTA[[#This Row],[QTY]]="",NOTA[[#This Row],[HARGA SATUAN]]="",),"",NOTA[[#This Row],[QTY]]*NOTA[[#This Row],[HARGA SATUAN]])</f>
        <v>3648000</v>
      </c>
      <c r="AG112" s="40">
        <f ca="1">IF(NOTA[ID_H]="","",INDEX(NOTA[TANGGAL],MATCH(,INDIRECT(ADDRESS(ROW(NOTA[TANGGAL]),COLUMN(NOTA[TANGGAL]))&amp;":"&amp;ADDRESS(ROW(),COLUMN(NOTA[TANGGAL]))),-1)))</f>
        <v>45114</v>
      </c>
      <c r="AH112" s="42" t="str">
        <f ca="1">IF(NOTA[[#This Row],[NAMA BARANG]]="","",INDEX(NOTA[SUPPLIER],MATCH(,INDIRECT(ADDRESS(ROW(NOTA[ID]),COLUMN(NOTA[ID]))&amp;":"&amp;ADDRESS(ROW(),COLUMN(NOTA[ID]))),-1)))</f>
        <v>DB STATIONERY</v>
      </c>
      <c r="AI112" s="42" t="str">
        <f ca="1">IF(NOTA[[#This Row],[ID_H]]="","",IF(NOTA[[#This Row],[FAKTUR]]="",INDIRECT(ADDRESS(ROW()-1,COLUMN())),NOTA[[#This Row],[FAKTUR]]))</f>
        <v>UNTANA</v>
      </c>
      <c r="AJ112" s="39" t="str">
        <f ca="1">IF(NOTA[[#This Row],[ID]]="","",COUNTIF(NOTA[ID_H],NOTA[[#This Row],[ID_H]]))</f>
        <v/>
      </c>
      <c r="AK112" s="39">
        <f ca="1">IF(NOTA[[#This Row],[TGL.NOTA]]="",IF(NOTA[[#This Row],[SUPPLIER_H]]="","",AK111),MONTH(NOTA[[#This Row],[TGL.NOTA]]))</f>
        <v>7</v>
      </c>
      <c r="AL112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9" t="str">
        <f>IF(NOTA[[#This Row],[CONCAT4]]="","",_xlfn.IFNA(MATCH(NOTA[[#This Row],[CONCAT4]],[2]!RAW[CONCAT_H],0),FALSE))</f>
        <v/>
      </c>
      <c r="AQ112" s="39">
        <f>IF(NOTA[[#This Row],[CONCAT1]]="","",MATCH(NOTA[[#This Row],[CONCAT1]],[3]!db[NB NOTA_C],0))</f>
        <v>1319</v>
      </c>
      <c r="AR112" s="39" t="b">
        <f>IF(NOTA[[#This Row],[QTY/ CTN]]="","",TRUE)</f>
        <v>1</v>
      </c>
      <c r="AS112" s="39" t="str">
        <f ca="1">IF(NOTA[[#This Row],[ID_H]]="","",IF(NOTA[[#This Row],[Column3]]=TRUE,NOTA[[#This Row],[QTY/ CTN]],INDEX([3]!db[QTY/ CTN],NOTA[[#This Row],[//DB]])))</f>
        <v>96 LSN</v>
      </c>
      <c r="AT1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2" s="39" t="e">
        <f ca="1">IF(NOTA[[#This Row],[ID_H]]="","",MATCH(NOTA[[#This Row],[NB NOTA_C_QTY]],[4]!db[NB NOTA_C_QTY+F],0))</f>
        <v>#REF!</v>
      </c>
      <c r="AV112" s="55">
        <f ca="1">IF(NOTA[[#This Row],[NB NOTA_C_QTY]]="","",ROW()-2)</f>
        <v>110</v>
      </c>
    </row>
    <row r="113" spans="1:48" ht="20.100000000000001" customHeight="1" x14ac:dyDescent="0.25">
      <c r="A1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>
        <f ca="1">IF(NOTA[[#This Row],[NAMA BARANG]]="","",INDEX(NOTA[ID],MATCH(,INDIRECT(ADDRESS(ROW(NOTA[ID]),COLUMN(NOTA[ID]))&amp;":"&amp;ADDRESS(ROW(),COLUMN(NOTA[ID]))),-1)))</f>
        <v>31</v>
      </c>
      <c r="E113" s="47"/>
      <c r="H113" s="48"/>
      <c r="L113" s="38" t="s">
        <v>490</v>
      </c>
      <c r="M113" s="41">
        <v>1</v>
      </c>
      <c r="N113" s="39">
        <v>96</v>
      </c>
      <c r="O113" s="38" t="s">
        <v>152</v>
      </c>
      <c r="P113" s="42">
        <v>43500</v>
      </c>
      <c r="Q113" s="43"/>
      <c r="R113" s="49" t="s">
        <v>161</v>
      </c>
      <c r="S113" s="50"/>
      <c r="U113" s="51"/>
      <c r="V113" s="46"/>
      <c r="W113" s="51">
        <f>IF(NOTA[[#This Row],[HARGA/ CTN]]="",NOTA[[#This Row],[JUMLAH_H]],NOTA[[#This Row],[HARGA/ CTN]]*IF(NOTA[[#This Row],[C]]="",0,NOTA[[#This Row],[C]]))</f>
        <v>4176000</v>
      </c>
      <c r="X113" s="51">
        <f>IF(NOTA[[#This Row],[JUMLAH]]="","",NOTA[[#This Row],[JUMLAH]]*NOTA[[#This Row],[DISC 1]])</f>
        <v>0</v>
      </c>
      <c r="Y113" s="51">
        <f>IF(NOTA[[#This Row],[JUMLAH]]="","",(NOTA[[#This Row],[JUMLAH]]-NOTA[[#This Row],[DISC 1-]])*NOTA[[#This Row],[DISC 2]])</f>
        <v>0</v>
      </c>
      <c r="Z113" s="51">
        <f>IF(NOTA[[#This Row],[JUMLAH]]="","",NOTA[[#This Row],[DISC 1-]]+NOTA[[#This Row],[DISC 2-]])</f>
        <v>0</v>
      </c>
      <c r="AA113" s="51">
        <f>IF(NOTA[[#This Row],[JUMLAH]]="","",NOTA[[#This Row],[JUMLAH]]-NOTA[[#This Row],[DISC]])</f>
        <v>4176000</v>
      </c>
      <c r="AB113" s="51"/>
      <c r="AC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51">
        <f>IF(OR(NOTA[[#This Row],[QTY]]="",NOTA[[#This Row],[HARGA SATUAN]]="",),"",NOTA[[#This Row],[QTY]]*NOTA[[#This Row],[HARGA SATUAN]])</f>
        <v>4176000</v>
      </c>
      <c r="AG113" s="40">
        <f ca="1">IF(NOTA[ID_H]="","",INDEX(NOTA[TANGGAL],MATCH(,INDIRECT(ADDRESS(ROW(NOTA[TANGGAL]),COLUMN(NOTA[TANGGAL]))&amp;":"&amp;ADDRESS(ROW(),COLUMN(NOTA[TANGGAL]))),-1)))</f>
        <v>45114</v>
      </c>
      <c r="AH113" s="42" t="str">
        <f ca="1">IF(NOTA[[#This Row],[NAMA BARANG]]="","",INDEX(NOTA[SUPPLIER],MATCH(,INDIRECT(ADDRESS(ROW(NOTA[ID]),COLUMN(NOTA[ID]))&amp;":"&amp;ADDRESS(ROW(),COLUMN(NOTA[ID]))),-1)))</f>
        <v>DB STATIONERY</v>
      </c>
      <c r="AI113" s="42" t="str">
        <f ca="1">IF(NOTA[[#This Row],[ID_H]]="","",IF(NOTA[[#This Row],[FAKTUR]]="",INDIRECT(ADDRESS(ROW()-1,COLUMN())),NOTA[[#This Row],[FAKTUR]]))</f>
        <v>UNTANA</v>
      </c>
      <c r="AJ113" s="39" t="str">
        <f ca="1">IF(NOTA[[#This Row],[ID]]="","",COUNTIF(NOTA[ID_H],NOTA[[#This Row],[ID_H]]))</f>
        <v/>
      </c>
      <c r="AK113" s="39">
        <f ca="1">IF(NOTA[[#This Row],[TGL.NOTA]]="",IF(NOTA[[#This Row],[SUPPLIER_H]]="","",AK112),MONTH(NOTA[[#This Row],[TGL.NOTA]]))</f>
        <v>7</v>
      </c>
      <c r="AL113" s="39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M1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N1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O1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9" t="str">
        <f>IF(NOTA[[#This Row],[CONCAT4]]="","",_xlfn.IFNA(MATCH(NOTA[[#This Row],[CONCAT4]],[2]!RAW[CONCAT_H],0),FALSE))</f>
        <v/>
      </c>
      <c r="AQ113" s="39">
        <f>IF(NOTA[[#This Row],[CONCAT1]]="","",MATCH(NOTA[[#This Row],[CONCAT1]],[3]!db[NB NOTA_C],0))</f>
        <v>535</v>
      </c>
      <c r="AR113" s="39" t="b">
        <f>IF(NOTA[[#This Row],[QTY/ CTN]]="","",TRUE)</f>
        <v>1</v>
      </c>
      <c r="AS113" s="39" t="str">
        <f ca="1">IF(NOTA[[#This Row],[ID_H]]="","",IF(NOTA[[#This Row],[Column3]]=TRUE,NOTA[[#This Row],[QTY/ CTN]],INDEX([3]!db[QTY/ CTN],NOTA[[#This Row],[//DB]])))</f>
        <v>96 LSN</v>
      </c>
      <c r="AT1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U113" s="39" t="e">
        <f ca="1">IF(NOTA[[#This Row],[ID_H]]="","",MATCH(NOTA[[#This Row],[NB NOTA_C_QTY]],[4]!db[NB NOTA_C_QTY+F],0))</f>
        <v>#REF!</v>
      </c>
      <c r="AV113" s="55">
        <f ca="1">IF(NOTA[[#This Row],[NB NOTA_C_QTY]]="","",ROW()-2)</f>
        <v>111</v>
      </c>
    </row>
    <row r="114" spans="1:48" ht="20.100000000000001" customHeight="1" x14ac:dyDescent="0.25">
      <c r="A1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31</v>
      </c>
      <c r="E114" s="47"/>
      <c r="H114" s="48"/>
      <c r="L114" s="38" t="s">
        <v>249</v>
      </c>
      <c r="M114" s="41">
        <v>5</v>
      </c>
      <c r="N114" s="39">
        <v>60</v>
      </c>
      <c r="O114" s="38" t="s">
        <v>117</v>
      </c>
      <c r="P114" s="42">
        <v>55000</v>
      </c>
      <c r="Q114" s="43"/>
      <c r="R114" s="49" t="s">
        <v>250</v>
      </c>
      <c r="S114" s="50"/>
      <c r="U114" s="51"/>
      <c r="V114" s="46"/>
      <c r="W114" s="51">
        <f>IF(NOTA[[#This Row],[HARGA/ CTN]]="",NOTA[[#This Row],[JUMLAH_H]],NOTA[[#This Row],[HARGA/ CTN]]*IF(NOTA[[#This Row],[C]]="",0,NOTA[[#This Row],[C]]))</f>
        <v>3300000</v>
      </c>
      <c r="X114" s="51">
        <f>IF(NOTA[[#This Row],[JUMLAH]]="","",NOTA[[#This Row],[JUMLAH]]*NOTA[[#This Row],[DISC 1]])</f>
        <v>0</v>
      </c>
      <c r="Y114" s="51">
        <f>IF(NOTA[[#This Row],[JUMLAH]]="","",(NOTA[[#This Row],[JUMLAH]]-NOTA[[#This Row],[DISC 1-]])*NOTA[[#This Row],[DISC 2]])</f>
        <v>0</v>
      </c>
      <c r="Z114" s="51">
        <f>IF(NOTA[[#This Row],[JUMLAH]]="","",NOTA[[#This Row],[DISC 1-]]+NOTA[[#This Row],[DISC 2-]])</f>
        <v>0</v>
      </c>
      <c r="AA114" s="51">
        <f>IF(NOTA[[#This Row],[JUMLAH]]="","",NOTA[[#This Row],[JUMLAH]]-NOTA[[#This Row],[DISC]])</f>
        <v>3300000</v>
      </c>
      <c r="AB114" s="51"/>
      <c r="AC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42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51">
        <f>IF(OR(NOTA[[#This Row],[QTY]]="",NOTA[[#This Row],[HARGA SATUAN]]="",),"",NOTA[[#This Row],[QTY]]*NOTA[[#This Row],[HARGA SATUAN]])</f>
        <v>3300000</v>
      </c>
      <c r="AG114" s="40">
        <f ca="1">IF(NOTA[ID_H]="","",INDEX(NOTA[TANGGAL],MATCH(,INDIRECT(ADDRESS(ROW(NOTA[TANGGAL]),COLUMN(NOTA[TANGGAL]))&amp;":"&amp;ADDRESS(ROW(),COLUMN(NOTA[TANGGAL]))),-1)))</f>
        <v>45114</v>
      </c>
      <c r="AH114" s="42" t="str">
        <f ca="1">IF(NOTA[[#This Row],[NAMA BARANG]]="","",INDEX(NOTA[SUPPLIER],MATCH(,INDIRECT(ADDRESS(ROW(NOTA[ID]),COLUMN(NOTA[ID]))&amp;":"&amp;ADDRESS(ROW(),COLUMN(NOTA[ID]))),-1)))</f>
        <v>DB STATIONERY</v>
      </c>
      <c r="AI114" s="42" t="str">
        <f ca="1">IF(NOTA[[#This Row],[ID_H]]="","",IF(NOTA[[#This Row],[FAKTUR]]="",INDIRECT(ADDRESS(ROW()-1,COLUMN())),NOTA[[#This Row],[FAKTUR]]))</f>
        <v>UNTANA</v>
      </c>
      <c r="AJ114" s="39" t="str">
        <f ca="1">IF(NOTA[[#This Row],[ID]]="","",COUNTIF(NOTA[ID_H],NOTA[[#This Row],[ID_H]]))</f>
        <v/>
      </c>
      <c r="AK114" s="39">
        <f ca="1">IF(NOTA[[#This Row],[TGL.NOTA]]="",IF(NOTA[[#This Row],[SUPPLIER_H]]="","",AK113),MONTH(NOTA[[#This Row],[TGL.NOTA]]))</f>
        <v>7</v>
      </c>
      <c r="AL114" s="39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9" t="str">
        <f>IF(NOTA[[#This Row],[CONCAT4]]="","",_xlfn.IFNA(MATCH(NOTA[[#This Row],[CONCAT4]],[2]!RAW[CONCAT_H],0),FALSE))</f>
        <v/>
      </c>
      <c r="AQ114" s="39">
        <f>IF(NOTA[[#This Row],[CONCAT1]]="","",MATCH(NOTA[[#This Row],[CONCAT1]],[3]!db[NB NOTA_C],0))</f>
        <v>1513</v>
      </c>
      <c r="AR114" s="39" t="b">
        <f>IF(NOTA[[#This Row],[QTY/ CTN]]="","",TRUE)</f>
        <v>1</v>
      </c>
      <c r="AS114" s="39" t="str">
        <f ca="1">IF(NOTA[[#This Row],[ID_H]]="","",IF(NOTA[[#This Row],[Column3]]=TRUE,NOTA[[#This Row],[QTY/ CTN]],INDEX([3]!db[QTY/ CTN],NOTA[[#This Row],[//DB]])))</f>
        <v>12 PCS</v>
      </c>
      <c r="AT1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tdokumen2trayjs200112pcsuntana</v>
      </c>
      <c r="AU114" s="39" t="e">
        <f ca="1">IF(NOTA[[#This Row],[ID_H]]="","",MATCH(NOTA[[#This Row],[NB NOTA_C_QTY]],[4]!db[NB NOTA_C_QTY+F],0))</f>
        <v>#REF!</v>
      </c>
      <c r="AV114" s="55">
        <f ca="1">IF(NOTA[[#This Row],[NB NOTA_C_QTY]]="","",ROW()-2)</f>
        <v>112</v>
      </c>
    </row>
    <row r="115" spans="1:48" ht="20.100000000000001" customHeight="1" x14ac:dyDescent="0.25">
      <c r="A1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47" t="s">
        <v>241</v>
      </c>
      <c r="H115" s="48"/>
      <c r="N115" s="39"/>
      <c r="Q115" s="43"/>
      <c r="R115" s="49"/>
      <c r="S115" s="50"/>
      <c r="U115" s="51"/>
      <c r="V115" s="46"/>
      <c r="W115" s="51" t="str">
        <f>IF(NOTA[[#This Row],[HARGA/ CTN]]="",NOTA[[#This Row],[JUMLAH_H]],NOTA[[#This Row],[HARGA/ CTN]]*IF(NOTA[[#This Row],[C]]="",0,NOTA[[#This Row],[C]]))</f>
        <v/>
      </c>
      <c r="X115" s="51" t="str">
        <f>IF(NOTA[[#This Row],[JUMLAH]]="","",NOTA[[#This Row],[JUMLAH]]*NOTA[[#This Row],[DISC 1]])</f>
        <v/>
      </c>
      <c r="Y115" s="51" t="str">
        <f>IF(NOTA[[#This Row],[JUMLAH]]="","",(NOTA[[#This Row],[JUMLAH]]-NOTA[[#This Row],[DISC 1-]])*NOTA[[#This Row],[DISC 2]])</f>
        <v/>
      </c>
      <c r="Z115" s="51" t="str">
        <f>IF(NOTA[[#This Row],[JUMLAH]]="","",NOTA[[#This Row],[DISC 1-]]+NOTA[[#This Row],[DISC 2-]])</f>
        <v/>
      </c>
      <c r="AA115" s="51" t="str">
        <f>IF(NOTA[[#This Row],[JUMLAH]]="","",NOTA[[#This Row],[JUMLAH]]-NOTA[[#This Row],[DISC]])</f>
        <v/>
      </c>
      <c r="AB115" s="51"/>
      <c r="AC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1" t="str">
        <f>IF(OR(NOTA[[#This Row],[QTY]]="",NOTA[[#This Row],[HARGA SATUAN]]="",),"",NOTA[[#This Row],[QTY]]*NOTA[[#This Row],[HARGA SATUAN]])</f>
        <v/>
      </c>
      <c r="AG115" s="40" t="str">
        <f ca="1">IF(NOTA[ID_H]="","",INDEX(NOTA[TANGGAL],MATCH(,INDIRECT(ADDRESS(ROW(NOTA[TANGGAL]),COLUMN(NOTA[TANGGAL]))&amp;":"&amp;ADDRESS(ROW(),COLUMN(NOTA[TANGGAL]))),-1)))</f>
        <v/>
      </c>
      <c r="AH115" s="42" t="str">
        <f ca="1">IF(NOTA[[#This Row],[NAMA BARANG]]="","",INDEX(NOTA[SUPPLIER],MATCH(,INDIRECT(ADDRESS(ROW(NOTA[ID]),COLUMN(NOTA[ID]))&amp;":"&amp;ADDRESS(ROW(),COLUMN(NOTA[ID]))),-1)))</f>
        <v/>
      </c>
      <c r="AI115" s="42" t="str">
        <f ca="1">IF(NOTA[[#This Row],[ID_H]]="","",IF(NOTA[[#This Row],[FAKTUR]]="",INDIRECT(ADDRESS(ROW()-1,COLUMN())),NOTA[[#This Row],[FAKTUR]]))</f>
        <v/>
      </c>
      <c r="AJ115" s="39" t="str">
        <f ca="1">IF(NOTA[[#This Row],[ID]]="","",COUNTIF(NOTA[ID_H],NOTA[[#This Row],[ID_H]]))</f>
        <v/>
      </c>
      <c r="AK115" s="39" t="str">
        <f ca="1">IF(NOTA[[#This Row],[TGL.NOTA]]="",IF(NOTA[[#This Row],[SUPPLIER_H]]="","",AK114),MONTH(NOTA[[#This Row],[TGL.NOTA]]))</f>
        <v/>
      </c>
      <c r="AL115" s="39" t="str">
        <f>LOWER(SUBSTITUTE(SUBSTITUTE(SUBSTITUTE(SUBSTITUTE(SUBSTITUTE(SUBSTITUTE(SUBSTITUTE(SUBSTITUTE(SUBSTITUTE(NOTA[NAMA BARANG]," ",),".",""),"-",""),"(",""),")",""),",",""),"/",""),"""",""),"+",""))</f>
        <v/>
      </c>
      <c r="AM1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9" t="str">
        <f>IF(NOTA[[#This Row],[CONCAT4]]="","",_xlfn.IFNA(MATCH(NOTA[[#This Row],[CONCAT4]],[2]!RAW[CONCAT_H],0),FALSE))</f>
        <v/>
      </c>
      <c r="AQ115" s="39" t="str">
        <f>IF(NOTA[[#This Row],[CONCAT1]]="","",MATCH(NOTA[[#This Row],[CONCAT1]],[3]!db[NB NOTA_C],0))</f>
        <v/>
      </c>
      <c r="AR115" s="39" t="str">
        <f>IF(NOTA[[#This Row],[QTY/ CTN]]="","",TRUE)</f>
        <v/>
      </c>
      <c r="AS115" s="39" t="str">
        <f ca="1">IF(NOTA[[#This Row],[ID_H]]="","",IF(NOTA[[#This Row],[Column3]]=TRUE,NOTA[[#This Row],[QTY/ CTN]],INDEX([3]!db[QTY/ CTN],NOTA[[#This Row],[//DB]])))</f>
        <v/>
      </c>
      <c r="AT1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9" t="str">
        <f ca="1">IF(NOTA[[#This Row],[ID_H]]="","",MATCH(NOTA[[#This Row],[NB NOTA_C_QTY]],[4]!db[NB NOTA_C_QTY+F],0))</f>
        <v/>
      </c>
      <c r="AV115" s="55" t="str">
        <f ca="1">IF(NOTA[[#This Row],[NB NOTA_C_QTY]]="","",ROW()-2)</f>
        <v/>
      </c>
    </row>
    <row r="116" spans="1:48" ht="20.100000000000001" customHeight="1" x14ac:dyDescent="0.25">
      <c r="A116" s="42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32</v>
      </c>
      <c r="E116" s="47">
        <v>45113</v>
      </c>
      <c r="F116" s="38" t="s">
        <v>218</v>
      </c>
      <c r="G116" s="38" t="s">
        <v>145</v>
      </c>
      <c r="H116" s="48" t="s">
        <v>251</v>
      </c>
      <c r="J116" s="40">
        <v>45110</v>
      </c>
      <c r="L116" s="38" t="s">
        <v>247</v>
      </c>
      <c r="M116" s="41">
        <v>5</v>
      </c>
      <c r="N116" s="39">
        <v>480</v>
      </c>
      <c r="O116" s="38" t="s">
        <v>152</v>
      </c>
      <c r="P116" s="42">
        <v>31500</v>
      </c>
      <c r="Q116" s="43"/>
      <c r="R116" s="49" t="s">
        <v>161</v>
      </c>
      <c r="S116" s="50"/>
      <c r="U116" s="51"/>
      <c r="V116" s="46"/>
      <c r="W116" s="51">
        <f>IF(NOTA[[#This Row],[HARGA/ CTN]]="",NOTA[[#This Row],[JUMLAH_H]],NOTA[[#This Row],[HARGA/ CTN]]*IF(NOTA[[#This Row],[C]]="",0,NOTA[[#This Row],[C]]))</f>
        <v>15120000</v>
      </c>
      <c r="X116" s="51">
        <f>IF(NOTA[[#This Row],[JUMLAH]]="","",NOTA[[#This Row],[JUMLAH]]*NOTA[[#This Row],[DISC 1]])</f>
        <v>0</v>
      </c>
      <c r="Y116" s="51">
        <f>IF(NOTA[[#This Row],[JUMLAH]]="","",(NOTA[[#This Row],[JUMLAH]]-NOTA[[#This Row],[DISC 1-]])*NOTA[[#This Row],[DISC 2]])</f>
        <v>0</v>
      </c>
      <c r="Z116" s="51">
        <f>IF(NOTA[[#This Row],[JUMLAH]]="","",NOTA[[#This Row],[DISC 1-]]+NOTA[[#This Row],[DISC 2-]])</f>
        <v>0</v>
      </c>
      <c r="AA116" s="51">
        <f>IF(NOTA[[#This Row],[JUMLAH]]="","",NOTA[[#This Row],[JUMLAH]]-NOTA[[#This Row],[DISC]])</f>
        <v>15120000</v>
      </c>
      <c r="AB116" s="51"/>
      <c r="AC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51">
        <f>IF(OR(NOTA[[#This Row],[QTY]]="",NOTA[[#This Row],[HARGA SATUAN]]="",),"",NOTA[[#This Row],[QTY]]*NOTA[[#This Row],[HARGA SATUAN]])</f>
        <v>15120000</v>
      </c>
      <c r="AG116" s="40">
        <f ca="1">IF(NOTA[ID_H]="","",INDEX(NOTA[TANGGAL],MATCH(,INDIRECT(ADDRESS(ROW(NOTA[TANGGAL]),COLUMN(NOTA[TANGGAL]))&amp;":"&amp;ADDRESS(ROW(),COLUMN(NOTA[TANGGAL]))),-1)))</f>
        <v>45113</v>
      </c>
      <c r="AH116" s="42" t="str">
        <f ca="1">IF(NOTA[[#This Row],[NAMA BARANG]]="","",INDEX(NOTA[SUPPLIER],MATCH(,INDIRECT(ADDRESS(ROW(NOTA[ID]),COLUMN(NOTA[ID]))&amp;":"&amp;ADDRESS(ROW(),COLUMN(NOTA[ID]))),-1)))</f>
        <v>DB STATIONERY</v>
      </c>
      <c r="AI116" s="42" t="str">
        <f ca="1">IF(NOTA[[#This Row],[ID_H]]="","",IF(NOTA[[#This Row],[FAKTUR]]="",INDIRECT(ADDRESS(ROW()-1,COLUMN())),NOTA[[#This Row],[FAKTUR]]))</f>
        <v>UNTANA</v>
      </c>
      <c r="AJ116" s="39">
        <f ca="1">IF(NOTA[[#This Row],[ID]]="","",COUNTIF(NOTA[ID_H],NOTA[[#This Row],[ID_H]]))</f>
        <v>2</v>
      </c>
      <c r="AK116" s="39">
        <f>IF(NOTA[[#This Row],[TGL.NOTA]]="",IF(NOTA[[#This Row],[SUPPLIER_H]]="","",AK115),MONTH(NOTA[[#This Row],[TGL.NOTA]]))</f>
        <v>7</v>
      </c>
      <c r="AL116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39" t="e">
        <f>IF(NOTA[[#This Row],[CONCAT4]]="","",_xlfn.IFNA(MATCH(NOTA[[#This Row],[CONCAT4]],[2]!RAW[CONCAT_H],0),FALSE))</f>
        <v>#REF!</v>
      </c>
      <c r="AQ116" s="39">
        <f>IF(NOTA[[#This Row],[CONCAT1]]="","",MATCH(NOTA[[#This Row],[CONCAT1]],[3]!db[NB NOTA_C],0))</f>
        <v>702</v>
      </c>
      <c r="AR116" s="39" t="b">
        <f>IF(NOTA[[#This Row],[QTY/ CTN]]="","",TRUE)</f>
        <v>1</v>
      </c>
      <c r="AS116" s="39" t="str">
        <f ca="1">IF(NOTA[[#This Row],[ID_H]]="","",IF(NOTA[[#This Row],[Column3]]=TRUE,NOTA[[#This Row],[QTY/ CTN]],INDEX([3]!db[QTY/ CTN],NOTA[[#This Row],[//DB]])))</f>
        <v>96 LSN</v>
      </c>
      <c r="AT1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16" s="39" t="e">
        <f ca="1">IF(NOTA[[#This Row],[ID_H]]="","",MATCH(NOTA[[#This Row],[NB NOTA_C_QTY]],[4]!db[NB NOTA_C_QTY+F],0))</f>
        <v>#REF!</v>
      </c>
      <c r="AV116" s="55">
        <f ca="1">IF(NOTA[[#This Row],[NB NOTA_C_QTY]]="","",ROW()-2)</f>
        <v>114</v>
      </c>
    </row>
    <row r="117" spans="1:48" ht="20.100000000000001" customHeight="1" x14ac:dyDescent="0.25">
      <c r="A1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32</v>
      </c>
      <c r="E117" s="47"/>
      <c r="H117" s="48"/>
      <c r="L117" s="38" t="s">
        <v>248</v>
      </c>
      <c r="M117" s="41">
        <v>4</v>
      </c>
      <c r="N117" s="39">
        <v>384</v>
      </c>
      <c r="O117" s="38" t="s">
        <v>152</v>
      </c>
      <c r="P117" s="42">
        <v>9500</v>
      </c>
      <c r="Q117" s="43"/>
      <c r="R117" s="49" t="s">
        <v>161</v>
      </c>
      <c r="S117" s="50"/>
      <c r="U117" s="51"/>
      <c r="V117" s="46"/>
      <c r="W117" s="51">
        <f>IF(NOTA[[#This Row],[HARGA/ CTN]]="",NOTA[[#This Row],[JUMLAH_H]],NOTA[[#This Row],[HARGA/ CTN]]*IF(NOTA[[#This Row],[C]]="",0,NOTA[[#This Row],[C]]))</f>
        <v>3648000</v>
      </c>
      <c r="X117" s="51">
        <f>IF(NOTA[[#This Row],[JUMLAH]]="","",NOTA[[#This Row],[JUMLAH]]*NOTA[[#This Row],[DISC 1]])</f>
        <v>0</v>
      </c>
      <c r="Y117" s="51">
        <f>IF(NOTA[[#This Row],[JUMLAH]]="","",(NOTA[[#This Row],[JUMLAH]]-NOTA[[#This Row],[DISC 1-]])*NOTA[[#This Row],[DISC 2]])</f>
        <v>0</v>
      </c>
      <c r="Z117" s="51">
        <f>IF(NOTA[[#This Row],[JUMLAH]]="","",NOTA[[#This Row],[DISC 1-]]+NOTA[[#This Row],[DISC 2-]])</f>
        <v>0</v>
      </c>
      <c r="AA117" s="51">
        <f>IF(NOTA[[#This Row],[JUMLAH]]="","",NOTA[[#This Row],[JUMLAH]]-NOTA[[#This Row],[DISC]])</f>
        <v>3648000</v>
      </c>
      <c r="AB117" s="51"/>
      <c r="AC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51">
        <f>IF(OR(NOTA[[#This Row],[QTY]]="",NOTA[[#This Row],[HARGA SATUAN]]="",),"",NOTA[[#This Row],[QTY]]*NOTA[[#This Row],[HARGA SATUAN]])</f>
        <v>3648000</v>
      </c>
      <c r="AG117" s="40">
        <f ca="1">IF(NOTA[ID_H]="","",INDEX(NOTA[TANGGAL],MATCH(,INDIRECT(ADDRESS(ROW(NOTA[TANGGAL]),COLUMN(NOTA[TANGGAL]))&amp;":"&amp;ADDRESS(ROW(),COLUMN(NOTA[TANGGAL]))),-1)))</f>
        <v>45113</v>
      </c>
      <c r="AH117" s="42" t="str">
        <f ca="1">IF(NOTA[[#This Row],[NAMA BARANG]]="","",INDEX(NOTA[SUPPLIER],MATCH(,INDIRECT(ADDRESS(ROW(NOTA[ID]),COLUMN(NOTA[ID]))&amp;":"&amp;ADDRESS(ROW(),COLUMN(NOTA[ID]))),-1)))</f>
        <v>DB STATIONERY</v>
      </c>
      <c r="AI117" s="42" t="str">
        <f ca="1">IF(NOTA[[#This Row],[ID_H]]="","",IF(NOTA[[#This Row],[FAKTUR]]="",INDIRECT(ADDRESS(ROW()-1,COLUMN())),NOTA[[#This Row],[FAKTUR]]))</f>
        <v>UNTANA</v>
      </c>
      <c r="AJ117" s="39" t="str">
        <f ca="1">IF(NOTA[[#This Row],[ID]]="","",COUNTIF(NOTA[ID_H],NOTA[[#This Row],[ID_H]]))</f>
        <v/>
      </c>
      <c r="AK117" s="39">
        <f ca="1">IF(NOTA[[#This Row],[TGL.NOTA]]="",IF(NOTA[[#This Row],[SUPPLIER_H]]="","",AK116),MONTH(NOTA[[#This Row],[TGL.NOTA]]))</f>
        <v>7</v>
      </c>
      <c r="AL117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9" t="str">
        <f>IF(NOTA[[#This Row],[CONCAT4]]="","",_xlfn.IFNA(MATCH(NOTA[[#This Row],[CONCAT4]],[2]!RAW[CONCAT_H],0),FALSE))</f>
        <v/>
      </c>
      <c r="AQ117" s="39">
        <f>IF(NOTA[[#This Row],[CONCAT1]]="","",MATCH(NOTA[[#This Row],[CONCAT1]],[3]!db[NB NOTA_C],0))</f>
        <v>1319</v>
      </c>
      <c r="AR117" s="39" t="b">
        <f>IF(NOTA[[#This Row],[QTY/ CTN]]="","",TRUE)</f>
        <v>1</v>
      </c>
      <c r="AS117" s="39" t="str">
        <f ca="1">IF(NOTA[[#This Row],[ID_H]]="","",IF(NOTA[[#This Row],[Column3]]=TRUE,NOTA[[#This Row],[QTY/ CTN]],INDEX([3]!db[QTY/ CTN],NOTA[[#This Row],[//DB]])))</f>
        <v>96 LSN</v>
      </c>
      <c r="AT1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7" s="39" t="e">
        <f ca="1">IF(NOTA[[#This Row],[ID_H]]="","",MATCH(NOTA[[#This Row],[NB NOTA_C_QTY]],[4]!db[NB NOTA_C_QTY+F],0))</f>
        <v>#REF!</v>
      </c>
      <c r="AV117" s="55">
        <f ca="1">IF(NOTA[[#This Row],[NB NOTA_C_QTY]]="","",ROW()-2)</f>
        <v>115</v>
      </c>
    </row>
    <row r="118" spans="1:48" ht="20.100000000000001" customHeight="1" x14ac:dyDescent="0.25">
      <c r="A1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 t="str">
        <f ca="1">IF(NOTA[[#This Row],[NAMA BARANG]]="","",INDEX(NOTA[ID],MATCH(,INDIRECT(ADDRESS(ROW(NOTA[ID]),COLUMN(NOTA[ID]))&amp;":"&amp;ADDRESS(ROW(),COLUMN(NOTA[ID]))),-1)))</f>
        <v/>
      </c>
      <c r="E118" s="47" t="s">
        <v>241</v>
      </c>
      <c r="H118" s="48"/>
      <c r="N118" s="39"/>
      <c r="Q118" s="43"/>
      <c r="R118" s="49"/>
      <c r="S118" s="50"/>
      <c r="U118" s="51"/>
      <c r="V118" s="46"/>
      <c r="W118" s="51" t="str">
        <f>IF(NOTA[[#This Row],[HARGA/ CTN]]="",NOTA[[#This Row],[JUMLAH_H]],NOTA[[#This Row],[HARGA/ CTN]]*IF(NOTA[[#This Row],[C]]="",0,NOTA[[#This Row],[C]]))</f>
        <v/>
      </c>
      <c r="X118" s="51" t="str">
        <f>IF(NOTA[[#This Row],[JUMLAH]]="","",NOTA[[#This Row],[JUMLAH]]*NOTA[[#This Row],[DISC 1]])</f>
        <v/>
      </c>
      <c r="Y118" s="51" t="str">
        <f>IF(NOTA[[#This Row],[JUMLAH]]="","",(NOTA[[#This Row],[JUMLAH]]-NOTA[[#This Row],[DISC 1-]])*NOTA[[#This Row],[DISC 2]])</f>
        <v/>
      </c>
      <c r="Z118" s="51" t="str">
        <f>IF(NOTA[[#This Row],[JUMLAH]]="","",NOTA[[#This Row],[DISC 1-]]+NOTA[[#This Row],[DISC 2-]])</f>
        <v/>
      </c>
      <c r="AA118" s="51" t="str">
        <f>IF(NOTA[[#This Row],[JUMLAH]]="","",NOTA[[#This Row],[JUMLAH]]-NOTA[[#This Row],[DISC]])</f>
        <v/>
      </c>
      <c r="AB118" s="51"/>
      <c r="AC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1" t="str">
        <f>IF(OR(NOTA[[#This Row],[QTY]]="",NOTA[[#This Row],[HARGA SATUAN]]="",),"",NOTA[[#This Row],[QTY]]*NOTA[[#This Row],[HARGA SATUAN]])</f>
        <v/>
      </c>
      <c r="AG118" s="40" t="str">
        <f ca="1">IF(NOTA[ID_H]="","",INDEX(NOTA[TANGGAL],MATCH(,INDIRECT(ADDRESS(ROW(NOTA[TANGGAL]),COLUMN(NOTA[TANGGAL]))&amp;":"&amp;ADDRESS(ROW(),COLUMN(NOTA[TANGGAL]))),-1)))</f>
        <v/>
      </c>
      <c r="AH118" s="42" t="str">
        <f ca="1">IF(NOTA[[#This Row],[NAMA BARANG]]="","",INDEX(NOTA[SUPPLIER],MATCH(,INDIRECT(ADDRESS(ROW(NOTA[ID]),COLUMN(NOTA[ID]))&amp;":"&amp;ADDRESS(ROW(),COLUMN(NOTA[ID]))),-1)))</f>
        <v/>
      </c>
      <c r="AI118" s="42" t="str">
        <f ca="1">IF(NOTA[[#This Row],[ID_H]]="","",IF(NOTA[[#This Row],[FAKTUR]]="",INDIRECT(ADDRESS(ROW()-1,COLUMN())),NOTA[[#This Row],[FAKTUR]]))</f>
        <v/>
      </c>
      <c r="AJ118" s="39" t="str">
        <f ca="1">IF(NOTA[[#This Row],[ID]]="","",COUNTIF(NOTA[ID_H],NOTA[[#This Row],[ID_H]]))</f>
        <v/>
      </c>
      <c r="AK118" s="39" t="str">
        <f ca="1">IF(NOTA[[#This Row],[TGL.NOTA]]="",IF(NOTA[[#This Row],[SUPPLIER_H]]="","",AK117),MONTH(NOTA[[#This Row],[TGL.NOTA]]))</f>
        <v/>
      </c>
      <c r="AL118" s="39" t="str">
        <f>LOWER(SUBSTITUTE(SUBSTITUTE(SUBSTITUTE(SUBSTITUTE(SUBSTITUTE(SUBSTITUTE(SUBSTITUTE(SUBSTITUTE(SUBSTITUTE(NOTA[NAMA BARANG]," ",),".",""),"-",""),"(",""),")",""),",",""),"/",""),"""",""),"+",""))</f>
        <v/>
      </c>
      <c r="AM1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9" t="str">
        <f>IF(NOTA[[#This Row],[CONCAT4]]="","",_xlfn.IFNA(MATCH(NOTA[[#This Row],[CONCAT4]],[2]!RAW[CONCAT_H],0),FALSE))</f>
        <v/>
      </c>
      <c r="AQ118" s="39" t="str">
        <f>IF(NOTA[[#This Row],[CONCAT1]]="","",MATCH(NOTA[[#This Row],[CONCAT1]],[3]!db[NB NOTA_C],0))</f>
        <v/>
      </c>
      <c r="AR118" s="39" t="str">
        <f>IF(NOTA[[#This Row],[QTY/ CTN]]="","",TRUE)</f>
        <v/>
      </c>
      <c r="AS118" s="39" t="str">
        <f ca="1">IF(NOTA[[#This Row],[ID_H]]="","",IF(NOTA[[#This Row],[Column3]]=TRUE,NOTA[[#This Row],[QTY/ CTN]],INDEX([3]!db[QTY/ CTN],NOTA[[#This Row],[//DB]])))</f>
        <v/>
      </c>
      <c r="AT1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9" t="str">
        <f ca="1">IF(NOTA[[#This Row],[ID_H]]="","",MATCH(NOTA[[#This Row],[NB NOTA_C_QTY]],[4]!db[NB NOTA_C_QTY+F],0))</f>
        <v/>
      </c>
      <c r="AV118" s="55" t="str">
        <f ca="1">IF(NOTA[[#This Row],[NB NOTA_C_QTY]]="","",ROW()-2)</f>
        <v/>
      </c>
    </row>
    <row r="119" spans="1:48" ht="20.100000000000001" customHeight="1" x14ac:dyDescent="0.25">
      <c r="A119" s="42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39" t="e">
        <f ca="1">IF(NOTA[[#This Row],[ID_P]]="","",MATCH(NOTA[[#This Row],[ID_P]],[1]!B_MSK[N_ID],0))</f>
        <v>#REF!</v>
      </c>
      <c r="D119" s="39">
        <f ca="1">IF(NOTA[[#This Row],[NAMA BARANG]]="","",INDEX(NOTA[ID],MATCH(,INDIRECT(ADDRESS(ROW(NOTA[ID]),COLUMN(NOTA[ID]))&amp;":"&amp;ADDRESS(ROW(),COLUMN(NOTA[ID]))),-1)))</f>
        <v>33</v>
      </c>
      <c r="E119" s="47">
        <v>45114</v>
      </c>
      <c r="F119" s="38" t="s">
        <v>252</v>
      </c>
      <c r="G119" s="38" t="s">
        <v>145</v>
      </c>
      <c r="H119" s="48" t="s">
        <v>253</v>
      </c>
      <c r="J119" s="40">
        <v>45114</v>
      </c>
      <c r="L119" s="38" t="s">
        <v>254</v>
      </c>
      <c r="M119" s="41">
        <v>1</v>
      </c>
      <c r="N119" s="39">
        <v>8</v>
      </c>
      <c r="O119" s="38" t="s">
        <v>152</v>
      </c>
      <c r="P119" s="42">
        <v>180000</v>
      </c>
      <c r="Q119" s="43"/>
      <c r="R119" s="49" t="s">
        <v>486</v>
      </c>
      <c r="S119" s="50"/>
      <c r="U119" s="51"/>
      <c r="V119" s="46"/>
      <c r="W119" s="51">
        <f>IF(NOTA[[#This Row],[HARGA/ CTN]]="",NOTA[[#This Row],[JUMLAH_H]],NOTA[[#This Row],[HARGA/ CTN]]*IF(NOTA[[#This Row],[C]]="",0,NOTA[[#This Row],[C]]))</f>
        <v>1440000</v>
      </c>
      <c r="X119" s="51">
        <f>IF(NOTA[[#This Row],[JUMLAH]]="","",NOTA[[#This Row],[JUMLAH]]*NOTA[[#This Row],[DISC 1]])</f>
        <v>0</v>
      </c>
      <c r="Y119" s="51">
        <f>IF(NOTA[[#This Row],[JUMLAH]]="","",(NOTA[[#This Row],[JUMLAH]]-NOTA[[#This Row],[DISC 1-]])*NOTA[[#This Row],[DISC 2]])</f>
        <v>0</v>
      </c>
      <c r="Z119" s="51">
        <f>IF(NOTA[[#This Row],[JUMLAH]]="","",NOTA[[#This Row],[DISC 1-]]+NOTA[[#This Row],[DISC 2-]])</f>
        <v>0</v>
      </c>
      <c r="AA119" s="51">
        <f>IF(NOTA[[#This Row],[JUMLAH]]="","",NOTA[[#This Row],[JUMLAH]]-NOTA[[#This Row],[DISC]])</f>
        <v>1440000</v>
      </c>
      <c r="AB119" s="51"/>
      <c r="AC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51">
        <f>IF(OR(NOTA[[#This Row],[QTY]]="",NOTA[[#This Row],[HARGA SATUAN]]="",),"",NOTA[[#This Row],[QTY]]*NOTA[[#This Row],[HARGA SATUAN]])</f>
        <v>1440000</v>
      </c>
      <c r="AG119" s="40">
        <f ca="1">IF(NOTA[ID_H]="","",INDEX(NOTA[TANGGAL],MATCH(,INDIRECT(ADDRESS(ROW(NOTA[TANGGAL]),COLUMN(NOTA[TANGGAL]))&amp;":"&amp;ADDRESS(ROW(),COLUMN(NOTA[TANGGAL]))),-1)))</f>
        <v>45114</v>
      </c>
      <c r="AH119" s="42" t="str">
        <f ca="1">IF(NOTA[[#This Row],[NAMA BARANG]]="","",INDEX(NOTA[SUPPLIER],MATCH(,INDIRECT(ADDRESS(ROW(NOTA[ID]),COLUMN(NOTA[ID]))&amp;":"&amp;ADDRESS(ROW(),COLUMN(NOTA[ID]))),-1)))</f>
        <v>COMBI</v>
      </c>
      <c r="AI119" s="42" t="str">
        <f ca="1">IF(NOTA[[#This Row],[ID_H]]="","",IF(NOTA[[#This Row],[FAKTUR]]="",INDIRECT(ADDRESS(ROW()-1,COLUMN())),NOTA[[#This Row],[FAKTUR]]))</f>
        <v>UNTANA</v>
      </c>
      <c r="AJ119" s="39">
        <f ca="1">IF(NOTA[[#This Row],[ID]]="","",COUNTIF(NOTA[ID_H],NOTA[[#This Row],[ID_H]]))</f>
        <v>6</v>
      </c>
      <c r="AK119" s="39">
        <f>IF(NOTA[[#This Row],[TGL.NOTA]]="",IF(NOTA[[#This Row],[SUPPLIER_H]]="","",AK118),MONTH(NOTA[[#This Row],[TGL.NOTA]]))</f>
        <v>7</v>
      </c>
      <c r="AL119" s="39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39" t="e">
        <f>IF(NOTA[[#This Row],[CONCAT4]]="","",_xlfn.IFNA(MATCH(NOTA[[#This Row],[CONCAT4]],[2]!RAW[CONCAT_H],0),FALSE))</f>
        <v>#REF!</v>
      </c>
      <c r="AQ119" s="39">
        <f>IF(NOTA[[#This Row],[CONCAT1]]="","",MATCH(NOTA[[#This Row],[CONCAT1]],[3]!db[NB NOTA_C],0))</f>
        <v>1014</v>
      </c>
      <c r="AR119" s="39" t="b">
        <f>IF(NOTA[[#This Row],[QTY/ CTN]]="","",TRUE)</f>
        <v>1</v>
      </c>
      <c r="AS119" s="39" t="str">
        <f ca="1">IF(NOTA[[#This Row],[ID_H]]="","",IF(NOTA[[#This Row],[Column3]]=TRUE,NOTA[[#This Row],[QTY/ CTN]],INDEX([3]!db[QTY/ CTN],NOTA[[#This Row],[//DB]])))</f>
        <v>8 LSN</v>
      </c>
      <c r="AT1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9" s="39" t="e">
        <f ca="1">IF(NOTA[[#This Row],[ID_H]]="","",MATCH(NOTA[[#This Row],[NB NOTA_C_QTY]],[4]!db[NB NOTA_C_QTY+F],0))</f>
        <v>#REF!</v>
      </c>
      <c r="AV119" s="55">
        <f ca="1">IF(NOTA[[#This Row],[NB NOTA_C_QTY]]="","",ROW()-2)</f>
        <v>117</v>
      </c>
    </row>
    <row r="120" spans="1:48" ht="20.100000000000001" customHeight="1" x14ac:dyDescent="0.25">
      <c r="A1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33</v>
      </c>
      <c r="E120" s="47"/>
      <c r="H120" s="48"/>
      <c r="L120" s="38" t="s">
        <v>255</v>
      </c>
      <c r="M120" s="41">
        <v>1</v>
      </c>
      <c r="N120" s="39">
        <v>8</v>
      </c>
      <c r="O120" s="38" t="s">
        <v>152</v>
      </c>
      <c r="P120" s="42">
        <v>195000</v>
      </c>
      <c r="Q120" s="43"/>
      <c r="R120" s="49" t="s">
        <v>486</v>
      </c>
      <c r="S120" s="50"/>
      <c r="U120" s="51"/>
      <c r="V120" s="46"/>
      <c r="W120" s="51">
        <f>IF(NOTA[[#This Row],[HARGA/ CTN]]="",NOTA[[#This Row],[JUMLAH_H]],NOTA[[#This Row],[HARGA/ CTN]]*IF(NOTA[[#This Row],[C]]="",0,NOTA[[#This Row],[C]]))</f>
        <v>1560000</v>
      </c>
      <c r="X120" s="51">
        <f>IF(NOTA[[#This Row],[JUMLAH]]="","",NOTA[[#This Row],[JUMLAH]]*NOTA[[#This Row],[DISC 1]])</f>
        <v>0</v>
      </c>
      <c r="Y120" s="51">
        <f>IF(NOTA[[#This Row],[JUMLAH]]="","",(NOTA[[#This Row],[JUMLAH]]-NOTA[[#This Row],[DISC 1-]])*NOTA[[#This Row],[DISC 2]])</f>
        <v>0</v>
      </c>
      <c r="Z120" s="51">
        <f>IF(NOTA[[#This Row],[JUMLAH]]="","",NOTA[[#This Row],[DISC 1-]]+NOTA[[#This Row],[DISC 2-]])</f>
        <v>0</v>
      </c>
      <c r="AA120" s="51">
        <f>IF(NOTA[[#This Row],[JUMLAH]]="","",NOTA[[#This Row],[JUMLAH]]-NOTA[[#This Row],[DISC]])</f>
        <v>1560000</v>
      </c>
      <c r="AB120" s="51"/>
      <c r="AC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51">
        <f>IF(OR(NOTA[[#This Row],[QTY]]="",NOTA[[#This Row],[HARGA SATUAN]]="",),"",NOTA[[#This Row],[QTY]]*NOTA[[#This Row],[HARGA SATUAN]])</f>
        <v>1560000</v>
      </c>
      <c r="AG120" s="40">
        <f ca="1">IF(NOTA[ID_H]="","",INDEX(NOTA[TANGGAL],MATCH(,INDIRECT(ADDRESS(ROW(NOTA[TANGGAL]),COLUMN(NOTA[TANGGAL]))&amp;":"&amp;ADDRESS(ROW(),COLUMN(NOTA[TANGGAL]))),-1)))</f>
        <v>45114</v>
      </c>
      <c r="AH120" s="42" t="str">
        <f ca="1">IF(NOTA[[#This Row],[NAMA BARANG]]="","",INDEX(NOTA[SUPPLIER],MATCH(,INDIRECT(ADDRESS(ROW(NOTA[ID]),COLUMN(NOTA[ID]))&amp;":"&amp;ADDRESS(ROW(),COLUMN(NOTA[ID]))),-1)))</f>
        <v>COMBI</v>
      </c>
      <c r="AI120" s="42" t="str">
        <f ca="1">IF(NOTA[[#This Row],[ID_H]]="","",IF(NOTA[[#This Row],[FAKTUR]]="",INDIRECT(ADDRESS(ROW()-1,COLUMN())),NOTA[[#This Row],[FAKTUR]]))</f>
        <v>UNTANA</v>
      </c>
      <c r="AJ120" s="39" t="str">
        <f ca="1">IF(NOTA[[#This Row],[ID]]="","",COUNTIF(NOTA[ID_H],NOTA[[#This Row],[ID_H]]))</f>
        <v/>
      </c>
      <c r="AK120" s="39">
        <f ca="1">IF(NOTA[[#This Row],[TGL.NOTA]]="",IF(NOTA[[#This Row],[SUPPLIER_H]]="","",AK119),MONTH(NOTA[[#This Row],[TGL.NOTA]]))</f>
        <v>7</v>
      </c>
      <c r="AL120" s="39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9" t="str">
        <f>IF(NOTA[[#This Row],[CONCAT4]]="","",_xlfn.IFNA(MATCH(NOTA[[#This Row],[CONCAT4]],[2]!RAW[CONCAT_H],0),FALSE))</f>
        <v/>
      </c>
      <c r="AQ120" s="39">
        <f>IF(NOTA[[#This Row],[CONCAT1]]="","",MATCH(NOTA[[#This Row],[CONCAT1]],[3]!db[NB NOTA_C],0))</f>
        <v>1022</v>
      </c>
      <c r="AR120" s="39" t="b">
        <f>IF(NOTA[[#This Row],[QTY/ CTN]]="","",TRUE)</f>
        <v>1</v>
      </c>
      <c r="AS120" s="39" t="str">
        <f ca="1">IF(NOTA[[#This Row],[ID_H]]="","",IF(NOTA[[#This Row],[Column3]]=TRUE,NOTA[[#This Row],[QTY/ CTN]],INDEX([3]!db[QTY/ CTN],NOTA[[#This Row],[//DB]])))</f>
        <v>8 LSN</v>
      </c>
      <c r="AT1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20" s="39" t="e">
        <f ca="1">IF(NOTA[[#This Row],[ID_H]]="","",MATCH(NOTA[[#This Row],[NB NOTA_C_QTY]],[4]!db[NB NOTA_C_QTY+F],0))</f>
        <v>#REF!</v>
      </c>
      <c r="AV120" s="55">
        <f ca="1">IF(NOTA[[#This Row],[NB NOTA_C_QTY]]="","",ROW()-2)</f>
        <v>118</v>
      </c>
    </row>
    <row r="121" spans="1:48" ht="20.100000000000001" customHeight="1" x14ac:dyDescent="0.25">
      <c r="A1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33</v>
      </c>
      <c r="E121" s="47"/>
      <c r="H121" s="48"/>
      <c r="L121" s="38" t="s">
        <v>256</v>
      </c>
      <c r="M121" s="41">
        <v>1</v>
      </c>
      <c r="N121" s="39">
        <v>8</v>
      </c>
      <c r="O121" s="38" t="s">
        <v>152</v>
      </c>
      <c r="P121" s="42">
        <v>195000</v>
      </c>
      <c r="Q121" s="43"/>
      <c r="R121" s="49" t="s">
        <v>486</v>
      </c>
      <c r="S121" s="50"/>
      <c r="U121" s="51"/>
      <c r="V121" s="46"/>
      <c r="W121" s="51">
        <f>IF(NOTA[[#This Row],[HARGA/ CTN]]="",NOTA[[#This Row],[JUMLAH_H]],NOTA[[#This Row],[HARGA/ CTN]]*IF(NOTA[[#This Row],[C]]="",0,NOTA[[#This Row],[C]]))</f>
        <v>1560000</v>
      </c>
      <c r="X121" s="51">
        <f>IF(NOTA[[#This Row],[JUMLAH]]="","",NOTA[[#This Row],[JUMLAH]]*NOTA[[#This Row],[DISC 1]])</f>
        <v>0</v>
      </c>
      <c r="Y121" s="51">
        <f>IF(NOTA[[#This Row],[JUMLAH]]="","",(NOTA[[#This Row],[JUMLAH]]-NOTA[[#This Row],[DISC 1-]])*NOTA[[#This Row],[DISC 2]])</f>
        <v>0</v>
      </c>
      <c r="Z121" s="51">
        <f>IF(NOTA[[#This Row],[JUMLAH]]="","",NOTA[[#This Row],[DISC 1-]]+NOTA[[#This Row],[DISC 2-]])</f>
        <v>0</v>
      </c>
      <c r="AA121" s="51">
        <f>IF(NOTA[[#This Row],[JUMLAH]]="","",NOTA[[#This Row],[JUMLAH]]-NOTA[[#This Row],[DISC]])</f>
        <v>1560000</v>
      </c>
      <c r="AB121" s="51"/>
      <c r="AC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51">
        <f>IF(OR(NOTA[[#This Row],[QTY]]="",NOTA[[#This Row],[HARGA SATUAN]]="",),"",NOTA[[#This Row],[QTY]]*NOTA[[#This Row],[HARGA SATUAN]])</f>
        <v>1560000</v>
      </c>
      <c r="AG121" s="40">
        <f ca="1">IF(NOTA[ID_H]="","",INDEX(NOTA[TANGGAL],MATCH(,INDIRECT(ADDRESS(ROW(NOTA[TANGGAL]),COLUMN(NOTA[TANGGAL]))&amp;":"&amp;ADDRESS(ROW(),COLUMN(NOTA[TANGGAL]))),-1)))</f>
        <v>45114</v>
      </c>
      <c r="AH121" s="42" t="str">
        <f ca="1">IF(NOTA[[#This Row],[NAMA BARANG]]="","",INDEX(NOTA[SUPPLIER],MATCH(,INDIRECT(ADDRESS(ROW(NOTA[ID]),COLUMN(NOTA[ID]))&amp;":"&amp;ADDRESS(ROW(),COLUMN(NOTA[ID]))),-1)))</f>
        <v>COMBI</v>
      </c>
      <c r="AI121" s="42" t="str">
        <f ca="1">IF(NOTA[[#This Row],[ID_H]]="","",IF(NOTA[[#This Row],[FAKTUR]]="",INDIRECT(ADDRESS(ROW()-1,COLUMN())),NOTA[[#This Row],[FAKTUR]]))</f>
        <v>UNTANA</v>
      </c>
      <c r="AJ121" s="39" t="str">
        <f ca="1">IF(NOTA[[#This Row],[ID]]="","",COUNTIF(NOTA[ID_H],NOTA[[#This Row],[ID_H]]))</f>
        <v/>
      </c>
      <c r="AK121" s="39">
        <f ca="1">IF(NOTA[[#This Row],[TGL.NOTA]]="",IF(NOTA[[#This Row],[SUPPLIER_H]]="","",AK120),MONTH(NOTA[[#This Row],[TGL.NOTA]]))</f>
        <v>7</v>
      </c>
      <c r="AL121" s="39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9" t="str">
        <f>IF(NOTA[[#This Row],[CONCAT4]]="","",_xlfn.IFNA(MATCH(NOTA[[#This Row],[CONCAT4]],[2]!RAW[CONCAT_H],0),FALSE))</f>
        <v/>
      </c>
      <c r="AQ121" s="39">
        <f>IF(NOTA[[#This Row],[CONCAT1]]="","",MATCH(NOTA[[#This Row],[CONCAT1]],[3]!db[NB NOTA_C],0))</f>
        <v>1012</v>
      </c>
      <c r="AR121" s="39" t="b">
        <f>IF(NOTA[[#This Row],[QTY/ CTN]]="","",TRUE)</f>
        <v>1</v>
      </c>
      <c r="AS121" s="39" t="str">
        <f ca="1">IF(NOTA[[#This Row],[ID_H]]="","",IF(NOTA[[#This Row],[Column3]]=TRUE,NOTA[[#This Row],[QTY/ CTN]],INDEX([3]!db[QTY/ CTN],NOTA[[#This Row],[//DB]])))</f>
        <v>8 LSN</v>
      </c>
      <c r="AT1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docritconception8lsnuntana</v>
      </c>
      <c r="AU121" s="39" t="e">
        <f ca="1">IF(NOTA[[#This Row],[ID_H]]="","",MATCH(NOTA[[#This Row],[NB NOTA_C_QTY]],[4]!db[NB NOTA_C_QTY+F],0))</f>
        <v>#REF!</v>
      </c>
      <c r="AV121" s="55">
        <f ca="1">IF(NOTA[[#This Row],[NB NOTA_C_QTY]]="","",ROW()-2)</f>
        <v>119</v>
      </c>
    </row>
    <row r="122" spans="1:48" ht="20.100000000000001" customHeight="1" x14ac:dyDescent="0.25">
      <c r="A1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>
        <f ca="1">IF(NOTA[[#This Row],[NAMA BARANG]]="","",INDEX(NOTA[ID],MATCH(,INDIRECT(ADDRESS(ROW(NOTA[ID]),COLUMN(NOTA[ID]))&amp;":"&amp;ADDRESS(ROW(),COLUMN(NOTA[ID]))),-1)))</f>
        <v>33</v>
      </c>
      <c r="E122" s="47"/>
      <c r="H122" s="48"/>
      <c r="L122" s="38" t="s">
        <v>491</v>
      </c>
      <c r="M122" s="41">
        <v>1</v>
      </c>
      <c r="N122" s="39">
        <v>7</v>
      </c>
      <c r="O122" s="38" t="s">
        <v>152</v>
      </c>
      <c r="P122" s="42">
        <v>240000</v>
      </c>
      <c r="Q122" s="43"/>
      <c r="R122" s="49" t="s">
        <v>485</v>
      </c>
      <c r="S122" s="50"/>
      <c r="U122" s="51"/>
      <c r="V122" s="46"/>
      <c r="W122" s="51">
        <f>IF(NOTA[[#This Row],[HARGA/ CTN]]="",NOTA[[#This Row],[JUMLAH_H]],NOTA[[#This Row],[HARGA/ CTN]]*IF(NOTA[[#This Row],[C]]="",0,NOTA[[#This Row],[C]]))</f>
        <v>1680000</v>
      </c>
      <c r="X122" s="51">
        <f>IF(NOTA[[#This Row],[JUMLAH]]="","",NOTA[[#This Row],[JUMLAH]]*NOTA[[#This Row],[DISC 1]])</f>
        <v>0</v>
      </c>
      <c r="Y122" s="51">
        <f>IF(NOTA[[#This Row],[JUMLAH]]="","",(NOTA[[#This Row],[JUMLAH]]-NOTA[[#This Row],[DISC 1-]])*NOTA[[#This Row],[DISC 2]])</f>
        <v>0</v>
      </c>
      <c r="Z122" s="51">
        <f>IF(NOTA[[#This Row],[JUMLAH]]="","",NOTA[[#This Row],[DISC 1-]]+NOTA[[#This Row],[DISC 2-]])</f>
        <v>0</v>
      </c>
      <c r="AA122" s="51">
        <f>IF(NOTA[[#This Row],[JUMLAH]]="","",NOTA[[#This Row],[JUMLAH]]-NOTA[[#This Row],[DISC]])</f>
        <v>1680000</v>
      </c>
      <c r="AB122" s="51"/>
      <c r="AC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51">
        <f>IF(OR(NOTA[[#This Row],[QTY]]="",NOTA[[#This Row],[HARGA SATUAN]]="",),"",NOTA[[#This Row],[QTY]]*NOTA[[#This Row],[HARGA SATUAN]])</f>
        <v>1680000</v>
      </c>
      <c r="AG122" s="40">
        <f ca="1">IF(NOTA[ID_H]="","",INDEX(NOTA[TANGGAL],MATCH(,INDIRECT(ADDRESS(ROW(NOTA[TANGGAL]),COLUMN(NOTA[TANGGAL]))&amp;":"&amp;ADDRESS(ROW(),COLUMN(NOTA[TANGGAL]))),-1)))</f>
        <v>45114</v>
      </c>
      <c r="AH122" s="42" t="str">
        <f ca="1">IF(NOTA[[#This Row],[NAMA BARANG]]="","",INDEX(NOTA[SUPPLIER],MATCH(,INDIRECT(ADDRESS(ROW(NOTA[ID]),COLUMN(NOTA[ID]))&amp;":"&amp;ADDRESS(ROW(),COLUMN(NOTA[ID]))),-1)))</f>
        <v>COMBI</v>
      </c>
      <c r="AI122" s="42" t="str">
        <f ca="1">IF(NOTA[[#This Row],[ID_H]]="","",IF(NOTA[[#This Row],[FAKTUR]]="",INDIRECT(ADDRESS(ROW()-1,COLUMN())),NOTA[[#This Row],[FAKTUR]]))</f>
        <v>UNTANA</v>
      </c>
      <c r="AJ122" s="39" t="str">
        <f ca="1">IF(NOTA[[#This Row],[ID]]="","",COUNTIF(NOTA[ID_H],NOTA[[#This Row],[ID_H]]))</f>
        <v/>
      </c>
      <c r="AK122" s="39">
        <f ca="1">IF(NOTA[[#This Row],[TGL.NOTA]]="",IF(NOTA[[#This Row],[SUPPLIER_H]]="","",AK121),MONTH(NOTA[[#This Row],[TGL.NOTA]]))</f>
        <v>7</v>
      </c>
      <c r="AL122" s="39" t="str">
        <f>LOWER(SUBSTITUTE(SUBSTITUTE(SUBSTITUTE(SUBSTITUTE(SUBSTITUTE(SUBSTITUTE(SUBSTITUTE(SUBSTITUTE(SUBSTITUTE(NOTA[NAMA BARANG]," ",),".",""),"-",""),"(",""),")",""),",",""),"/",""),"""",""),"+",""))</f>
        <v>docritstatement</v>
      </c>
      <c r="AM1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1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1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9" t="str">
        <f>IF(NOTA[[#This Row],[CONCAT4]]="","",_xlfn.IFNA(MATCH(NOTA[[#This Row],[CONCAT4]],[2]!RAW[CONCAT_H],0),FALSE))</f>
        <v/>
      </c>
      <c r="AQ122" s="39">
        <f>IF(NOTA[[#This Row],[CONCAT1]]="","",MATCH(NOTA[[#This Row],[CONCAT1]],[3]!db[NB NOTA_C],0))</f>
        <v>1023</v>
      </c>
      <c r="AR122" s="39" t="b">
        <f>IF(NOTA[[#This Row],[QTY/ CTN]]="","",TRUE)</f>
        <v>1</v>
      </c>
      <c r="AS122" s="39" t="str">
        <f ca="1">IF(NOTA[[#This Row],[ID_H]]="","",IF(NOTA[[#This Row],[Column3]]=TRUE,NOTA[[#This Row],[QTY/ CTN]],INDEX([3]!db[QTY/ CTN],NOTA[[#This Row],[//DB]])))</f>
        <v>7 LSN</v>
      </c>
      <c r="AT1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122" s="39" t="e">
        <f ca="1">IF(NOTA[[#This Row],[ID_H]]="","",MATCH(NOTA[[#This Row],[NB NOTA_C_QTY]],[4]!db[NB NOTA_C_QTY+F],0))</f>
        <v>#REF!</v>
      </c>
      <c r="AV122" s="55">
        <f ca="1">IF(NOTA[[#This Row],[NB NOTA_C_QTY]]="","",ROW()-2)</f>
        <v>120</v>
      </c>
    </row>
    <row r="123" spans="1:48" ht="20.100000000000001" customHeight="1" x14ac:dyDescent="0.25">
      <c r="A1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>
        <f ca="1">IF(NOTA[[#This Row],[NAMA BARANG]]="","",INDEX(NOTA[ID],MATCH(,INDIRECT(ADDRESS(ROW(NOTA[ID]),COLUMN(NOTA[ID]))&amp;":"&amp;ADDRESS(ROW(),COLUMN(NOTA[ID]))),-1)))</f>
        <v>33</v>
      </c>
      <c r="E123" s="47"/>
      <c r="H123" s="48"/>
      <c r="L123" s="38" t="s">
        <v>492</v>
      </c>
      <c r="M123" s="41">
        <v>1</v>
      </c>
      <c r="N123" s="39">
        <v>7</v>
      </c>
      <c r="O123" s="38" t="s">
        <v>152</v>
      </c>
      <c r="P123" s="42">
        <v>273000</v>
      </c>
      <c r="Q123" s="43"/>
      <c r="R123" s="49" t="s">
        <v>485</v>
      </c>
      <c r="S123" s="50"/>
      <c r="U123" s="51"/>
      <c r="V123" s="46"/>
      <c r="W123" s="51">
        <f>IF(NOTA[[#This Row],[HARGA/ CTN]]="",NOTA[[#This Row],[JUMLAH_H]],NOTA[[#This Row],[HARGA/ CTN]]*IF(NOTA[[#This Row],[C]]="",0,NOTA[[#This Row],[C]]))</f>
        <v>1911000</v>
      </c>
      <c r="X123" s="51">
        <f>IF(NOTA[[#This Row],[JUMLAH]]="","",NOTA[[#This Row],[JUMLAH]]*NOTA[[#This Row],[DISC 1]])</f>
        <v>0</v>
      </c>
      <c r="Y123" s="51">
        <f>IF(NOTA[[#This Row],[JUMLAH]]="","",(NOTA[[#This Row],[JUMLAH]]-NOTA[[#This Row],[DISC 1-]])*NOTA[[#This Row],[DISC 2]])</f>
        <v>0</v>
      </c>
      <c r="Z123" s="51">
        <f>IF(NOTA[[#This Row],[JUMLAH]]="","",NOTA[[#This Row],[DISC 1-]]+NOTA[[#This Row],[DISC 2-]])</f>
        <v>0</v>
      </c>
      <c r="AA123" s="51">
        <f>IF(NOTA[[#This Row],[JUMLAH]]="","",NOTA[[#This Row],[JUMLAH]]-NOTA[[#This Row],[DISC]])</f>
        <v>1911000</v>
      </c>
      <c r="AB123" s="51"/>
      <c r="AC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2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51">
        <f>IF(OR(NOTA[[#This Row],[QTY]]="",NOTA[[#This Row],[HARGA SATUAN]]="",),"",NOTA[[#This Row],[QTY]]*NOTA[[#This Row],[HARGA SATUAN]])</f>
        <v>1911000</v>
      </c>
      <c r="AG123" s="40">
        <f ca="1">IF(NOTA[ID_H]="","",INDEX(NOTA[TANGGAL],MATCH(,INDIRECT(ADDRESS(ROW(NOTA[TANGGAL]),COLUMN(NOTA[TANGGAL]))&amp;":"&amp;ADDRESS(ROW(),COLUMN(NOTA[TANGGAL]))),-1)))</f>
        <v>45114</v>
      </c>
      <c r="AH123" s="42" t="str">
        <f ca="1">IF(NOTA[[#This Row],[NAMA BARANG]]="","",INDEX(NOTA[SUPPLIER],MATCH(,INDIRECT(ADDRESS(ROW(NOTA[ID]),COLUMN(NOTA[ID]))&amp;":"&amp;ADDRESS(ROW(),COLUMN(NOTA[ID]))),-1)))</f>
        <v>COMBI</v>
      </c>
      <c r="AI123" s="42" t="str">
        <f ca="1">IF(NOTA[[#This Row],[ID_H]]="","",IF(NOTA[[#This Row],[FAKTUR]]="",INDIRECT(ADDRESS(ROW()-1,COLUMN())),NOTA[[#This Row],[FAKTUR]]))</f>
        <v>UNTANA</v>
      </c>
      <c r="AJ123" s="39" t="str">
        <f ca="1">IF(NOTA[[#This Row],[ID]]="","",COUNTIF(NOTA[ID_H],NOTA[[#This Row],[ID_H]]))</f>
        <v/>
      </c>
      <c r="AK123" s="39">
        <f ca="1">IF(NOTA[[#This Row],[TGL.NOTA]]="",IF(NOTA[[#This Row],[SUPPLIER_H]]="","",AK122),MONTH(NOTA[[#This Row],[TGL.NOTA]]))</f>
        <v>7</v>
      </c>
      <c r="AL123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1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docritelegance1911000</v>
      </c>
      <c r="AN1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docritelegance1911000</v>
      </c>
      <c r="AO1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9" t="str">
        <f>IF(NOTA[[#This Row],[CONCAT4]]="","",_xlfn.IFNA(MATCH(NOTA[[#This Row],[CONCAT4]],[2]!RAW[CONCAT_H],0),FALSE))</f>
        <v/>
      </c>
      <c r="AQ123" s="39">
        <f>IF(NOTA[[#This Row],[CONCAT1]]="","",MATCH(NOTA[[#This Row],[CONCAT1]],[3]!db[NB NOTA_C],0))</f>
        <v>1013</v>
      </c>
      <c r="AR123" s="39" t="b">
        <f>IF(NOTA[[#This Row],[QTY/ CTN]]="","",TRUE)</f>
        <v>1</v>
      </c>
      <c r="AS123" s="39" t="str">
        <f ca="1">IF(NOTA[[#This Row],[ID_H]]="","",IF(NOTA[[#This Row],[Column3]]=TRUE,NOTA[[#This Row],[QTY/ CTN]],INDEX([3]!db[QTY/ CTN],NOTA[[#This Row],[//DB]])))</f>
        <v>7 LSN</v>
      </c>
      <c r="AT1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23" s="39" t="e">
        <f ca="1">IF(NOTA[[#This Row],[ID_H]]="","",MATCH(NOTA[[#This Row],[NB NOTA_C_QTY]],[4]!db[NB NOTA_C_QTY+F],0))</f>
        <v>#REF!</v>
      </c>
      <c r="AV123" s="55">
        <f ca="1">IF(NOTA[[#This Row],[NB NOTA_C_QTY]]="","",ROW()-2)</f>
        <v>121</v>
      </c>
    </row>
    <row r="124" spans="1:48" ht="20.100000000000001" customHeight="1" x14ac:dyDescent="0.25">
      <c r="A1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33</v>
      </c>
      <c r="E124" s="47"/>
      <c r="H124" s="48"/>
      <c r="L124" s="38" t="s">
        <v>257</v>
      </c>
      <c r="M124" s="41">
        <v>1</v>
      </c>
      <c r="N124" s="39">
        <v>8</v>
      </c>
      <c r="O124" s="38" t="s">
        <v>152</v>
      </c>
      <c r="P124" s="42">
        <v>213000</v>
      </c>
      <c r="Q124" s="43"/>
      <c r="R124" s="49"/>
      <c r="S124" s="50"/>
      <c r="U124" s="51"/>
      <c r="V124" s="46"/>
      <c r="W124" s="51">
        <f>IF(NOTA[[#This Row],[HARGA/ CTN]]="",NOTA[[#This Row],[JUMLAH_H]],NOTA[[#This Row],[HARGA/ CTN]]*IF(NOTA[[#This Row],[C]]="",0,NOTA[[#This Row],[C]]))</f>
        <v>1704000</v>
      </c>
      <c r="X124" s="51">
        <f>IF(NOTA[[#This Row],[JUMLAH]]="","",NOTA[[#This Row],[JUMLAH]]*NOTA[[#This Row],[DISC 1]])</f>
        <v>0</v>
      </c>
      <c r="Y124" s="51">
        <f>IF(NOTA[[#This Row],[JUMLAH]]="","",(NOTA[[#This Row],[JUMLAH]]-NOTA[[#This Row],[DISC 1-]])*NOTA[[#This Row],[DISC 2]])</f>
        <v>0</v>
      </c>
      <c r="Z124" s="51">
        <f>IF(NOTA[[#This Row],[JUMLAH]]="","",NOTA[[#This Row],[DISC 1-]]+NOTA[[#This Row],[DISC 2-]])</f>
        <v>0</v>
      </c>
      <c r="AA124" s="51">
        <f>IF(NOTA[[#This Row],[JUMLAH]]="","",NOTA[[#This Row],[JUMLAH]]-NOTA[[#This Row],[DISC]])</f>
        <v>1704000</v>
      </c>
      <c r="AB124" s="51"/>
      <c r="AC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51">
        <f>IF(OR(NOTA[[#This Row],[QTY]]="",NOTA[[#This Row],[HARGA SATUAN]]="",),"",NOTA[[#This Row],[QTY]]*NOTA[[#This Row],[HARGA SATUAN]])</f>
        <v>1704000</v>
      </c>
      <c r="AG124" s="40">
        <f ca="1">IF(NOTA[ID_H]="","",INDEX(NOTA[TANGGAL],MATCH(,INDIRECT(ADDRESS(ROW(NOTA[TANGGAL]),COLUMN(NOTA[TANGGAL]))&amp;":"&amp;ADDRESS(ROW(),COLUMN(NOTA[TANGGAL]))),-1)))</f>
        <v>45114</v>
      </c>
      <c r="AH124" s="42" t="str">
        <f ca="1">IF(NOTA[[#This Row],[NAMA BARANG]]="","",INDEX(NOTA[SUPPLIER],MATCH(,INDIRECT(ADDRESS(ROW(NOTA[ID]),COLUMN(NOTA[ID]))&amp;":"&amp;ADDRESS(ROW(),COLUMN(NOTA[ID]))),-1)))</f>
        <v>COMBI</v>
      </c>
      <c r="AI124" s="42" t="str">
        <f ca="1">IF(NOTA[[#This Row],[ID_H]]="","",IF(NOTA[[#This Row],[FAKTUR]]="",INDIRECT(ADDRESS(ROW()-1,COLUMN())),NOTA[[#This Row],[FAKTUR]]))</f>
        <v>UNTANA</v>
      </c>
      <c r="AJ124" s="39" t="str">
        <f ca="1">IF(NOTA[[#This Row],[ID]]="","",COUNTIF(NOTA[ID_H],NOTA[[#This Row],[ID_H]]))</f>
        <v/>
      </c>
      <c r="AK124" s="39">
        <f ca="1">IF(NOTA[[#This Row],[TGL.NOTA]]="",IF(NOTA[[#This Row],[SUPPLIER_H]]="","",AK123),MONTH(NOTA[[#This Row],[TGL.NOTA]]))</f>
        <v>7</v>
      </c>
      <c r="AL124" s="39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39" t="str">
        <f>IF(NOTA[[#This Row],[CONCAT4]]="","",_xlfn.IFNA(MATCH(NOTA[[#This Row],[CONCAT4]],[2]!RAW[CONCAT_H],0),FALSE))</f>
        <v/>
      </c>
      <c r="AQ124" s="39">
        <f>IF(NOTA[[#This Row],[CONCAT1]]="","",MATCH(NOTA[[#This Row],[CONCAT1]],[3]!db[NB NOTA_C],0))</f>
        <v>1010</v>
      </c>
      <c r="AR124" s="39" t="str">
        <f>IF(NOTA[[#This Row],[QTY/ CTN]]="","",TRUE)</f>
        <v/>
      </c>
      <c r="AS124" s="39" t="str">
        <f ca="1">IF(NOTA[[#This Row],[ID_H]]="","",IF(NOTA[[#This Row],[Column3]]=TRUE,NOTA[[#This Row],[QTY/ CTN]],INDEX([3]!db[QTY/ CTN],NOTA[[#This Row],[//DB]])))</f>
        <v>8 LSN</v>
      </c>
      <c r="AT1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124" s="39" t="e">
        <f ca="1">IF(NOTA[[#This Row],[ID_H]]="","",MATCH(NOTA[[#This Row],[NB NOTA_C_QTY]],[4]!db[NB NOTA_C_QTY+F],0))</f>
        <v>#REF!</v>
      </c>
      <c r="AV124" s="55">
        <f ca="1">IF(NOTA[[#This Row],[NB NOTA_C_QTY]]="","",ROW()-2)</f>
        <v>122</v>
      </c>
    </row>
    <row r="125" spans="1:48" ht="20.100000000000001" customHeight="1" x14ac:dyDescent="0.25">
      <c r="A1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 t="str">
        <f ca="1">IF(NOTA[[#This Row],[NAMA BARANG]]="","",INDEX(NOTA[ID],MATCH(,INDIRECT(ADDRESS(ROW(NOTA[ID]),COLUMN(NOTA[ID]))&amp;":"&amp;ADDRESS(ROW(),COLUMN(NOTA[ID]))),-1)))</f>
        <v/>
      </c>
      <c r="E125" s="47" t="s">
        <v>241</v>
      </c>
      <c r="H125" s="48"/>
      <c r="N125" s="39"/>
      <c r="Q125" s="43"/>
      <c r="R125" s="49"/>
      <c r="S125" s="50"/>
      <c r="U125" s="51"/>
      <c r="V125" s="46"/>
      <c r="W125" s="51" t="str">
        <f>IF(NOTA[[#This Row],[HARGA/ CTN]]="",NOTA[[#This Row],[JUMLAH_H]],NOTA[[#This Row],[HARGA/ CTN]]*IF(NOTA[[#This Row],[C]]="",0,NOTA[[#This Row],[C]]))</f>
        <v/>
      </c>
      <c r="X125" s="51" t="str">
        <f>IF(NOTA[[#This Row],[JUMLAH]]="","",NOTA[[#This Row],[JUMLAH]]*NOTA[[#This Row],[DISC 1]])</f>
        <v/>
      </c>
      <c r="Y125" s="51" t="str">
        <f>IF(NOTA[[#This Row],[JUMLAH]]="","",(NOTA[[#This Row],[JUMLAH]]-NOTA[[#This Row],[DISC 1-]])*NOTA[[#This Row],[DISC 2]])</f>
        <v/>
      </c>
      <c r="Z125" s="51" t="str">
        <f>IF(NOTA[[#This Row],[JUMLAH]]="","",NOTA[[#This Row],[DISC 1-]]+NOTA[[#This Row],[DISC 2-]])</f>
        <v/>
      </c>
      <c r="AA125" s="51" t="str">
        <f>IF(NOTA[[#This Row],[JUMLAH]]="","",NOTA[[#This Row],[JUMLAH]]-NOTA[[#This Row],[DISC]])</f>
        <v/>
      </c>
      <c r="AB125" s="51"/>
      <c r="AC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1" t="str">
        <f>IF(OR(NOTA[[#This Row],[QTY]]="",NOTA[[#This Row],[HARGA SATUAN]]="",),"",NOTA[[#This Row],[QTY]]*NOTA[[#This Row],[HARGA SATUAN]])</f>
        <v/>
      </c>
      <c r="AG125" s="40" t="str">
        <f ca="1">IF(NOTA[ID_H]="","",INDEX(NOTA[TANGGAL],MATCH(,INDIRECT(ADDRESS(ROW(NOTA[TANGGAL]),COLUMN(NOTA[TANGGAL]))&amp;":"&amp;ADDRESS(ROW(),COLUMN(NOTA[TANGGAL]))),-1)))</f>
        <v/>
      </c>
      <c r="AH125" s="42" t="str">
        <f ca="1">IF(NOTA[[#This Row],[NAMA BARANG]]="","",INDEX(NOTA[SUPPLIER],MATCH(,INDIRECT(ADDRESS(ROW(NOTA[ID]),COLUMN(NOTA[ID]))&amp;":"&amp;ADDRESS(ROW(),COLUMN(NOTA[ID]))),-1)))</f>
        <v/>
      </c>
      <c r="AI125" s="42" t="str">
        <f ca="1">IF(NOTA[[#This Row],[ID_H]]="","",IF(NOTA[[#This Row],[FAKTUR]]="",INDIRECT(ADDRESS(ROW()-1,COLUMN())),NOTA[[#This Row],[FAKTUR]]))</f>
        <v/>
      </c>
      <c r="AJ125" s="39" t="str">
        <f ca="1">IF(NOTA[[#This Row],[ID]]="","",COUNTIF(NOTA[ID_H],NOTA[[#This Row],[ID_H]]))</f>
        <v/>
      </c>
      <c r="AK125" s="39" t="str">
        <f ca="1">IF(NOTA[[#This Row],[TGL.NOTA]]="",IF(NOTA[[#This Row],[SUPPLIER_H]]="","",AK124),MONTH(NOTA[[#This Row],[TGL.NOTA]]))</f>
        <v/>
      </c>
      <c r="AL125" s="39" t="str">
        <f>LOWER(SUBSTITUTE(SUBSTITUTE(SUBSTITUTE(SUBSTITUTE(SUBSTITUTE(SUBSTITUTE(SUBSTITUTE(SUBSTITUTE(SUBSTITUTE(NOTA[NAMA BARANG]," ",),".",""),"-",""),"(",""),")",""),",",""),"/",""),"""",""),"+",""))</f>
        <v/>
      </c>
      <c r="AM1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9" t="str">
        <f>IF(NOTA[[#This Row],[CONCAT4]]="","",_xlfn.IFNA(MATCH(NOTA[[#This Row],[CONCAT4]],[2]!RAW[CONCAT_H],0),FALSE))</f>
        <v/>
      </c>
      <c r="AQ125" s="39" t="str">
        <f>IF(NOTA[[#This Row],[CONCAT1]]="","",MATCH(NOTA[[#This Row],[CONCAT1]],[3]!db[NB NOTA_C],0))</f>
        <v/>
      </c>
      <c r="AR125" s="39" t="str">
        <f>IF(NOTA[[#This Row],[QTY/ CTN]]="","",TRUE)</f>
        <v/>
      </c>
      <c r="AS125" s="39" t="str">
        <f ca="1">IF(NOTA[[#This Row],[ID_H]]="","",IF(NOTA[[#This Row],[Column3]]=TRUE,NOTA[[#This Row],[QTY/ CTN]],INDEX([3]!db[QTY/ CTN],NOTA[[#This Row],[//DB]])))</f>
        <v/>
      </c>
      <c r="AT1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" s="39" t="str">
        <f ca="1">IF(NOTA[[#This Row],[ID_H]]="","",MATCH(NOTA[[#This Row],[NB NOTA_C_QTY]],[4]!db[NB NOTA_C_QTY+F],0))</f>
        <v/>
      </c>
      <c r="AV125" s="55" t="str">
        <f ca="1">IF(NOTA[[#This Row],[NB NOTA_C_QTY]]="","",ROW()-2)</f>
        <v/>
      </c>
    </row>
    <row r="126" spans="1:48" ht="20.100000000000001" customHeight="1" x14ac:dyDescent="0.25">
      <c r="A126" s="42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39" t="e">
        <f ca="1">IF(NOTA[[#This Row],[ID_P]]="","",MATCH(NOTA[[#This Row],[ID_P]],[1]!B_MSK[N_ID],0))</f>
        <v>#REF!</v>
      </c>
      <c r="D126" s="39">
        <f ca="1">IF(NOTA[[#This Row],[NAMA BARANG]]="","",INDEX(NOTA[ID],MATCH(,INDIRECT(ADDRESS(ROW(NOTA[ID]),COLUMN(NOTA[ID]))&amp;":"&amp;ADDRESS(ROW(),COLUMN(NOTA[ID]))),-1)))</f>
        <v>34</v>
      </c>
      <c r="E126" s="47">
        <v>45115</v>
      </c>
      <c r="F126" s="38" t="s">
        <v>144</v>
      </c>
      <c r="G126" s="38" t="s">
        <v>145</v>
      </c>
      <c r="H126" s="48"/>
      <c r="J126" s="40">
        <v>45111</v>
      </c>
      <c r="L126" s="38" t="s">
        <v>258</v>
      </c>
      <c r="M126" s="41">
        <v>10</v>
      </c>
      <c r="N126" s="39">
        <v>2400</v>
      </c>
      <c r="O126" s="38" t="s">
        <v>117</v>
      </c>
      <c r="P126" s="42">
        <v>5485</v>
      </c>
      <c r="Q126" s="43"/>
      <c r="R126" s="49" t="s">
        <v>259</v>
      </c>
      <c r="S126" s="50">
        <v>0.1</v>
      </c>
      <c r="T126" s="45">
        <v>0.1</v>
      </c>
      <c r="U126" s="51"/>
      <c r="V126" s="46"/>
      <c r="W126" s="51">
        <f>IF(NOTA[[#This Row],[HARGA/ CTN]]="",NOTA[[#This Row],[JUMLAH_H]],NOTA[[#This Row],[HARGA/ CTN]]*IF(NOTA[[#This Row],[C]]="",0,NOTA[[#This Row],[C]]))</f>
        <v>13164000</v>
      </c>
      <c r="X126" s="51">
        <f>IF(NOTA[[#This Row],[JUMLAH]]="","",NOTA[[#This Row],[JUMLAH]]*NOTA[[#This Row],[DISC 1]])</f>
        <v>1316400</v>
      </c>
      <c r="Y126" s="51">
        <f>IF(NOTA[[#This Row],[JUMLAH]]="","",(NOTA[[#This Row],[JUMLAH]]-NOTA[[#This Row],[DISC 1-]])*NOTA[[#This Row],[DISC 2]])</f>
        <v>1184760</v>
      </c>
      <c r="Z126" s="51">
        <f>IF(NOTA[[#This Row],[JUMLAH]]="","",NOTA[[#This Row],[DISC 1-]]+NOTA[[#This Row],[DISC 2-]])</f>
        <v>2501160</v>
      </c>
      <c r="AA126" s="51">
        <f>IF(NOTA[[#This Row],[JUMLAH]]="","",NOTA[[#This Row],[JUMLAH]]-NOTA[[#This Row],[DISC]])</f>
        <v>10662840</v>
      </c>
      <c r="AB126" s="51"/>
      <c r="AC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51">
        <f>IF(OR(NOTA[[#This Row],[QTY]]="",NOTA[[#This Row],[HARGA SATUAN]]="",),"",NOTA[[#This Row],[QTY]]*NOTA[[#This Row],[HARGA SATUAN]])</f>
        <v>13164000</v>
      </c>
      <c r="AG126" s="40">
        <f ca="1">IF(NOTA[ID_H]="","",INDEX(NOTA[TANGGAL],MATCH(,INDIRECT(ADDRESS(ROW(NOTA[TANGGAL]),COLUMN(NOTA[TANGGAL]))&amp;":"&amp;ADDRESS(ROW(),COLUMN(NOTA[TANGGAL]))),-1)))</f>
        <v>45115</v>
      </c>
      <c r="AH126" s="42" t="str">
        <f ca="1">IF(NOTA[[#This Row],[NAMA BARANG]]="","",INDEX(NOTA[SUPPLIER],MATCH(,INDIRECT(ADDRESS(ROW(NOTA[ID]),COLUMN(NOTA[ID]))&amp;":"&amp;ADDRESS(ROW(),COLUMN(NOTA[ID]))),-1)))</f>
        <v>PARAMA</v>
      </c>
      <c r="AI126" s="42" t="str">
        <f ca="1">IF(NOTA[[#This Row],[ID_H]]="","",IF(NOTA[[#This Row],[FAKTUR]]="",INDIRECT(ADDRESS(ROW()-1,COLUMN())),NOTA[[#This Row],[FAKTUR]]))</f>
        <v>UNTANA</v>
      </c>
      <c r="AJ126" s="39">
        <f ca="1">IF(NOTA[[#This Row],[ID]]="","",COUNTIF(NOTA[ID_H],NOTA[[#This Row],[ID_H]]))</f>
        <v>2</v>
      </c>
      <c r="AK126" s="39">
        <f>IF(NOTA[[#This Row],[TGL.NOTA]]="",IF(NOTA[[#This Row],[SUPPLIER_H]]="","",AK125),MONTH(NOTA[[#This Row],[TGL.NOTA]]))</f>
        <v>7</v>
      </c>
      <c r="AL12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39" t="e">
        <f>IF(NOTA[[#This Row],[CONCAT4]]="","",_xlfn.IFNA(MATCH(NOTA[[#This Row],[CONCAT4]],[2]!RAW[CONCAT_H],0),FALSE))</f>
        <v>#REF!</v>
      </c>
      <c r="AQ126" s="39">
        <f>IF(NOTA[[#This Row],[CONCAT1]]="","",MATCH(NOTA[[#This Row],[CONCAT1]],[3]!db[NB NOTA_C],0))</f>
        <v>2373</v>
      </c>
      <c r="AR126" s="39" t="b">
        <f>IF(NOTA[[#This Row],[QTY/ CTN]]="","",TRUE)</f>
        <v>1</v>
      </c>
      <c r="AS126" s="39" t="str">
        <f ca="1">IF(NOTA[[#This Row],[ID_H]]="","",IF(NOTA[[#This Row],[Column3]]=TRUE,NOTA[[#This Row],[QTY/ CTN]],INDEX([3]!db[QTY/ CTN],NOTA[[#This Row],[//DB]])))</f>
        <v>240 PCS</v>
      </c>
      <c r="AT1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126" s="39" t="e">
        <f ca="1">IF(NOTA[[#This Row],[ID_H]]="","",MATCH(NOTA[[#This Row],[NB NOTA_C_QTY]],[4]!db[NB NOTA_C_QTY+F],0))</f>
        <v>#REF!</v>
      </c>
      <c r="AV126" s="55">
        <f ca="1">IF(NOTA[[#This Row],[NB NOTA_C_QTY]]="","",ROW()-2)</f>
        <v>124</v>
      </c>
    </row>
    <row r="127" spans="1:48" ht="20.100000000000001" customHeight="1" x14ac:dyDescent="0.25">
      <c r="A1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34</v>
      </c>
      <c r="E127" s="47"/>
      <c r="H127" s="48"/>
      <c r="L127" s="38" t="s">
        <v>146</v>
      </c>
      <c r="M127" s="41">
        <v>10</v>
      </c>
      <c r="N127" s="39">
        <v>1800</v>
      </c>
      <c r="O127" s="38" t="s">
        <v>117</v>
      </c>
      <c r="P127" s="42">
        <v>7552.7777777777774</v>
      </c>
      <c r="Q127" s="43"/>
      <c r="R127" s="49" t="s">
        <v>260</v>
      </c>
      <c r="S127" s="50">
        <v>0.1</v>
      </c>
      <c r="T127" s="45">
        <v>0.1</v>
      </c>
      <c r="U127" s="51"/>
      <c r="V127" s="46"/>
      <c r="W127" s="51">
        <f>IF(NOTA[[#This Row],[HARGA/ CTN]]="",NOTA[[#This Row],[JUMLAH_H]],NOTA[[#This Row],[HARGA/ CTN]]*IF(NOTA[[#This Row],[C]]="",0,NOTA[[#This Row],[C]]))</f>
        <v>13595000</v>
      </c>
      <c r="X127" s="51">
        <f>IF(NOTA[[#This Row],[JUMLAH]]="","",NOTA[[#This Row],[JUMLAH]]*NOTA[[#This Row],[DISC 1]])</f>
        <v>1359500</v>
      </c>
      <c r="Y127" s="51">
        <f>IF(NOTA[[#This Row],[JUMLAH]]="","",(NOTA[[#This Row],[JUMLAH]]-NOTA[[#This Row],[DISC 1-]])*NOTA[[#This Row],[DISC 2]])</f>
        <v>1223550</v>
      </c>
      <c r="Z127" s="51">
        <f>IF(NOTA[[#This Row],[JUMLAH]]="","",NOTA[[#This Row],[DISC 1-]]+NOTA[[#This Row],[DISC 2-]])</f>
        <v>2583050</v>
      </c>
      <c r="AA127" s="51">
        <f>IF(NOTA[[#This Row],[JUMLAH]]="","",NOTA[[#This Row],[JUMLAH]]-NOTA[[#This Row],[DISC]])</f>
        <v>11011950</v>
      </c>
      <c r="AB127" s="51"/>
      <c r="AC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42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51">
        <f>IF(OR(NOTA[[#This Row],[QTY]]="",NOTA[[#This Row],[HARGA SATUAN]]="",),"",NOTA[[#This Row],[QTY]]*NOTA[[#This Row],[HARGA SATUAN]])</f>
        <v>13595000</v>
      </c>
      <c r="AG127" s="40">
        <f ca="1">IF(NOTA[ID_H]="","",INDEX(NOTA[TANGGAL],MATCH(,INDIRECT(ADDRESS(ROW(NOTA[TANGGAL]),COLUMN(NOTA[TANGGAL]))&amp;":"&amp;ADDRESS(ROW(),COLUMN(NOTA[TANGGAL]))),-1)))</f>
        <v>45115</v>
      </c>
      <c r="AH127" s="42" t="str">
        <f ca="1">IF(NOTA[[#This Row],[NAMA BARANG]]="","",INDEX(NOTA[SUPPLIER],MATCH(,INDIRECT(ADDRESS(ROW(NOTA[ID]),COLUMN(NOTA[ID]))&amp;":"&amp;ADDRESS(ROW(),COLUMN(NOTA[ID]))),-1)))</f>
        <v>PARAMA</v>
      </c>
      <c r="AI127" s="42" t="str">
        <f ca="1">IF(NOTA[[#This Row],[ID_H]]="","",IF(NOTA[[#This Row],[FAKTUR]]="",INDIRECT(ADDRESS(ROW()-1,COLUMN())),NOTA[[#This Row],[FAKTUR]]))</f>
        <v>UNTANA</v>
      </c>
      <c r="AJ127" s="39" t="str">
        <f ca="1">IF(NOTA[[#This Row],[ID]]="","",COUNTIF(NOTA[ID_H],NOTA[[#This Row],[ID_H]]))</f>
        <v/>
      </c>
      <c r="AK127" s="39">
        <f ca="1">IF(NOTA[[#This Row],[TGL.NOTA]]="",IF(NOTA[[#This Row],[SUPPLIER_H]]="","",AK126),MONTH(NOTA[[#This Row],[TGL.NOTA]]))</f>
        <v>7</v>
      </c>
      <c r="AL12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9" t="str">
        <f>IF(NOTA[[#This Row],[CONCAT4]]="","",_xlfn.IFNA(MATCH(NOTA[[#This Row],[CONCAT4]],[2]!RAW[CONCAT_H],0),FALSE))</f>
        <v/>
      </c>
      <c r="AQ127" s="39">
        <f>IF(NOTA[[#This Row],[CONCAT1]]="","",MATCH(NOTA[[#This Row],[CONCAT1]],[3]!db[NB NOTA_C],0))</f>
        <v>2367</v>
      </c>
      <c r="AR127" s="39" t="b">
        <f>IF(NOTA[[#This Row],[QTY/ CTN]]="","",TRUE)</f>
        <v>1</v>
      </c>
      <c r="AS127" s="39" t="str">
        <f ca="1">IF(NOTA[[#This Row],[ID_H]]="","",IF(NOTA[[#This Row],[Column3]]=TRUE,NOTA[[#This Row],[QTY/ CTN]],INDEX([3]!db[QTY/ CTN],NOTA[[#This Row],[//DB]])))</f>
        <v>180 PCS</v>
      </c>
      <c r="AT1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127" s="39" t="e">
        <f ca="1">IF(NOTA[[#This Row],[ID_H]]="","",MATCH(NOTA[[#This Row],[NB NOTA_C_QTY]],[4]!db[NB NOTA_C_QTY+F],0))</f>
        <v>#REF!</v>
      </c>
      <c r="AV127" s="55">
        <f ca="1">IF(NOTA[[#This Row],[NB NOTA_C_QTY]]="","",ROW()-2)</f>
        <v>125</v>
      </c>
    </row>
    <row r="128" spans="1:48" ht="20.100000000000001" customHeight="1" x14ac:dyDescent="0.25">
      <c r="A1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 t="str">
        <f ca="1">IF(NOTA[[#This Row],[NAMA BARANG]]="","",INDEX(NOTA[ID],MATCH(,INDIRECT(ADDRESS(ROW(NOTA[ID]),COLUMN(NOTA[ID]))&amp;":"&amp;ADDRESS(ROW(),COLUMN(NOTA[ID]))),-1)))</f>
        <v/>
      </c>
      <c r="E128" s="47"/>
      <c r="H128" s="48"/>
      <c r="N128" s="39"/>
      <c r="Q128" s="43"/>
      <c r="R128" s="49"/>
      <c r="S128" s="50"/>
      <c r="U128" s="51"/>
      <c r="V128" s="46"/>
      <c r="W128" s="51" t="str">
        <f>IF(NOTA[[#This Row],[HARGA/ CTN]]="",NOTA[[#This Row],[JUMLAH_H]],NOTA[[#This Row],[HARGA/ CTN]]*IF(NOTA[[#This Row],[C]]="",0,NOTA[[#This Row],[C]]))</f>
        <v/>
      </c>
      <c r="X128" s="51" t="str">
        <f>IF(NOTA[[#This Row],[JUMLAH]]="","",NOTA[[#This Row],[JUMLAH]]*NOTA[[#This Row],[DISC 1]])</f>
        <v/>
      </c>
      <c r="Y128" s="51" t="str">
        <f>IF(NOTA[[#This Row],[JUMLAH]]="","",(NOTA[[#This Row],[JUMLAH]]-NOTA[[#This Row],[DISC 1-]])*NOTA[[#This Row],[DISC 2]])</f>
        <v/>
      </c>
      <c r="Z128" s="51" t="str">
        <f>IF(NOTA[[#This Row],[JUMLAH]]="","",NOTA[[#This Row],[DISC 1-]]+NOTA[[#This Row],[DISC 2-]])</f>
        <v/>
      </c>
      <c r="AA128" s="51" t="str">
        <f>IF(NOTA[[#This Row],[JUMLAH]]="","",NOTA[[#This Row],[JUMLAH]]-NOTA[[#This Row],[DISC]])</f>
        <v/>
      </c>
      <c r="AB128" s="51"/>
      <c r="AC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1" t="str">
        <f>IF(OR(NOTA[[#This Row],[QTY]]="",NOTA[[#This Row],[HARGA SATUAN]]="",),"",NOTA[[#This Row],[QTY]]*NOTA[[#This Row],[HARGA SATUAN]])</f>
        <v/>
      </c>
      <c r="AG128" s="40" t="str">
        <f ca="1">IF(NOTA[ID_H]="","",INDEX(NOTA[TANGGAL],MATCH(,INDIRECT(ADDRESS(ROW(NOTA[TANGGAL]),COLUMN(NOTA[TANGGAL]))&amp;":"&amp;ADDRESS(ROW(),COLUMN(NOTA[TANGGAL]))),-1)))</f>
        <v/>
      </c>
      <c r="AH128" s="42" t="str">
        <f ca="1">IF(NOTA[[#This Row],[NAMA BARANG]]="","",INDEX(NOTA[SUPPLIER],MATCH(,INDIRECT(ADDRESS(ROW(NOTA[ID]),COLUMN(NOTA[ID]))&amp;":"&amp;ADDRESS(ROW(),COLUMN(NOTA[ID]))),-1)))</f>
        <v/>
      </c>
      <c r="AI128" s="42" t="str">
        <f ca="1">IF(NOTA[[#This Row],[ID_H]]="","",IF(NOTA[[#This Row],[FAKTUR]]="",INDIRECT(ADDRESS(ROW()-1,COLUMN())),NOTA[[#This Row],[FAKTUR]]))</f>
        <v/>
      </c>
      <c r="AJ128" s="39" t="str">
        <f ca="1">IF(NOTA[[#This Row],[ID]]="","",COUNTIF(NOTA[ID_H],NOTA[[#This Row],[ID_H]]))</f>
        <v/>
      </c>
      <c r="AK128" s="39" t="str">
        <f ca="1">IF(NOTA[[#This Row],[TGL.NOTA]]="",IF(NOTA[[#This Row],[SUPPLIER_H]]="","",AK127),MONTH(NOTA[[#This Row],[TGL.NOTA]]))</f>
        <v/>
      </c>
      <c r="AL128" s="39" t="str">
        <f>LOWER(SUBSTITUTE(SUBSTITUTE(SUBSTITUTE(SUBSTITUTE(SUBSTITUTE(SUBSTITUTE(SUBSTITUTE(SUBSTITUTE(SUBSTITUTE(NOTA[NAMA BARANG]," ",),".",""),"-",""),"(",""),")",""),",",""),"/",""),"""",""),"+",""))</f>
        <v/>
      </c>
      <c r="AM1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9" t="str">
        <f>IF(NOTA[[#This Row],[CONCAT4]]="","",_xlfn.IFNA(MATCH(NOTA[[#This Row],[CONCAT4]],[2]!RAW[CONCAT_H],0),FALSE))</f>
        <v/>
      </c>
      <c r="AQ128" s="39" t="str">
        <f>IF(NOTA[[#This Row],[CONCAT1]]="","",MATCH(NOTA[[#This Row],[CONCAT1]],[3]!db[NB NOTA_C],0))</f>
        <v/>
      </c>
      <c r="AR128" s="39" t="str">
        <f>IF(NOTA[[#This Row],[QTY/ CTN]]="","",TRUE)</f>
        <v/>
      </c>
      <c r="AS128" s="39" t="str">
        <f ca="1">IF(NOTA[[#This Row],[ID_H]]="","",IF(NOTA[[#This Row],[Column3]]=TRUE,NOTA[[#This Row],[QTY/ CTN]],INDEX([3]!db[QTY/ CTN],NOTA[[#This Row],[//DB]])))</f>
        <v/>
      </c>
      <c r="AT1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9" t="str">
        <f ca="1">IF(NOTA[[#This Row],[ID_H]]="","",MATCH(NOTA[[#This Row],[NB NOTA_C_QTY]],[4]!db[NB NOTA_C_QTY+F],0))</f>
        <v/>
      </c>
      <c r="AV128" s="55" t="str">
        <f ca="1">IF(NOTA[[#This Row],[NB NOTA_C_QTY]]="","",ROW()-2)</f>
        <v/>
      </c>
    </row>
    <row r="129" spans="1:48" ht="20.100000000000001" customHeight="1" x14ac:dyDescent="0.25">
      <c r="A129" s="42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39" t="e">
        <f ca="1">IF(NOTA[[#This Row],[ID_P]]="","",MATCH(NOTA[[#This Row],[ID_P]],[1]!B_MSK[N_ID],0))</f>
        <v>#REF!</v>
      </c>
      <c r="D129" s="39">
        <f ca="1">IF(NOTA[[#This Row],[NAMA BARANG]]="","",INDEX(NOTA[ID],MATCH(,INDIRECT(ADDRESS(ROW(NOTA[ID]),COLUMN(NOTA[ID]))&amp;":"&amp;ADDRESS(ROW(),COLUMN(NOTA[ID]))),-1)))</f>
        <v>35</v>
      </c>
      <c r="E129" s="47">
        <v>45114</v>
      </c>
      <c r="F129" s="38" t="s">
        <v>24</v>
      </c>
      <c r="G129" s="38" t="s">
        <v>23</v>
      </c>
      <c r="H129" s="48" t="s">
        <v>261</v>
      </c>
      <c r="J129" s="40">
        <v>45111</v>
      </c>
      <c r="L129" s="38" t="s">
        <v>262</v>
      </c>
      <c r="M129" s="41">
        <v>5</v>
      </c>
      <c r="N129" s="39">
        <v>720</v>
      </c>
      <c r="O129" s="38" t="s">
        <v>263</v>
      </c>
      <c r="P129" s="42">
        <v>11900</v>
      </c>
      <c r="Q129" s="43"/>
      <c r="R129" s="49"/>
      <c r="S129" s="50">
        <v>0.125</v>
      </c>
      <c r="T129" s="45">
        <v>0.05</v>
      </c>
      <c r="U129" s="51"/>
      <c r="V129" s="46"/>
      <c r="W129" s="51">
        <f>IF(NOTA[[#This Row],[HARGA/ CTN]]="",NOTA[[#This Row],[JUMLAH_H]],NOTA[[#This Row],[HARGA/ CTN]]*IF(NOTA[[#This Row],[C]]="",0,NOTA[[#This Row],[C]]))</f>
        <v>8568000</v>
      </c>
      <c r="X129" s="51">
        <f>IF(NOTA[[#This Row],[JUMLAH]]="","",NOTA[[#This Row],[JUMLAH]]*NOTA[[#This Row],[DISC 1]])</f>
        <v>1071000</v>
      </c>
      <c r="Y129" s="51">
        <f>IF(NOTA[[#This Row],[JUMLAH]]="","",(NOTA[[#This Row],[JUMLAH]]-NOTA[[#This Row],[DISC 1-]])*NOTA[[#This Row],[DISC 2]])</f>
        <v>374850</v>
      </c>
      <c r="Z129" s="51">
        <f>IF(NOTA[[#This Row],[JUMLAH]]="","",NOTA[[#This Row],[DISC 1-]]+NOTA[[#This Row],[DISC 2-]])</f>
        <v>1445850</v>
      </c>
      <c r="AA129" s="51">
        <f>IF(NOTA[[#This Row],[JUMLAH]]="","",NOTA[[#This Row],[JUMLAH]]-NOTA[[#This Row],[DISC]])</f>
        <v>7122150</v>
      </c>
      <c r="AB129" s="51"/>
      <c r="AC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51">
        <f>IF(OR(NOTA[[#This Row],[QTY]]="",NOTA[[#This Row],[HARGA SATUAN]]="",),"",NOTA[[#This Row],[QTY]]*NOTA[[#This Row],[HARGA SATUAN]])</f>
        <v>8568000</v>
      </c>
      <c r="AG129" s="40">
        <f ca="1">IF(NOTA[ID_H]="","",INDEX(NOTA[TANGGAL],MATCH(,INDIRECT(ADDRESS(ROW(NOTA[TANGGAL]),COLUMN(NOTA[TANGGAL]))&amp;":"&amp;ADDRESS(ROW(),COLUMN(NOTA[TANGGAL]))),-1)))</f>
        <v>45114</v>
      </c>
      <c r="AH129" s="42" t="str">
        <f ca="1">IF(NOTA[[#This Row],[NAMA BARANG]]="","",INDEX(NOTA[SUPPLIER],MATCH(,INDIRECT(ADDRESS(ROW(NOTA[ID]),COLUMN(NOTA[ID]))&amp;":"&amp;ADDRESS(ROW(),COLUMN(NOTA[ID]))),-1)))</f>
        <v>ATALI MAKMUR</v>
      </c>
      <c r="AI129" s="42" t="str">
        <f ca="1">IF(NOTA[[#This Row],[ID_H]]="","",IF(NOTA[[#This Row],[FAKTUR]]="",INDIRECT(ADDRESS(ROW()-1,COLUMN())),NOTA[[#This Row],[FAKTUR]]))</f>
        <v>ARTO MORO</v>
      </c>
      <c r="AJ129" s="39">
        <f ca="1">IF(NOTA[[#This Row],[ID]]="","",COUNTIF(NOTA[ID_H],NOTA[[#This Row],[ID_H]]))</f>
        <v>6</v>
      </c>
      <c r="AK129" s="39">
        <f>IF(NOTA[[#This Row],[TGL.NOTA]]="",IF(NOTA[[#This Row],[SUPPLIER_H]]="","",AK128),MONTH(NOTA[[#This Row],[TGL.NOTA]]))</f>
        <v>7</v>
      </c>
      <c r="AL12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39" t="e">
        <f>IF(NOTA[[#This Row],[CONCAT4]]="","",_xlfn.IFNA(MATCH(NOTA[[#This Row],[CONCAT4]],[2]!RAW[CONCAT_H],0),FALSE))</f>
        <v>#REF!</v>
      </c>
      <c r="AQ129" s="39">
        <f>IF(NOTA[[#This Row],[CONCAT1]]="","",MATCH(NOTA[[#This Row],[CONCAT1]],[3]!db[NB NOTA_C],0))</f>
        <v>1775</v>
      </c>
      <c r="AR129" s="39" t="str">
        <f>IF(NOTA[[#This Row],[QTY/ CTN]]="","",TRUE)</f>
        <v/>
      </c>
      <c r="AS129" s="39" t="str">
        <f ca="1">IF(NOTA[[#This Row],[ID_H]]="","",IF(NOTA[[#This Row],[Column3]]=TRUE,NOTA[[#This Row],[QTY/ CTN]],INDEX([3]!db[QTY/ CTN],NOTA[[#This Row],[//DB]])))</f>
        <v>12 LSN</v>
      </c>
      <c r="AT1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29" s="39" t="e">
        <f ca="1">IF(NOTA[[#This Row],[ID_H]]="","",MATCH(NOTA[[#This Row],[NB NOTA_C_QTY]],[4]!db[NB NOTA_C_QTY+F],0))</f>
        <v>#REF!</v>
      </c>
      <c r="AV129" s="55">
        <f ca="1">IF(NOTA[[#This Row],[NB NOTA_C_QTY]]="","",ROW()-2)</f>
        <v>127</v>
      </c>
    </row>
    <row r="130" spans="1:48" ht="20.100000000000001" customHeight="1" x14ac:dyDescent="0.25">
      <c r="A1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35</v>
      </c>
      <c r="E130" s="47"/>
      <c r="H130" s="48"/>
      <c r="L130" s="38" t="s">
        <v>264</v>
      </c>
      <c r="M130" s="41">
        <v>5</v>
      </c>
      <c r="N130" s="39">
        <v>360</v>
      </c>
      <c r="O130" s="38" t="s">
        <v>263</v>
      </c>
      <c r="P130" s="42">
        <v>23000</v>
      </c>
      <c r="Q130" s="43"/>
      <c r="R130" s="49"/>
      <c r="S130" s="50">
        <v>0.125</v>
      </c>
      <c r="T130" s="45">
        <v>0.05</v>
      </c>
      <c r="U130" s="51"/>
      <c r="V130" s="46"/>
      <c r="W130" s="51">
        <f>IF(NOTA[[#This Row],[HARGA/ CTN]]="",NOTA[[#This Row],[JUMLAH_H]],NOTA[[#This Row],[HARGA/ CTN]]*IF(NOTA[[#This Row],[C]]="",0,NOTA[[#This Row],[C]]))</f>
        <v>8280000</v>
      </c>
      <c r="X130" s="51">
        <f>IF(NOTA[[#This Row],[JUMLAH]]="","",NOTA[[#This Row],[JUMLAH]]*NOTA[[#This Row],[DISC 1]])</f>
        <v>1035000</v>
      </c>
      <c r="Y130" s="51">
        <f>IF(NOTA[[#This Row],[JUMLAH]]="","",(NOTA[[#This Row],[JUMLAH]]-NOTA[[#This Row],[DISC 1-]])*NOTA[[#This Row],[DISC 2]])</f>
        <v>362250</v>
      </c>
      <c r="Z130" s="51">
        <f>IF(NOTA[[#This Row],[JUMLAH]]="","",NOTA[[#This Row],[DISC 1-]]+NOTA[[#This Row],[DISC 2-]])</f>
        <v>1397250</v>
      </c>
      <c r="AA130" s="51">
        <f>IF(NOTA[[#This Row],[JUMLAH]]="","",NOTA[[#This Row],[JUMLAH]]-NOTA[[#This Row],[DISC]])</f>
        <v>6882750</v>
      </c>
      <c r="AB130" s="51"/>
      <c r="AC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51">
        <f>IF(OR(NOTA[[#This Row],[QTY]]="",NOTA[[#This Row],[HARGA SATUAN]]="",),"",NOTA[[#This Row],[QTY]]*NOTA[[#This Row],[HARGA SATUAN]])</f>
        <v>8280000</v>
      </c>
      <c r="AG130" s="40">
        <f ca="1">IF(NOTA[ID_H]="","",INDEX(NOTA[TANGGAL],MATCH(,INDIRECT(ADDRESS(ROW(NOTA[TANGGAL]),COLUMN(NOTA[TANGGAL]))&amp;":"&amp;ADDRESS(ROW(),COLUMN(NOTA[TANGGAL]))),-1)))</f>
        <v>45114</v>
      </c>
      <c r="AH130" s="42" t="str">
        <f ca="1">IF(NOTA[[#This Row],[NAMA BARANG]]="","",INDEX(NOTA[SUPPLIER],MATCH(,INDIRECT(ADDRESS(ROW(NOTA[ID]),COLUMN(NOTA[ID]))&amp;":"&amp;ADDRESS(ROW(),COLUMN(NOTA[ID]))),-1)))</f>
        <v>ATALI MAKMUR</v>
      </c>
      <c r="AI130" s="42" t="str">
        <f ca="1">IF(NOTA[[#This Row],[ID_H]]="","",IF(NOTA[[#This Row],[FAKTUR]]="",INDIRECT(ADDRESS(ROW()-1,COLUMN())),NOTA[[#This Row],[FAKTUR]]))</f>
        <v>ARTO MORO</v>
      </c>
      <c r="AJ130" s="39" t="str">
        <f ca="1">IF(NOTA[[#This Row],[ID]]="","",COUNTIF(NOTA[ID_H],NOTA[[#This Row],[ID_H]]))</f>
        <v/>
      </c>
      <c r="AK130" s="39">
        <f ca="1">IF(NOTA[[#This Row],[TGL.NOTA]]="",IF(NOTA[[#This Row],[SUPPLIER_H]]="","",AK129),MONTH(NOTA[[#This Row],[TGL.NOTA]]))</f>
        <v>7</v>
      </c>
      <c r="AL13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9" t="str">
        <f>IF(NOTA[[#This Row],[CONCAT4]]="","",_xlfn.IFNA(MATCH(NOTA[[#This Row],[CONCAT4]],[2]!RAW[CONCAT_H],0),FALSE))</f>
        <v/>
      </c>
      <c r="AQ130" s="39">
        <f>IF(NOTA[[#This Row],[CONCAT1]]="","",MATCH(NOTA[[#This Row],[CONCAT1]],[3]!db[NB NOTA_C],0))</f>
        <v>1777</v>
      </c>
      <c r="AR130" s="39" t="str">
        <f>IF(NOTA[[#This Row],[QTY/ CTN]]="","",TRUE)</f>
        <v/>
      </c>
      <c r="AS130" s="39" t="str">
        <f ca="1">IF(NOTA[[#This Row],[ID_H]]="","",IF(NOTA[[#This Row],[Column3]]=TRUE,NOTA[[#This Row],[QTY/ CTN]],INDEX([3]!db[QTY/ CTN],NOTA[[#This Row],[//DB]])))</f>
        <v>6 LSN</v>
      </c>
      <c r="AT1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130" s="39" t="e">
        <f ca="1">IF(NOTA[[#This Row],[ID_H]]="","",MATCH(NOTA[[#This Row],[NB NOTA_C_QTY]],[4]!db[NB NOTA_C_QTY+F],0))</f>
        <v>#REF!</v>
      </c>
      <c r="AV130" s="55">
        <f ca="1">IF(NOTA[[#This Row],[NB NOTA_C_QTY]]="","",ROW()-2)</f>
        <v>128</v>
      </c>
    </row>
    <row r="131" spans="1:48" ht="20.100000000000001" customHeight="1" x14ac:dyDescent="0.25">
      <c r="A1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35</v>
      </c>
      <c r="E131" s="47"/>
      <c r="H131" s="48"/>
      <c r="L131" s="38" t="s">
        <v>265</v>
      </c>
      <c r="M131" s="41">
        <v>5</v>
      </c>
      <c r="N131" s="39">
        <v>240</v>
      </c>
      <c r="O131" s="38" t="s">
        <v>263</v>
      </c>
      <c r="P131" s="42">
        <v>29600</v>
      </c>
      <c r="Q131" s="43"/>
      <c r="R131" s="49"/>
      <c r="S131" s="50">
        <v>0.125</v>
      </c>
      <c r="T131" s="45">
        <v>0.05</v>
      </c>
      <c r="U131" s="51"/>
      <c r="V131" s="46"/>
      <c r="W131" s="51">
        <f>IF(NOTA[[#This Row],[HARGA/ CTN]]="",NOTA[[#This Row],[JUMLAH_H]],NOTA[[#This Row],[HARGA/ CTN]]*IF(NOTA[[#This Row],[C]]="",0,NOTA[[#This Row],[C]]))</f>
        <v>7104000</v>
      </c>
      <c r="X131" s="51">
        <f>IF(NOTA[[#This Row],[JUMLAH]]="","",NOTA[[#This Row],[JUMLAH]]*NOTA[[#This Row],[DISC 1]])</f>
        <v>888000</v>
      </c>
      <c r="Y131" s="51">
        <f>IF(NOTA[[#This Row],[JUMLAH]]="","",(NOTA[[#This Row],[JUMLAH]]-NOTA[[#This Row],[DISC 1-]])*NOTA[[#This Row],[DISC 2]])</f>
        <v>310800</v>
      </c>
      <c r="Z131" s="51">
        <f>IF(NOTA[[#This Row],[JUMLAH]]="","",NOTA[[#This Row],[DISC 1-]]+NOTA[[#This Row],[DISC 2-]])</f>
        <v>1198800</v>
      </c>
      <c r="AA131" s="51">
        <f>IF(NOTA[[#This Row],[JUMLAH]]="","",NOTA[[#This Row],[JUMLAH]]-NOTA[[#This Row],[DISC]])</f>
        <v>5905200</v>
      </c>
      <c r="AB131" s="51"/>
      <c r="AC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51">
        <f>IF(OR(NOTA[[#This Row],[QTY]]="",NOTA[[#This Row],[HARGA SATUAN]]="",),"",NOTA[[#This Row],[QTY]]*NOTA[[#This Row],[HARGA SATUAN]])</f>
        <v>7104000</v>
      </c>
      <c r="AG131" s="40">
        <f ca="1">IF(NOTA[ID_H]="","",INDEX(NOTA[TANGGAL],MATCH(,INDIRECT(ADDRESS(ROW(NOTA[TANGGAL]),COLUMN(NOTA[TANGGAL]))&amp;":"&amp;ADDRESS(ROW(),COLUMN(NOTA[TANGGAL]))),-1)))</f>
        <v>45114</v>
      </c>
      <c r="AH131" s="42" t="str">
        <f ca="1">IF(NOTA[[#This Row],[NAMA BARANG]]="","",INDEX(NOTA[SUPPLIER],MATCH(,INDIRECT(ADDRESS(ROW(NOTA[ID]),COLUMN(NOTA[ID]))&amp;":"&amp;ADDRESS(ROW(),COLUMN(NOTA[ID]))),-1)))</f>
        <v>ATALI MAKMUR</v>
      </c>
      <c r="AI131" s="42" t="str">
        <f ca="1">IF(NOTA[[#This Row],[ID_H]]="","",IF(NOTA[[#This Row],[FAKTUR]]="",INDIRECT(ADDRESS(ROW()-1,COLUMN())),NOTA[[#This Row],[FAKTUR]]))</f>
        <v>ARTO MORO</v>
      </c>
      <c r="AJ131" s="39" t="str">
        <f ca="1">IF(NOTA[[#This Row],[ID]]="","",COUNTIF(NOTA[ID_H],NOTA[[#This Row],[ID_H]]))</f>
        <v/>
      </c>
      <c r="AK131" s="39">
        <f ca="1">IF(NOTA[[#This Row],[TGL.NOTA]]="",IF(NOTA[[#This Row],[SUPPLIER_H]]="","",AK130),MONTH(NOTA[[#This Row],[TGL.NOTA]]))</f>
        <v>7</v>
      </c>
      <c r="AL131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9" t="str">
        <f>IF(NOTA[[#This Row],[CONCAT4]]="","",_xlfn.IFNA(MATCH(NOTA[[#This Row],[CONCAT4]],[2]!RAW[CONCAT_H],0),FALSE))</f>
        <v/>
      </c>
      <c r="AQ131" s="39">
        <f>IF(NOTA[[#This Row],[CONCAT1]]="","",MATCH(NOTA[[#This Row],[CONCAT1]],[3]!db[NB NOTA_C],0))</f>
        <v>1778</v>
      </c>
      <c r="AR131" s="39" t="str">
        <f>IF(NOTA[[#This Row],[QTY/ CTN]]="","",TRUE)</f>
        <v/>
      </c>
      <c r="AS131" s="39" t="str">
        <f ca="1">IF(NOTA[[#This Row],[ID_H]]="","",IF(NOTA[[#This Row],[Column3]]=TRUE,NOTA[[#This Row],[QTY/ CTN]],INDEX([3]!db[QTY/ CTN],NOTA[[#This Row],[//DB]])))</f>
        <v>8 BOX (6 SET)</v>
      </c>
      <c r="AT1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1" s="39" t="e">
        <f ca="1">IF(NOTA[[#This Row],[ID_H]]="","",MATCH(NOTA[[#This Row],[NB NOTA_C_QTY]],[4]!db[NB NOTA_C_QTY+F],0))</f>
        <v>#REF!</v>
      </c>
      <c r="AV131" s="55">
        <f ca="1">IF(NOTA[[#This Row],[NB NOTA_C_QTY]]="","",ROW()-2)</f>
        <v>129</v>
      </c>
    </row>
    <row r="132" spans="1:48" ht="20.100000000000001" customHeight="1" x14ac:dyDescent="0.25">
      <c r="A1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35</v>
      </c>
      <c r="E132" s="47"/>
      <c r="H132" s="48"/>
      <c r="L132" s="38" t="s">
        <v>266</v>
      </c>
      <c r="M132" s="41">
        <v>3</v>
      </c>
      <c r="N132" s="39">
        <v>108</v>
      </c>
      <c r="O132" s="38" t="s">
        <v>263</v>
      </c>
      <c r="P132" s="42">
        <v>41500</v>
      </c>
      <c r="Q132" s="43"/>
      <c r="R132" s="49"/>
      <c r="S132" s="50">
        <v>0.125</v>
      </c>
      <c r="T132" s="45">
        <v>0.05</v>
      </c>
      <c r="U132" s="51"/>
      <c r="V132" s="46"/>
      <c r="W132" s="51">
        <f>IF(NOTA[[#This Row],[HARGA/ CTN]]="",NOTA[[#This Row],[JUMLAH_H]],NOTA[[#This Row],[HARGA/ CTN]]*IF(NOTA[[#This Row],[C]]="",0,NOTA[[#This Row],[C]]))</f>
        <v>4482000</v>
      </c>
      <c r="X132" s="51">
        <f>IF(NOTA[[#This Row],[JUMLAH]]="","",NOTA[[#This Row],[JUMLAH]]*NOTA[[#This Row],[DISC 1]])</f>
        <v>560250</v>
      </c>
      <c r="Y132" s="51">
        <f>IF(NOTA[[#This Row],[JUMLAH]]="","",(NOTA[[#This Row],[JUMLAH]]-NOTA[[#This Row],[DISC 1-]])*NOTA[[#This Row],[DISC 2]])</f>
        <v>196087.5</v>
      </c>
      <c r="Z132" s="51">
        <f>IF(NOTA[[#This Row],[JUMLAH]]="","",NOTA[[#This Row],[DISC 1-]]+NOTA[[#This Row],[DISC 2-]])</f>
        <v>756337.5</v>
      </c>
      <c r="AA132" s="51">
        <f>IF(NOTA[[#This Row],[JUMLAH]]="","",NOTA[[#This Row],[JUMLAH]]-NOTA[[#This Row],[DISC]])</f>
        <v>3725662.5</v>
      </c>
      <c r="AB132" s="51"/>
      <c r="AC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51">
        <f>IF(OR(NOTA[[#This Row],[QTY]]="",NOTA[[#This Row],[HARGA SATUAN]]="",),"",NOTA[[#This Row],[QTY]]*NOTA[[#This Row],[HARGA SATUAN]])</f>
        <v>4482000</v>
      </c>
      <c r="AG132" s="40">
        <f ca="1">IF(NOTA[ID_H]="","",INDEX(NOTA[TANGGAL],MATCH(,INDIRECT(ADDRESS(ROW(NOTA[TANGGAL]),COLUMN(NOTA[TANGGAL]))&amp;":"&amp;ADDRESS(ROW(),COLUMN(NOTA[TANGGAL]))),-1)))</f>
        <v>45114</v>
      </c>
      <c r="AH132" s="42" t="str">
        <f ca="1">IF(NOTA[[#This Row],[NAMA BARANG]]="","",INDEX(NOTA[SUPPLIER],MATCH(,INDIRECT(ADDRESS(ROW(NOTA[ID]),COLUMN(NOTA[ID]))&amp;":"&amp;ADDRESS(ROW(),COLUMN(NOTA[ID]))),-1)))</f>
        <v>ATALI MAKMUR</v>
      </c>
      <c r="AI132" s="42" t="str">
        <f ca="1">IF(NOTA[[#This Row],[ID_H]]="","",IF(NOTA[[#This Row],[FAKTUR]]="",INDIRECT(ADDRESS(ROW()-1,COLUMN())),NOTA[[#This Row],[FAKTUR]]))</f>
        <v>ARTO MORO</v>
      </c>
      <c r="AJ132" s="39" t="str">
        <f ca="1">IF(NOTA[[#This Row],[ID]]="","",COUNTIF(NOTA[ID_H],NOTA[[#This Row],[ID_H]]))</f>
        <v/>
      </c>
      <c r="AK132" s="39">
        <f ca="1">IF(NOTA[[#This Row],[TGL.NOTA]]="",IF(NOTA[[#This Row],[SUPPLIER_H]]="","",AK131),MONTH(NOTA[[#This Row],[TGL.NOTA]]))</f>
        <v>7</v>
      </c>
      <c r="AL132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9" t="str">
        <f>IF(NOTA[[#This Row],[CONCAT4]]="","",_xlfn.IFNA(MATCH(NOTA[[#This Row],[CONCAT4]],[2]!RAW[CONCAT_H],0),FALSE))</f>
        <v/>
      </c>
      <c r="AQ132" s="39">
        <f>IF(NOTA[[#This Row],[CONCAT1]]="","",MATCH(NOTA[[#This Row],[CONCAT1]],[3]!db[NB NOTA_C],0))</f>
        <v>1779</v>
      </c>
      <c r="AR132" s="39" t="str">
        <f>IF(NOTA[[#This Row],[QTY/ CTN]]="","",TRUE)</f>
        <v/>
      </c>
      <c r="AS132" s="39" t="str">
        <f ca="1">IF(NOTA[[#This Row],[ID_H]]="","",IF(NOTA[[#This Row],[Column3]]=TRUE,NOTA[[#This Row],[QTY/ CTN]],INDEX([3]!db[QTY/ CTN],NOTA[[#This Row],[//DB]])))</f>
        <v>6 BOX (6 SET)</v>
      </c>
      <c r="AT1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132" s="39" t="e">
        <f ca="1">IF(NOTA[[#This Row],[ID_H]]="","",MATCH(NOTA[[#This Row],[NB NOTA_C_QTY]],[4]!db[NB NOTA_C_QTY+F],0))</f>
        <v>#REF!</v>
      </c>
      <c r="AV132" s="55">
        <f ca="1">IF(NOTA[[#This Row],[NB NOTA_C_QTY]]="","",ROW()-2)</f>
        <v>130</v>
      </c>
    </row>
    <row r="133" spans="1:48" ht="20.100000000000001" customHeight="1" x14ac:dyDescent="0.25">
      <c r="A1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35</v>
      </c>
      <c r="E133" s="47"/>
      <c r="H133" s="48"/>
      <c r="L133" s="38" t="s">
        <v>267</v>
      </c>
      <c r="M133" s="41">
        <v>2</v>
      </c>
      <c r="N133" s="39">
        <v>48</v>
      </c>
      <c r="O133" s="38" t="s">
        <v>263</v>
      </c>
      <c r="P133" s="42">
        <v>58900</v>
      </c>
      <c r="Q133" s="43"/>
      <c r="R133" s="49"/>
      <c r="S133" s="50">
        <v>0.125</v>
      </c>
      <c r="T133" s="45">
        <v>0.05</v>
      </c>
      <c r="U133" s="51"/>
      <c r="V133" s="46"/>
      <c r="W133" s="51">
        <f>IF(NOTA[[#This Row],[HARGA/ CTN]]="",NOTA[[#This Row],[JUMLAH_H]],NOTA[[#This Row],[HARGA/ CTN]]*IF(NOTA[[#This Row],[C]]="",0,NOTA[[#This Row],[C]]))</f>
        <v>2827200</v>
      </c>
      <c r="X133" s="51">
        <f>IF(NOTA[[#This Row],[JUMLAH]]="","",NOTA[[#This Row],[JUMLAH]]*NOTA[[#This Row],[DISC 1]])</f>
        <v>353400</v>
      </c>
      <c r="Y133" s="51">
        <f>IF(NOTA[[#This Row],[JUMLAH]]="","",(NOTA[[#This Row],[JUMLAH]]-NOTA[[#This Row],[DISC 1-]])*NOTA[[#This Row],[DISC 2]])</f>
        <v>123690</v>
      </c>
      <c r="Z133" s="51">
        <f>IF(NOTA[[#This Row],[JUMLAH]]="","",NOTA[[#This Row],[DISC 1-]]+NOTA[[#This Row],[DISC 2-]])</f>
        <v>477090</v>
      </c>
      <c r="AA133" s="51">
        <f>IF(NOTA[[#This Row],[JUMLAH]]="","",NOTA[[#This Row],[JUMLAH]]-NOTA[[#This Row],[DISC]])</f>
        <v>2350110</v>
      </c>
      <c r="AB133" s="51"/>
      <c r="AC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51">
        <f>IF(OR(NOTA[[#This Row],[QTY]]="",NOTA[[#This Row],[HARGA SATUAN]]="",),"",NOTA[[#This Row],[QTY]]*NOTA[[#This Row],[HARGA SATUAN]])</f>
        <v>2827200</v>
      </c>
      <c r="AG133" s="40">
        <f ca="1">IF(NOTA[ID_H]="","",INDEX(NOTA[TANGGAL],MATCH(,INDIRECT(ADDRESS(ROW(NOTA[TANGGAL]),COLUMN(NOTA[TANGGAL]))&amp;":"&amp;ADDRESS(ROW(),COLUMN(NOTA[TANGGAL]))),-1)))</f>
        <v>45114</v>
      </c>
      <c r="AH133" s="42" t="str">
        <f ca="1">IF(NOTA[[#This Row],[NAMA BARANG]]="","",INDEX(NOTA[SUPPLIER],MATCH(,INDIRECT(ADDRESS(ROW(NOTA[ID]),COLUMN(NOTA[ID]))&amp;":"&amp;ADDRESS(ROW(),COLUMN(NOTA[ID]))),-1)))</f>
        <v>ATALI MAKMUR</v>
      </c>
      <c r="AI133" s="42" t="str">
        <f ca="1">IF(NOTA[[#This Row],[ID_H]]="","",IF(NOTA[[#This Row],[FAKTUR]]="",INDIRECT(ADDRESS(ROW()-1,COLUMN())),NOTA[[#This Row],[FAKTUR]]))</f>
        <v>ARTO MORO</v>
      </c>
      <c r="AJ133" s="39" t="str">
        <f ca="1">IF(NOTA[[#This Row],[ID]]="","",COUNTIF(NOTA[ID_H],NOTA[[#This Row],[ID_H]]))</f>
        <v/>
      </c>
      <c r="AK133" s="39">
        <f ca="1">IF(NOTA[[#This Row],[TGL.NOTA]]="",IF(NOTA[[#This Row],[SUPPLIER_H]]="","",AK132),MONTH(NOTA[[#This Row],[TGL.NOTA]]))</f>
        <v>7</v>
      </c>
      <c r="AL133" s="39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9" t="str">
        <f>IF(NOTA[[#This Row],[CONCAT4]]="","",_xlfn.IFNA(MATCH(NOTA[[#This Row],[CONCAT4]],[2]!RAW[CONCAT_H],0),FALSE))</f>
        <v/>
      </c>
      <c r="AQ133" s="39">
        <f>IF(NOTA[[#This Row],[CONCAT1]]="","",MATCH(NOTA[[#This Row],[CONCAT1]],[3]!db[NB NOTA_C],0))</f>
        <v>1780</v>
      </c>
      <c r="AR133" s="39" t="str">
        <f>IF(NOTA[[#This Row],[QTY/ CTN]]="","",TRUE)</f>
        <v/>
      </c>
      <c r="AS133" s="39" t="str">
        <f ca="1">IF(NOTA[[#This Row],[ID_H]]="","",IF(NOTA[[#This Row],[Column3]]=TRUE,NOTA[[#This Row],[QTY/ CTN]],INDEX([3]!db[QTY/ CTN],NOTA[[#This Row],[//DB]])))</f>
        <v>4 BOX (6 SET)</v>
      </c>
      <c r="AT1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U133" s="39" t="e">
        <f ca="1">IF(NOTA[[#This Row],[ID_H]]="","",MATCH(NOTA[[#This Row],[NB NOTA_C_QTY]],[4]!db[NB NOTA_C_QTY+F],0))</f>
        <v>#REF!</v>
      </c>
      <c r="AV133" s="55">
        <f ca="1">IF(NOTA[[#This Row],[NB NOTA_C_QTY]]="","",ROW()-2)</f>
        <v>131</v>
      </c>
    </row>
    <row r="134" spans="1:48" ht="20.100000000000001" customHeight="1" x14ac:dyDescent="0.25">
      <c r="A1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35</v>
      </c>
      <c r="E134" s="47"/>
      <c r="H134" s="48"/>
      <c r="L134" s="38" t="s">
        <v>268</v>
      </c>
      <c r="M134" s="41">
        <v>3</v>
      </c>
      <c r="N134" s="39">
        <v>72</v>
      </c>
      <c r="O134" s="38" t="s">
        <v>263</v>
      </c>
      <c r="P134" s="42">
        <v>66900</v>
      </c>
      <c r="Q134" s="43"/>
      <c r="R134" s="49"/>
      <c r="S134" s="50">
        <v>0.125</v>
      </c>
      <c r="T134" s="45">
        <v>0.05</v>
      </c>
      <c r="U134" s="51"/>
      <c r="V134" s="46"/>
      <c r="W134" s="51">
        <f>IF(NOTA[[#This Row],[HARGA/ CTN]]="",NOTA[[#This Row],[JUMLAH_H]],NOTA[[#This Row],[HARGA/ CTN]]*IF(NOTA[[#This Row],[C]]="",0,NOTA[[#This Row],[C]]))</f>
        <v>4816800</v>
      </c>
      <c r="X134" s="51">
        <f>IF(NOTA[[#This Row],[JUMLAH]]="","",NOTA[[#This Row],[JUMLAH]]*NOTA[[#This Row],[DISC 1]])</f>
        <v>602100</v>
      </c>
      <c r="Y134" s="51">
        <f>IF(NOTA[[#This Row],[JUMLAH]]="","",(NOTA[[#This Row],[JUMLAH]]-NOTA[[#This Row],[DISC 1-]])*NOTA[[#This Row],[DISC 2]])</f>
        <v>210735</v>
      </c>
      <c r="Z134" s="51">
        <f>IF(NOTA[[#This Row],[JUMLAH]]="","",NOTA[[#This Row],[DISC 1-]]+NOTA[[#This Row],[DISC 2-]])</f>
        <v>812835</v>
      </c>
      <c r="AA134" s="51">
        <f>IF(NOTA[[#This Row],[JUMLAH]]="","",NOTA[[#This Row],[JUMLAH]]-NOTA[[#This Row],[DISC]])</f>
        <v>4003965</v>
      </c>
      <c r="AB134" s="51"/>
      <c r="AC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51">
        <f>IF(OR(NOTA[[#This Row],[QTY]]="",NOTA[[#This Row],[HARGA SATUAN]]="",),"",NOTA[[#This Row],[QTY]]*NOTA[[#This Row],[HARGA SATUAN]])</f>
        <v>4816800</v>
      </c>
      <c r="AG134" s="40">
        <f ca="1">IF(NOTA[ID_H]="","",INDEX(NOTA[TANGGAL],MATCH(,INDIRECT(ADDRESS(ROW(NOTA[TANGGAL]),COLUMN(NOTA[TANGGAL]))&amp;":"&amp;ADDRESS(ROW(),COLUMN(NOTA[TANGGAL]))),-1)))</f>
        <v>45114</v>
      </c>
      <c r="AH134" s="42" t="str">
        <f ca="1">IF(NOTA[[#This Row],[NAMA BARANG]]="","",INDEX(NOTA[SUPPLIER],MATCH(,INDIRECT(ADDRESS(ROW(NOTA[ID]),COLUMN(NOTA[ID]))&amp;":"&amp;ADDRESS(ROW(),COLUMN(NOTA[ID]))),-1)))</f>
        <v>ATALI MAKMUR</v>
      </c>
      <c r="AI134" s="42" t="str">
        <f ca="1">IF(NOTA[[#This Row],[ID_H]]="","",IF(NOTA[[#This Row],[FAKTUR]]="",INDIRECT(ADDRESS(ROW()-1,COLUMN())),NOTA[[#This Row],[FAKTUR]]))</f>
        <v>ARTO MORO</v>
      </c>
      <c r="AJ134" s="39" t="str">
        <f ca="1">IF(NOTA[[#This Row],[ID]]="","",COUNTIF(NOTA[ID_H],NOTA[[#This Row],[ID_H]]))</f>
        <v/>
      </c>
      <c r="AK134" s="39">
        <f ca="1">IF(NOTA[[#This Row],[TGL.NOTA]]="",IF(NOTA[[#This Row],[SUPPLIER_H]]="","",AK133),MONTH(NOTA[[#This Row],[TGL.NOTA]]))</f>
        <v>7</v>
      </c>
      <c r="AL134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9" t="str">
        <f>IF(NOTA[[#This Row],[CONCAT4]]="","",_xlfn.IFNA(MATCH(NOTA[[#This Row],[CONCAT4]],[2]!RAW[CONCAT_H],0),FALSE))</f>
        <v/>
      </c>
      <c r="AQ134" s="39">
        <f>IF(NOTA[[#This Row],[CONCAT1]]="","",MATCH(NOTA[[#This Row],[CONCAT1]],[3]!db[NB NOTA_C],0))</f>
        <v>1781</v>
      </c>
      <c r="AR134" s="39" t="str">
        <f>IF(NOTA[[#This Row],[QTY/ CTN]]="","",TRUE)</f>
        <v/>
      </c>
      <c r="AS134" s="39" t="str">
        <f ca="1">IF(NOTA[[#This Row],[ID_H]]="","",IF(NOTA[[#This Row],[Column3]]=TRUE,NOTA[[#This Row],[QTY/ CTN]],INDEX([3]!db[QTY/ CTN],NOTA[[#This Row],[//DB]])))</f>
        <v>4 BOX (6 SET)</v>
      </c>
      <c r="AT1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134" s="39" t="e">
        <f ca="1">IF(NOTA[[#This Row],[ID_H]]="","",MATCH(NOTA[[#This Row],[NB NOTA_C_QTY]],[4]!db[NB NOTA_C_QTY+F],0))</f>
        <v>#REF!</v>
      </c>
      <c r="AV134" s="55">
        <f ca="1">IF(NOTA[[#This Row],[NB NOTA_C_QTY]]="","",ROW()-2)</f>
        <v>132</v>
      </c>
    </row>
    <row r="135" spans="1:48" ht="20.100000000000001" customHeight="1" x14ac:dyDescent="0.25">
      <c r="A1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47"/>
      <c r="H135" s="48"/>
      <c r="N135" s="39"/>
      <c r="Q135" s="43"/>
      <c r="R135" s="49"/>
      <c r="S135" s="50"/>
      <c r="U135" s="51"/>
      <c r="V135" s="46"/>
      <c r="W135" s="51" t="str">
        <f>IF(NOTA[[#This Row],[HARGA/ CTN]]="",NOTA[[#This Row],[JUMLAH_H]],NOTA[[#This Row],[HARGA/ CTN]]*IF(NOTA[[#This Row],[C]]="",0,NOTA[[#This Row],[C]]))</f>
        <v/>
      </c>
      <c r="X135" s="51" t="str">
        <f>IF(NOTA[[#This Row],[JUMLAH]]="","",NOTA[[#This Row],[JUMLAH]]*NOTA[[#This Row],[DISC 1]])</f>
        <v/>
      </c>
      <c r="Y135" s="51" t="str">
        <f>IF(NOTA[[#This Row],[JUMLAH]]="","",(NOTA[[#This Row],[JUMLAH]]-NOTA[[#This Row],[DISC 1-]])*NOTA[[#This Row],[DISC 2]])</f>
        <v/>
      </c>
      <c r="Z135" s="51" t="str">
        <f>IF(NOTA[[#This Row],[JUMLAH]]="","",NOTA[[#This Row],[DISC 1-]]+NOTA[[#This Row],[DISC 2-]])</f>
        <v/>
      </c>
      <c r="AA135" s="51" t="str">
        <f>IF(NOTA[[#This Row],[JUMLAH]]="","",NOTA[[#This Row],[JUMLAH]]-NOTA[[#This Row],[DISC]])</f>
        <v/>
      </c>
      <c r="AB135" s="51"/>
      <c r="AC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1" t="str">
        <f>IF(OR(NOTA[[#This Row],[QTY]]="",NOTA[[#This Row],[HARGA SATUAN]]="",),"",NOTA[[#This Row],[QTY]]*NOTA[[#This Row],[HARGA SATUAN]])</f>
        <v/>
      </c>
      <c r="AG135" s="40" t="str">
        <f ca="1">IF(NOTA[ID_H]="","",INDEX(NOTA[TANGGAL],MATCH(,INDIRECT(ADDRESS(ROW(NOTA[TANGGAL]),COLUMN(NOTA[TANGGAL]))&amp;":"&amp;ADDRESS(ROW(),COLUMN(NOTA[TANGGAL]))),-1)))</f>
        <v/>
      </c>
      <c r="AH135" s="42" t="str">
        <f ca="1">IF(NOTA[[#This Row],[NAMA BARANG]]="","",INDEX(NOTA[SUPPLIER],MATCH(,INDIRECT(ADDRESS(ROW(NOTA[ID]),COLUMN(NOTA[ID]))&amp;":"&amp;ADDRESS(ROW(),COLUMN(NOTA[ID]))),-1)))</f>
        <v/>
      </c>
      <c r="AI135" s="42" t="str">
        <f ca="1">IF(NOTA[[#This Row],[ID_H]]="","",IF(NOTA[[#This Row],[FAKTUR]]="",INDIRECT(ADDRESS(ROW()-1,COLUMN())),NOTA[[#This Row],[FAKTUR]]))</f>
        <v/>
      </c>
      <c r="AJ135" s="39" t="str">
        <f ca="1">IF(NOTA[[#This Row],[ID]]="","",COUNTIF(NOTA[ID_H],NOTA[[#This Row],[ID_H]]))</f>
        <v/>
      </c>
      <c r="AK135" s="39" t="str">
        <f ca="1">IF(NOTA[[#This Row],[TGL.NOTA]]="",IF(NOTA[[#This Row],[SUPPLIER_H]]="","",AK134),MONTH(NOTA[[#This Row],[TGL.NOTA]]))</f>
        <v/>
      </c>
      <c r="AL135" s="39" t="str">
        <f>LOWER(SUBSTITUTE(SUBSTITUTE(SUBSTITUTE(SUBSTITUTE(SUBSTITUTE(SUBSTITUTE(SUBSTITUTE(SUBSTITUTE(SUBSTITUTE(NOTA[NAMA BARANG]," ",),".",""),"-",""),"(",""),")",""),",",""),"/",""),"""",""),"+",""))</f>
        <v/>
      </c>
      <c r="AM1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9" t="str">
        <f>IF(NOTA[[#This Row],[CONCAT4]]="","",_xlfn.IFNA(MATCH(NOTA[[#This Row],[CONCAT4]],[2]!RAW[CONCAT_H],0),FALSE))</f>
        <v/>
      </c>
      <c r="AQ135" s="39" t="str">
        <f>IF(NOTA[[#This Row],[CONCAT1]]="","",MATCH(NOTA[[#This Row],[CONCAT1]],[3]!db[NB NOTA_C],0))</f>
        <v/>
      </c>
      <c r="AR135" s="39" t="str">
        <f>IF(NOTA[[#This Row],[QTY/ CTN]]="","",TRUE)</f>
        <v/>
      </c>
      <c r="AS135" s="39" t="str">
        <f ca="1">IF(NOTA[[#This Row],[ID_H]]="","",IF(NOTA[[#This Row],[Column3]]=TRUE,NOTA[[#This Row],[QTY/ CTN]],INDEX([3]!db[QTY/ CTN],NOTA[[#This Row],[//DB]])))</f>
        <v/>
      </c>
      <c r="AT1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9" t="str">
        <f ca="1">IF(NOTA[[#This Row],[ID_H]]="","",MATCH(NOTA[[#This Row],[NB NOTA_C_QTY]],[4]!db[NB NOTA_C_QTY+F],0))</f>
        <v/>
      </c>
      <c r="AV135" s="55" t="str">
        <f ca="1">IF(NOTA[[#This Row],[NB NOTA_C_QTY]]="","",ROW()-2)</f>
        <v/>
      </c>
    </row>
    <row r="136" spans="1:48" ht="20.100000000000001" customHeight="1" x14ac:dyDescent="0.25">
      <c r="A136" s="42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36</v>
      </c>
      <c r="E136" s="47"/>
      <c r="F136" s="38" t="s">
        <v>24</v>
      </c>
      <c r="G136" s="38" t="s">
        <v>23</v>
      </c>
      <c r="H136" s="48" t="s">
        <v>269</v>
      </c>
      <c r="J136" s="40">
        <v>45111</v>
      </c>
      <c r="L136" s="38" t="s">
        <v>262</v>
      </c>
      <c r="M136" s="41">
        <v>2</v>
      </c>
      <c r="N136" s="39">
        <v>288</v>
      </c>
      <c r="O136" s="38" t="s">
        <v>263</v>
      </c>
      <c r="P136" s="42">
        <v>11900</v>
      </c>
      <c r="Q136" s="43"/>
      <c r="R136" s="49"/>
      <c r="S136" s="50">
        <v>0.125</v>
      </c>
      <c r="T136" s="45">
        <v>0.05</v>
      </c>
      <c r="U136" s="51"/>
      <c r="V136" s="46"/>
      <c r="W136" s="51">
        <f>IF(NOTA[[#This Row],[HARGA/ CTN]]="",NOTA[[#This Row],[JUMLAH_H]],NOTA[[#This Row],[HARGA/ CTN]]*IF(NOTA[[#This Row],[C]]="",0,NOTA[[#This Row],[C]]))</f>
        <v>3427200</v>
      </c>
      <c r="X136" s="51">
        <f>IF(NOTA[[#This Row],[JUMLAH]]="","",NOTA[[#This Row],[JUMLAH]]*NOTA[[#This Row],[DISC 1]])</f>
        <v>428400</v>
      </c>
      <c r="Y136" s="51">
        <f>IF(NOTA[[#This Row],[JUMLAH]]="","",(NOTA[[#This Row],[JUMLAH]]-NOTA[[#This Row],[DISC 1-]])*NOTA[[#This Row],[DISC 2]])</f>
        <v>149940</v>
      </c>
      <c r="Z136" s="51">
        <f>IF(NOTA[[#This Row],[JUMLAH]]="","",NOTA[[#This Row],[DISC 1-]]+NOTA[[#This Row],[DISC 2-]])</f>
        <v>578340</v>
      </c>
      <c r="AA136" s="51">
        <f>IF(NOTA[[#This Row],[JUMLAH]]="","",NOTA[[#This Row],[JUMLAH]]-NOTA[[#This Row],[DISC]])</f>
        <v>2848860</v>
      </c>
      <c r="AB136" s="51"/>
      <c r="AC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51">
        <f>IF(OR(NOTA[[#This Row],[QTY]]="",NOTA[[#This Row],[HARGA SATUAN]]="",),"",NOTA[[#This Row],[QTY]]*NOTA[[#This Row],[HARGA SATUAN]])</f>
        <v>3427200</v>
      </c>
      <c r="AG136" s="40">
        <f ca="1">IF(NOTA[ID_H]="","",INDEX(NOTA[TANGGAL],MATCH(,INDIRECT(ADDRESS(ROW(NOTA[TANGGAL]),COLUMN(NOTA[TANGGAL]))&amp;":"&amp;ADDRESS(ROW(),COLUMN(NOTA[TANGGAL]))),-1)))</f>
        <v>45114</v>
      </c>
      <c r="AH136" s="42" t="str">
        <f ca="1">IF(NOTA[[#This Row],[NAMA BARANG]]="","",INDEX(NOTA[SUPPLIER],MATCH(,INDIRECT(ADDRESS(ROW(NOTA[ID]),COLUMN(NOTA[ID]))&amp;":"&amp;ADDRESS(ROW(),COLUMN(NOTA[ID]))),-1)))</f>
        <v>ATALI MAKMUR</v>
      </c>
      <c r="AI136" s="42" t="str">
        <f ca="1">IF(NOTA[[#This Row],[ID_H]]="","",IF(NOTA[[#This Row],[FAKTUR]]="",INDIRECT(ADDRESS(ROW()-1,COLUMN())),NOTA[[#This Row],[FAKTUR]]))</f>
        <v>ARTO MORO</v>
      </c>
      <c r="AJ136" s="39">
        <f ca="1">IF(NOTA[[#This Row],[ID]]="","",COUNTIF(NOTA[ID_H],NOTA[[#This Row],[ID_H]]))</f>
        <v>9</v>
      </c>
      <c r="AK136" s="39">
        <f>IF(NOTA[[#This Row],[TGL.NOTA]]="",IF(NOTA[[#This Row],[SUPPLIER_H]]="","",AK135),MONTH(NOTA[[#This Row],[TGL.NOTA]]))</f>
        <v>7</v>
      </c>
      <c r="AL13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39" t="e">
        <f>IF(NOTA[[#This Row],[CONCAT4]]="","",_xlfn.IFNA(MATCH(NOTA[[#This Row],[CONCAT4]],[2]!RAW[CONCAT_H],0),FALSE))</f>
        <v>#REF!</v>
      </c>
      <c r="AQ136" s="39">
        <f>IF(NOTA[[#This Row],[CONCAT1]]="","",MATCH(NOTA[[#This Row],[CONCAT1]],[3]!db[NB NOTA_C],0))</f>
        <v>1775</v>
      </c>
      <c r="AR136" s="39" t="str">
        <f>IF(NOTA[[#This Row],[QTY/ CTN]]="","",TRUE)</f>
        <v/>
      </c>
      <c r="AS136" s="39" t="str">
        <f ca="1">IF(NOTA[[#This Row],[ID_H]]="","",IF(NOTA[[#This Row],[Column3]]=TRUE,NOTA[[#This Row],[QTY/ CTN]],INDEX([3]!db[QTY/ CTN],NOTA[[#This Row],[//DB]])))</f>
        <v>12 LSN</v>
      </c>
      <c r="AT1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36" s="39" t="e">
        <f ca="1">IF(NOTA[[#This Row],[ID_H]]="","",MATCH(NOTA[[#This Row],[NB NOTA_C_QTY]],[4]!db[NB NOTA_C_QTY+F],0))</f>
        <v>#REF!</v>
      </c>
      <c r="AV136" s="55">
        <f ca="1">IF(NOTA[[#This Row],[NB NOTA_C_QTY]]="","",ROW()-2)</f>
        <v>134</v>
      </c>
    </row>
    <row r="137" spans="1:48" ht="20.100000000000001" customHeight="1" x14ac:dyDescent="0.25">
      <c r="A1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36</v>
      </c>
      <c r="E137" s="47"/>
      <c r="H137" s="48"/>
      <c r="L137" s="38" t="s">
        <v>265</v>
      </c>
      <c r="M137" s="41">
        <v>7</v>
      </c>
      <c r="N137" s="39">
        <v>336</v>
      </c>
      <c r="O137" s="38" t="s">
        <v>263</v>
      </c>
      <c r="P137" s="42">
        <v>29600</v>
      </c>
      <c r="Q137" s="43"/>
      <c r="R137" s="49"/>
      <c r="S137" s="50">
        <v>0.125</v>
      </c>
      <c r="T137" s="45">
        <v>0.05</v>
      </c>
      <c r="U137" s="51"/>
      <c r="V137" s="46"/>
      <c r="W137" s="51">
        <f>IF(NOTA[[#This Row],[HARGA/ CTN]]="",NOTA[[#This Row],[JUMLAH_H]],NOTA[[#This Row],[HARGA/ CTN]]*IF(NOTA[[#This Row],[C]]="",0,NOTA[[#This Row],[C]]))</f>
        <v>9945600</v>
      </c>
      <c r="X137" s="51">
        <f>IF(NOTA[[#This Row],[JUMLAH]]="","",NOTA[[#This Row],[JUMLAH]]*NOTA[[#This Row],[DISC 1]])</f>
        <v>1243200</v>
      </c>
      <c r="Y137" s="51">
        <f>IF(NOTA[[#This Row],[JUMLAH]]="","",(NOTA[[#This Row],[JUMLAH]]-NOTA[[#This Row],[DISC 1-]])*NOTA[[#This Row],[DISC 2]])</f>
        <v>435120</v>
      </c>
      <c r="Z137" s="51">
        <f>IF(NOTA[[#This Row],[JUMLAH]]="","",NOTA[[#This Row],[DISC 1-]]+NOTA[[#This Row],[DISC 2-]])</f>
        <v>1678320</v>
      </c>
      <c r="AA137" s="51">
        <f>IF(NOTA[[#This Row],[JUMLAH]]="","",NOTA[[#This Row],[JUMLAH]]-NOTA[[#This Row],[DISC]])</f>
        <v>8267280</v>
      </c>
      <c r="AB137" s="51"/>
      <c r="AC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51">
        <f>IF(OR(NOTA[[#This Row],[QTY]]="",NOTA[[#This Row],[HARGA SATUAN]]="",),"",NOTA[[#This Row],[QTY]]*NOTA[[#This Row],[HARGA SATUAN]])</f>
        <v>9945600</v>
      </c>
      <c r="AG137" s="40">
        <f ca="1">IF(NOTA[ID_H]="","",INDEX(NOTA[TANGGAL],MATCH(,INDIRECT(ADDRESS(ROW(NOTA[TANGGAL]),COLUMN(NOTA[TANGGAL]))&amp;":"&amp;ADDRESS(ROW(),COLUMN(NOTA[TANGGAL]))),-1)))</f>
        <v>45114</v>
      </c>
      <c r="AH137" s="42" t="str">
        <f ca="1">IF(NOTA[[#This Row],[NAMA BARANG]]="","",INDEX(NOTA[SUPPLIER],MATCH(,INDIRECT(ADDRESS(ROW(NOTA[ID]),COLUMN(NOTA[ID]))&amp;":"&amp;ADDRESS(ROW(),COLUMN(NOTA[ID]))),-1)))</f>
        <v>ATALI MAKMUR</v>
      </c>
      <c r="AI137" s="42" t="str">
        <f ca="1">IF(NOTA[[#This Row],[ID_H]]="","",IF(NOTA[[#This Row],[FAKTUR]]="",INDIRECT(ADDRESS(ROW()-1,COLUMN())),NOTA[[#This Row],[FAKTUR]]))</f>
        <v>ARTO MORO</v>
      </c>
      <c r="AJ137" s="39" t="str">
        <f ca="1">IF(NOTA[[#This Row],[ID]]="","",COUNTIF(NOTA[ID_H],NOTA[[#This Row],[ID_H]]))</f>
        <v/>
      </c>
      <c r="AK137" s="39">
        <f ca="1">IF(NOTA[[#This Row],[TGL.NOTA]]="",IF(NOTA[[#This Row],[SUPPLIER_H]]="","",AK136),MONTH(NOTA[[#This Row],[TGL.NOTA]]))</f>
        <v>7</v>
      </c>
      <c r="AL13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9" t="str">
        <f>IF(NOTA[[#This Row],[CONCAT4]]="","",_xlfn.IFNA(MATCH(NOTA[[#This Row],[CONCAT4]],[2]!RAW[CONCAT_H],0),FALSE))</f>
        <v/>
      </c>
      <c r="AQ137" s="39">
        <f>IF(NOTA[[#This Row],[CONCAT1]]="","",MATCH(NOTA[[#This Row],[CONCAT1]],[3]!db[NB NOTA_C],0))</f>
        <v>1778</v>
      </c>
      <c r="AR137" s="39" t="str">
        <f>IF(NOTA[[#This Row],[QTY/ CTN]]="","",TRUE)</f>
        <v/>
      </c>
      <c r="AS137" s="39" t="str">
        <f ca="1">IF(NOTA[[#This Row],[ID_H]]="","",IF(NOTA[[#This Row],[Column3]]=TRUE,NOTA[[#This Row],[QTY/ CTN]],INDEX([3]!db[QTY/ CTN],NOTA[[#This Row],[//DB]])))</f>
        <v>8 BOX (6 SET)</v>
      </c>
      <c r="AT1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7" s="39" t="e">
        <f ca="1">IF(NOTA[[#This Row],[ID_H]]="","",MATCH(NOTA[[#This Row],[NB NOTA_C_QTY]],[4]!db[NB NOTA_C_QTY+F],0))</f>
        <v>#REF!</v>
      </c>
      <c r="AV137" s="55">
        <f ca="1">IF(NOTA[[#This Row],[NB NOTA_C_QTY]]="","",ROW()-2)</f>
        <v>135</v>
      </c>
    </row>
    <row r="138" spans="1:48" ht="20.100000000000001" customHeight="1" x14ac:dyDescent="0.25">
      <c r="A1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36</v>
      </c>
      <c r="E138" s="47"/>
      <c r="H138" s="48"/>
      <c r="L138" s="38" t="s">
        <v>270</v>
      </c>
      <c r="M138" s="41">
        <v>1</v>
      </c>
      <c r="N138" s="39">
        <v>24</v>
      </c>
      <c r="O138" s="38" t="s">
        <v>263</v>
      </c>
      <c r="P138" s="42">
        <v>96000</v>
      </c>
      <c r="Q138" s="43"/>
      <c r="R138" s="49"/>
      <c r="S138" s="50">
        <v>0.125</v>
      </c>
      <c r="T138" s="45">
        <v>0.05</v>
      </c>
      <c r="U138" s="51"/>
      <c r="V138" s="46"/>
      <c r="W138" s="51">
        <f>IF(NOTA[[#This Row],[HARGA/ CTN]]="",NOTA[[#This Row],[JUMLAH_H]],NOTA[[#This Row],[HARGA/ CTN]]*IF(NOTA[[#This Row],[C]]="",0,NOTA[[#This Row],[C]]))</f>
        <v>2304000</v>
      </c>
      <c r="X138" s="51">
        <f>IF(NOTA[[#This Row],[JUMLAH]]="","",NOTA[[#This Row],[JUMLAH]]*NOTA[[#This Row],[DISC 1]])</f>
        <v>288000</v>
      </c>
      <c r="Y138" s="51">
        <f>IF(NOTA[[#This Row],[JUMLAH]]="","",(NOTA[[#This Row],[JUMLAH]]-NOTA[[#This Row],[DISC 1-]])*NOTA[[#This Row],[DISC 2]])</f>
        <v>100800</v>
      </c>
      <c r="Z138" s="51">
        <f>IF(NOTA[[#This Row],[JUMLAH]]="","",NOTA[[#This Row],[DISC 1-]]+NOTA[[#This Row],[DISC 2-]])</f>
        <v>388800</v>
      </c>
      <c r="AA138" s="51">
        <f>IF(NOTA[[#This Row],[JUMLAH]]="","",NOTA[[#This Row],[JUMLAH]]-NOTA[[#This Row],[DISC]])</f>
        <v>1915200</v>
      </c>
      <c r="AB138" s="51"/>
      <c r="AC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51">
        <f>IF(OR(NOTA[[#This Row],[QTY]]="",NOTA[[#This Row],[HARGA SATUAN]]="",),"",NOTA[[#This Row],[QTY]]*NOTA[[#This Row],[HARGA SATUAN]])</f>
        <v>2304000</v>
      </c>
      <c r="AG138" s="40">
        <f ca="1">IF(NOTA[ID_H]="","",INDEX(NOTA[TANGGAL],MATCH(,INDIRECT(ADDRESS(ROW(NOTA[TANGGAL]),COLUMN(NOTA[TANGGAL]))&amp;":"&amp;ADDRESS(ROW(),COLUMN(NOTA[TANGGAL]))),-1)))</f>
        <v>45114</v>
      </c>
      <c r="AH138" s="42" t="str">
        <f ca="1">IF(NOTA[[#This Row],[NAMA BARANG]]="","",INDEX(NOTA[SUPPLIER],MATCH(,INDIRECT(ADDRESS(ROW(NOTA[ID]),COLUMN(NOTA[ID]))&amp;":"&amp;ADDRESS(ROW(),COLUMN(NOTA[ID]))),-1)))</f>
        <v>ATALI MAKMUR</v>
      </c>
      <c r="AI138" s="42" t="str">
        <f ca="1">IF(NOTA[[#This Row],[ID_H]]="","",IF(NOTA[[#This Row],[FAKTUR]]="",INDIRECT(ADDRESS(ROW()-1,COLUMN())),NOTA[[#This Row],[FAKTUR]]))</f>
        <v>ARTO MORO</v>
      </c>
      <c r="AJ138" s="39" t="str">
        <f ca="1">IF(NOTA[[#This Row],[ID]]="","",COUNTIF(NOTA[ID_H],NOTA[[#This Row],[ID_H]]))</f>
        <v/>
      </c>
      <c r="AK138" s="39">
        <f ca="1">IF(NOTA[[#This Row],[TGL.NOTA]]="",IF(NOTA[[#This Row],[SUPPLIER_H]]="","",AK137),MONTH(NOTA[[#This Row],[TGL.NOTA]]))</f>
        <v>7</v>
      </c>
      <c r="AL138" s="39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9" t="str">
        <f>IF(NOTA[[#This Row],[CONCAT4]]="","",_xlfn.IFNA(MATCH(NOTA[[#This Row],[CONCAT4]],[2]!RAW[CONCAT_H],0),FALSE))</f>
        <v/>
      </c>
      <c r="AQ138" s="39">
        <f>IF(NOTA[[#This Row],[CONCAT1]]="","",MATCH(NOTA[[#This Row],[CONCAT1]],[3]!db[NB NOTA_C],0))</f>
        <v>1782</v>
      </c>
      <c r="AR138" s="39" t="str">
        <f>IF(NOTA[[#This Row],[QTY/ CTN]]="","",TRUE)</f>
        <v/>
      </c>
      <c r="AS138" s="39" t="str">
        <f ca="1">IF(NOTA[[#This Row],[ID_H]]="","",IF(NOTA[[#This Row],[Column3]]=TRUE,NOTA[[#This Row],[QTY/ CTN]],INDEX([3]!db[QTY/ CTN],NOTA[[#This Row],[//DB]])))</f>
        <v>4 BOX (6 SET)</v>
      </c>
      <c r="AT1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U138" s="39" t="e">
        <f ca="1">IF(NOTA[[#This Row],[ID_H]]="","",MATCH(NOTA[[#This Row],[NB NOTA_C_QTY]],[4]!db[NB NOTA_C_QTY+F],0))</f>
        <v>#REF!</v>
      </c>
      <c r="AV138" s="55">
        <f ca="1">IF(NOTA[[#This Row],[NB NOTA_C_QTY]]="","",ROW()-2)</f>
        <v>136</v>
      </c>
    </row>
    <row r="139" spans="1:48" ht="20.100000000000001" customHeight="1" x14ac:dyDescent="0.25">
      <c r="A1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36</v>
      </c>
      <c r="E139" s="47"/>
      <c r="H139" s="48"/>
      <c r="L139" s="38" t="s">
        <v>271</v>
      </c>
      <c r="M139" s="41">
        <v>2</v>
      </c>
      <c r="N139" s="39">
        <v>288</v>
      </c>
      <c r="O139" s="38" t="s">
        <v>263</v>
      </c>
      <c r="P139" s="42">
        <v>11600</v>
      </c>
      <c r="Q139" s="43"/>
      <c r="R139" s="49"/>
      <c r="S139" s="50">
        <v>0.125</v>
      </c>
      <c r="T139" s="45">
        <v>0.05</v>
      </c>
      <c r="U139" s="51"/>
      <c r="V139" s="46"/>
      <c r="W139" s="51">
        <f>IF(NOTA[[#This Row],[HARGA/ CTN]]="",NOTA[[#This Row],[JUMLAH_H]],NOTA[[#This Row],[HARGA/ CTN]]*IF(NOTA[[#This Row],[C]]="",0,NOTA[[#This Row],[C]]))</f>
        <v>3340800</v>
      </c>
      <c r="X139" s="51">
        <f>IF(NOTA[[#This Row],[JUMLAH]]="","",NOTA[[#This Row],[JUMLAH]]*NOTA[[#This Row],[DISC 1]])</f>
        <v>417600</v>
      </c>
      <c r="Y139" s="51">
        <f>IF(NOTA[[#This Row],[JUMLAH]]="","",(NOTA[[#This Row],[JUMLAH]]-NOTA[[#This Row],[DISC 1-]])*NOTA[[#This Row],[DISC 2]])</f>
        <v>146160</v>
      </c>
      <c r="Z139" s="51">
        <f>IF(NOTA[[#This Row],[JUMLAH]]="","",NOTA[[#This Row],[DISC 1-]]+NOTA[[#This Row],[DISC 2-]])</f>
        <v>563760</v>
      </c>
      <c r="AA139" s="51">
        <f>IF(NOTA[[#This Row],[JUMLAH]]="","",NOTA[[#This Row],[JUMLAH]]-NOTA[[#This Row],[DISC]])</f>
        <v>2777040</v>
      </c>
      <c r="AB139" s="51"/>
      <c r="AC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51">
        <f>IF(OR(NOTA[[#This Row],[QTY]]="",NOTA[[#This Row],[HARGA SATUAN]]="",),"",NOTA[[#This Row],[QTY]]*NOTA[[#This Row],[HARGA SATUAN]])</f>
        <v>3340800</v>
      </c>
      <c r="AG139" s="40">
        <f ca="1">IF(NOTA[ID_H]="","",INDEX(NOTA[TANGGAL],MATCH(,INDIRECT(ADDRESS(ROW(NOTA[TANGGAL]),COLUMN(NOTA[TANGGAL]))&amp;":"&amp;ADDRESS(ROW(),COLUMN(NOTA[TANGGAL]))),-1)))</f>
        <v>45114</v>
      </c>
      <c r="AH139" s="42" t="str">
        <f ca="1">IF(NOTA[[#This Row],[NAMA BARANG]]="","",INDEX(NOTA[SUPPLIER],MATCH(,INDIRECT(ADDRESS(ROW(NOTA[ID]),COLUMN(NOTA[ID]))&amp;":"&amp;ADDRESS(ROW(),COLUMN(NOTA[ID]))),-1)))</f>
        <v>ATALI MAKMUR</v>
      </c>
      <c r="AI139" s="42" t="str">
        <f ca="1">IF(NOTA[[#This Row],[ID_H]]="","",IF(NOTA[[#This Row],[FAKTUR]]="",INDIRECT(ADDRESS(ROW()-1,COLUMN())),NOTA[[#This Row],[FAKTUR]]))</f>
        <v>ARTO MORO</v>
      </c>
      <c r="AJ139" s="39" t="str">
        <f ca="1">IF(NOTA[[#This Row],[ID]]="","",COUNTIF(NOTA[ID_H],NOTA[[#This Row],[ID_H]]))</f>
        <v/>
      </c>
      <c r="AK139" s="39">
        <f ca="1">IF(NOTA[[#This Row],[TGL.NOTA]]="",IF(NOTA[[#This Row],[SUPPLIER_H]]="","",AK138),MONTH(NOTA[[#This Row],[TGL.NOTA]]))</f>
        <v>7</v>
      </c>
      <c r="AL139" s="39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9" t="str">
        <f>IF(NOTA[[#This Row],[CONCAT4]]="","",_xlfn.IFNA(MATCH(NOTA[[#This Row],[CONCAT4]],[2]!RAW[CONCAT_H],0),FALSE))</f>
        <v/>
      </c>
      <c r="AQ139" s="39">
        <f>IF(NOTA[[#This Row],[CONCAT1]]="","",MATCH(NOTA[[#This Row],[CONCAT1]],[3]!db[NB NOTA_C],0))</f>
        <v>1773</v>
      </c>
      <c r="AR139" s="39" t="str">
        <f>IF(NOTA[[#This Row],[QTY/ CTN]]="","",TRUE)</f>
        <v/>
      </c>
      <c r="AS139" s="39" t="str">
        <f ca="1">IF(NOTA[[#This Row],[ID_H]]="","",IF(NOTA[[#This Row],[Column3]]=TRUE,NOTA[[#This Row],[QTY/ CTN]],INDEX([3]!db[QTY/ CTN],NOTA[[#This Row],[//DB]])))</f>
        <v>12 LSN</v>
      </c>
      <c r="AT1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U139" s="39" t="e">
        <f ca="1">IF(NOTA[[#This Row],[ID_H]]="","",MATCH(NOTA[[#This Row],[NB NOTA_C_QTY]],[4]!db[NB NOTA_C_QTY+F],0))</f>
        <v>#REF!</v>
      </c>
      <c r="AV139" s="55">
        <f ca="1">IF(NOTA[[#This Row],[NB NOTA_C_QTY]]="","",ROW()-2)</f>
        <v>137</v>
      </c>
    </row>
    <row r="140" spans="1:48" ht="20.100000000000001" customHeight="1" x14ac:dyDescent="0.25">
      <c r="A1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36</v>
      </c>
      <c r="E140" s="47"/>
      <c r="H140" s="48"/>
      <c r="L140" s="38" t="s">
        <v>121</v>
      </c>
      <c r="M140" s="41">
        <v>1</v>
      </c>
      <c r="N140" s="39">
        <v>24</v>
      </c>
      <c r="O140" s="38" t="s">
        <v>152</v>
      </c>
      <c r="P140" s="42">
        <v>89400</v>
      </c>
      <c r="Q140" s="43"/>
      <c r="R140" s="49"/>
      <c r="S140" s="50">
        <v>0.125</v>
      </c>
      <c r="T140" s="45">
        <v>0.05</v>
      </c>
      <c r="U140" s="51"/>
      <c r="V140" s="46"/>
      <c r="W140" s="51">
        <f>IF(NOTA[[#This Row],[HARGA/ CTN]]="",NOTA[[#This Row],[JUMLAH_H]],NOTA[[#This Row],[HARGA/ CTN]]*IF(NOTA[[#This Row],[C]]="",0,NOTA[[#This Row],[C]]))</f>
        <v>2145600</v>
      </c>
      <c r="X140" s="51">
        <f>IF(NOTA[[#This Row],[JUMLAH]]="","",NOTA[[#This Row],[JUMLAH]]*NOTA[[#This Row],[DISC 1]])</f>
        <v>268200</v>
      </c>
      <c r="Y140" s="51">
        <f>IF(NOTA[[#This Row],[JUMLAH]]="","",(NOTA[[#This Row],[JUMLAH]]-NOTA[[#This Row],[DISC 1-]])*NOTA[[#This Row],[DISC 2]])</f>
        <v>93870</v>
      </c>
      <c r="Z140" s="51">
        <f>IF(NOTA[[#This Row],[JUMLAH]]="","",NOTA[[#This Row],[DISC 1-]]+NOTA[[#This Row],[DISC 2-]])</f>
        <v>362070</v>
      </c>
      <c r="AA140" s="51">
        <f>IF(NOTA[[#This Row],[JUMLAH]]="","",NOTA[[#This Row],[JUMLAH]]-NOTA[[#This Row],[DISC]])</f>
        <v>1783530</v>
      </c>
      <c r="AB140" s="51"/>
      <c r="AC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51">
        <f>IF(OR(NOTA[[#This Row],[QTY]]="",NOTA[[#This Row],[HARGA SATUAN]]="",),"",NOTA[[#This Row],[QTY]]*NOTA[[#This Row],[HARGA SATUAN]])</f>
        <v>2145600</v>
      </c>
      <c r="AG140" s="40">
        <f ca="1">IF(NOTA[ID_H]="","",INDEX(NOTA[TANGGAL],MATCH(,INDIRECT(ADDRESS(ROW(NOTA[TANGGAL]),COLUMN(NOTA[TANGGAL]))&amp;":"&amp;ADDRESS(ROW(),COLUMN(NOTA[TANGGAL]))),-1)))</f>
        <v>45114</v>
      </c>
      <c r="AH140" s="42" t="str">
        <f ca="1">IF(NOTA[[#This Row],[NAMA BARANG]]="","",INDEX(NOTA[SUPPLIER],MATCH(,INDIRECT(ADDRESS(ROW(NOTA[ID]),COLUMN(NOTA[ID]))&amp;":"&amp;ADDRESS(ROW(),COLUMN(NOTA[ID]))),-1)))</f>
        <v>ATALI MAKMUR</v>
      </c>
      <c r="AI140" s="42" t="str">
        <f ca="1">IF(NOTA[[#This Row],[ID_H]]="","",IF(NOTA[[#This Row],[FAKTUR]]="",INDIRECT(ADDRESS(ROW()-1,COLUMN())),NOTA[[#This Row],[FAKTUR]]))</f>
        <v>ARTO MORO</v>
      </c>
      <c r="AJ140" s="39" t="str">
        <f ca="1">IF(NOTA[[#This Row],[ID]]="","",COUNTIF(NOTA[ID_H],NOTA[[#This Row],[ID_H]]))</f>
        <v/>
      </c>
      <c r="AK140" s="39">
        <f ca="1">IF(NOTA[[#This Row],[TGL.NOTA]]="",IF(NOTA[[#This Row],[SUPPLIER_H]]="","",AK139),MONTH(NOTA[[#This Row],[TGL.NOTA]]))</f>
        <v>7</v>
      </c>
      <c r="AL140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9" t="str">
        <f>IF(NOTA[[#This Row],[CONCAT4]]="","",_xlfn.IFNA(MATCH(NOTA[[#This Row],[CONCAT4]],[2]!RAW[CONCAT_H],0),FALSE))</f>
        <v/>
      </c>
      <c r="AQ140" s="39">
        <f>IF(NOTA[[#This Row],[CONCAT1]]="","",MATCH(NOTA[[#This Row],[CONCAT1]],[3]!db[NB NOTA_C],0))</f>
        <v>1357</v>
      </c>
      <c r="AR140" s="39" t="str">
        <f>IF(NOTA[[#This Row],[QTY/ CTN]]="","",TRUE)</f>
        <v/>
      </c>
      <c r="AS140" s="39" t="str">
        <f ca="1">IF(NOTA[[#This Row],[ID_H]]="","",IF(NOTA[[#This Row],[Column3]]=TRUE,NOTA[[#This Row],[QTY/ CTN]],INDEX([3]!db[QTY/ CTN],NOTA[[#This Row],[//DB]])))</f>
        <v>24 LSN</v>
      </c>
      <c r="AT1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140" s="39" t="e">
        <f ca="1">IF(NOTA[[#This Row],[ID_H]]="","",MATCH(NOTA[[#This Row],[NB NOTA_C_QTY]],[4]!db[NB NOTA_C_QTY+F],0))</f>
        <v>#REF!</v>
      </c>
      <c r="AV140" s="55">
        <f ca="1">IF(NOTA[[#This Row],[NB NOTA_C_QTY]]="","",ROW()-2)</f>
        <v>138</v>
      </c>
    </row>
    <row r="141" spans="1:48" ht="20.100000000000001" customHeight="1" x14ac:dyDescent="0.25">
      <c r="A1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36</v>
      </c>
      <c r="E141" s="47"/>
      <c r="H141" s="48"/>
      <c r="L141" s="38" t="s">
        <v>122</v>
      </c>
      <c r="M141" s="41">
        <v>1</v>
      </c>
      <c r="N141" s="39">
        <v>24</v>
      </c>
      <c r="O141" s="38" t="s">
        <v>152</v>
      </c>
      <c r="P141" s="42">
        <v>90600</v>
      </c>
      <c r="Q141" s="43"/>
      <c r="R141" s="49"/>
      <c r="S141" s="50">
        <v>0.125</v>
      </c>
      <c r="T141" s="45">
        <v>0.05</v>
      </c>
      <c r="U141" s="51"/>
      <c r="V141" s="46"/>
      <c r="W141" s="51">
        <f>IF(NOTA[[#This Row],[HARGA/ CTN]]="",NOTA[[#This Row],[JUMLAH_H]],NOTA[[#This Row],[HARGA/ CTN]]*IF(NOTA[[#This Row],[C]]="",0,NOTA[[#This Row],[C]]))</f>
        <v>2174400</v>
      </c>
      <c r="X141" s="51">
        <f>IF(NOTA[[#This Row],[JUMLAH]]="","",NOTA[[#This Row],[JUMLAH]]*NOTA[[#This Row],[DISC 1]])</f>
        <v>271800</v>
      </c>
      <c r="Y141" s="51">
        <f>IF(NOTA[[#This Row],[JUMLAH]]="","",(NOTA[[#This Row],[JUMLAH]]-NOTA[[#This Row],[DISC 1-]])*NOTA[[#This Row],[DISC 2]])</f>
        <v>95130</v>
      </c>
      <c r="Z141" s="51">
        <f>IF(NOTA[[#This Row],[JUMLAH]]="","",NOTA[[#This Row],[DISC 1-]]+NOTA[[#This Row],[DISC 2-]])</f>
        <v>366930</v>
      </c>
      <c r="AA141" s="51">
        <f>IF(NOTA[[#This Row],[JUMLAH]]="","",NOTA[[#This Row],[JUMLAH]]-NOTA[[#This Row],[DISC]])</f>
        <v>1807470</v>
      </c>
      <c r="AB141" s="51"/>
      <c r="AC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51">
        <f>IF(OR(NOTA[[#This Row],[QTY]]="",NOTA[[#This Row],[HARGA SATUAN]]="",),"",NOTA[[#This Row],[QTY]]*NOTA[[#This Row],[HARGA SATUAN]])</f>
        <v>2174400</v>
      </c>
      <c r="AG141" s="40">
        <f ca="1">IF(NOTA[ID_H]="","",INDEX(NOTA[TANGGAL],MATCH(,INDIRECT(ADDRESS(ROW(NOTA[TANGGAL]),COLUMN(NOTA[TANGGAL]))&amp;":"&amp;ADDRESS(ROW(),COLUMN(NOTA[TANGGAL]))),-1)))</f>
        <v>45114</v>
      </c>
      <c r="AH141" s="42" t="str">
        <f ca="1">IF(NOTA[[#This Row],[NAMA BARANG]]="","",INDEX(NOTA[SUPPLIER],MATCH(,INDIRECT(ADDRESS(ROW(NOTA[ID]),COLUMN(NOTA[ID]))&amp;":"&amp;ADDRESS(ROW(),COLUMN(NOTA[ID]))),-1)))</f>
        <v>ATALI MAKMUR</v>
      </c>
      <c r="AI141" s="42" t="str">
        <f ca="1">IF(NOTA[[#This Row],[ID_H]]="","",IF(NOTA[[#This Row],[FAKTUR]]="",INDIRECT(ADDRESS(ROW()-1,COLUMN())),NOTA[[#This Row],[FAKTUR]]))</f>
        <v>ARTO MORO</v>
      </c>
      <c r="AJ141" s="39" t="str">
        <f ca="1">IF(NOTA[[#This Row],[ID]]="","",COUNTIF(NOTA[ID_H],NOTA[[#This Row],[ID_H]]))</f>
        <v/>
      </c>
      <c r="AK141" s="39">
        <f ca="1">IF(NOTA[[#This Row],[TGL.NOTA]]="",IF(NOTA[[#This Row],[SUPPLIER_H]]="","",AK140),MONTH(NOTA[[#This Row],[TGL.NOTA]]))</f>
        <v>7</v>
      </c>
      <c r="AL141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9" t="str">
        <f>IF(NOTA[[#This Row],[CONCAT4]]="","",_xlfn.IFNA(MATCH(NOTA[[#This Row],[CONCAT4]],[2]!RAW[CONCAT_H],0),FALSE))</f>
        <v/>
      </c>
      <c r="AQ141" s="39">
        <f>IF(NOTA[[#This Row],[CONCAT1]]="","",MATCH(NOTA[[#This Row],[CONCAT1]],[3]!db[NB NOTA_C],0))</f>
        <v>1358</v>
      </c>
      <c r="AR141" s="39" t="str">
        <f>IF(NOTA[[#This Row],[QTY/ CTN]]="","",TRUE)</f>
        <v/>
      </c>
      <c r="AS141" s="39" t="str">
        <f ca="1">IF(NOTA[[#This Row],[ID_H]]="","",IF(NOTA[[#This Row],[Column3]]=TRUE,NOTA[[#This Row],[QTY/ CTN]],INDEX([3]!db[QTY/ CTN],NOTA[[#This Row],[//DB]])))</f>
        <v>24 LSN</v>
      </c>
      <c r="AT1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141" s="39" t="e">
        <f ca="1">IF(NOTA[[#This Row],[ID_H]]="","",MATCH(NOTA[[#This Row],[NB NOTA_C_QTY]],[4]!db[NB NOTA_C_QTY+F],0))</f>
        <v>#REF!</v>
      </c>
      <c r="AV141" s="55">
        <f ca="1">IF(NOTA[[#This Row],[NB NOTA_C_QTY]]="","",ROW()-2)</f>
        <v>139</v>
      </c>
    </row>
    <row r="142" spans="1:48" ht="20.100000000000001" customHeight="1" x14ac:dyDescent="0.25">
      <c r="A1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36</v>
      </c>
      <c r="E142" s="47"/>
      <c r="H142" s="48"/>
      <c r="L142" s="38" t="s">
        <v>113</v>
      </c>
      <c r="M142" s="41">
        <v>1</v>
      </c>
      <c r="N142" s="39">
        <v>144</v>
      </c>
      <c r="O142" s="38" t="s">
        <v>117</v>
      </c>
      <c r="P142" s="42">
        <v>6500</v>
      </c>
      <c r="Q142" s="43"/>
      <c r="R142" s="49"/>
      <c r="S142" s="50">
        <v>0.125</v>
      </c>
      <c r="T142" s="45">
        <v>0.05</v>
      </c>
      <c r="U142" s="51"/>
      <c r="V142" s="46"/>
      <c r="W142" s="51">
        <f>IF(NOTA[[#This Row],[HARGA/ CTN]]="",NOTA[[#This Row],[JUMLAH_H]],NOTA[[#This Row],[HARGA/ CTN]]*IF(NOTA[[#This Row],[C]]="",0,NOTA[[#This Row],[C]]))</f>
        <v>936000</v>
      </c>
      <c r="X142" s="51">
        <f>IF(NOTA[[#This Row],[JUMLAH]]="","",NOTA[[#This Row],[JUMLAH]]*NOTA[[#This Row],[DISC 1]])</f>
        <v>117000</v>
      </c>
      <c r="Y142" s="51">
        <f>IF(NOTA[[#This Row],[JUMLAH]]="","",(NOTA[[#This Row],[JUMLAH]]-NOTA[[#This Row],[DISC 1-]])*NOTA[[#This Row],[DISC 2]])</f>
        <v>40950</v>
      </c>
      <c r="Z142" s="51">
        <f>IF(NOTA[[#This Row],[JUMLAH]]="","",NOTA[[#This Row],[DISC 1-]]+NOTA[[#This Row],[DISC 2-]])</f>
        <v>157950</v>
      </c>
      <c r="AA142" s="51">
        <f>IF(NOTA[[#This Row],[JUMLAH]]="","",NOTA[[#This Row],[JUMLAH]]-NOTA[[#This Row],[DISC]])</f>
        <v>778050</v>
      </c>
      <c r="AB142" s="51"/>
      <c r="AC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51">
        <f>IF(OR(NOTA[[#This Row],[QTY]]="",NOTA[[#This Row],[HARGA SATUAN]]="",),"",NOTA[[#This Row],[QTY]]*NOTA[[#This Row],[HARGA SATUAN]])</f>
        <v>936000</v>
      </c>
      <c r="AG142" s="40">
        <f ca="1">IF(NOTA[ID_H]="","",INDEX(NOTA[TANGGAL],MATCH(,INDIRECT(ADDRESS(ROW(NOTA[TANGGAL]),COLUMN(NOTA[TANGGAL]))&amp;":"&amp;ADDRESS(ROW(),COLUMN(NOTA[TANGGAL]))),-1)))</f>
        <v>45114</v>
      </c>
      <c r="AH142" s="42" t="str">
        <f ca="1">IF(NOTA[[#This Row],[NAMA BARANG]]="","",INDEX(NOTA[SUPPLIER],MATCH(,INDIRECT(ADDRESS(ROW(NOTA[ID]),COLUMN(NOTA[ID]))&amp;":"&amp;ADDRESS(ROW(),COLUMN(NOTA[ID]))),-1)))</f>
        <v>ATALI MAKMUR</v>
      </c>
      <c r="AI142" s="42" t="str">
        <f ca="1">IF(NOTA[[#This Row],[ID_H]]="","",IF(NOTA[[#This Row],[FAKTUR]]="",INDIRECT(ADDRESS(ROW()-1,COLUMN())),NOTA[[#This Row],[FAKTUR]]))</f>
        <v>ARTO MORO</v>
      </c>
      <c r="AJ142" s="39" t="str">
        <f ca="1">IF(NOTA[[#This Row],[ID]]="","",COUNTIF(NOTA[ID_H],NOTA[[#This Row],[ID_H]]))</f>
        <v/>
      </c>
      <c r="AK142" s="39">
        <f ca="1">IF(NOTA[[#This Row],[TGL.NOTA]]="",IF(NOTA[[#This Row],[SUPPLIER_H]]="","",AK141),MONTH(NOTA[[#This Row],[TGL.NOTA]]))</f>
        <v>7</v>
      </c>
      <c r="AL142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9" t="str">
        <f>IF(NOTA[[#This Row],[CONCAT4]]="","",_xlfn.IFNA(MATCH(NOTA[[#This Row],[CONCAT4]],[2]!RAW[CONCAT_H],0),FALSE))</f>
        <v/>
      </c>
      <c r="AQ142" s="39">
        <f>IF(NOTA[[#This Row],[CONCAT1]]="","",MATCH(NOTA[[#This Row],[CONCAT1]],[3]!db[NB NOTA_C],0))</f>
        <v>1251</v>
      </c>
      <c r="AR142" s="39" t="str">
        <f>IF(NOTA[[#This Row],[QTY/ CTN]]="","",TRUE)</f>
        <v/>
      </c>
      <c r="AS142" s="39" t="str">
        <f ca="1">IF(NOTA[[#This Row],[ID_H]]="","",IF(NOTA[[#This Row],[Column3]]=TRUE,NOTA[[#This Row],[QTY/ CTN]],INDEX([3]!db[QTY/ CTN],NOTA[[#This Row],[//DB]])))</f>
        <v>12 LSN</v>
      </c>
      <c r="AT1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42" s="39" t="e">
        <f ca="1">IF(NOTA[[#This Row],[ID_H]]="","",MATCH(NOTA[[#This Row],[NB NOTA_C_QTY]],[4]!db[NB NOTA_C_QTY+F],0))</f>
        <v>#REF!</v>
      </c>
      <c r="AV142" s="55">
        <f ca="1">IF(NOTA[[#This Row],[NB NOTA_C_QTY]]="","",ROW()-2)</f>
        <v>140</v>
      </c>
    </row>
    <row r="143" spans="1:48" ht="20.100000000000001" customHeight="1" x14ac:dyDescent="0.25">
      <c r="A1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36</v>
      </c>
      <c r="E143" s="47"/>
      <c r="H143" s="48"/>
      <c r="L143" s="38" t="s">
        <v>123</v>
      </c>
      <c r="M143" s="41">
        <v>2</v>
      </c>
      <c r="N143" s="39">
        <v>96</v>
      </c>
      <c r="O143" s="38" t="s">
        <v>152</v>
      </c>
      <c r="P143" s="42">
        <v>36000</v>
      </c>
      <c r="Q143" s="43"/>
      <c r="R143" s="49"/>
      <c r="S143" s="50">
        <v>0.125</v>
      </c>
      <c r="T143" s="45">
        <v>0.05</v>
      </c>
      <c r="U143" s="51"/>
      <c r="V143" s="46"/>
      <c r="W143" s="51">
        <f>IF(NOTA[[#This Row],[HARGA/ CTN]]="",NOTA[[#This Row],[JUMLAH_H]],NOTA[[#This Row],[HARGA/ CTN]]*IF(NOTA[[#This Row],[C]]="",0,NOTA[[#This Row],[C]]))</f>
        <v>3456000</v>
      </c>
      <c r="X143" s="51">
        <f>IF(NOTA[[#This Row],[JUMLAH]]="","",NOTA[[#This Row],[JUMLAH]]*NOTA[[#This Row],[DISC 1]])</f>
        <v>432000</v>
      </c>
      <c r="Y143" s="51">
        <f>IF(NOTA[[#This Row],[JUMLAH]]="","",(NOTA[[#This Row],[JUMLAH]]-NOTA[[#This Row],[DISC 1-]])*NOTA[[#This Row],[DISC 2]])</f>
        <v>151200</v>
      </c>
      <c r="Z143" s="51">
        <f>IF(NOTA[[#This Row],[JUMLAH]]="","",NOTA[[#This Row],[DISC 1-]]+NOTA[[#This Row],[DISC 2-]])</f>
        <v>583200</v>
      </c>
      <c r="AA143" s="51">
        <f>IF(NOTA[[#This Row],[JUMLAH]]="","",NOTA[[#This Row],[JUMLAH]]-NOTA[[#This Row],[DISC]])</f>
        <v>2872800</v>
      </c>
      <c r="AB143" s="51"/>
      <c r="AC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51">
        <f>IF(OR(NOTA[[#This Row],[QTY]]="",NOTA[[#This Row],[HARGA SATUAN]]="",),"",NOTA[[#This Row],[QTY]]*NOTA[[#This Row],[HARGA SATUAN]])</f>
        <v>3456000</v>
      </c>
      <c r="AG143" s="40">
        <f ca="1">IF(NOTA[ID_H]="","",INDEX(NOTA[TANGGAL],MATCH(,INDIRECT(ADDRESS(ROW(NOTA[TANGGAL]),COLUMN(NOTA[TANGGAL]))&amp;":"&amp;ADDRESS(ROW(),COLUMN(NOTA[TANGGAL]))),-1)))</f>
        <v>45114</v>
      </c>
      <c r="AH143" s="42" t="str">
        <f ca="1">IF(NOTA[[#This Row],[NAMA BARANG]]="","",INDEX(NOTA[SUPPLIER],MATCH(,INDIRECT(ADDRESS(ROW(NOTA[ID]),COLUMN(NOTA[ID]))&amp;":"&amp;ADDRESS(ROW(),COLUMN(NOTA[ID]))),-1)))</f>
        <v>ATALI MAKMUR</v>
      </c>
      <c r="AI143" s="42" t="str">
        <f ca="1">IF(NOTA[[#This Row],[ID_H]]="","",IF(NOTA[[#This Row],[FAKTUR]]="",INDIRECT(ADDRESS(ROW()-1,COLUMN())),NOTA[[#This Row],[FAKTUR]]))</f>
        <v>ARTO MORO</v>
      </c>
      <c r="AJ143" s="39" t="str">
        <f ca="1">IF(NOTA[[#This Row],[ID]]="","",COUNTIF(NOTA[ID_H],NOTA[[#This Row],[ID_H]]))</f>
        <v/>
      </c>
      <c r="AK143" s="39">
        <f ca="1">IF(NOTA[[#This Row],[TGL.NOTA]]="",IF(NOTA[[#This Row],[SUPPLIER_H]]="","",AK142),MONTH(NOTA[[#This Row],[TGL.NOTA]]))</f>
        <v>7</v>
      </c>
      <c r="AL143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9" t="str">
        <f>IF(NOTA[[#This Row],[CONCAT4]]="","",_xlfn.IFNA(MATCH(NOTA[[#This Row],[CONCAT4]],[2]!RAW[CONCAT_H],0),FALSE))</f>
        <v/>
      </c>
      <c r="AQ143" s="39">
        <f>IF(NOTA[[#This Row],[CONCAT1]]="","",MATCH(NOTA[[#This Row],[CONCAT1]],[3]!db[NB NOTA_C],0))</f>
        <v>2644</v>
      </c>
      <c r="AR143" s="39" t="str">
        <f>IF(NOTA[[#This Row],[QTY/ CTN]]="","",TRUE)</f>
        <v/>
      </c>
      <c r="AS143" s="39" t="str">
        <f ca="1">IF(NOTA[[#This Row],[ID_H]]="","",IF(NOTA[[#This Row],[Column3]]=TRUE,NOTA[[#This Row],[QTY/ CTN]],INDEX([3]!db[QTY/ CTN],NOTA[[#This Row],[//DB]])))</f>
        <v>48 LSN</v>
      </c>
      <c r="AT1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43" s="39" t="e">
        <f ca="1">IF(NOTA[[#This Row],[ID_H]]="","",MATCH(NOTA[[#This Row],[NB NOTA_C_QTY]],[4]!db[NB NOTA_C_QTY+F],0))</f>
        <v>#REF!</v>
      </c>
      <c r="AV143" s="55">
        <f ca="1">IF(NOTA[[#This Row],[NB NOTA_C_QTY]]="","",ROW()-2)</f>
        <v>141</v>
      </c>
    </row>
    <row r="144" spans="1:48" ht="20.100000000000001" customHeight="1" x14ac:dyDescent="0.25">
      <c r="A1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36</v>
      </c>
      <c r="E144" s="47"/>
      <c r="H144" s="48"/>
      <c r="L144" s="38" t="s">
        <v>124</v>
      </c>
      <c r="N144" s="39">
        <v>12</v>
      </c>
      <c r="O144" s="38" t="s">
        <v>152</v>
      </c>
      <c r="P144" s="42">
        <v>13200</v>
      </c>
      <c r="Q144" s="43"/>
      <c r="R144" s="49"/>
      <c r="S144" s="50">
        <v>0.1</v>
      </c>
      <c r="T144" s="45">
        <v>0.05</v>
      </c>
      <c r="U144" s="51">
        <v>135432</v>
      </c>
      <c r="V144" s="46"/>
      <c r="W144" s="51">
        <f>IF(NOTA[[#This Row],[HARGA/ CTN]]="",NOTA[[#This Row],[JUMLAH_H]],NOTA[[#This Row],[HARGA/ CTN]]*IF(NOTA[[#This Row],[C]]="",0,NOTA[[#This Row],[C]]))</f>
        <v>158400</v>
      </c>
      <c r="X144" s="51">
        <f>IF(NOTA[[#This Row],[JUMLAH]]="","",NOTA[[#This Row],[JUMLAH]]*NOTA[[#This Row],[DISC 1]])</f>
        <v>15840</v>
      </c>
      <c r="Y144" s="51">
        <f>IF(NOTA[[#This Row],[JUMLAH]]="","",(NOTA[[#This Row],[JUMLAH]]-NOTA[[#This Row],[DISC 1-]])*NOTA[[#This Row],[DISC 2]])</f>
        <v>7128</v>
      </c>
      <c r="Z144" s="51">
        <f>IF(NOTA[[#This Row],[JUMLAH]]="","",NOTA[[#This Row],[DISC 1-]]+NOTA[[#This Row],[DISC 2-]])</f>
        <v>22968</v>
      </c>
      <c r="AA144" s="51">
        <f>IF(NOTA[[#This Row],[JUMLAH]]="","",NOTA[[#This Row],[JUMLAH]]-NOTA[[#This Row],[DISC]])</f>
        <v>135432</v>
      </c>
      <c r="AB144" s="51"/>
      <c r="AC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51">
        <f>IF(OR(NOTA[[#This Row],[QTY]]="",NOTA[[#This Row],[HARGA SATUAN]]="",),"",NOTA[[#This Row],[QTY]]*NOTA[[#This Row],[HARGA SATUAN]])</f>
        <v>158400</v>
      </c>
      <c r="AG144" s="40">
        <f ca="1">IF(NOTA[ID_H]="","",INDEX(NOTA[TANGGAL],MATCH(,INDIRECT(ADDRESS(ROW(NOTA[TANGGAL]),COLUMN(NOTA[TANGGAL]))&amp;":"&amp;ADDRESS(ROW(),COLUMN(NOTA[TANGGAL]))),-1)))</f>
        <v>45114</v>
      </c>
      <c r="AH144" s="42" t="str">
        <f ca="1">IF(NOTA[[#This Row],[NAMA BARANG]]="","",INDEX(NOTA[SUPPLIER],MATCH(,INDIRECT(ADDRESS(ROW(NOTA[ID]),COLUMN(NOTA[ID]))&amp;":"&amp;ADDRESS(ROW(),COLUMN(NOTA[ID]))),-1)))</f>
        <v>ATALI MAKMUR</v>
      </c>
      <c r="AI144" s="42" t="str">
        <f ca="1">IF(NOTA[[#This Row],[ID_H]]="","",IF(NOTA[[#This Row],[FAKTUR]]="",INDIRECT(ADDRESS(ROW()-1,COLUMN())),NOTA[[#This Row],[FAKTUR]]))</f>
        <v>ARTO MORO</v>
      </c>
      <c r="AJ144" s="39" t="str">
        <f ca="1">IF(NOTA[[#This Row],[ID]]="","",COUNTIF(NOTA[ID_H],NOTA[[#This Row],[ID_H]]))</f>
        <v/>
      </c>
      <c r="AK144" s="39">
        <f ca="1">IF(NOTA[[#This Row],[TGL.NOTA]]="",IF(NOTA[[#This Row],[SUPPLIER_H]]="","",AK143),MONTH(NOTA[[#This Row],[TGL.NOTA]]))</f>
        <v>7</v>
      </c>
      <c r="AL144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9" t="str">
        <f>IF(NOTA[[#This Row],[CONCAT4]]="","",_xlfn.IFNA(MATCH(NOTA[[#This Row],[CONCAT4]],[2]!RAW[CONCAT_H],0),FALSE))</f>
        <v/>
      </c>
      <c r="AQ144" s="39">
        <f>IF(NOTA[[#This Row],[CONCAT1]]="","",MATCH(NOTA[[#This Row],[CONCAT1]],[3]!db[NB NOTA_C],0))</f>
        <v>635</v>
      </c>
      <c r="AR144" s="39" t="str">
        <f>IF(NOTA[[#This Row],[QTY/ CTN]]="","",TRUE)</f>
        <v/>
      </c>
      <c r="AS144" s="39" t="str">
        <f ca="1">IF(NOTA[[#This Row],[ID_H]]="","",IF(NOTA[[#This Row],[Column3]]=TRUE,NOTA[[#This Row],[QTY/ CTN]],INDEX([3]!db[QTY/ CTN],NOTA[[#This Row],[//DB]])))</f>
        <v>144 LSN</v>
      </c>
      <c r="AT1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U144" s="39" t="e">
        <f ca="1">IF(NOTA[[#This Row],[ID_H]]="","",MATCH(NOTA[[#This Row],[NB NOTA_C_QTY]],[4]!db[NB NOTA_C_QTY+F],0))</f>
        <v>#REF!</v>
      </c>
      <c r="AV144" s="55">
        <f ca="1">IF(NOTA[[#This Row],[NB NOTA_C_QTY]]="","",ROW()-2)</f>
        <v>142</v>
      </c>
    </row>
    <row r="145" spans="1:48" ht="20.100000000000001" customHeight="1" x14ac:dyDescent="0.25">
      <c r="A1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47"/>
      <c r="H145" s="48"/>
      <c r="N145" s="39"/>
      <c r="Q145" s="43"/>
      <c r="R145" s="49"/>
      <c r="S145" s="50"/>
      <c r="U145" s="51"/>
      <c r="V145" s="46"/>
      <c r="W145" s="51" t="str">
        <f>IF(NOTA[[#This Row],[HARGA/ CTN]]="",NOTA[[#This Row],[JUMLAH_H]],NOTA[[#This Row],[HARGA/ CTN]]*IF(NOTA[[#This Row],[C]]="",0,NOTA[[#This Row],[C]]))</f>
        <v/>
      </c>
      <c r="X145" s="51" t="str">
        <f>IF(NOTA[[#This Row],[JUMLAH]]="","",NOTA[[#This Row],[JUMLAH]]*NOTA[[#This Row],[DISC 1]])</f>
        <v/>
      </c>
      <c r="Y145" s="51" t="str">
        <f>IF(NOTA[[#This Row],[JUMLAH]]="","",(NOTA[[#This Row],[JUMLAH]]-NOTA[[#This Row],[DISC 1-]])*NOTA[[#This Row],[DISC 2]])</f>
        <v/>
      </c>
      <c r="Z145" s="51" t="str">
        <f>IF(NOTA[[#This Row],[JUMLAH]]="","",NOTA[[#This Row],[DISC 1-]]+NOTA[[#This Row],[DISC 2-]])</f>
        <v/>
      </c>
      <c r="AA145" s="51" t="str">
        <f>IF(NOTA[[#This Row],[JUMLAH]]="","",NOTA[[#This Row],[JUMLAH]]-NOTA[[#This Row],[DISC]])</f>
        <v/>
      </c>
      <c r="AB145" s="51"/>
      <c r="AC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1" t="str">
        <f>IF(OR(NOTA[[#This Row],[QTY]]="",NOTA[[#This Row],[HARGA SATUAN]]="",),"",NOTA[[#This Row],[QTY]]*NOTA[[#This Row],[HARGA SATUAN]])</f>
        <v/>
      </c>
      <c r="AG145" s="40" t="str">
        <f ca="1">IF(NOTA[ID_H]="","",INDEX(NOTA[TANGGAL],MATCH(,INDIRECT(ADDRESS(ROW(NOTA[TANGGAL]),COLUMN(NOTA[TANGGAL]))&amp;":"&amp;ADDRESS(ROW(),COLUMN(NOTA[TANGGAL]))),-1)))</f>
        <v/>
      </c>
      <c r="AH145" s="42" t="str">
        <f ca="1">IF(NOTA[[#This Row],[NAMA BARANG]]="","",INDEX(NOTA[SUPPLIER],MATCH(,INDIRECT(ADDRESS(ROW(NOTA[ID]),COLUMN(NOTA[ID]))&amp;":"&amp;ADDRESS(ROW(),COLUMN(NOTA[ID]))),-1)))</f>
        <v/>
      </c>
      <c r="AI145" s="42" t="str">
        <f ca="1">IF(NOTA[[#This Row],[ID_H]]="","",IF(NOTA[[#This Row],[FAKTUR]]="",INDIRECT(ADDRESS(ROW()-1,COLUMN())),NOTA[[#This Row],[FAKTUR]]))</f>
        <v/>
      </c>
      <c r="AJ145" s="39" t="str">
        <f ca="1">IF(NOTA[[#This Row],[ID]]="","",COUNTIF(NOTA[ID_H],NOTA[[#This Row],[ID_H]]))</f>
        <v/>
      </c>
      <c r="AK145" s="39" t="str">
        <f ca="1">IF(NOTA[[#This Row],[TGL.NOTA]]="",IF(NOTA[[#This Row],[SUPPLIER_H]]="","",AK144),MONTH(NOTA[[#This Row],[TGL.NOTA]]))</f>
        <v/>
      </c>
      <c r="AL145" s="39" t="str">
        <f>LOWER(SUBSTITUTE(SUBSTITUTE(SUBSTITUTE(SUBSTITUTE(SUBSTITUTE(SUBSTITUTE(SUBSTITUTE(SUBSTITUTE(SUBSTITUTE(NOTA[NAMA BARANG]," ",),".",""),"-",""),"(",""),")",""),",",""),"/",""),"""",""),"+",""))</f>
        <v/>
      </c>
      <c r="AM1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9" t="str">
        <f>IF(NOTA[[#This Row],[CONCAT4]]="","",_xlfn.IFNA(MATCH(NOTA[[#This Row],[CONCAT4]],[2]!RAW[CONCAT_H],0),FALSE))</f>
        <v/>
      </c>
      <c r="AQ145" s="39" t="str">
        <f>IF(NOTA[[#This Row],[CONCAT1]]="","",MATCH(NOTA[[#This Row],[CONCAT1]],[3]!db[NB NOTA_C],0))</f>
        <v/>
      </c>
      <c r="AR145" s="39" t="str">
        <f>IF(NOTA[[#This Row],[QTY/ CTN]]="","",TRUE)</f>
        <v/>
      </c>
      <c r="AS145" s="39" t="str">
        <f ca="1">IF(NOTA[[#This Row],[ID_H]]="","",IF(NOTA[[#This Row],[Column3]]=TRUE,NOTA[[#This Row],[QTY/ CTN]],INDEX([3]!db[QTY/ CTN],NOTA[[#This Row],[//DB]])))</f>
        <v/>
      </c>
      <c r="AT1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9" t="str">
        <f ca="1">IF(NOTA[[#This Row],[ID_H]]="","",MATCH(NOTA[[#This Row],[NB NOTA_C_QTY]],[4]!db[NB NOTA_C_QTY+F],0))</f>
        <v/>
      </c>
      <c r="AV145" s="55" t="str">
        <f ca="1">IF(NOTA[[#This Row],[NB NOTA_C_QTY]]="","",ROW()-2)</f>
        <v/>
      </c>
    </row>
    <row r="146" spans="1:48" ht="20.100000000000001" customHeight="1" x14ac:dyDescent="0.25">
      <c r="A146" s="42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37</v>
      </c>
      <c r="E146" s="47"/>
      <c r="F146" s="38" t="s">
        <v>22</v>
      </c>
      <c r="G146" s="38" t="s">
        <v>23</v>
      </c>
      <c r="H146" s="48" t="s">
        <v>272</v>
      </c>
      <c r="I146" s="38" t="s">
        <v>293</v>
      </c>
      <c r="J146" s="40">
        <v>45112</v>
      </c>
      <c r="L146" s="38" t="s">
        <v>273</v>
      </c>
      <c r="M146" s="41">
        <v>10</v>
      </c>
      <c r="N146" s="39"/>
      <c r="Q146" s="43">
        <v>1497600</v>
      </c>
      <c r="R146" s="49"/>
      <c r="S146" s="50">
        <v>0.17</v>
      </c>
      <c r="U146" s="51"/>
      <c r="V146" s="46"/>
      <c r="W146" s="51">
        <f>IF(NOTA[[#This Row],[HARGA/ CTN]]="",NOTA[[#This Row],[JUMLAH_H]],NOTA[[#This Row],[HARGA/ CTN]]*IF(NOTA[[#This Row],[C]]="",0,NOTA[[#This Row],[C]]))</f>
        <v>14976000</v>
      </c>
      <c r="X146" s="51">
        <f>IF(NOTA[[#This Row],[JUMLAH]]="","",NOTA[[#This Row],[JUMLAH]]*NOTA[[#This Row],[DISC 1]])</f>
        <v>2545920</v>
      </c>
      <c r="Y146" s="51">
        <f>IF(NOTA[[#This Row],[JUMLAH]]="","",(NOTA[[#This Row],[JUMLAH]]-NOTA[[#This Row],[DISC 1-]])*NOTA[[#This Row],[DISC 2]])</f>
        <v>0</v>
      </c>
      <c r="Z146" s="51">
        <f>IF(NOTA[[#This Row],[JUMLAH]]="","",NOTA[[#This Row],[DISC 1-]]+NOTA[[#This Row],[DISC 2-]])</f>
        <v>2545920</v>
      </c>
      <c r="AA146" s="51">
        <f>IF(NOTA[[#This Row],[JUMLAH]]="","",NOTA[[#This Row],[JUMLAH]]-NOTA[[#This Row],[DISC]])</f>
        <v>12430080</v>
      </c>
      <c r="AB146" s="51"/>
      <c r="AC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51" t="str">
        <f>IF(OR(NOTA[[#This Row],[QTY]]="",NOTA[[#This Row],[HARGA SATUAN]]="",),"",NOTA[[#This Row],[QTY]]*NOTA[[#This Row],[HARGA SATUAN]])</f>
        <v/>
      </c>
      <c r="AG146" s="40">
        <f ca="1">IF(NOTA[ID_H]="","",INDEX(NOTA[TANGGAL],MATCH(,INDIRECT(ADDRESS(ROW(NOTA[TANGGAL]),COLUMN(NOTA[TANGGAL]))&amp;":"&amp;ADDRESS(ROW(),COLUMN(NOTA[TANGGAL]))),-1)))</f>
        <v>45114</v>
      </c>
      <c r="AH146" s="42" t="str">
        <f ca="1">IF(NOTA[[#This Row],[NAMA BARANG]]="","",INDEX(NOTA[SUPPLIER],MATCH(,INDIRECT(ADDRESS(ROW(NOTA[ID]),COLUMN(NOTA[ID]))&amp;":"&amp;ADDRESS(ROW(),COLUMN(NOTA[ID]))),-1)))</f>
        <v>KENKO SINAR INDONESIA</v>
      </c>
      <c r="AI146" s="42" t="str">
        <f ca="1">IF(NOTA[[#This Row],[ID_H]]="","",IF(NOTA[[#This Row],[FAKTUR]]="",INDIRECT(ADDRESS(ROW()-1,COLUMN())),NOTA[[#This Row],[FAKTUR]]))</f>
        <v>ARTO MORO</v>
      </c>
      <c r="AJ146" s="39">
        <f ca="1">IF(NOTA[[#This Row],[ID]]="","",COUNTIF(NOTA[ID_H],NOTA[[#This Row],[ID_H]]))</f>
        <v>4</v>
      </c>
      <c r="AK146" s="39">
        <f>IF(NOTA[[#This Row],[TGL.NOTA]]="",IF(NOTA[[#This Row],[SUPPLIER_H]]="","",AK145),MONTH(NOTA[[#This Row],[TGL.NOTA]]))</f>
        <v>7</v>
      </c>
      <c r="AL14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39" t="e">
        <f>IF(NOTA[[#This Row],[CONCAT4]]="","",_xlfn.IFNA(MATCH(NOTA[[#This Row],[CONCAT4]],[2]!RAW[CONCAT_H],0),FALSE))</f>
        <v>#REF!</v>
      </c>
      <c r="AQ146" s="39">
        <f>IF(NOTA[[#This Row],[CONCAT1]]="","",MATCH(NOTA[[#This Row],[CONCAT1]],[3]!db[NB NOTA_C],0))</f>
        <v>1916</v>
      </c>
      <c r="AR146" s="39" t="str">
        <f>IF(NOTA[[#This Row],[QTY/ CTN]]="","",TRUE)</f>
        <v/>
      </c>
      <c r="AS146" s="39" t="str">
        <f ca="1">IF(NOTA[[#This Row],[ID_H]]="","",IF(NOTA[[#This Row],[Column3]]=TRUE,NOTA[[#This Row],[QTY/ CTN]],INDEX([3]!db[QTY/ CTN],NOTA[[#This Row],[//DB]])))</f>
        <v>24 LSN</v>
      </c>
      <c r="AT1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146" s="39" t="e">
        <f ca="1">IF(NOTA[[#This Row],[ID_H]]="","",MATCH(NOTA[[#This Row],[NB NOTA_C_QTY]],[4]!db[NB NOTA_C_QTY+F],0))</f>
        <v>#REF!</v>
      </c>
      <c r="AV146" s="55">
        <f ca="1">IF(NOTA[[#This Row],[NB NOTA_C_QTY]]="","",ROW()-2)</f>
        <v>144</v>
      </c>
    </row>
    <row r="147" spans="1:48" ht="20.100000000000001" customHeight="1" x14ac:dyDescent="0.25">
      <c r="A1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>
        <f ca="1">IF(NOTA[[#This Row],[NAMA BARANG]]="","",INDEX(NOTA[ID],MATCH(,INDIRECT(ADDRESS(ROW(NOTA[ID]),COLUMN(NOTA[ID]))&amp;":"&amp;ADDRESS(ROW(),COLUMN(NOTA[ID]))),-1)))</f>
        <v>37</v>
      </c>
      <c r="E147" s="47"/>
      <c r="H147" s="48"/>
      <c r="I147" s="38" t="s">
        <v>294</v>
      </c>
      <c r="L147" s="38" t="s">
        <v>274</v>
      </c>
      <c r="M147" s="41">
        <v>12</v>
      </c>
      <c r="N147" s="39"/>
      <c r="Q147" s="43">
        <v>2016000</v>
      </c>
      <c r="R147" s="49"/>
      <c r="S147" s="50">
        <v>0.17</v>
      </c>
      <c r="U147" s="51"/>
      <c r="V147" s="46"/>
      <c r="W147" s="51">
        <f>IF(NOTA[[#This Row],[HARGA/ CTN]]="",NOTA[[#This Row],[JUMLAH_H]],NOTA[[#This Row],[HARGA/ CTN]]*IF(NOTA[[#This Row],[C]]="",0,NOTA[[#This Row],[C]]))</f>
        <v>24192000</v>
      </c>
      <c r="X147" s="51">
        <f>IF(NOTA[[#This Row],[JUMLAH]]="","",NOTA[[#This Row],[JUMLAH]]*NOTA[[#This Row],[DISC 1]])</f>
        <v>4112640.0000000005</v>
      </c>
      <c r="Y147" s="51">
        <f>IF(NOTA[[#This Row],[JUMLAH]]="","",(NOTA[[#This Row],[JUMLAH]]-NOTA[[#This Row],[DISC 1-]])*NOTA[[#This Row],[DISC 2]])</f>
        <v>0</v>
      </c>
      <c r="Z147" s="51">
        <f>IF(NOTA[[#This Row],[JUMLAH]]="","",NOTA[[#This Row],[DISC 1-]]+NOTA[[#This Row],[DISC 2-]])</f>
        <v>4112640.0000000005</v>
      </c>
      <c r="AA147" s="51">
        <f>IF(NOTA[[#This Row],[JUMLAH]]="","",NOTA[[#This Row],[JUMLAH]]-NOTA[[#This Row],[DISC]])</f>
        <v>20079360</v>
      </c>
      <c r="AB147" s="51"/>
      <c r="AC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51" t="str">
        <f>IF(OR(NOTA[[#This Row],[QTY]]="",NOTA[[#This Row],[HARGA SATUAN]]="",),"",NOTA[[#This Row],[QTY]]*NOTA[[#This Row],[HARGA SATUAN]])</f>
        <v/>
      </c>
      <c r="AG147" s="40">
        <f ca="1">IF(NOTA[ID_H]="","",INDEX(NOTA[TANGGAL],MATCH(,INDIRECT(ADDRESS(ROW(NOTA[TANGGAL]),COLUMN(NOTA[TANGGAL]))&amp;":"&amp;ADDRESS(ROW(),COLUMN(NOTA[TANGGAL]))),-1)))</f>
        <v>45114</v>
      </c>
      <c r="AH147" s="42" t="str">
        <f ca="1">IF(NOTA[[#This Row],[NAMA BARANG]]="","",INDEX(NOTA[SUPPLIER],MATCH(,INDIRECT(ADDRESS(ROW(NOTA[ID]),COLUMN(NOTA[ID]))&amp;":"&amp;ADDRESS(ROW(),COLUMN(NOTA[ID]))),-1)))</f>
        <v>KENKO SINAR INDONESIA</v>
      </c>
      <c r="AI147" s="42" t="str">
        <f ca="1">IF(NOTA[[#This Row],[ID_H]]="","",IF(NOTA[[#This Row],[FAKTUR]]="",INDIRECT(ADDRESS(ROW()-1,COLUMN())),NOTA[[#This Row],[FAKTUR]]))</f>
        <v>ARTO MORO</v>
      </c>
      <c r="AJ147" s="39" t="str">
        <f ca="1">IF(NOTA[[#This Row],[ID]]="","",COUNTIF(NOTA[ID_H],NOTA[[#This Row],[ID_H]]))</f>
        <v/>
      </c>
      <c r="AK147" s="39">
        <f ca="1">IF(NOTA[[#This Row],[TGL.NOTA]]="",IF(NOTA[[#This Row],[SUPPLIER_H]]="","",AK146),MONTH(NOTA[[#This Row],[TGL.NOTA]]))</f>
        <v>7</v>
      </c>
      <c r="AL147" s="39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9" t="str">
        <f>IF(NOTA[[#This Row],[CONCAT4]]="","",_xlfn.IFNA(MATCH(NOTA[[#This Row],[CONCAT4]],[2]!RAW[CONCAT_H],0),FALSE))</f>
        <v/>
      </c>
      <c r="AQ147" s="39">
        <f>IF(NOTA[[#This Row],[CONCAT1]]="","",MATCH(NOTA[[#This Row],[CONCAT1]],[3]!db[NB NOTA_C],0))</f>
        <v>2337</v>
      </c>
      <c r="AR147" s="39" t="str">
        <f>IF(NOTA[[#This Row],[QTY/ CTN]]="","",TRUE)</f>
        <v/>
      </c>
      <c r="AS147" s="39" t="str">
        <f ca="1">IF(NOTA[[#This Row],[ID_H]]="","",IF(NOTA[[#This Row],[Column3]]=TRUE,NOTA[[#This Row],[QTY/ CTN]],INDEX([3]!db[QTY/ CTN],NOTA[[#This Row],[//DB]])))</f>
        <v>16 LSN</v>
      </c>
      <c r="AT1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U147" s="39" t="e">
        <f ca="1">IF(NOTA[[#This Row],[ID_H]]="","",MATCH(NOTA[[#This Row],[NB NOTA_C_QTY]],[4]!db[NB NOTA_C_QTY+F],0))</f>
        <v>#REF!</v>
      </c>
      <c r="AV147" s="55">
        <f ca="1">IF(NOTA[[#This Row],[NB NOTA_C_QTY]]="","",ROW()-2)</f>
        <v>145</v>
      </c>
    </row>
    <row r="148" spans="1:48" ht="20.100000000000001" customHeight="1" x14ac:dyDescent="0.25">
      <c r="A1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37</v>
      </c>
      <c r="E148" s="47"/>
      <c r="H148" s="48"/>
      <c r="L148" s="38" t="s">
        <v>275</v>
      </c>
      <c r="M148" s="41">
        <v>3</v>
      </c>
      <c r="N148" s="39"/>
      <c r="Q148" s="43">
        <v>3571200</v>
      </c>
      <c r="R148" s="49"/>
      <c r="S148" s="50">
        <v>0.17</v>
      </c>
      <c r="U148" s="51"/>
      <c r="V148" s="46"/>
      <c r="W148" s="51">
        <f>IF(NOTA[[#This Row],[HARGA/ CTN]]="",NOTA[[#This Row],[JUMLAH_H]],NOTA[[#This Row],[HARGA/ CTN]]*IF(NOTA[[#This Row],[C]]="",0,NOTA[[#This Row],[C]]))</f>
        <v>10713600</v>
      </c>
      <c r="X148" s="51">
        <f>IF(NOTA[[#This Row],[JUMLAH]]="","",NOTA[[#This Row],[JUMLAH]]*NOTA[[#This Row],[DISC 1]])</f>
        <v>1821312.0000000002</v>
      </c>
      <c r="Y148" s="51">
        <f>IF(NOTA[[#This Row],[JUMLAH]]="","",(NOTA[[#This Row],[JUMLAH]]-NOTA[[#This Row],[DISC 1-]])*NOTA[[#This Row],[DISC 2]])</f>
        <v>0</v>
      </c>
      <c r="Z148" s="51">
        <f>IF(NOTA[[#This Row],[JUMLAH]]="","",NOTA[[#This Row],[DISC 1-]]+NOTA[[#This Row],[DISC 2-]])</f>
        <v>1821312.0000000002</v>
      </c>
      <c r="AA148" s="51">
        <f>IF(NOTA[[#This Row],[JUMLAH]]="","",NOTA[[#This Row],[JUMLAH]]-NOTA[[#This Row],[DISC]])</f>
        <v>8892288</v>
      </c>
      <c r="AB148" s="51"/>
      <c r="AC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2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51" t="str">
        <f>IF(OR(NOTA[[#This Row],[QTY]]="",NOTA[[#This Row],[HARGA SATUAN]]="",),"",NOTA[[#This Row],[QTY]]*NOTA[[#This Row],[HARGA SATUAN]])</f>
        <v/>
      </c>
      <c r="AG148" s="40">
        <f ca="1">IF(NOTA[ID_H]="","",INDEX(NOTA[TANGGAL],MATCH(,INDIRECT(ADDRESS(ROW(NOTA[TANGGAL]),COLUMN(NOTA[TANGGAL]))&amp;":"&amp;ADDRESS(ROW(),COLUMN(NOTA[TANGGAL]))),-1)))</f>
        <v>45114</v>
      </c>
      <c r="AH148" s="42" t="str">
        <f ca="1">IF(NOTA[[#This Row],[NAMA BARANG]]="","",INDEX(NOTA[SUPPLIER],MATCH(,INDIRECT(ADDRESS(ROW(NOTA[ID]),COLUMN(NOTA[ID]))&amp;":"&amp;ADDRESS(ROW(),COLUMN(NOTA[ID]))),-1)))</f>
        <v>KENKO SINAR INDONESIA</v>
      </c>
      <c r="AI148" s="42" t="str">
        <f ca="1">IF(NOTA[[#This Row],[ID_H]]="","",IF(NOTA[[#This Row],[FAKTUR]]="",INDIRECT(ADDRESS(ROW()-1,COLUMN())),NOTA[[#This Row],[FAKTUR]]))</f>
        <v>ARTO MORO</v>
      </c>
      <c r="AJ148" s="39" t="str">
        <f ca="1">IF(NOTA[[#This Row],[ID]]="","",COUNTIF(NOTA[ID_H],NOTA[[#This Row],[ID_H]]))</f>
        <v/>
      </c>
      <c r="AK148" s="39">
        <f ca="1">IF(NOTA[[#This Row],[TGL.NOTA]]="",IF(NOTA[[#This Row],[SUPPLIER_H]]="","",AK147),MONTH(NOTA[[#This Row],[TGL.NOTA]]))</f>
        <v>7</v>
      </c>
      <c r="AL148" s="39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9" t="str">
        <f>IF(NOTA[[#This Row],[CONCAT4]]="","",_xlfn.IFNA(MATCH(NOTA[[#This Row],[CONCAT4]],[2]!RAW[CONCAT_H],0),FALSE))</f>
        <v/>
      </c>
      <c r="AQ148" s="39">
        <f>IF(NOTA[[#This Row],[CONCAT1]]="","",MATCH(NOTA[[#This Row],[CONCAT1]],[3]!db[NB NOTA_C],0))</f>
        <v>2317</v>
      </c>
      <c r="AR148" s="39" t="str">
        <f>IF(NOTA[[#This Row],[QTY/ CTN]]="","",TRUE)</f>
        <v/>
      </c>
      <c r="AS148" s="39" t="str">
        <f ca="1">IF(NOTA[[#This Row],[ID_H]]="","",IF(NOTA[[#This Row],[Column3]]=TRUE,NOTA[[#This Row],[QTY/ CTN]],INDEX([3]!db[QTY/ CTN],NOTA[[#This Row],[//DB]])))</f>
        <v>24 LSN</v>
      </c>
      <c r="AT1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48" s="39" t="e">
        <f ca="1">IF(NOTA[[#This Row],[ID_H]]="","",MATCH(NOTA[[#This Row],[NB NOTA_C_QTY]],[4]!db[NB NOTA_C_QTY+F],0))</f>
        <v>#REF!</v>
      </c>
      <c r="AV148" s="55">
        <f ca="1">IF(NOTA[[#This Row],[NB NOTA_C_QTY]]="","",ROW()-2)</f>
        <v>146</v>
      </c>
    </row>
    <row r="149" spans="1:48" ht="20.100000000000001" customHeight="1" x14ac:dyDescent="0.25">
      <c r="A1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37</v>
      </c>
      <c r="E149" s="47"/>
      <c r="H149" s="48"/>
      <c r="L149" s="38" t="s">
        <v>276</v>
      </c>
      <c r="M149" s="41">
        <v>2</v>
      </c>
      <c r="N149" s="39"/>
      <c r="Q149" s="43">
        <v>2040000</v>
      </c>
      <c r="R149" s="49"/>
      <c r="S149" s="50">
        <v>0.17</v>
      </c>
      <c r="U149" s="51"/>
      <c r="V149" s="46"/>
      <c r="W149" s="51">
        <f>IF(NOTA[[#This Row],[HARGA/ CTN]]="",NOTA[[#This Row],[JUMLAH_H]],NOTA[[#This Row],[HARGA/ CTN]]*IF(NOTA[[#This Row],[C]]="",0,NOTA[[#This Row],[C]]))</f>
        <v>4080000</v>
      </c>
      <c r="X149" s="51">
        <f>IF(NOTA[[#This Row],[JUMLAH]]="","",NOTA[[#This Row],[JUMLAH]]*NOTA[[#This Row],[DISC 1]])</f>
        <v>693600</v>
      </c>
      <c r="Y149" s="51">
        <f>IF(NOTA[[#This Row],[JUMLAH]]="","",(NOTA[[#This Row],[JUMLAH]]-NOTA[[#This Row],[DISC 1-]])*NOTA[[#This Row],[DISC 2]])</f>
        <v>0</v>
      </c>
      <c r="Z149" s="51">
        <f>IF(NOTA[[#This Row],[JUMLAH]]="","",NOTA[[#This Row],[DISC 1-]]+NOTA[[#This Row],[DISC 2-]])</f>
        <v>693600</v>
      </c>
      <c r="AA149" s="51">
        <f>IF(NOTA[[#This Row],[JUMLAH]]="","",NOTA[[#This Row],[JUMLAH]]-NOTA[[#This Row],[DISC]])</f>
        <v>3386400</v>
      </c>
      <c r="AB149" s="51"/>
      <c r="AC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4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51" t="str">
        <f>IF(OR(NOTA[[#This Row],[QTY]]="",NOTA[[#This Row],[HARGA SATUAN]]="",),"",NOTA[[#This Row],[QTY]]*NOTA[[#This Row],[HARGA SATUAN]])</f>
        <v/>
      </c>
      <c r="AG149" s="40">
        <f ca="1">IF(NOTA[ID_H]="","",INDEX(NOTA[TANGGAL],MATCH(,INDIRECT(ADDRESS(ROW(NOTA[TANGGAL]),COLUMN(NOTA[TANGGAL]))&amp;":"&amp;ADDRESS(ROW(),COLUMN(NOTA[TANGGAL]))),-1)))</f>
        <v>45114</v>
      </c>
      <c r="AH149" s="42" t="str">
        <f ca="1">IF(NOTA[[#This Row],[NAMA BARANG]]="","",INDEX(NOTA[SUPPLIER],MATCH(,INDIRECT(ADDRESS(ROW(NOTA[ID]),COLUMN(NOTA[ID]))&amp;":"&amp;ADDRESS(ROW(),COLUMN(NOTA[ID]))),-1)))</f>
        <v>KENKO SINAR INDONESIA</v>
      </c>
      <c r="AI149" s="42" t="str">
        <f ca="1">IF(NOTA[[#This Row],[ID_H]]="","",IF(NOTA[[#This Row],[FAKTUR]]="",INDIRECT(ADDRESS(ROW()-1,COLUMN())),NOTA[[#This Row],[FAKTUR]]))</f>
        <v>ARTO MORO</v>
      </c>
      <c r="AJ149" s="39" t="str">
        <f ca="1">IF(NOTA[[#This Row],[ID]]="","",COUNTIF(NOTA[ID_H],NOTA[[#This Row],[ID_H]]))</f>
        <v/>
      </c>
      <c r="AK149" s="39">
        <f ca="1">IF(NOTA[[#This Row],[TGL.NOTA]]="",IF(NOTA[[#This Row],[SUPPLIER_H]]="","",AK148),MONTH(NOTA[[#This Row],[TGL.NOTA]]))</f>
        <v>7</v>
      </c>
      <c r="AL149" s="39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9" t="str">
        <f>IF(NOTA[[#This Row],[CONCAT4]]="","",_xlfn.IFNA(MATCH(NOTA[[#This Row],[CONCAT4]],[2]!RAW[CONCAT_H],0),FALSE))</f>
        <v/>
      </c>
      <c r="AQ149" s="39">
        <f>IF(NOTA[[#This Row],[CONCAT1]]="","",MATCH(NOTA[[#This Row],[CONCAT1]],[3]!db[NB NOTA_C],0))</f>
        <v>2345</v>
      </c>
      <c r="AR149" s="39" t="str">
        <f>IF(NOTA[[#This Row],[QTY/ CTN]]="","",TRUE)</f>
        <v/>
      </c>
      <c r="AS149" s="39" t="str">
        <f ca="1">IF(NOTA[[#This Row],[ID_H]]="","",IF(NOTA[[#This Row],[Column3]]=TRUE,NOTA[[#This Row],[QTY/ CTN]],INDEX([3]!db[QTY/ CTN],NOTA[[#This Row],[//DB]])))</f>
        <v>10 BOX (6 SET)</v>
      </c>
      <c r="AT1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U149" s="39" t="e">
        <f ca="1">IF(NOTA[[#This Row],[ID_H]]="","",MATCH(NOTA[[#This Row],[NB NOTA_C_QTY]],[4]!db[NB NOTA_C_QTY+F],0))</f>
        <v>#REF!</v>
      </c>
      <c r="AV149" s="55">
        <f ca="1">IF(NOTA[[#This Row],[NB NOTA_C_QTY]]="","",ROW()-2)</f>
        <v>147</v>
      </c>
    </row>
    <row r="150" spans="1:48" ht="20.100000000000001" customHeight="1" x14ac:dyDescent="0.25">
      <c r="A1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 t="str">
        <f ca="1">IF(NOTA[[#This Row],[NAMA BARANG]]="","",INDEX(NOTA[ID],MATCH(,INDIRECT(ADDRESS(ROW(NOTA[ID]),COLUMN(NOTA[ID]))&amp;":"&amp;ADDRESS(ROW(),COLUMN(NOTA[ID]))),-1)))</f>
        <v/>
      </c>
      <c r="E150" s="47"/>
      <c r="H150" s="48"/>
      <c r="N150" s="39"/>
      <c r="Q150" s="43"/>
      <c r="R150" s="49"/>
      <c r="S150" s="50"/>
      <c r="U150" s="51"/>
      <c r="V150" s="46"/>
      <c r="W150" s="51" t="str">
        <f>IF(NOTA[[#This Row],[HARGA/ CTN]]="",NOTA[[#This Row],[JUMLAH_H]],NOTA[[#This Row],[HARGA/ CTN]]*IF(NOTA[[#This Row],[C]]="",0,NOTA[[#This Row],[C]]))</f>
        <v/>
      </c>
      <c r="X150" s="51" t="str">
        <f>IF(NOTA[[#This Row],[JUMLAH]]="","",NOTA[[#This Row],[JUMLAH]]*NOTA[[#This Row],[DISC 1]])</f>
        <v/>
      </c>
      <c r="Y150" s="51" t="str">
        <f>IF(NOTA[[#This Row],[JUMLAH]]="","",(NOTA[[#This Row],[JUMLAH]]-NOTA[[#This Row],[DISC 1-]])*NOTA[[#This Row],[DISC 2]])</f>
        <v/>
      </c>
      <c r="Z150" s="51" t="str">
        <f>IF(NOTA[[#This Row],[JUMLAH]]="","",NOTA[[#This Row],[DISC 1-]]+NOTA[[#This Row],[DISC 2-]])</f>
        <v/>
      </c>
      <c r="AA150" s="51" t="str">
        <f>IF(NOTA[[#This Row],[JUMLAH]]="","",NOTA[[#This Row],[JUMLAH]]-NOTA[[#This Row],[DISC]])</f>
        <v/>
      </c>
      <c r="AB150" s="51"/>
      <c r="AC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1" t="str">
        <f>IF(OR(NOTA[[#This Row],[QTY]]="",NOTA[[#This Row],[HARGA SATUAN]]="",),"",NOTA[[#This Row],[QTY]]*NOTA[[#This Row],[HARGA SATUAN]])</f>
        <v/>
      </c>
      <c r="AG150" s="40" t="str">
        <f ca="1">IF(NOTA[ID_H]="","",INDEX(NOTA[TANGGAL],MATCH(,INDIRECT(ADDRESS(ROW(NOTA[TANGGAL]),COLUMN(NOTA[TANGGAL]))&amp;":"&amp;ADDRESS(ROW(),COLUMN(NOTA[TANGGAL]))),-1)))</f>
        <v/>
      </c>
      <c r="AH150" s="42" t="str">
        <f ca="1">IF(NOTA[[#This Row],[NAMA BARANG]]="","",INDEX(NOTA[SUPPLIER],MATCH(,INDIRECT(ADDRESS(ROW(NOTA[ID]),COLUMN(NOTA[ID]))&amp;":"&amp;ADDRESS(ROW(),COLUMN(NOTA[ID]))),-1)))</f>
        <v/>
      </c>
      <c r="AI150" s="42" t="str">
        <f ca="1">IF(NOTA[[#This Row],[ID_H]]="","",IF(NOTA[[#This Row],[FAKTUR]]="",INDIRECT(ADDRESS(ROW()-1,COLUMN())),NOTA[[#This Row],[FAKTUR]]))</f>
        <v/>
      </c>
      <c r="AJ150" s="39" t="str">
        <f ca="1">IF(NOTA[[#This Row],[ID]]="","",COUNTIF(NOTA[ID_H],NOTA[[#This Row],[ID_H]]))</f>
        <v/>
      </c>
      <c r="AK150" s="39" t="str">
        <f ca="1">IF(NOTA[[#This Row],[TGL.NOTA]]="",IF(NOTA[[#This Row],[SUPPLIER_H]]="","",AK149),MONTH(NOTA[[#This Row],[TGL.NOTA]]))</f>
        <v/>
      </c>
      <c r="AL150" s="39" t="str">
        <f>LOWER(SUBSTITUTE(SUBSTITUTE(SUBSTITUTE(SUBSTITUTE(SUBSTITUTE(SUBSTITUTE(SUBSTITUTE(SUBSTITUTE(SUBSTITUTE(NOTA[NAMA BARANG]," ",),".",""),"-",""),"(",""),")",""),",",""),"/",""),"""",""),"+",""))</f>
        <v/>
      </c>
      <c r="AM1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9" t="str">
        <f>IF(NOTA[[#This Row],[CONCAT4]]="","",_xlfn.IFNA(MATCH(NOTA[[#This Row],[CONCAT4]],[2]!RAW[CONCAT_H],0),FALSE))</f>
        <v/>
      </c>
      <c r="AQ150" s="39" t="str">
        <f>IF(NOTA[[#This Row],[CONCAT1]]="","",MATCH(NOTA[[#This Row],[CONCAT1]],[3]!db[NB NOTA_C],0))</f>
        <v/>
      </c>
      <c r="AR150" s="39" t="str">
        <f>IF(NOTA[[#This Row],[QTY/ CTN]]="","",TRUE)</f>
        <v/>
      </c>
      <c r="AS150" s="39" t="str">
        <f ca="1">IF(NOTA[[#This Row],[ID_H]]="","",IF(NOTA[[#This Row],[Column3]]=TRUE,NOTA[[#This Row],[QTY/ CTN]],INDEX([3]!db[QTY/ CTN],NOTA[[#This Row],[//DB]])))</f>
        <v/>
      </c>
      <c r="AT1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9" t="str">
        <f ca="1">IF(NOTA[[#This Row],[ID_H]]="","",MATCH(NOTA[[#This Row],[NB NOTA_C_QTY]],[4]!db[NB NOTA_C_QTY+F],0))</f>
        <v/>
      </c>
      <c r="AV150" s="55" t="str">
        <f ca="1">IF(NOTA[[#This Row],[NB NOTA_C_QTY]]="","",ROW()-2)</f>
        <v/>
      </c>
    </row>
    <row r="151" spans="1:48" ht="20.100000000000001" customHeight="1" x14ac:dyDescent="0.25">
      <c r="A151" s="42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39" t="e">
        <f ca="1">IF(NOTA[[#This Row],[ID_P]]="","",MATCH(NOTA[[#This Row],[ID_P]],[1]!B_MSK[N_ID],0))</f>
        <v>#REF!</v>
      </c>
      <c r="D151" s="39">
        <f ca="1">IF(NOTA[[#This Row],[NAMA BARANG]]="","",INDEX(NOTA[ID],MATCH(,INDIRECT(ADDRESS(ROW(NOTA[ID]),COLUMN(NOTA[ID]))&amp;":"&amp;ADDRESS(ROW(),COLUMN(NOTA[ID]))),-1)))</f>
        <v>38</v>
      </c>
      <c r="E151" s="47"/>
      <c r="F151" s="38" t="s">
        <v>22</v>
      </c>
      <c r="G151" s="38" t="s">
        <v>23</v>
      </c>
      <c r="H151" s="48" t="s">
        <v>277</v>
      </c>
      <c r="I151" s="38" t="s">
        <v>295</v>
      </c>
      <c r="J151" s="40">
        <v>45112</v>
      </c>
      <c r="L151" s="38" t="s">
        <v>278</v>
      </c>
      <c r="M151" s="41">
        <v>1</v>
      </c>
      <c r="N151" s="39"/>
      <c r="Q151" s="43">
        <v>741600</v>
      </c>
      <c r="R151" s="49"/>
      <c r="S151" s="50">
        <v>0.17</v>
      </c>
      <c r="U151" s="51"/>
      <c r="V151" s="46"/>
      <c r="W151" s="51">
        <f>IF(NOTA[[#This Row],[HARGA/ CTN]]="",NOTA[[#This Row],[JUMLAH_H]],NOTA[[#This Row],[HARGA/ CTN]]*IF(NOTA[[#This Row],[C]]="",0,NOTA[[#This Row],[C]]))</f>
        <v>741600</v>
      </c>
      <c r="X151" s="51">
        <f>IF(NOTA[[#This Row],[JUMLAH]]="","",NOTA[[#This Row],[JUMLAH]]*NOTA[[#This Row],[DISC 1]])</f>
        <v>126072.00000000001</v>
      </c>
      <c r="Y151" s="51">
        <f>IF(NOTA[[#This Row],[JUMLAH]]="","",(NOTA[[#This Row],[JUMLAH]]-NOTA[[#This Row],[DISC 1-]])*NOTA[[#This Row],[DISC 2]])</f>
        <v>0</v>
      </c>
      <c r="Z151" s="51">
        <f>IF(NOTA[[#This Row],[JUMLAH]]="","",NOTA[[#This Row],[DISC 1-]]+NOTA[[#This Row],[DISC 2-]])</f>
        <v>126072.00000000001</v>
      </c>
      <c r="AA151" s="51">
        <f>IF(NOTA[[#This Row],[JUMLAH]]="","",NOTA[[#This Row],[JUMLAH]]-NOTA[[#This Row],[DISC]])</f>
        <v>615528</v>
      </c>
      <c r="AB151" s="51"/>
      <c r="AC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51" t="str">
        <f>IF(OR(NOTA[[#This Row],[QTY]]="",NOTA[[#This Row],[HARGA SATUAN]]="",),"",NOTA[[#This Row],[QTY]]*NOTA[[#This Row],[HARGA SATUAN]])</f>
        <v/>
      </c>
      <c r="AG151" s="40">
        <f ca="1">IF(NOTA[ID_H]="","",INDEX(NOTA[TANGGAL],MATCH(,INDIRECT(ADDRESS(ROW(NOTA[TANGGAL]),COLUMN(NOTA[TANGGAL]))&amp;":"&amp;ADDRESS(ROW(),COLUMN(NOTA[TANGGAL]))),-1)))</f>
        <v>45114</v>
      </c>
      <c r="AH151" s="42" t="str">
        <f ca="1">IF(NOTA[[#This Row],[NAMA BARANG]]="","",INDEX(NOTA[SUPPLIER],MATCH(,INDIRECT(ADDRESS(ROW(NOTA[ID]),COLUMN(NOTA[ID]))&amp;":"&amp;ADDRESS(ROW(),COLUMN(NOTA[ID]))),-1)))</f>
        <v>KENKO SINAR INDONESIA</v>
      </c>
      <c r="AI151" s="42" t="str">
        <f ca="1">IF(NOTA[[#This Row],[ID_H]]="","",IF(NOTA[[#This Row],[FAKTUR]]="",INDIRECT(ADDRESS(ROW()-1,COLUMN())),NOTA[[#This Row],[FAKTUR]]))</f>
        <v>ARTO MORO</v>
      </c>
      <c r="AJ151" s="39">
        <f ca="1">IF(NOTA[[#This Row],[ID]]="","",COUNTIF(NOTA[ID_H],NOTA[[#This Row],[ID_H]]))</f>
        <v>10</v>
      </c>
      <c r="AK151" s="39">
        <f>IF(NOTA[[#This Row],[TGL.NOTA]]="",IF(NOTA[[#This Row],[SUPPLIER_H]]="","",AK150),MONTH(NOTA[[#This Row],[TGL.NOTA]]))</f>
        <v>7</v>
      </c>
      <c r="AL151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39" t="e">
        <f>IF(NOTA[[#This Row],[CONCAT4]]="","",_xlfn.IFNA(MATCH(NOTA[[#This Row],[CONCAT4]],[2]!RAW[CONCAT_H],0),FALSE))</f>
        <v>#REF!</v>
      </c>
      <c r="AQ151" s="39">
        <f>IF(NOTA[[#This Row],[CONCAT1]]="","",MATCH(NOTA[[#This Row],[CONCAT1]],[3]!db[NB NOTA_C],0))</f>
        <v>2286</v>
      </c>
      <c r="AR151" s="39" t="str">
        <f>IF(NOTA[[#This Row],[QTY/ CTN]]="","",TRUE)</f>
        <v/>
      </c>
      <c r="AS151" s="39" t="str">
        <f ca="1">IF(NOTA[[#This Row],[ID_H]]="","",IF(NOTA[[#This Row],[Column3]]=TRUE,NOTA[[#This Row],[QTY/ CTN]],INDEX([3]!db[QTY/ CTN],NOTA[[#This Row],[//DB]])))</f>
        <v>12 LSN</v>
      </c>
      <c r="AT1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151" s="39" t="e">
        <f ca="1">IF(NOTA[[#This Row],[ID_H]]="","",MATCH(NOTA[[#This Row],[NB NOTA_C_QTY]],[4]!db[NB NOTA_C_QTY+F],0))</f>
        <v>#REF!</v>
      </c>
      <c r="AV151" s="55">
        <f ca="1">IF(NOTA[[#This Row],[NB NOTA_C_QTY]]="","",ROW()-2)</f>
        <v>149</v>
      </c>
    </row>
    <row r="152" spans="1:48" ht="20.100000000000001" customHeight="1" x14ac:dyDescent="0.25">
      <c r="A1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38</v>
      </c>
      <c r="E152" s="47"/>
      <c r="H152" s="48"/>
      <c r="L152" s="38" t="s">
        <v>279</v>
      </c>
      <c r="M152" s="41">
        <v>1</v>
      </c>
      <c r="N152" s="39"/>
      <c r="Q152" s="43">
        <v>396000</v>
      </c>
      <c r="R152" s="49"/>
      <c r="S152" s="50">
        <v>0.17</v>
      </c>
      <c r="U152" s="51"/>
      <c r="V152" s="46"/>
      <c r="W152" s="51">
        <f>IF(NOTA[[#This Row],[HARGA/ CTN]]="",NOTA[[#This Row],[JUMLAH_H]],NOTA[[#This Row],[HARGA/ CTN]]*IF(NOTA[[#This Row],[C]]="",0,NOTA[[#This Row],[C]]))</f>
        <v>396000</v>
      </c>
      <c r="X152" s="51">
        <f>IF(NOTA[[#This Row],[JUMLAH]]="","",NOTA[[#This Row],[JUMLAH]]*NOTA[[#This Row],[DISC 1]])</f>
        <v>67320</v>
      </c>
      <c r="Y152" s="51">
        <f>IF(NOTA[[#This Row],[JUMLAH]]="","",(NOTA[[#This Row],[JUMLAH]]-NOTA[[#This Row],[DISC 1-]])*NOTA[[#This Row],[DISC 2]])</f>
        <v>0</v>
      </c>
      <c r="Z152" s="51">
        <f>IF(NOTA[[#This Row],[JUMLAH]]="","",NOTA[[#This Row],[DISC 1-]]+NOTA[[#This Row],[DISC 2-]])</f>
        <v>67320</v>
      </c>
      <c r="AA152" s="51">
        <f>IF(NOTA[[#This Row],[JUMLAH]]="","",NOTA[[#This Row],[JUMLAH]]-NOTA[[#This Row],[DISC]])</f>
        <v>328680</v>
      </c>
      <c r="AB152" s="51"/>
      <c r="AC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51" t="str">
        <f>IF(OR(NOTA[[#This Row],[QTY]]="",NOTA[[#This Row],[HARGA SATUAN]]="",),"",NOTA[[#This Row],[QTY]]*NOTA[[#This Row],[HARGA SATUAN]])</f>
        <v/>
      </c>
      <c r="AG152" s="40">
        <f ca="1">IF(NOTA[ID_H]="","",INDEX(NOTA[TANGGAL],MATCH(,INDIRECT(ADDRESS(ROW(NOTA[TANGGAL]),COLUMN(NOTA[TANGGAL]))&amp;":"&amp;ADDRESS(ROW(),COLUMN(NOTA[TANGGAL]))),-1)))</f>
        <v>45114</v>
      </c>
      <c r="AH152" s="42" t="str">
        <f ca="1">IF(NOTA[[#This Row],[NAMA BARANG]]="","",INDEX(NOTA[SUPPLIER],MATCH(,INDIRECT(ADDRESS(ROW(NOTA[ID]),COLUMN(NOTA[ID]))&amp;":"&amp;ADDRESS(ROW(),COLUMN(NOTA[ID]))),-1)))</f>
        <v>KENKO SINAR INDONESIA</v>
      </c>
      <c r="AI152" s="42" t="str">
        <f ca="1">IF(NOTA[[#This Row],[ID_H]]="","",IF(NOTA[[#This Row],[FAKTUR]]="",INDIRECT(ADDRESS(ROW()-1,COLUMN())),NOTA[[#This Row],[FAKTUR]]))</f>
        <v>ARTO MORO</v>
      </c>
      <c r="AJ152" s="39" t="str">
        <f ca="1">IF(NOTA[[#This Row],[ID]]="","",COUNTIF(NOTA[ID_H],NOTA[[#This Row],[ID_H]]))</f>
        <v/>
      </c>
      <c r="AK152" s="39">
        <f ca="1">IF(NOTA[[#This Row],[TGL.NOTA]]="",IF(NOTA[[#This Row],[SUPPLIER_H]]="","",AK151),MONTH(NOTA[[#This Row],[TGL.NOTA]]))</f>
        <v>7</v>
      </c>
      <c r="AL152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9" t="str">
        <f>IF(NOTA[[#This Row],[CONCAT4]]="","",_xlfn.IFNA(MATCH(NOTA[[#This Row],[CONCAT4]],[2]!RAW[CONCAT_H],0),FALSE))</f>
        <v/>
      </c>
      <c r="AQ152" s="39">
        <f>IF(NOTA[[#This Row],[CONCAT1]]="","",MATCH(NOTA[[#This Row],[CONCAT1]],[3]!db[NB NOTA_C],0))</f>
        <v>1492</v>
      </c>
      <c r="AR152" s="39" t="str">
        <f>IF(NOTA[[#This Row],[QTY/ CTN]]="","",TRUE)</f>
        <v/>
      </c>
      <c r="AS152" s="39" t="str">
        <f ca="1">IF(NOTA[[#This Row],[ID_H]]="","",IF(NOTA[[#This Row],[Column3]]=TRUE,NOTA[[#This Row],[QTY/ CTN]],INDEX([3]!db[QTY/ CTN],NOTA[[#This Row],[//DB]])))</f>
        <v>20 LSN</v>
      </c>
      <c r="AT1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152" s="39" t="e">
        <f ca="1">IF(NOTA[[#This Row],[ID_H]]="","",MATCH(NOTA[[#This Row],[NB NOTA_C_QTY]],[4]!db[NB NOTA_C_QTY+F],0))</f>
        <v>#REF!</v>
      </c>
      <c r="AV152" s="55">
        <f ca="1">IF(NOTA[[#This Row],[NB NOTA_C_QTY]]="","",ROW()-2)</f>
        <v>150</v>
      </c>
    </row>
    <row r="153" spans="1:48" ht="20.100000000000001" customHeight="1" x14ac:dyDescent="0.25">
      <c r="A1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38</v>
      </c>
      <c r="E153" s="47"/>
      <c r="H153" s="48"/>
      <c r="L153" s="38" t="s">
        <v>100</v>
      </c>
      <c r="M153" s="41">
        <v>1</v>
      </c>
      <c r="N153" s="39"/>
      <c r="Q153" s="43">
        <v>372000</v>
      </c>
      <c r="R153" s="49" t="s">
        <v>296</v>
      </c>
      <c r="S153" s="50">
        <v>0.17</v>
      </c>
      <c r="U153" s="51"/>
      <c r="V153" s="46"/>
      <c r="W153" s="51">
        <f>IF(NOTA[[#This Row],[HARGA/ CTN]]="",NOTA[[#This Row],[JUMLAH_H]],NOTA[[#This Row],[HARGA/ CTN]]*IF(NOTA[[#This Row],[C]]="",0,NOTA[[#This Row],[C]]))</f>
        <v>372000</v>
      </c>
      <c r="X153" s="51">
        <f>IF(NOTA[[#This Row],[JUMLAH]]="","",NOTA[[#This Row],[JUMLAH]]*NOTA[[#This Row],[DISC 1]])</f>
        <v>63240.000000000007</v>
      </c>
      <c r="Y153" s="51">
        <f>IF(NOTA[[#This Row],[JUMLAH]]="","",(NOTA[[#This Row],[JUMLAH]]-NOTA[[#This Row],[DISC 1-]])*NOTA[[#This Row],[DISC 2]])</f>
        <v>0</v>
      </c>
      <c r="Z153" s="51">
        <f>IF(NOTA[[#This Row],[JUMLAH]]="","",NOTA[[#This Row],[DISC 1-]]+NOTA[[#This Row],[DISC 2-]])</f>
        <v>63240.000000000007</v>
      </c>
      <c r="AA153" s="51">
        <f>IF(NOTA[[#This Row],[JUMLAH]]="","",NOTA[[#This Row],[JUMLAH]]-NOTA[[#This Row],[DISC]])</f>
        <v>308760</v>
      </c>
      <c r="AB153" s="51"/>
      <c r="AC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2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51" t="str">
        <f>IF(OR(NOTA[[#This Row],[QTY]]="",NOTA[[#This Row],[HARGA SATUAN]]="",),"",NOTA[[#This Row],[QTY]]*NOTA[[#This Row],[HARGA SATUAN]])</f>
        <v/>
      </c>
      <c r="AG153" s="40">
        <f ca="1">IF(NOTA[ID_H]="","",INDEX(NOTA[TANGGAL],MATCH(,INDIRECT(ADDRESS(ROW(NOTA[TANGGAL]),COLUMN(NOTA[TANGGAL]))&amp;":"&amp;ADDRESS(ROW(),COLUMN(NOTA[TANGGAL]))),-1)))</f>
        <v>45114</v>
      </c>
      <c r="AH153" s="42" t="str">
        <f ca="1">IF(NOTA[[#This Row],[NAMA BARANG]]="","",INDEX(NOTA[SUPPLIER],MATCH(,INDIRECT(ADDRESS(ROW(NOTA[ID]),COLUMN(NOTA[ID]))&amp;":"&amp;ADDRESS(ROW(),COLUMN(NOTA[ID]))),-1)))</f>
        <v>KENKO SINAR INDONESIA</v>
      </c>
      <c r="AI153" s="42" t="str">
        <f ca="1">IF(NOTA[[#This Row],[ID_H]]="","",IF(NOTA[[#This Row],[FAKTUR]]="",INDIRECT(ADDRESS(ROW()-1,COLUMN())),NOTA[[#This Row],[FAKTUR]]))</f>
        <v>ARTO MORO</v>
      </c>
      <c r="AJ153" s="39" t="str">
        <f ca="1">IF(NOTA[[#This Row],[ID]]="","",COUNTIF(NOTA[ID_H],NOTA[[#This Row],[ID_H]]))</f>
        <v/>
      </c>
      <c r="AK153" s="39">
        <f ca="1">IF(NOTA[[#This Row],[TGL.NOTA]]="",IF(NOTA[[#This Row],[SUPPLIER_H]]="","",AK152),MONTH(NOTA[[#This Row],[TGL.NOTA]]))</f>
        <v>7</v>
      </c>
      <c r="AL153" s="39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9" t="str">
        <f>IF(NOTA[[#This Row],[CONCAT4]]="","",_xlfn.IFNA(MATCH(NOTA[[#This Row],[CONCAT4]],[2]!RAW[CONCAT_H],0),FALSE))</f>
        <v/>
      </c>
      <c r="AQ153" s="39">
        <f>IF(NOTA[[#This Row],[CONCAT1]]="","",MATCH(NOTA[[#This Row],[CONCAT1]],[3]!db[NB NOTA_C],0))</f>
        <v>991</v>
      </c>
      <c r="AR153" s="39" t="b">
        <f>IF(NOTA[[#This Row],[QTY/ CTN]]="","",TRUE)</f>
        <v>1</v>
      </c>
      <c r="AS153" s="39" t="str">
        <f ca="1">IF(NOTA[[#This Row],[ID_H]]="","",IF(NOTA[[#This Row],[Column3]]=TRUE,NOTA[[#This Row],[QTY/ CTN]],INDEX([3]!db[QTY/ CTN],NOTA[[#This Row],[//DB]])))</f>
        <v>24 PCS</v>
      </c>
      <c r="AT1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U153" s="39" t="e">
        <f ca="1">IF(NOTA[[#This Row],[ID_H]]="","",MATCH(NOTA[[#This Row],[NB NOTA_C_QTY]],[4]!db[NB NOTA_C_QTY+F],0))</f>
        <v>#REF!</v>
      </c>
      <c r="AV153" s="55">
        <f ca="1">IF(NOTA[[#This Row],[NB NOTA_C_QTY]]="","",ROW()-2)</f>
        <v>151</v>
      </c>
    </row>
    <row r="154" spans="1:48" ht="20.100000000000001" customHeight="1" x14ac:dyDescent="0.25">
      <c r="A1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38</v>
      </c>
      <c r="E154" s="47"/>
      <c r="H154" s="48"/>
      <c r="L154" s="38" t="s">
        <v>280</v>
      </c>
      <c r="M154" s="41">
        <v>1</v>
      </c>
      <c r="N154" s="39"/>
      <c r="Q154" s="43">
        <v>444000</v>
      </c>
      <c r="R154" s="49" t="s">
        <v>296</v>
      </c>
      <c r="S154" s="50">
        <v>0.17</v>
      </c>
      <c r="U154" s="51"/>
      <c r="V154" s="46"/>
      <c r="W154" s="51">
        <f>IF(NOTA[[#This Row],[HARGA/ CTN]]="",NOTA[[#This Row],[JUMLAH_H]],NOTA[[#This Row],[HARGA/ CTN]]*IF(NOTA[[#This Row],[C]]="",0,NOTA[[#This Row],[C]]))</f>
        <v>444000</v>
      </c>
      <c r="X154" s="51">
        <f>IF(NOTA[[#This Row],[JUMLAH]]="","",NOTA[[#This Row],[JUMLAH]]*NOTA[[#This Row],[DISC 1]])</f>
        <v>75480</v>
      </c>
      <c r="Y154" s="51">
        <f>IF(NOTA[[#This Row],[JUMLAH]]="","",(NOTA[[#This Row],[JUMLAH]]-NOTA[[#This Row],[DISC 1-]])*NOTA[[#This Row],[DISC 2]])</f>
        <v>0</v>
      </c>
      <c r="Z154" s="51">
        <f>IF(NOTA[[#This Row],[JUMLAH]]="","",NOTA[[#This Row],[DISC 1-]]+NOTA[[#This Row],[DISC 2-]])</f>
        <v>75480</v>
      </c>
      <c r="AA154" s="51">
        <f>IF(NOTA[[#This Row],[JUMLAH]]="","",NOTA[[#This Row],[JUMLAH]]-NOTA[[#This Row],[DISC]])</f>
        <v>368520</v>
      </c>
      <c r="AB154" s="51"/>
      <c r="AC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2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1" t="str">
        <f>IF(OR(NOTA[[#This Row],[QTY]]="",NOTA[[#This Row],[HARGA SATUAN]]="",),"",NOTA[[#This Row],[QTY]]*NOTA[[#This Row],[HARGA SATUAN]])</f>
        <v/>
      </c>
      <c r="AG154" s="40">
        <f ca="1">IF(NOTA[ID_H]="","",INDEX(NOTA[TANGGAL],MATCH(,INDIRECT(ADDRESS(ROW(NOTA[TANGGAL]),COLUMN(NOTA[TANGGAL]))&amp;":"&amp;ADDRESS(ROW(),COLUMN(NOTA[TANGGAL]))),-1)))</f>
        <v>45114</v>
      </c>
      <c r="AH154" s="42" t="str">
        <f ca="1">IF(NOTA[[#This Row],[NAMA BARANG]]="","",INDEX(NOTA[SUPPLIER],MATCH(,INDIRECT(ADDRESS(ROW(NOTA[ID]),COLUMN(NOTA[ID]))&amp;":"&amp;ADDRESS(ROW(),COLUMN(NOTA[ID]))),-1)))</f>
        <v>KENKO SINAR INDONESIA</v>
      </c>
      <c r="AI154" s="42" t="str">
        <f ca="1">IF(NOTA[[#This Row],[ID_H]]="","",IF(NOTA[[#This Row],[FAKTUR]]="",INDIRECT(ADDRESS(ROW()-1,COLUMN())),NOTA[[#This Row],[FAKTUR]]))</f>
        <v>ARTO MORO</v>
      </c>
      <c r="AJ154" s="39" t="str">
        <f ca="1">IF(NOTA[[#This Row],[ID]]="","",COUNTIF(NOTA[ID_H],NOTA[[#This Row],[ID_H]]))</f>
        <v/>
      </c>
      <c r="AK154" s="39">
        <f ca="1">IF(NOTA[[#This Row],[TGL.NOTA]]="",IF(NOTA[[#This Row],[SUPPLIER_H]]="","",AK153),MONTH(NOTA[[#This Row],[TGL.NOTA]]))</f>
        <v>7</v>
      </c>
      <c r="AL154" s="39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9" t="str">
        <f>IF(NOTA[[#This Row],[CONCAT4]]="","",_xlfn.IFNA(MATCH(NOTA[[#This Row],[CONCAT4]],[2]!RAW[CONCAT_H],0),FALSE))</f>
        <v/>
      </c>
      <c r="AQ154" s="39">
        <f>IF(NOTA[[#This Row],[CONCAT1]]="","",MATCH(NOTA[[#This Row],[CONCAT1]],[3]!db[NB NOTA_C],0))</f>
        <v>992</v>
      </c>
      <c r="AR154" s="39" t="b">
        <f>IF(NOTA[[#This Row],[QTY/ CTN]]="","",TRUE)</f>
        <v>1</v>
      </c>
      <c r="AS154" s="39" t="str">
        <f ca="1">IF(NOTA[[#This Row],[ID_H]]="","",IF(NOTA[[#This Row],[Column3]]=TRUE,NOTA[[#This Row],[QTY/ CTN]],INDEX([3]!db[QTY/ CTN],NOTA[[#This Row],[//DB]])))</f>
        <v>24 PCS</v>
      </c>
      <c r="AT1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U154" s="39" t="e">
        <f ca="1">IF(NOTA[[#This Row],[ID_H]]="","",MATCH(NOTA[[#This Row],[NB NOTA_C_QTY]],[4]!db[NB NOTA_C_QTY+F],0))</f>
        <v>#REF!</v>
      </c>
      <c r="AV154" s="55">
        <f ca="1">IF(NOTA[[#This Row],[NB NOTA_C_QTY]]="","",ROW()-2)</f>
        <v>152</v>
      </c>
    </row>
    <row r="155" spans="1:48" ht="20.100000000000001" customHeight="1" x14ac:dyDescent="0.25">
      <c r="A1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38</v>
      </c>
      <c r="E155" s="47"/>
      <c r="H155" s="48"/>
      <c r="L155" s="38" t="s">
        <v>281</v>
      </c>
      <c r="M155" s="41">
        <v>1</v>
      </c>
      <c r="N155" s="39"/>
      <c r="Q155" s="43">
        <v>1040000</v>
      </c>
      <c r="R155" s="49" t="s">
        <v>297</v>
      </c>
      <c r="S155" s="50">
        <v>0.17</v>
      </c>
      <c r="U155" s="51"/>
      <c r="V155" s="46"/>
      <c r="W155" s="51">
        <f>IF(NOTA[[#This Row],[HARGA/ CTN]]="",NOTA[[#This Row],[JUMLAH_H]],NOTA[[#This Row],[HARGA/ CTN]]*IF(NOTA[[#This Row],[C]]="",0,NOTA[[#This Row],[C]]))</f>
        <v>1040000</v>
      </c>
      <c r="X155" s="51">
        <f>IF(NOTA[[#This Row],[JUMLAH]]="","",NOTA[[#This Row],[JUMLAH]]*NOTA[[#This Row],[DISC 1]])</f>
        <v>176800</v>
      </c>
      <c r="Y155" s="51">
        <f>IF(NOTA[[#This Row],[JUMLAH]]="","",(NOTA[[#This Row],[JUMLAH]]-NOTA[[#This Row],[DISC 1-]])*NOTA[[#This Row],[DISC 2]])</f>
        <v>0</v>
      </c>
      <c r="Z155" s="51">
        <f>IF(NOTA[[#This Row],[JUMLAH]]="","",NOTA[[#This Row],[DISC 1-]]+NOTA[[#This Row],[DISC 2-]])</f>
        <v>176800</v>
      </c>
      <c r="AA155" s="51">
        <f>IF(NOTA[[#This Row],[JUMLAH]]="","",NOTA[[#This Row],[JUMLAH]]-NOTA[[#This Row],[DISC]])</f>
        <v>863200</v>
      </c>
      <c r="AB155" s="51"/>
      <c r="AC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51" t="str">
        <f>IF(OR(NOTA[[#This Row],[QTY]]="",NOTA[[#This Row],[HARGA SATUAN]]="",),"",NOTA[[#This Row],[QTY]]*NOTA[[#This Row],[HARGA SATUAN]])</f>
        <v/>
      </c>
      <c r="AG155" s="40">
        <f ca="1">IF(NOTA[ID_H]="","",INDEX(NOTA[TANGGAL],MATCH(,INDIRECT(ADDRESS(ROW(NOTA[TANGGAL]),COLUMN(NOTA[TANGGAL]))&amp;":"&amp;ADDRESS(ROW(),COLUMN(NOTA[TANGGAL]))),-1)))</f>
        <v>45114</v>
      </c>
      <c r="AH155" s="42" t="str">
        <f ca="1">IF(NOTA[[#This Row],[NAMA BARANG]]="","",INDEX(NOTA[SUPPLIER],MATCH(,INDIRECT(ADDRESS(ROW(NOTA[ID]),COLUMN(NOTA[ID]))&amp;":"&amp;ADDRESS(ROW(),COLUMN(NOTA[ID]))),-1)))</f>
        <v>KENKO SINAR INDONESIA</v>
      </c>
      <c r="AI155" s="42" t="str">
        <f ca="1">IF(NOTA[[#This Row],[ID_H]]="","",IF(NOTA[[#This Row],[FAKTUR]]="",INDIRECT(ADDRESS(ROW()-1,COLUMN())),NOTA[[#This Row],[FAKTUR]]))</f>
        <v>ARTO MORO</v>
      </c>
      <c r="AJ155" s="39" t="str">
        <f ca="1">IF(NOTA[[#This Row],[ID]]="","",COUNTIF(NOTA[ID_H],NOTA[[#This Row],[ID_H]]))</f>
        <v/>
      </c>
      <c r="AK155" s="39">
        <f ca="1">IF(NOTA[[#This Row],[TGL.NOTA]]="",IF(NOTA[[#This Row],[SUPPLIER_H]]="","",AK154),MONTH(NOTA[[#This Row],[TGL.NOTA]]))</f>
        <v>7</v>
      </c>
      <c r="AL155" s="39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9" t="str">
        <f>IF(NOTA[[#This Row],[CONCAT4]]="","",_xlfn.IFNA(MATCH(NOTA[[#This Row],[CONCAT4]],[2]!RAW[CONCAT_H],0),FALSE))</f>
        <v/>
      </c>
      <c r="AQ155" s="39">
        <f>IF(NOTA[[#This Row],[CONCAT1]]="","",MATCH(NOTA[[#This Row],[CONCAT1]],[3]!db[NB NOTA_C],0))</f>
        <v>1462</v>
      </c>
      <c r="AR155" s="39" t="b">
        <f>IF(NOTA[[#This Row],[QTY/ CTN]]="","",TRUE)</f>
        <v>1</v>
      </c>
      <c r="AS155" s="39" t="str">
        <f ca="1">IF(NOTA[[#This Row],[ID_H]]="","",IF(NOTA[[#This Row],[Column3]]=TRUE,NOTA[[#This Row],[QTY/ CTN]],INDEX([3]!db[QTY/ CTN],NOTA[[#This Row],[//DB]])))</f>
        <v>80 PCS</v>
      </c>
      <c r="AT1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155" s="39" t="e">
        <f ca="1">IF(NOTA[[#This Row],[ID_H]]="","",MATCH(NOTA[[#This Row],[NB NOTA_C_QTY]],[4]!db[NB NOTA_C_QTY+F],0))</f>
        <v>#REF!</v>
      </c>
      <c r="AV155" s="55">
        <f ca="1">IF(NOTA[[#This Row],[NB NOTA_C_QTY]]="","",ROW()-2)</f>
        <v>153</v>
      </c>
    </row>
    <row r="156" spans="1:48" ht="20.100000000000001" customHeight="1" x14ac:dyDescent="0.25">
      <c r="A1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38</v>
      </c>
      <c r="E156" s="47"/>
      <c r="H156" s="48"/>
      <c r="L156" s="38" t="s">
        <v>282</v>
      </c>
      <c r="M156" s="41">
        <v>1</v>
      </c>
      <c r="N156" s="39"/>
      <c r="Q156" s="43">
        <v>1890000</v>
      </c>
      <c r="R156" s="49"/>
      <c r="S156" s="50">
        <v>0.17</v>
      </c>
      <c r="U156" s="51"/>
      <c r="V156" s="46"/>
      <c r="W156" s="51">
        <f>IF(NOTA[[#This Row],[HARGA/ CTN]]="",NOTA[[#This Row],[JUMLAH_H]],NOTA[[#This Row],[HARGA/ CTN]]*IF(NOTA[[#This Row],[C]]="",0,NOTA[[#This Row],[C]]))</f>
        <v>1890000</v>
      </c>
      <c r="X156" s="51">
        <f>IF(NOTA[[#This Row],[JUMLAH]]="","",NOTA[[#This Row],[JUMLAH]]*NOTA[[#This Row],[DISC 1]])</f>
        <v>321300</v>
      </c>
      <c r="Y156" s="51">
        <f>IF(NOTA[[#This Row],[JUMLAH]]="","",(NOTA[[#This Row],[JUMLAH]]-NOTA[[#This Row],[DISC 1-]])*NOTA[[#This Row],[DISC 2]])</f>
        <v>0</v>
      </c>
      <c r="Z156" s="51">
        <f>IF(NOTA[[#This Row],[JUMLAH]]="","",NOTA[[#This Row],[DISC 1-]]+NOTA[[#This Row],[DISC 2-]])</f>
        <v>321300</v>
      </c>
      <c r="AA156" s="51">
        <f>IF(NOTA[[#This Row],[JUMLAH]]="","",NOTA[[#This Row],[JUMLAH]]-NOTA[[#This Row],[DISC]])</f>
        <v>1568700</v>
      </c>
      <c r="AB156" s="51"/>
      <c r="AC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51" t="str">
        <f>IF(OR(NOTA[[#This Row],[QTY]]="",NOTA[[#This Row],[HARGA SATUAN]]="",),"",NOTA[[#This Row],[QTY]]*NOTA[[#This Row],[HARGA SATUAN]])</f>
        <v/>
      </c>
      <c r="AG156" s="40">
        <f ca="1">IF(NOTA[ID_H]="","",INDEX(NOTA[TANGGAL],MATCH(,INDIRECT(ADDRESS(ROW(NOTA[TANGGAL]),COLUMN(NOTA[TANGGAL]))&amp;":"&amp;ADDRESS(ROW(),COLUMN(NOTA[TANGGAL]))),-1)))</f>
        <v>45114</v>
      </c>
      <c r="AH156" s="42" t="str">
        <f ca="1">IF(NOTA[[#This Row],[NAMA BARANG]]="","",INDEX(NOTA[SUPPLIER],MATCH(,INDIRECT(ADDRESS(ROW(NOTA[ID]),COLUMN(NOTA[ID]))&amp;":"&amp;ADDRESS(ROW(),COLUMN(NOTA[ID]))),-1)))</f>
        <v>KENKO SINAR INDONESIA</v>
      </c>
      <c r="AI156" s="42" t="str">
        <f ca="1">IF(NOTA[[#This Row],[ID_H]]="","",IF(NOTA[[#This Row],[FAKTUR]]="",INDIRECT(ADDRESS(ROW()-1,COLUMN())),NOTA[[#This Row],[FAKTUR]]))</f>
        <v>ARTO MORO</v>
      </c>
      <c r="AJ156" s="39" t="str">
        <f ca="1">IF(NOTA[[#This Row],[ID]]="","",COUNTIF(NOTA[ID_H],NOTA[[#This Row],[ID_H]]))</f>
        <v/>
      </c>
      <c r="AK156" s="39">
        <f ca="1">IF(NOTA[[#This Row],[TGL.NOTA]]="",IF(NOTA[[#This Row],[SUPPLIER_H]]="","",AK155),MONTH(NOTA[[#This Row],[TGL.NOTA]]))</f>
        <v>7</v>
      </c>
      <c r="AL156" s="39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9" t="str">
        <f>IF(NOTA[[#This Row],[CONCAT4]]="","",_xlfn.IFNA(MATCH(NOTA[[#This Row],[CONCAT4]],[2]!RAW[CONCAT_H],0),FALSE))</f>
        <v/>
      </c>
      <c r="AQ156" s="39">
        <f>IF(NOTA[[#This Row],[CONCAT1]]="","",MATCH(NOTA[[#This Row],[CONCAT1]],[3]!db[NB NOTA_C],0))</f>
        <v>1093</v>
      </c>
      <c r="AR156" s="39" t="str">
        <f>IF(NOTA[[#This Row],[QTY/ CTN]]="","",TRUE)</f>
        <v/>
      </c>
      <c r="AS156" s="39" t="str">
        <f ca="1">IF(NOTA[[#This Row],[ID_H]]="","",IF(NOTA[[#This Row],[Column3]]=TRUE,NOTA[[#This Row],[QTY/ CTN]],INDEX([3]!db[QTY/ CTN],NOTA[[#This Row],[//DB]])))</f>
        <v>50 LSN</v>
      </c>
      <c r="AT1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kenkostainlesssteelruler15cm50lsnartomoro</v>
      </c>
      <c r="AU156" s="39" t="e">
        <f ca="1">IF(NOTA[[#This Row],[ID_H]]="","",MATCH(NOTA[[#This Row],[NB NOTA_C_QTY]],[4]!db[NB NOTA_C_QTY+F],0))</f>
        <v>#REF!</v>
      </c>
      <c r="AV156" s="55">
        <f ca="1">IF(NOTA[[#This Row],[NB NOTA_C_QTY]]="","",ROW()-2)</f>
        <v>154</v>
      </c>
    </row>
    <row r="157" spans="1:48" ht="20.100000000000001" customHeight="1" x14ac:dyDescent="0.25">
      <c r="A1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>
        <f ca="1">IF(NOTA[[#This Row],[NAMA BARANG]]="","",INDEX(NOTA[ID],MATCH(,INDIRECT(ADDRESS(ROW(NOTA[ID]),COLUMN(NOTA[ID]))&amp;":"&amp;ADDRESS(ROW(),COLUMN(NOTA[ID]))),-1)))</f>
        <v>38</v>
      </c>
      <c r="E157" s="47"/>
      <c r="H157" s="48"/>
      <c r="L157" s="38" t="s">
        <v>283</v>
      </c>
      <c r="M157" s="41">
        <v>1</v>
      </c>
      <c r="N157" s="39"/>
      <c r="Q157" s="43">
        <v>1770000</v>
      </c>
      <c r="R157" s="49"/>
      <c r="S157" s="50">
        <v>0.17</v>
      </c>
      <c r="U157" s="51"/>
      <c r="V157" s="46"/>
      <c r="W157" s="51">
        <f>IF(NOTA[[#This Row],[HARGA/ CTN]]="",NOTA[[#This Row],[JUMLAH_H]],NOTA[[#This Row],[HARGA/ CTN]]*IF(NOTA[[#This Row],[C]]="",0,NOTA[[#This Row],[C]]))</f>
        <v>1770000</v>
      </c>
      <c r="X157" s="51">
        <f>IF(NOTA[[#This Row],[JUMLAH]]="","",NOTA[[#This Row],[JUMLAH]]*NOTA[[#This Row],[DISC 1]])</f>
        <v>300900</v>
      </c>
      <c r="Y157" s="51">
        <f>IF(NOTA[[#This Row],[JUMLAH]]="","",(NOTA[[#This Row],[JUMLAH]]-NOTA[[#This Row],[DISC 1-]])*NOTA[[#This Row],[DISC 2]])</f>
        <v>0</v>
      </c>
      <c r="Z157" s="51">
        <f>IF(NOTA[[#This Row],[JUMLAH]]="","",NOTA[[#This Row],[DISC 1-]]+NOTA[[#This Row],[DISC 2-]])</f>
        <v>300900</v>
      </c>
      <c r="AA157" s="51">
        <f>IF(NOTA[[#This Row],[JUMLAH]]="","",NOTA[[#This Row],[JUMLAH]]-NOTA[[#This Row],[DISC]])</f>
        <v>1469100</v>
      </c>
      <c r="AB157" s="51"/>
      <c r="AC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51" t="str">
        <f>IF(OR(NOTA[[#This Row],[QTY]]="",NOTA[[#This Row],[HARGA SATUAN]]="",),"",NOTA[[#This Row],[QTY]]*NOTA[[#This Row],[HARGA SATUAN]])</f>
        <v/>
      </c>
      <c r="AG157" s="40">
        <f ca="1">IF(NOTA[ID_H]="","",INDEX(NOTA[TANGGAL],MATCH(,INDIRECT(ADDRESS(ROW(NOTA[TANGGAL]),COLUMN(NOTA[TANGGAL]))&amp;":"&amp;ADDRESS(ROW(),COLUMN(NOTA[TANGGAL]))),-1)))</f>
        <v>45114</v>
      </c>
      <c r="AH157" s="42" t="str">
        <f ca="1">IF(NOTA[[#This Row],[NAMA BARANG]]="","",INDEX(NOTA[SUPPLIER],MATCH(,INDIRECT(ADDRESS(ROW(NOTA[ID]),COLUMN(NOTA[ID]))&amp;":"&amp;ADDRESS(ROW(),COLUMN(NOTA[ID]))),-1)))</f>
        <v>KENKO SINAR INDONESIA</v>
      </c>
      <c r="AI157" s="42" t="str">
        <f ca="1">IF(NOTA[[#This Row],[ID_H]]="","",IF(NOTA[[#This Row],[FAKTUR]]="",INDIRECT(ADDRESS(ROW()-1,COLUMN())),NOTA[[#This Row],[FAKTUR]]))</f>
        <v>ARTO MORO</v>
      </c>
      <c r="AJ157" s="39" t="str">
        <f ca="1">IF(NOTA[[#This Row],[ID]]="","",COUNTIF(NOTA[ID_H],NOTA[[#This Row],[ID_H]]))</f>
        <v/>
      </c>
      <c r="AK157" s="39">
        <f ca="1">IF(NOTA[[#This Row],[TGL.NOTA]]="",IF(NOTA[[#This Row],[SUPPLIER_H]]="","",AK156),MONTH(NOTA[[#This Row],[TGL.NOTA]]))</f>
        <v>7</v>
      </c>
      <c r="AL157" s="39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9" t="str">
        <f>IF(NOTA[[#This Row],[CONCAT4]]="","",_xlfn.IFNA(MATCH(NOTA[[#This Row],[CONCAT4]],[2]!RAW[CONCAT_H],0),FALSE))</f>
        <v/>
      </c>
      <c r="AQ157" s="39">
        <f>IF(NOTA[[#This Row],[CONCAT1]]="","",MATCH(NOTA[[#This Row],[CONCAT1]],[3]!db[NB NOTA_C],0))</f>
        <v>1094</v>
      </c>
      <c r="AR157" s="39" t="str">
        <f>IF(NOTA[[#This Row],[QTY/ CTN]]="","",TRUE)</f>
        <v/>
      </c>
      <c r="AS157" s="39" t="str">
        <f ca="1">IF(NOTA[[#This Row],[ID_H]]="","",IF(NOTA[[#This Row],[Column3]]=TRUE,NOTA[[#This Row],[QTY/ CTN]],INDEX([3]!db[QTY/ CTN],NOTA[[#This Row],[//DB]])))</f>
        <v>25 LSN</v>
      </c>
      <c r="AT1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kenkostainlesssteelruler20cm25lsnartomoro</v>
      </c>
      <c r="AU157" s="39" t="e">
        <f ca="1">IF(NOTA[[#This Row],[ID_H]]="","",MATCH(NOTA[[#This Row],[NB NOTA_C_QTY]],[4]!db[NB NOTA_C_QTY+F],0))</f>
        <v>#REF!</v>
      </c>
      <c r="AV157" s="55">
        <f ca="1">IF(NOTA[[#This Row],[NB NOTA_C_QTY]]="","",ROW()-2)</f>
        <v>155</v>
      </c>
    </row>
    <row r="158" spans="1:48" ht="20.100000000000001" customHeight="1" x14ac:dyDescent="0.25">
      <c r="A1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38</v>
      </c>
      <c r="E158" s="47"/>
      <c r="H158" s="48"/>
      <c r="L158" s="38" t="s">
        <v>284</v>
      </c>
      <c r="M158" s="41">
        <v>1</v>
      </c>
      <c r="N158" s="39"/>
      <c r="Q158" s="43">
        <v>2100000</v>
      </c>
      <c r="R158" s="49"/>
      <c r="S158" s="50">
        <v>0.17</v>
      </c>
      <c r="U158" s="51"/>
      <c r="V158" s="46"/>
      <c r="W158" s="51">
        <f>IF(NOTA[[#This Row],[HARGA/ CTN]]="",NOTA[[#This Row],[JUMLAH_H]],NOTA[[#This Row],[HARGA/ CTN]]*IF(NOTA[[#This Row],[C]]="",0,NOTA[[#This Row],[C]]))</f>
        <v>2100000</v>
      </c>
      <c r="X158" s="51">
        <f>IF(NOTA[[#This Row],[JUMLAH]]="","",NOTA[[#This Row],[JUMLAH]]*NOTA[[#This Row],[DISC 1]])</f>
        <v>357000</v>
      </c>
      <c r="Y158" s="51">
        <f>IF(NOTA[[#This Row],[JUMLAH]]="","",(NOTA[[#This Row],[JUMLAH]]-NOTA[[#This Row],[DISC 1-]])*NOTA[[#This Row],[DISC 2]])</f>
        <v>0</v>
      </c>
      <c r="Z158" s="51">
        <f>IF(NOTA[[#This Row],[JUMLAH]]="","",NOTA[[#This Row],[DISC 1-]]+NOTA[[#This Row],[DISC 2-]])</f>
        <v>357000</v>
      </c>
      <c r="AA158" s="51">
        <f>IF(NOTA[[#This Row],[JUMLAH]]="","",NOTA[[#This Row],[JUMLAH]]-NOTA[[#This Row],[DISC]])</f>
        <v>1743000</v>
      </c>
      <c r="AB158" s="51"/>
      <c r="AC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51" t="str">
        <f>IF(OR(NOTA[[#This Row],[QTY]]="",NOTA[[#This Row],[HARGA SATUAN]]="",),"",NOTA[[#This Row],[QTY]]*NOTA[[#This Row],[HARGA SATUAN]])</f>
        <v/>
      </c>
      <c r="AG158" s="40">
        <f ca="1">IF(NOTA[ID_H]="","",INDEX(NOTA[TANGGAL],MATCH(,INDIRECT(ADDRESS(ROW(NOTA[TANGGAL]),COLUMN(NOTA[TANGGAL]))&amp;":"&amp;ADDRESS(ROW(),COLUMN(NOTA[TANGGAL]))),-1)))</f>
        <v>45114</v>
      </c>
      <c r="AH158" s="42" t="str">
        <f ca="1">IF(NOTA[[#This Row],[NAMA BARANG]]="","",INDEX(NOTA[SUPPLIER],MATCH(,INDIRECT(ADDRESS(ROW(NOTA[ID]),COLUMN(NOTA[ID]))&amp;":"&amp;ADDRESS(ROW(),COLUMN(NOTA[ID]))),-1)))</f>
        <v>KENKO SINAR INDONESIA</v>
      </c>
      <c r="AI158" s="42" t="str">
        <f ca="1">IF(NOTA[[#This Row],[ID_H]]="","",IF(NOTA[[#This Row],[FAKTUR]]="",INDIRECT(ADDRESS(ROW()-1,COLUMN())),NOTA[[#This Row],[FAKTUR]]))</f>
        <v>ARTO MORO</v>
      </c>
      <c r="AJ158" s="39" t="str">
        <f ca="1">IF(NOTA[[#This Row],[ID]]="","",COUNTIF(NOTA[ID_H],NOTA[[#This Row],[ID_H]]))</f>
        <v/>
      </c>
      <c r="AK158" s="39">
        <f ca="1">IF(NOTA[[#This Row],[TGL.NOTA]]="",IF(NOTA[[#This Row],[SUPPLIER_H]]="","",AK157),MONTH(NOTA[[#This Row],[TGL.NOTA]]))</f>
        <v>7</v>
      </c>
      <c r="AL158" s="39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9" t="str">
        <f>IF(NOTA[[#This Row],[CONCAT4]]="","",_xlfn.IFNA(MATCH(NOTA[[#This Row],[CONCAT4]],[2]!RAW[CONCAT_H],0),FALSE))</f>
        <v/>
      </c>
      <c r="AQ158" s="39">
        <f>IF(NOTA[[#This Row],[CONCAT1]]="","",MATCH(NOTA[[#This Row],[CONCAT1]],[3]!db[NB NOTA_C],0))</f>
        <v>1089</v>
      </c>
      <c r="AR158" s="39" t="str">
        <f>IF(NOTA[[#This Row],[QTY/ CTN]]="","",TRUE)</f>
        <v/>
      </c>
      <c r="AS158" s="39" t="str">
        <f ca="1">IF(NOTA[[#This Row],[ID_H]]="","",IF(NOTA[[#This Row],[Column3]]=TRUE,NOTA[[#This Row],[QTY/ CTN]],INDEX([3]!db[QTY/ CTN],NOTA[[#This Row],[//DB]])))</f>
        <v>25 LSN</v>
      </c>
      <c r="AT1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U158" s="39" t="e">
        <f ca="1">IF(NOTA[[#This Row],[ID_H]]="","",MATCH(NOTA[[#This Row],[NB NOTA_C_QTY]],[4]!db[NB NOTA_C_QTY+F],0))</f>
        <v>#REF!</v>
      </c>
      <c r="AV158" s="55">
        <f ca="1">IF(NOTA[[#This Row],[NB NOTA_C_QTY]]="","",ROW()-2)</f>
        <v>156</v>
      </c>
    </row>
    <row r="159" spans="1:48" ht="20.100000000000001" customHeight="1" x14ac:dyDescent="0.25">
      <c r="A1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38</v>
      </c>
      <c r="E159" s="47"/>
      <c r="H159" s="48"/>
      <c r="L159" s="38" t="s">
        <v>285</v>
      </c>
      <c r="M159" s="41">
        <v>1</v>
      </c>
      <c r="N159" s="39"/>
      <c r="Q159" s="43">
        <v>1380000</v>
      </c>
      <c r="R159" s="49" t="s">
        <v>298</v>
      </c>
      <c r="S159" s="50">
        <v>0.17</v>
      </c>
      <c r="U159" s="51"/>
      <c r="V159" s="46"/>
      <c r="W159" s="51">
        <f>IF(NOTA[[#This Row],[HARGA/ CTN]]="",NOTA[[#This Row],[JUMLAH_H]],NOTA[[#This Row],[HARGA/ CTN]]*IF(NOTA[[#This Row],[C]]="",0,NOTA[[#This Row],[C]]))</f>
        <v>1380000</v>
      </c>
      <c r="X159" s="51">
        <f>IF(NOTA[[#This Row],[JUMLAH]]="","",NOTA[[#This Row],[JUMLAH]]*NOTA[[#This Row],[DISC 1]])</f>
        <v>234600.00000000003</v>
      </c>
      <c r="Y159" s="51">
        <f>IF(NOTA[[#This Row],[JUMLAH]]="","",(NOTA[[#This Row],[JUMLAH]]-NOTA[[#This Row],[DISC 1-]])*NOTA[[#This Row],[DISC 2]])</f>
        <v>0</v>
      </c>
      <c r="Z159" s="51">
        <f>IF(NOTA[[#This Row],[JUMLAH]]="","",NOTA[[#This Row],[DISC 1-]]+NOTA[[#This Row],[DISC 2-]])</f>
        <v>234600.00000000003</v>
      </c>
      <c r="AA159" s="51">
        <f>IF(NOTA[[#This Row],[JUMLAH]]="","",NOTA[[#This Row],[JUMLAH]]-NOTA[[#This Row],[DISC]])</f>
        <v>1145400</v>
      </c>
      <c r="AB159" s="51"/>
      <c r="AC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51" t="str">
        <f>IF(OR(NOTA[[#This Row],[QTY]]="",NOTA[[#This Row],[HARGA SATUAN]]="",),"",NOTA[[#This Row],[QTY]]*NOTA[[#This Row],[HARGA SATUAN]])</f>
        <v/>
      </c>
      <c r="AG159" s="40">
        <f ca="1">IF(NOTA[ID_H]="","",INDEX(NOTA[TANGGAL],MATCH(,INDIRECT(ADDRESS(ROW(NOTA[TANGGAL]),COLUMN(NOTA[TANGGAL]))&amp;":"&amp;ADDRESS(ROW(),COLUMN(NOTA[TANGGAL]))),-1)))</f>
        <v>45114</v>
      </c>
      <c r="AH159" s="42" t="str">
        <f ca="1">IF(NOTA[[#This Row],[NAMA BARANG]]="","",INDEX(NOTA[SUPPLIER],MATCH(,INDIRECT(ADDRESS(ROW(NOTA[ID]),COLUMN(NOTA[ID]))&amp;":"&amp;ADDRESS(ROW(),COLUMN(NOTA[ID]))),-1)))</f>
        <v>KENKO SINAR INDONESIA</v>
      </c>
      <c r="AI159" s="42" t="str">
        <f ca="1">IF(NOTA[[#This Row],[ID_H]]="","",IF(NOTA[[#This Row],[FAKTUR]]="",INDIRECT(ADDRESS(ROW()-1,COLUMN())),NOTA[[#This Row],[FAKTUR]]))</f>
        <v>ARTO MORO</v>
      </c>
      <c r="AJ159" s="39" t="str">
        <f ca="1">IF(NOTA[[#This Row],[ID]]="","",COUNTIF(NOTA[ID_H],NOTA[[#This Row],[ID_H]]))</f>
        <v/>
      </c>
      <c r="AK159" s="39">
        <f ca="1">IF(NOTA[[#This Row],[TGL.NOTA]]="",IF(NOTA[[#This Row],[SUPPLIER_H]]="","",AK158),MONTH(NOTA[[#This Row],[TGL.NOTA]]))</f>
        <v>7</v>
      </c>
      <c r="AL159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9" t="str">
        <f>IF(NOTA[[#This Row],[CONCAT4]]="","",_xlfn.IFNA(MATCH(NOTA[[#This Row],[CONCAT4]],[2]!RAW[CONCAT_H],0),FALSE))</f>
        <v/>
      </c>
      <c r="AQ159" s="39">
        <f>IF(NOTA[[#This Row],[CONCAT1]]="","",MATCH(NOTA[[#This Row],[CONCAT1]],[3]!db[NB NOTA_C],0))</f>
        <v>229</v>
      </c>
      <c r="AR159" s="39" t="b">
        <f>IF(NOTA[[#This Row],[QTY/ CTN]]="","",TRUE)</f>
        <v>1</v>
      </c>
      <c r="AS159" s="39" t="str">
        <f ca="1">IF(NOTA[[#This Row],[ID_H]]="","",IF(NOTA[[#This Row],[Column3]]=TRUE,NOTA[[#This Row],[QTY/ CTN]],INDEX([3]!db[QTY/ CTN],NOTA[[#This Row],[//DB]])))</f>
        <v>20 GRS</v>
      </c>
      <c r="AT1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59" s="39" t="e">
        <f ca="1">IF(NOTA[[#This Row],[ID_H]]="","",MATCH(NOTA[[#This Row],[NB NOTA_C_QTY]],[4]!db[NB NOTA_C_QTY+F],0))</f>
        <v>#REF!</v>
      </c>
      <c r="AV159" s="55">
        <f ca="1">IF(NOTA[[#This Row],[NB NOTA_C_QTY]]="","",ROW()-2)</f>
        <v>157</v>
      </c>
    </row>
    <row r="160" spans="1:48" ht="20.100000000000001" customHeight="1" x14ac:dyDescent="0.25">
      <c r="A1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38</v>
      </c>
      <c r="E160" s="47"/>
      <c r="H160" s="48"/>
      <c r="L160" s="38" t="s">
        <v>286</v>
      </c>
      <c r="M160" s="41">
        <v>1</v>
      </c>
      <c r="N160" s="39"/>
      <c r="Q160" s="43">
        <v>1200000</v>
      </c>
      <c r="R160" s="49" t="s">
        <v>299</v>
      </c>
      <c r="S160" s="50">
        <v>0.17</v>
      </c>
      <c r="U160" s="51"/>
      <c r="V160" s="46"/>
      <c r="W160" s="51">
        <f>IF(NOTA[[#This Row],[HARGA/ CTN]]="",NOTA[[#This Row],[JUMLAH_H]],NOTA[[#This Row],[HARGA/ CTN]]*IF(NOTA[[#This Row],[C]]="",0,NOTA[[#This Row],[C]]))</f>
        <v>1200000</v>
      </c>
      <c r="X160" s="51">
        <f>IF(NOTA[[#This Row],[JUMLAH]]="","",NOTA[[#This Row],[JUMLAH]]*NOTA[[#This Row],[DISC 1]])</f>
        <v>204000.00000000003</v>
      </c>
      <c r="Y160" s="51">
        <f>IF(NOTA[[#This Row],[JUMLAH]]="","",(NOTA[[#This Row],[JUMLAH]]-NOTA[[#This Row],[DISC 1-]])*NOTA[[#This Row],[DISC 2]])</f>
        <v>0</v>
      </c>
      <c r="Z160" s="51">
        <f>IF(NOTA[[#This Row],[JUMLAH]]="","",NOTA[[#This Row],[DISC 1-]]+NOTA[[#This Row],[DISC 2-]])</f>
        <v>204000.00000000003</v>
      </c>
      <c r="AA160" s="51">
        <f>IF(NOTA[[#This Row],[JUMLAH]]="","",NOTA[[#This Row],[JUMLAH]]-NOTA[[#This Row],[DISC]])</f>
        <v>996000</v>
      </c>
      <c r="AB160" s="51"/>
      <c r="AC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51" t="str">
        <f>IF(OR(NOTA[[#This Row],[QTY]]="",NOTA[[#This Row],[HARGA SATUAN]]="",),"",NOTA[[#This Row],[QTY]]*NOTA[[#This Row],[HARGA SATUAN]])</f>
        <v/>
      </c>
      <c r="AG160" s="40">
        <f ca="1">IF(NOTA[ID_H]="","",INDEX(NOTA[TANGGAL],MATCH(,INDIRECT(ADDRESS(ROW(NOTA[TANGGAL]),COLUMN(NOTA[TANGGAL]))&amp;":"&amp;ADDRESS(ROW(),COLUMN(NOTA[TANGGAL]))),-1)))</f>
        <v>45114</v>
      </c>
      <c r="AH160" s="42" t="str">
        <f ca="1">IF(NOTA[[#This Row],[NAMA BARANG]]="","",INDEX(NOTA[SUPPLIER],MATCH(,INDIRECT(ADDRESS(ROW(NOTA[ID]),COLUMN(NOTA[ID]))&amp;":"&amp;ADDRESS(ROW(),COLUMN(NOTA[ID]))),-1)))</f>
        <v>KENKO SINAR INDONESIA</v>
      </c>
      <c r="AI160" s="42" t="str">
        <f ca="1">IF(NOTA[[#This Row],[ID_H]]="","",IF(NOTA[[#This Row],[FAKTUR]]="",INDIRECT(ADDRESS(ROW()-1,COLUMN())),NOTA[[#This Row],[FAKTUR]]))</f>
        <v>ARTO MORO</v>
      </c>
      <c r="AJ160" s="39" t="str">
        <f ca="1">IF(NOTA[[#This Row],[ID]]="","",COUNTIF(NOTA[ID_H],NOTA[[#This Row],[ID_H]]))</f>
        <v/>
      </c>
      <c r="AK160" s="39">
        <f ca="1">IF(NOTA[[#This Row],[TGL.NOTA]]="",IF(NOTA[[#This Row],[SUPPLIER_H]]="","",AK159),MONTH(NOTA[[#This Row],[TGL.NOTA]]))</f>
        <v>7</v>
      </c>
      <c r="AL160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9" t="str">
        <f>IF(NOTA[[#This Row],[CONCAT4]]="","",_xlfn.IFNA(MATCH(NOTA[[#This Row],[CONCAT4]],[2]!RAW[CONCAT_H],0),FALSE))</f>
        <v/>
      </c>
      <c r="AQ160" s="39">
        <f>IF(NOTA[[#This Row],[CONCAT1]]="","",MATCH(NOTA[[#This Row],[CONCAT1]],[3]!db[NB NOTA_C],0))</f>
        <v>230</v>
      </c>
      <c r="AR160" s="39" t="b">
        <f>IF(NOTA[[#This Row],[QTY/ CTN]]="","",TRUE)</f>
        <v>1</v>
      </c>
      <c r="AS160" s="39" t="str">
        <f ca="1">IF(NOTA[[#This Row],[ID_H]]="","",IF(NOTA[[#This Row],[Column3]]=TRUE,NOTA[[#This Row],[QTY/ CTN]],INDEX([3]!db[QTY/ CTN],NOTA[[#This Row],[//DB]])))</f>
        <v>10 GRS</v>
      </c>
      <c r="AT1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0" s="39" t="e">
        <f ca="1">IF(NOTA[[#This Row],[ID_H]]="","",MATCH(NOTA[[#This Row],[NB NOTA_C_QTY]],[4]!db[NB NOTA_C_QTY+F],0))</f>
        <v>#REF!</v>
      </c>
      <c r="AV160" s="55">
        <f ca="1">IF(NOTA[[#This Row],[NB NOTA_C_QTY]]="","",ROW()-2)</f>
        <v>158</v>
      </c>
    </row>
    <row r="161" spans="1:48" ht="20.100000000000001" customHeight="1" x14ac:dyDescent="0.25">
      <c r="A1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47"/>
      <c r="H161" s="48"/>
      <c r="N161" s="39"/>
      <c r="Q161" s="43"/>
      <c r="R161" s="49"/>
      <c r="S161" s="50"/>
      <c r="U161" s="51"/>
      <c r="V161" s="46"/>
      <c r="W161" s="51" t="str">
        <f>IF(NOTA[[#This Row],[HARGA/ CTN]]="",NOTA[[#This Row],[JUMLAH_H]],NOTA[[#This Row],[HARGA/ CTN]]*IF(NOTA[[#This Row],[C]]="",0,NOTA[[#This Row],[C]]))</f>
        <v/>
      </c>
      <c r="X161" s="51" t="str">
        <f>IF(NOTA[[#This Row],[JUMLAH]]="","",NOTA[[#This Row],[JUMLAH]]*NOTA[[#This Row],[DISC 1]])</f>
        <v/>
      </c>
      <c r="Y161" s="51" t="str">
        <f>IF(NOTA[[#This Row],[JUMLAH]]="","",(NOTA[[#This Row],[JUMLAH]]-NOTA[[#This Row],[DISC 1-]])*NOTA[[#This Row],[DISC 2]])</f>
        <v/>
      </c>
      <c r="Z161" s="51" t="str">
        <f>IF(NOTA[[#This Row],[JUMLAH]]="","",NOTA[[#This Row],[DISC 1-]]+NOTA[[#This Row],[DISC 2-]])</f>
        <v/>
      </c>
      <c r="AA161" s="51" t="str">
        <f>IF(NOTA[[#This Row],[JUMLAH]]="","",NOTA[[#This Row],[JUMLAH]]-NOTA[[#This Row],[DISC]])</f>
        <v/>
      </c>
      <c r="AB161" s="51"/>
      <c r="AC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1" t="str">
        <f>IF(OR(NOTA[[#This Row],[QTY]]="",NOTA[[#This Row],[HARGA SATUAN]]="",),"",NOTA[[#This Row],[QTY]]*NOTA[[#This Row],[HARGA SATUAN]])</f>
        <v/>
      </c>
      <c r="AG161" s="40" t="str">
        <f ca="1">IF(NOTA[ID_H]="","",INDEX(NOTA[TANGGAL],MATCH(,INDIRECT(ADDRESS(ROW(NOTA[TANGGAL]),COLUMN(NOTA[TANGGAL]))&amp;":"&amp;ADDRESS(ROW(),COLUMN(NOTA[TANGGAL]))),-1)))</f>
        <v/>
      </c>
      <c r="AH161" s="42" t="str">
        <f ca="1">IF(NOTA[[#This Row],[NAMA BARANG]]="","",INDEX(NOTA[SUPPLIER],MATCH(,INDIRECT(ADDRESS(ROW(NOTA[ID]),COLUMN(NOTA[ID]))&amp;":"&amp;ADDRESS(ROW(),COLUMN(NOTA[ID]))),-1)))</f>
        <v/>
      </c>
      <c r="AI161" s="42" t="str">
        <f ca="1">IF(NOTA[[#This Row],[ID_H]]="","",IF(NOTA[[#This Row],[FAKTUR]]="",INDIRECT(ADDRESS(ROW()-1,COLUMN())),NOTA[[#This Row],[FAKTUR]]))</f>
        <v/>
      </c>
      <c r="AJ161" s="39" t="str">
        <f ca="1">IF(NOTA[[#This Row],[ID]]="","",COUNTIF(NOTA[ID_H],NOTA[[#This Row],[ID_H]]))</f>
        <v/>
      </c>
      <c r="AK161" s="39" t="str">
        <f ca="1">IF(NOTA[[#This Row],[TGL.NOTA]]="",IF(NOTA[[#This Row],[SUPPLIER_H]]="","",AK160),MONTH(NOTA[[#This Row],[TGL.NOTA]]))</f>
        <v/>
      </c>
      <c r="AL161" s="39" t="str">
        <f>LOWER(SUBSTITUTE(SUBSTITUTE(SUBSTITUTE(SUBSTITUTE(SUBSTITUTE(SUBSTITUTE(SUBSTITUTE(SUBSTITUTE(SUBSTITUTE(NOTA[NAMA BARANG]," ",),".",""),"-",""),"(",""),")",""),",",""),"/",""),"""",""),"+",""))</f>
        <v/>
      </c>
      <c r="AM1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9" t="str">
        <f>IF(NOTA[[#This Row],[CONCAT4]]="","",_xlfn.IFNA(MATCH(NOTA[[#This Row],[CONCAT4]],[2]!RAW[CONCAT_H],0),FALSE))</f>
        <v/>
      </c>
      <c r="AQ161" s="39" t="str">
        <f>IF(NOTA[[#This Row],[CONCAT1]]="","",MATCH(NOTA[[#This Row],[CONCAT1]],[3]!db[NB NOTA_C],0))</f>
        <v/>
      </c>
      <c r="AR161" s="39" t="str">
        <f>IF(NOTA[[#This Row],[QTY/ CTN]]="","",TRUE)</f>
        <v/>
      </c>
      <c r="AS161" s="39" t="str">
        <f ca="1">IF(NOTA[[#This Row],[ID_H]]="","",IF(NOTA[[#This Row],[Column3]]=TRUE,NOTA[[#This Row],[QTY/ CTN]],INDEX([3]!db[QTY/ CTN],NOTA[[#This Row],[//DB]])))</f>
        <v/>
      </c>
      <c r="AT1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9" t="str">
        <f ca="1">IF(NOTA[[#This Row],[ID_H]]="","",MATCH(NOTA[[#This Row],[NB NOTA_C_QTY]],[4]!db[NB NOTA_C_QTY+F],0))</f>
        <v/>
      </c>
      <c r="AV161" s="55" t="str">
        <f ca="1">IF(NOTA[[#This Row],[NB NOTA_C_QTY]]="","",ROW()-2)</f>
        <v/>
      </c>
    </row>
    <row r="162" spans="1:48" ht="20.100000000000001" customHeight="1" x14ac:dyDescent="0.25">
      <c r="A162" s="42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39</v>
      </c>
      <c r="E162" s="47"/>
      <c r="F162" s="38" t="s">
        <v>22</v>
      </c>
      <c r="G162" s="38" t="s">
        <v>23</v>
      </c>
      <c r="H162" s="48" t="s">
        <v>287</v>
      </c>
      <c r="I162" s="38" t="s">
        <v>300</v>
      </c>
      <c r="J162" s="40">
        <v>45112</v>
      </c>
      <c r="L162" s="38" t="s">
        <v>288</v>
      </c>
      <c r="M162" s="41">
        <v>1</v>
      </c>
      <c r="N162" s="39"/>
      <c r="Q162" s="43">
        <v>1710000</v>
      </c>
      <c r="R162" s="49"/>
      <c r="S162" s="50">
        <v>0.17</v>
      </c>
      <c r="U162" s="51"/>
      <c r="V162" s="46"/>
      <c r="W162" s="51">
        <f>IF(NOTA[[#This Row],[HARGA/ CTN]]="",NOTA[[#This Row],[JUMLAH_H]],NOTA[[#This Row],[HARGA/ CTN]]*IF(NOTA[[#This Row],[C]]="",0,NOTA[[#This Row],[C]]))</f>
        <v>1710000</v>
      </c>
      <c r="X162" s="51">
        <f>IF(NOTA[[#This Row],[JUMLAH]]="","",NOTA[[#This Row],[JUMLAH]]*NOTA[[#This Row],[DISC 1]])</f>
        <v>290700</v>
      </c>
      <c r="Y162" s="51">
        <f>IF(NOTA[[#This Row],[JUMLAH]]="","",(NOTA[[#This Row],[JUMLAH]]-NOTA[[#This Row],[DISC 1-]])*NOTA[[#This Row],[DISC 2]])</f>
        <v>0</v>
      </c>
      <c r="Z162" s="51">
        <f>IF(NOTA[[#This Row],[JUMLAH]]="","",NOTA[[#This Row],[DISC 1-]]+NOTA[[#This Row],[DISC 2-]])</f>
        <v>290700</v>
      </c>
      <c r="AA162" s="51">
        <f>IF(NOTA[[#This Row],[JUMLAH]]="","",NOTA[[#This Row],[JUMLAH]]-NOTA[[#This Row],[DISC]])</f>
        <v>1419300</v>
      </c>
      <c r="AB162" s="51"/>
      <c r="AC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51" t="str">
        <f>IF(OR(NOTA[[#This Row],[QTY]]="",NOTA[[#This Row],[HARGA SATUAN]]="",),"",NOTA[[#This Row],[QTY]]*NOTA[[#This Row],[HARGA SATUAN]])</f>
        <v/>
      </c>
      <c r="AG162" s="40">
        <f ca="1">IF(NOTA[ID_H]="","",INDEX(NOTA[TANGGAL],MATCH(,INDIRECT(ADDRESS(ROW(NOTA[TANGGAL]),COLUMN(NOTA[TANGGAL]))&amp;":"&amp;ADDRESS(ROW(),COLUMN(NOTA[TANGGAL]))),-1)))</f>
        <v>45114</v>
      </c>
      <c r="AH162" s="42" t="str">
        <f ca="1">IF(NOTA[[#This Row],[NAMA BARANG]]="","",INDEX(NOTA[SUPPLIER],MATCH(,INDIRECT(ADDRESS(ROW(NOTA[ID]),COLUMN(NOTA[ID]))&amp;":"&amp;ADDRESS(ROW(),COLUMN(NOTA[ID]))),-1)))</f>
        <v>KENKO SINAR INDONESIA</v>
      </c>
      <c r="AI162" s="42" t="str">
        <f ca="1">IF(NOTA[[#This Row],[ID_H]]="","",IF(NOTA[[#This Row],[FAKTUR]]="",INDIRECT(ADDRESS(ROW()-1,COLUMN())),NOTA[[#This Row],[FAKTUR]]))</f>
        <v>ARTO MORO</v>
      </c>
      <c r="AJ162" s="39">
        <f ca="1">IF(NOTA[[#This Row],[ID]]="","",COUNTIF(NOTA[ID_H],NOTA[[#This Row],[ID_H]]))</f>
        <v>7</v>
      </c>
      <c r="AK162" s="39">
        <f>IF(NOTA[[#This Row],[TGL.NOTA]]="",IF(NOTA[[#This Row],[SUPPLIER_H]]="","",AK161),MONTH(NOTA[[#This Row],[TGL.NOTA]]))</f>
        <v>7</v>
      </c>
      <c r="AL162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39" t="e">
        <f>IF(NOTA[[#This Row],[CONCAT4]]="","",_xlfn.IFNA(MATCH(NOTA[[#This Row],[CONCAT4]],[2]!RAW[CONCAT_H],0),FALSE))</f>
        <v>#REF!</v>
      </c>
      <c r="AQ162" s="39">
        <f>IF(NOTA[[#This Row],[CONCAT1]]="","",MATCH(NOTA[[#This Row],[CONCAT1]],[3]!db[NB NOTA_C],0))</f>
        <v>947</v>
      </c>
      <c r="AR162" s="39" t="str">
        <f>IF(NOTA[[#This Row],[QTY/ CTN]]="","",TRUE)</f>
        <v/>
      </c>
      <c r="AS162" s="39" t="str">
        <f ca="1">IF(NOTA[[#This Row],[ID_H]]="","",IF(NOTA[[#This Row],[Column3]]=TRUE,NOTA[[#This Row],[QTY/ CTN]],INDEX([3]!db[QTY/ CTN],NOTA[[#This Row],[//DB]])))</f>
        <v>30 LSN</v>
      </c>
      <c r="AT1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162" s="39" t="e">
        <f ca="1">IF(NOTA[[#This Row],[ID_H]]="","",MATCH(NOTA[[#This Row],[NB NOTA_C_QTY]],[4]!db[NB NOTA_C_QTY+F],0))</f>
        <v>#REF!</v>
      </c>
      <c r="AV162" s="55">
        <f ca="1">IF(NOTA[[#This Row],[NB NOTA_C_QTY]]="","",ROW()-2)</f>
        <v>160</v>
      </c>
    </row>
    <row r="163" spans="1:48" ht="20.100000000000001" customHeight="1" x14ac:dyDescent="0.25">
      <c r="A1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39</v>
      </c>
      <c r="E163" s="47"/>
      <c r="H163" s="48"/>
      <c r="L163" s="38" t="s">
        <v>289</v>
      </c>
      <c r="M163" s="41">
        <v>1</v>
      </c>
      <c r="N163" s="39"/>
      <c r="Q163" s="43">
        <v>2952000</v>
      </c>
      <c r="R163" s="49"/>
      <c r="S163" s="50">
        <v>0.17</v>
      </c>
      <c r="U163" s="51"/>
      <c r="V163" s="46"/>
      <c r="W163" s="51">
        <f>IF(NOTA[[#This Row],[HARGA/ CTN]]="",NOTA[[#This Row],[JUMLAH_H]],NOTA[[#This Row],[HARGA/ CTN]]*IF(NOTA[[#This Row],[C]]="",0,NOTA[[#This Row],[C]]))</f>
        <v>2952000</v>
      </c>
      <c r="X163" s="51">
        <f>IF(NOTA[[#This Row],[JUMLAH]]="","",NOTA[[#This Row],[JUMLAH]]*NOTA[[#This Row],[DISC 1]])</f>
        <v>501840.00000000006</v>
      </c>
      <c r="Y163" s="51">
        <f>IF(NOTA[[#This Row],[JUMLAH]]="","",(NOTA[[#This Row],[JUMLAH]]-NOTA[[#This Row],[DISC 1-]])*NOTA[[#This Row],[DISC 2]])</f>
        <v>0</v>
      </c>
      <c r="Z163" s="51">
        <f>IF(NOTA[[#This Row],[JUMLAH]]="","",NOTA[[#This Row],[DISC 1-]]+NOTA[[#This Row],[DISC 2-]])</f>
        <v>501840.00000000006</v>
      </c>
      <c r="AA163" s="51">
        <f>IF(NOTA[[#This Row],[JUMLAH]]="","",NOTA[[#This Row],[JUMLAH]]-NOTA[[#This Row],[DISC]])</f>
        <v>2450160</v>
      </c>
      <c r="AB163" s="51"/>
      <c r="AC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51" t="str">
        <f>IF(OR(NOTA[[#This Row],[QTY]]="",NOTA[[#This Row],[HARGA SATUAN]]="",),"",NOTA[[#This Row],[QTY]]*NOTA[[#This Row],[HARGA SATUAN]])</f>
        <v/>
      </c>
      <c r="AG163" s="40">
        <f ca="1">IF(NOTA[ID_H]="","",INDEX(NOTA[TANGGAL],MATCH(,INDIRECT(ADDRESS(ROW(NOTA[TANGGAL]),COLUMN(NOTA[TANGGAL]))&amp;":"&amp;ADDRESS(ROW(),COLUMN(NOTA[TANGGAL]))),-1)))</f>
        <v>45114</v>
      </c>
      <c r="AH163" s="42" t="str">
        <f ca="1">IF(NOTA[[#This Row],[NAMA BARANG]]="","",INDEX(NOTA[SUPPLIER],MATCH(,INDIRECT(ADDRESS(ROW(NOTA[ID]),COLUMN(NOTA[ID]))&amp;":"&amp;ADDRESS(ROW(),COLUMN(NOTA[ID]))),-1)))</f>
        <v>KENKO SINAR INDONESIA</v>
      </c>
      <c r="AI163" s="42" t="str">
        <f ca="1">IF(NOTA[[#This Row],[ID_H]]="","",IF(NOTA[[#This Row],[FAKTUR]]="",INDIRECT(ADDRESS(ROW()-1,COLUMN())),NOTA[[#This Row],[FAKTUR]]))</f>
        <v>ARTO MORO</v>
      </c>
      <c r="AJ163" s="39" t="str">
        <f ca="1">IF(NOTA[[#This Row],[ID]]="","",COUNTIF(NOTA[ID_H],NOTA[[#This Row],[ID_H]]))</f>
        <v/>
      </c>
      <c r="AK163" s="39">
        <f ca="1">IF(NOTA[[#This Row],[TGL.NOTA]]="",IF(NOTA[[#This Row],[SUPPLIER_H]]="","",AK162),MONTH(NOTA[[#This Row],[TGL.NOTA]]))</f>
        <v>7</v>
      </c>
      <c r="AL163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9" t="str">
        <f>IF(NOTA[[#This Row],[CONCAT4]]="","",_xlfn.IFNA(MATCH(NOTA[[#This Row],[CONCAT4]],[2]!RAW[CONCAT_H],0),FALSE))</f>
        <v/>
      </c>
      <c r="AQ163" s="39">
        <f>IF(NOTA[[#This Row],[CONCAT1]]="","",MATCH(NOTA[[#This Row],[CONCAT1]],[3]!db[NB NOTA_C],0))</f>
        <v>950</v>
      </c>
      <c r="AR163" s="39" t="str">
        <f>IF(NOTA[[#This Row],[QTY/ CTN]]="","",TRUE)</f>
        <v/>
      </c>
      <c r="AS163" s="39" t="str">
        <f ca="1">IF(NOTA[[#This Row],[ID_H]]="","",IF(NOTA[[#This Row],[Column3]]=TRUE,NOTA[[#This Row],[QTY/ CTN]],INDEX([3]!db[QTY/ CTN],NOTA[[#This Row],[//DB]])))</f>
        <v>20 LSN</v>
      </c>
      <c r="AT1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163" s="39" t="e">
        <f ca="1">IF(NOTA[[#This Row],[ID_H]]="","",MATCH(NOTA[[#This Row],[NB NOTA_C_QTY]],[4]!db[NB NOTA_C_QTY+F],0))</f>
        <v>#REF!</v>
      </c>
      <c r="AV163" s="55">
        <f ca="1">IF(NOTA[[#This Row],[NB NOTA_C_QTY]]="","",ROW()-2)</f>
        <v>161</v>
      </c>
    </row>
    <row r="164" spans="1:48" ht="20.100000000000001" customHeight="1" x14ac:dyDescent="0.25">
      <c r="A1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>
        <f ca="1">IF(NOTA[[#This Row],[NAMA BARANG]]="","",INDEX(NOTA[ID],MATCH(,INDIRECT(ADDRESS(ROW(NOTA[ID]),COLUMN(NOTA[ID]))&amp;":"&amp;ADDRESS(ROW(),COLUMN(NOTA[ID]))),-1)))</f>
        <v>39</v>
      </c>
      <c r="E164" s="47"/>
      <c r="H164" s="48"/>
      <c r="L164" s="38" t="s">
        <v>290</v>
      </c>
      <c r="M164" s="41">
        <v>7</v>
      </c>
      <c r="N164" s="39"/>
      <c r="Q164" s="43">
        <v>1954800</v>
      </c>
      <c r="R164" s="49"/>
      <c r="S164" s="50">
        <v>0.17</v>
      </c>
      <c r="U164" s="51"/>
      <c r="V164" s="46"/>
      <c r="W164" s="51">
        <f>IF(NOTA[[#This Row],[HARGA/ CTN]]="",NOTA[[#This Row],[JUMLAH_H]],NOTA[[#This Row],[HARGA/ CTN]]*IF(NOTA[[#This Row],[C]]="",0,NOTA[[#This Row],[C]]))</f>
        <v>13683600</v>
      </c>
      <c r="X164" s="51">
        <f>IF(NOTA[[#This Row],[JUMLAH]]="","",NOTA[[#This Row],[JUMLAH]]*NOTA[[#This Row],[DISC 1]])</f>
        <v>2326212</v>
      </c>
      <c r="Y164" s="51">
        <f>IF(NOTA[[#This Row],[JUMLAH]]="","",(NOTA[[#This Row],[JUMLAH]]-NOTA[[#This Row],[DISC 1-]])*NOTA[[#This Row],[DISC 2]])</f>
        <v>0</v>
      </c>
      <c r="Z164" s="51">
        <f>IF(NOTA[[#This Row],[JUMLAH]]="","",NOTA[[#This Row],[DISC 1-]]+NOTA[[#This Row],[DISC 2-]])</f>
        <v>2326212</v>
      </c>
      <c r="AA164" s="51">
        <f>IF(NOTA[[#This Row],[JUMLAH]]="","",NOTA[[#This Row],[JUMLAH]]-NOTA[[#This Row],[DISC]])</f>
        <v>11357388</v>
      </c>
      <c r="AB164" s="51"/>
      <c r="AC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51" t="str">
        <f>IF(OR(NOTA[[#This Row],[QTY]]="",NOTA[[#This Row],[HARGA SATUAN]]="",),"",NOTA[[#This Row],[QTY]]*NOTA[[#This Row],[HARGA SATUAN]])</f>
        <v/>
      </c>
      <c r="AG164" s="40">
        <f ca="1">IF(NOTA[ID_H]="","",INDEX(NOTA[TANGGAL],MATCH(,INDIRECT(ADDRESS(ROW(NOTA[TANGGAL]),COLUMN(NOTA[TANGGAL]))&amp;":"&amp;ADDRESS(ROW(),COLUMN(NOTA[TANGGAL]))),-1)))</f>
        <v>45114</v>
      </c>
      <c r="AH164" s="42" t="str">
        <f ca="1">IF(NOTA[[#This Row],[NAMA BARANG]]="","",INDEX(NOTA[SUPPLIER],MATCH(,INDIRECT(ADDRESS(ROW(NOTA[ID]),COLUMN(NOTA[ID]))&amp;":"&amp;ADDRESS(ROW(),COLUMN(NOTA[ID]))),-1)))</f>
        <v>KENKO SINAR INDONESIA</v>
      </c>
      <c r="AI164" s="42" t="str">
        <f ca="1">IF(NOTA[[#This Row],[ID_H]]="","",IF(NOTA[[#This Row],[FAKTUR]]="",INDIRECT(ADDRESS(ROW()-1,COLUMN())),NOTA[[#This Row],[FAKTUR]]))</f>
        <v>ARTO MORO</v>
      </c>
      <c r="AJ164" s="39" t="str">
        <f ca="1">IF(NOTA[[#This Row],[ID]]="","",COUNTIF(NOTA[ID_H],NOTA[[#This Row],[ID_H]]))</f>
        <v/>
      </c>
      <c r="AK164" s="39">
        <f ca="1">IF(NOTA[[#This Row],[TGL.NOTA]]="",IF(NOTA[[#This Row],[SUPPLIER_H]]="","",AK163),MONTH(NOTA[[#This Row],[TGL.NOTA]]))</f>
        <v>7</v>
      </c>
      <c r="AL164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9" t="str">
        <f>IF(NOTA[[#This Row],[CONCAT4]]="","",_xlfn.IFNA(MATCH(NOTA[[#This Row],[CONCAT4]],[2]!RAW[CONCAT_H],0),FALSE))</f>
        <v/>
      </c>
      <c r="AQ164" s="39">
        <f>IF(NOTA[[#This Row],[CONCAT1]]="","",MATCH(NOTA[[#This Row],[CONCAT1]],[3]!db[NB NOTA_C],0))</f>
        <v>2678</v>
      </c>
      <c r="AR164" s="39" t="str">
        <f>IF(NOTA[[#This Row],[QTY/ CTN]]="","",TRUE)</f>
        <v/>
      </c>
      <c r="AS164" s="39" t="str">
        <f ca="1">IF(NOTA[[#This Row],[ID_H]]="","",IF(NOTA[[#This Row],[Column3]]=TRUE,NOTA[[#This Row],[QTY/ CTN]],INDEX([3]!db[QTY/ CTN],NOTA[[#This Row],[//DB]])))</f>
        <v>36 LSN</v>
      </c>
      <c r="AT1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164" s="39" t="e">
        <f ca="1">IF(NOTA[[#This Row],[ID_H]]="","",MATCH(NOTA[[#This Row],[NB NOTA_C_QTY]],[4]!db[NB NOTA_C_QTY+F],0))</f>
        <v>#REF!</v>
      </c>
      <c r="AV164" s="55">
        <f ca="1">IF(NOTA[[#This Row],[NB NOTA_C_QTY]]="","",ROW()-2)</f>
        <v>162</v>
      </c>
    </row>
    <row r="165" spans="1:48" ht="20.100000000000001" customHeight="1" x14ac:dyDescent="0.25">
      <c r="A1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>
        <f ca="1">IF(NOTA[[#This Row],[NAMA BARANG]]="","",INDEX(NOTA[ID],MATCH(,INDIRECT(ADDRESS(ROW(NOTA[ID]),COLUMN(NOTA[ID]))&amp;":"&amp;ADDRESS(ROW(),COLUMN(NOTA[ID]))),-1)))</f>
        <v>39</v>
      </c>
      <c r="E165" s="47"/>
      <c r="H165" s="48"/>
      <c r="L165" s="38" t="s">
        <v>291</v>
      </c>
      <c r="M165" s="41">
        <v>2</v>
      </c>
      <c r="N165" s="39"/>
      <c r="Q165" s="43">
        <v>3600000</v>
      </c>
      <c r="R165" s="49"/>
      <c r="S165" s="50">
        <v>0.17</v>
      </c>
      <c r="U165" s="51"/>
      <c r="V165" s="46"/>
      <c r="W165" s="51">
        <f>IF(NOTA[[#This Row],[HARGA/ CTN]]="",NOTA[[#This Row],[JUMLAH_H]],NOTA[[#This Row],[HARGA/ CTN]]*IF(NOTA[[#This Row],[C]]="",0,NOTA[[#This Row],[C]]))</f>
        <v>7200000</v>
      </c>
      <c r="X165" s="51">
        <f>IF(NOTA[[#This Row],[JUMLAH]]="","",NOTA[[#This Row],[JUMLAH]]*NOTA[[#This Row],[DISC 1]])</f>
        <v>1224000</v>
      </c>
      <c r="Y165" s="51">
        <f>IF(NOTA[[#This Row],[JUMLAH]]="","",(NOTA[[#This Row],[JUMLAH]]-NOTA[[#This Row],[DISC 1-]])*NOTA[[#This Row],[DISC 2]])</f>
        <v>0</v>
      </c>
      <c r="Z165" s="51">
        <f>IF(NOTA[[#This Row],[JUMLAH]]="","",NOTA[[#This Row],[DISC 1-]]+NOTA[[#This Row],[DISC 2-]])</f>
        <v>1224000</v>
      </c>
      <c r="AA165" s="51">
        <f>IF(NOTA[[#This Row],[JUMLAH]]="","",NOTA[[#This Row],[JUMLAH]]-NOTA[[#This Row],[DISC]])</f>
        <v>5976000</v>
      </c>
      <c r="AB165" s="51"/>
      <c r="AC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51" t="str">
        <f>IF(OR(NOTA[[#This Row],[QTY]]="",NOTA[[#This Row],[HARGA SATUAN]]="",),"",NOTA[[#This Row],[QTY]]*NOTA[[#This Row],[HARGA SATUAN]])</f>
        <v/>
      </c>
      <c r="AG165" s="40">
        <f ca="1">IF(NOTA[ID_H]="","",INDEX(NOTA[TANGGAL],MATCH(,INDIRECT(ADDRESS(ROW(NOTA[TANGGAL]),COLUMN(NOTA[TANGGAL]))&amp;":"&amp;ADDRESS(ROW(),COLUMN(NOTA[TANGGAL]))),-1)))</f>
        <v>45114</v>
      </c>
      <c r="AH165" s="42" t="str">
        <f ca="1">IF(NOTA[[#This Row],[NAMA BARANG]]="","",INDEX(NOTA[SUPPLIER],MATCH(,INDIRECT(ADDRESS(ROW(NOTA[ID]),COLUMN(NOTA[ID]))&amp;":"&amp;ADDRESS(ROW(),COLUMN(NOTA[ID]))),-1)))</f>
        <v>KENKO SINAR INDONESIA</v>
      </c>
      <c r="AI165" s="42" t="str">
        <f ca="1">IF(NOTA[[#This Row],[ID_H]]="","",IF(NOTA[[#This Row],[FAKTUR]]="",INDIRECT(ADDRESS(ROW()-1,COLUMN())),NOTA[[#This Row],[FAKTUR]]))</f>
        <v>ARTO MORO</v>
      </c>
      <c r="AJ165" s="39" t="str">
        <f ca="1">IF(NOTA[[#This Row],[ID]]="","",COUNTIF(NOTA[ID_H],NOTA[[#This Row],[ID_H]]))</f>
        <v/>
      </c>
      <c r="AK165" s="39">
        <f ca="1">IF(NOTA[[#This Row],[TGL.NOTA]]="",IF(NOTA[[#This Row],[SUPPLIER_H]]="","",AK164),MONTH(NOTA[[#This Row],[TGL.NOTA]]))</f>
        <v>7</v>
      </c>
      <c r="AL165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9" t="str">
        <f>IF(NOTA[[#This Row],[CONCAT4]]="","",_xlfn.IFNA(MATCH(NOTA[[#This Row],[CONCAT4]],[2]!RAW[CONCAT_H],0),FALSE))</f>
        <v/>
      </c>
      <c r="AQ165" s="39">
        <f>IF(NOTA[[#This Row],[CONCAT1]]="","",MATCH(NOTA[[#This Row],[CONCAT1]],[3]!db[NB NOTA_C],0))</f>
        <v>929</v>
      </c>
      <c r="AR165" s="39" t="str">
        <f>IF(NOTA[[#This Row],[QTY/ CTN]]="","",TRUE)</f>
        <v/>
      </c>
      <c r="AS165" s="39" t="str">
        <f ca="1">IF(NOTA[[#This Row],[ID_H]]="","",IF(NOTA[[#This Row],[Column3]]=TRUE,NOTA[[#This Row],[QTY/ CTN]],INDEX([3]!db[QTY/ CTN],NOTA[[#This Row],[//DB]])))</f>
        <v>6 LSN</v>
      </c>
      <c r="AT1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5" s="39" t="e">
        <f ca="1">IF(NOTA[[#This Row],[ID_H]]="","",MATCH(NOTA[[#This Row],[NB NOTA_C_QTY]],[4]!db[NB NOTA_C_QTY+F],0))</f>
        <v>#REF!</v>
      </c>
      <c r="AV165" s="55">
        <f ca="1">IF(NOTA[[#This Row],[NB NOTA_C_QTY]]="","",ROW()-2)</f>
        <v>163</v>
      </c>
    </row>
    <row r="166" spans="1:48" ht="20.100000000000001" customHeight="1" x14ac:dyDescent="0.25">
      <c r="A1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39</v>
      </c>
      <c r="E166" s="47"/>
      <c r="H166" s="48"/>
      <c r="I166" s="38" t="s">
        <v>294</v>
      </c>
      <c r="L166" s="38" t="s">
        <v>286</v>
      </c>
      <c r="M166" s="41">
        <v>1</v>
      </c>
      <c r="N166" s="39"/>
      <c r="Q166" s="43">
        <v>1200000</v>
      </c>
      <c r="R166" s="49" t="s">
        <v>299</v>
      </c>
      <c r="S166" s="50">
        <v>0.17</v>
      </c>
      <c r="U166" s="51"/>
      <c r="V166" s="46"/>
      <c r="W166" s="51">
        <f>IF(NOTA[[#This Row],[HARGA/ CTN]]="",NOTA[[#This Row],[JUMLAH_H]],NOTA[[#This Row],[HARGA/ CTN]]*IF(NOTA[[#This Row],[C]]="",0,NOTA[[#This Row],[C]]))</f>
        <v>1200000</v>
      </c>
      <c r="X166" s="51">
        <f>IF(NOTA[[#This Row],[JUMLAH]]="","",NOTA[[#This Row],[JUMLAH]]*NOTA[[#This Row],[DISC 1]])</f>
        <v>204000.00000000003</v>
      </c>
      <c r="Y166" s="51">
        <f>IF(NOTA[[#This Row],[JUMLAH]]="","",(NOTA[[#This Row],[JUMLAH]]-NOTA[[#This Row],[DISC 1-]])*NOTA[[#This Row],[DISC 2]])</f>
        <v>0</v>
      </c>
      <c r="Z166" s="51">
        <f>IF(NOTA[[#This Row],[JUMLAH]]="","",NOTA[[#This Row],[DISC 1-]]+NOTA[[#This Row],[DISC 2-]])</f>
        <v>204000.00000000003</v>
      </c>
      <c r="AA166" s="51">
        <f>IF(NOTA[[#This Row],[JUMLAH]]="","",NOTA[[#This Row],[JUMLAH]]-NOTA[[#This Row],[DISC]])</f>
        <v>996000</v>
      </c>
      <c r="AB166" s="51"/>
      <c r="AC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51" t="str">
        <f>IF(OR(NOTA[[#This Row],[QTY]]="",NOTA[[#This Row],[HARGA SATUAN]]="",),"",NOTA[[#This Row],[QTY]]*NOTA[[#This Row],[HARGA SATUAN]])</f>
        <v/>
      </c>
      <c r="AG166" s="40">
        <f ca="1">IF(NOTA[ID_H]="","",INDEX(NOTA[TANGGAL],MATCH(,INDIRECT(ADDRESS(ROW(NOTA[TANGGAL]),COLUMN(NOTA[TANGGAL]))&amp;":"&amp;ADDRESS(ROW(),COLUMN(NOTA[TANGGAL]))),-1)))</f>
        <v>45114</v>
      </c>
      <c r="AH166" s="42" t="str">
        <f ca="1">IF(NOTA[[#This Row],[NAMA BARANG]]="","",INDEX(NOTA[SUPPLIER],MATCH(,INDIRECT(ADDRESS(ROW(NOTA[ID]),COLUMN(NOTA[ID]))&amp;":"&amp;ADDRESS(ROW(),COLUMN(NOTA[ID]))),-1)))</f>
        <v>KENKO SINAR INDONESIA</v>
      </c>
      <c r="AI166" s="42" t="str">
        <f ca="1">IF(NOTA[[#This Row],[ID_H]]="","",IF(NOTA[[#This Row],[FAKTUR]]="",INDIRECT(ADDRESS(ROW()-1,COLUMN())),NOTA[[#This Row],[FAKTUR]]))</f>
        <v>ARTO MORO</v>
      </c>
      <c r="AJ166" s="39" t="str">
        <f ca="1">IF(NOTA[[#This Row],[ID]]="","",COUNTIF(NOTA[ID_H],NOTA[[#This Row],[ID_H]]))</f>
        <v/>
      </c>
      <c r="AK166" s="39">
        <f ca="1">IF(NOTA[[#This Row],[TGL.NOTA]]="",IF(NOTA[[#This Row],[SUPPLIER_H]]="","",AK165),MONTH(NOTA[[#This Row],[TGL.NOTA]]))</f>
        <v>7</v>
      </c>
      <c r="AL16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9" t="str">
        <f>IF(NOTA[[#This Row],[CONCAT4]]="","",_xlfn.IFNA(MATCH(NOTA[[#This Row],[CONCAT4]],[2]!RAW[CONCAT_H],0),FALSE))</f>
        <v/>
      </c>
      <c r="AQ166" s="39">
        <f>IF(NOTA[[#This Row],[CONCAT1]]="","",MATCH(NOTA[[#This Row],[CONCAT1]],[3]!db[NB NOTA_C],0))</f>
        <v>230</v>
      </c>
      <c r="AR166" s="39" t="b">
        <f>IF(NOTA[[#This Row],[QTY/ CTN]]="","",TRUE)</f>
        <v>1</v>
      </c>
      <c r="AS166" s="39" t="str">
        <f ca="1">IF(NOTA[[#This Row],[ID_H]]="","",IF(NOTA[[#This Row],[Column3]]=TRUE,NOTA[[#This Row],[QTY/ CTN]],INDEX([3]!db[QTY/ CTN],NOTA[[#This Row],[//DB]])))</f>
        <v>10 GRS</v>
      </c>
      <c r="AT1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6" s="39" t="e">
        <f ca="1">IF(NOTA[[#This Row],[ID_H]]="","",MATCH(NOTA[[#This Row],[NB NOTA_C_QTY]],[4]!db[NB NOTA_C_QTY+F],0))</f>
        <v>#REF!</v>
      </c>
      <c r="AV166" s="55">
        <f ca="1">IF(NOTA[[#This Row],[NB NOTA_C_QTY]]="","",ROW()-2)</f>
        <v>164</v>
      </c>
    </row>
    <row r="167" spans="1:48" ht="20.100000000000001" customHeight="1" x14ac:dyDescent="0.25">
      <c r="A1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39</v>
      </c>
      <c r="E167" s="47"/>
      <c r="H167" s="48"/>
      <c r="L167" s="38" t="s">
        <v>292</v>
      </c>
      <c r="M167" s="41">
        <v>1</v>
      </c>
      <c r="N167" s="39"/>
      <c r="Q167" s="43">
        <v>900000</v>
      </c>
      <c r="R167" s="49" t="s">
        <v>302</v>
      </c>
      <c r="S167" s="50">
        <v>0.17</v>
      </c>
      <c r="U167" s="51"/>
      <c r="V167" s="46"/>
      <c r="W167" s="51">
        <f>IF(NOTA[[#This Row],[HARGA/ CTN]]="",NOTA[[#This Row],[JUMLAH_H]],NOTA[[#This Row],[HARGA/ CTN]]*IF(NOTA[[#This Row],[C]]="",0,NOTA[[#This Row],[C]]))</f>
        <v>900000</v>
      </c>
      <c r="X167" s="51">
        <f>IF(NOTA[[#This Row],[JUMLAH]]="","",NOTA[[#This Row],[JUMLAH]]*NOTA[[#This Row],[DISC 1]])</f>
        <v>153000</v>
      </c>
      <c r="Y167" s="51">
        <f>IF(NOTA[[#This Row],[JUMLAH]]="","",(NOTA[[#This Row],[JUMLAH]]-NOTA[[#This Row],[DISC 1-]])*NOTA[[#This Row],[DISC 2]])</f>
        <v>0</v>
      </c>
      <c r="Z167" s="51">
        <f>IF(NOTA[[#This Row],[JUMLAH]]="","",NOTA[[#This Row],[DISC 1-]]+NOTA[[#This Row],[DISC 2-]])</f>
        <v>153000</v>
      </c>
      <c r="AA167" s="51">
        <f>IF(NOTA[[#This Row],[JUMLAH]]="","",NOTA[[#This Row],[JUMLAH]]-NOTA[[#This Row],[DISC]])</f>
        <v>747000</v>
      </c>
      <c r="AB167" s="51"/>
      <c r="AC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51" t="str">
        <f>IF(OR(NOTA[[#This Row],[QTY]]="",NOTA[[#This Row],[HARGA SATUAN]]="",),"",NOTA[[#This Row],[QTY]]*NOTA[[#This Row],[HARGA SATUAN]])</f>
        <v/>
      </c>
      <c r="AG167" s="40">
        <f ca="1">IF(NOTA[ID_H]="","",INDEX(NOTA[TANGGAL],MATCH(,INDIRECT(ADDRESS(ROW(NOTA[TANGGAL]),COLUMN(NOTA[TANGGAL]))&amp;":"&amp;ADDRESS(ROW(),COLUMN(NOTA[TANGGAL]))),-1)))</f>
        <v>45114</v>
      </c>
      <c r="AH167" s="42" t="str">
        <f ca="1">IF(NOTA[[#This Row],[NAMA BARANG]]="","",INDEX(NOTA[SUPPLIER],MATCH(,INDIRECT(ADDRESS(ROW(NOTA[ID]),COLUMN(NOTA[ID]))&amp;":"&amp;ADDRESS(ROW(),COLUMN(NOTA[ID]))),-1)))</f>
        <v>KENKO SINAR INDONESIA</v>
      </c>
      <c r="AI167" s="42" t="str">
        <f ca="1">IF(NOTA[[#This Row],[ID_H]]="","",IF(NOTA[[#This Row],[FAKTUR]]="",INDIRECT(ADDRESS(ROW()-1,COLUMN())),NOTA[[#This Row],[FAKTUR]]))</f>
        <v>ARTO MORO</v>
      </c>
      <c r="AJ167" s="39" t="str">
        <f ca="1">IF(NOTA[[#This Row],[ID]]="","",COUNTIF(NOTA[ID_H],NOTA[[#This Row],[ID_H]]))</f>
        <v/>
      </c>
      <c r="AK167" s="39">
        <f ca="1">IF(NOTA[[#This Row],[TGL.NOTA]]="",IF(NOTA[[#This Row],[SUPPLIER_H]]="","",AK166),MONTH(NOTA[[#This Row],[TGL.NOTA]]))</f>
        <v>7</v>
      </c>
      <c r="AL16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9" t="str">
        <f>IF(NOTA[[#This Row],[CONCAT4]]="","",_xlfn.IFNA(MATCH(NOTA[[#This Row],[CONCAT4]],[2]!RAW[CONCAT_H],0),FALSE))</f>
        <v/>
      </c>
      <c r="AQ167" s="39">
        <f>IF(NOTA[[#This Row],[CONCAT1]]="","",MATCH(NOTA[[#This Row],[CONCAT1]],[3]!db[NB NOTA_C],0))</f>
        <v>231</v>
      </c>
      <c r="AR167" s="39" t="b">
        <f>IF(NOTA[[#This Row],[QTY/ CTN]]="","",TRUE)</f>
        <v>1</v>
      </c>
      <c r="AS167" s="39" t="str">
        <f ca="1">IF(NOTA[[#This Row],[ID_H]]="","",IF(NOTA[[#This Row],[Column3]]=TRUE,NOTA[[#This Row],[QTY/ CTN]],INDEX([3]!db[QTY/ CTN],NOTA[[#This Row],[//DB]])))</f>
        <v>5 GRS</v>
      </c>
      <c r="AT1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67" s="39" t="e">
        <f ca="1">IF(NOTA[[#This Row],[ID_H]]="","",MATCH(NOTA[[#This Row],[NB NOTA_C_QTY]],[4]!db[NB NOTA_C_QTY+F],0))</f>
        <v>#REF!</v>
      </c>
      <c r="AV167" s="55">
        <f ca="1">IF(NOTA[[#This Row],[NB NOTA_C_QTY]]="","",ROW()-2)</f>
        <v>165</v>
      </c>
    </row>
    <row r="168" spans="1:48" ht="20.100000000000001" customHeight="1" x14ac:dyDescent="0.25">
      <c r="A1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>
        <f ca="1">IF(NOTA[[#This Row],[NAMA BARANG]]="","",INDEX(NOTA[ID],MATCH(,INDIRECT(ADDRESS(ROW(NOTA[ID]),COLUMN(NOTA[ID]))&amp;":"&amp;ADDRESS(ROW(),COLUMN(NOTA[ID]))),-1)))</f>
        <v>39</v>
      </c>
      <c r="E168" s="47"/>
      <c r="H168" s="48"/>
      <c r="I168" s="38" t="s">
        <v>301</v>
      </c>
      <c r="L168" s="38" t="s">
        <v>291</v>
      </c>
      <c r="M168" s="41">
        <v>10</v>
      </c>
      <c r="N168" s="39"/>
      <c r="Q168" s="43">
        <v>3600000</v>
      </c>
      <c r="R168" s="49"/>
      <c r="S168" s="50">
        <v>0.17</v>
      </c>
      <c r="U168" s="51"/>
      <c r="V168" s="46"/>
      <c r="W168" s="51">
        <f>IF(NOTA[[#This Row],[HARGA/ CTN]]="",NOTA[[#This Row],[JUMLAH_H]],NOTA[[#This Row],[HARGA/ CTN]]*IF(NOTA[[#This Row],[C]]="",0,NOTA[[#This Row],[C]]))</f>
        <v>36000000</v>
      </c>
      <c r="X168" s="51">
        <f>IF(NOTA[[#This Row],[JUMLAH]]="","",NOTA[[#This Row],[JUMLAH]]*NOTA[[#This Row],[DISC 1]])</f>
        <v>6120000</v>
      </c>
      <c r="Y168" s="51">
        <f>IF(NOTA[[#This Row],[JUMLAH]]="","",(NOTA[[#This Row],[JUMLAH]]-NOTA[[#This Row],[DISC 1-]])*NOTA[[#This Row],[DISC 2]])</f>
        <v>0</v>
      </c>
      <c r="Z168" s="51">
        <f>IF(NOTA[[#This Row],[JUMLAH]]="","",NOTA[[#This Row],[DISC 1-]]+NOTA[[#This Row],[DISC 2-]])</f>
        <v>6120000</v>
      </c>
      <c r="AA168" s="51">
        <f>IF(NOTA[[#This Row],[JUMLAH]]="","",NOTA[[#This Row],[JUMLAH]]-NOTA[[#This Row],[DISC]])</f>
        <v>29880000</v>
      </c>
      <c r="AB168" s="51"/>
      <c r="AC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51" t="str">
        <f>IF(OR(NOTA[[#This Row],[QTY]]="",NOTA[[#This Row],[HARGA SATUAN]]="",),"",NOTA[[#This Row],[QTY]]*NOTA[[#This Row],[HARGA SATUAN]])</f>
        <v/>
      </c>
      <c r="AG168" s="40">
        <f ca="1">IF(NOTA[ID_H]="","",INDEX(NOTA[TANGGAL],MATCH(,INDIRECT(ADDRESS(ROW(NOTA[TANGGAL]),COLUMN(NOTA[TANGGAL]))&amp;":"&amp;ADDRESS(ROW(),COLUMN(NOTA[TANGGAL]))),-1)))</f>
        <v>45114</v>
      </c>
      <c r="AH168" s="42" t="str">
        <f ca="1">IF(NOTA[[#This Row],[NAMA BARANG]]="","",INDEX(NOTA[SUPPLIER],MATCH(,INDIRECT(ADDRESS(ROW(NOTA[ID]),COLUMN(NOTA[ID]))&amp;":"&amp;ADDRESS(ROW(),COLUMN(NOTA[ID]))),-1)))</f>
        <v>KENKO SINAR INDONESIA</v>
      </c>
      <c r="AI168" s="42" t="str">
        <f ca="1">IF(NOTA[[#This Row],[ID_H]]="","",IF(NOTA[[#This Row],[FAKTUR]]="",INDIRECT(ADDRESS(ROW()-1,COLUMN())),NOTA[[#This Row],[FAKTUR]]))</f>
        <v>ARTO MORO</v>
      </c>
      <c r="AJ168" s="39" t="str">
        <f ca="1">IF(NOTA[[#This Row],[ID]]="","",COUNTIF(NOTA[ID_H],NOTA[[#This Row],[ID_H]]))</f>
        <v/>
      </c>
      <c r="AK168" s="39">
        <f ca="1">IF(NOTA[[#This Row],[TGL.NOTA]]="",IF(NOTA[[#This Row],[SUPPLIER_H]]="","",AK167),MONTH(NOTA[[#This Row],[TGL.NOTA]]))</f>
        <v>7</v>
      </c>
      <c r="AL168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9" t="str">
        <f>IF(NOTA[[#This Row],[CONCAT4]]="","",_xlfn.IFNA(MATCH(NOTA[[#This Row],[CONCAT4]],[2]!RAW[CONCAT_H],0),FALSE))</f>
        <v/>
      </c>
      <c r="AQ168" s="39">
        <f>IF(NOTA[[#This Row],[CONCAT1]]="","",MATCH(NOTA[[#This Row],[CONCAT1]],[3]!db[NB NOTA_C],0))</f>
        <v>929</v>
      </c>
      <c r="AR168" s="39" t="str">
        <f>IF(NOTA[[#This Row],[QTY/ CTN]]="","",TRUE)</f>
        <v/>
      </c>
      <c r="AS168" s="39" t="str">
        <f ca="1">IF(NOTA[[#This Row],[ID_H]]="","",IF(NOTA[[#This Row],[Column3]]=TRUE,NOTA[[#This Row],[QTY/ CTN]],INDEX([3]!db[QTY/ CTN],NOTA[[#This Row],[//DB]])))</f>
        <v>6 LSN</v>
      </c>
      <c r="AT1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8" s="39" t="e">
        <f ca="1">IF(NOTA[[#This Row],[ID_H]]="","",MATCH(NOTA[[#This Row],[NB NOTA_C_QTY]],[4]!db[NB NOTA_C_QTY+F],0))</f>
        <v>#REF!</v>
      </c>
      <c r="AV168" s="55">
        <f ca="1">IF(NOTA[[#This Row],[NB NOTA_C_QTY]]="","",ROW()-2)</f>
        <v>166</v>
      </c>
    </row>
    <row r="169" spans="1:48" ht="20.100000000000001" customHeight="1" x14ac:dyDescent="0.25">
      <c r="A1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47"/>
      <c r="H169" s="48"/>
      <c r="N169" s="39"/>
      <c r="Q169" s="43"/>
      <c r="R169" s="49"/>
      <c r="S169" s="50"/>
      <c r="U169" s="51"/>
      <c r="V169" s="46"/>
      <c r="W169" s="51" t="str">
        <f>IF(NOTA[[#This Row],[HARGA/ CTN]]="",NOTA[[#This Row],[JUMLAH_H]],NOTA[[#This Row],[HARGA/ CTN]]*IF(NOTA[[#This Row],[C]]="",0,NOTA[[#This Row],[C]]))</f>
        <v/>
      </c>
      <c r="X169" s="51" t="str">
        <f>IF(NOTA[[#This Row],[JUMLAH]]="","",NOTA[[#This Row],[JUMLAH]]*NOTA[[#This Row],[DISC 1]])</f>
        <v/>
      </c>
      <c r="Y169" s="51" t="str">
        <f>IF(NOTA[[#This Row],[JUMLAH]]="","",(NOTA[[#This Row],[JUMLAH]]-NOTA[[#This Row],[DISC 1-]])*NOTA[[#This Row],[DISC 2]])</f>
        <v/>
      </c>
      <c r="Z169" s="51" t="str">
        <f>IF(NOTA[[#This Row],[JUMLAH]]="","",NOTA[[#This Row],[DISC 1-]]+NOTA[[#This Row],[DISC 2-]])</f>
        <v/>
      </c>
      <c r="AA169" s="51" t="str">
        <f>IF(NOTA[[#This Row],[JUMLAH]]="","",NOTA[[#This Row],[JUMLAH]]-NOTA[[#This Row],[DISC]])</f>
        <v/>
      </c>
      <c r="AB169" s="51"/>
      <c r="AC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1" t="str">
        <f>IF(OR(NOTA[[#This Row],[QTY]]="",NOTA[[#This Row],[HARGA SATUAN]]="",),"",NOTA[[#This Row],[QTY]]*NOTA[[#This Row],[HARGA SATUAN]])</f>
        <v/>
      </c>
      <c r="AG169" s="40" t="str">
        <f ca="1">IF(NOTA[ID_H]="","",INDEX(NOTA[TANGGAL],MATCH(,INDIRECT(ADDRESS(ROW(NOTA[TANGGAL]),COLUMN(NOTA[TANGGAL]))&amp;":"&amp;ADDRESS(ROW(),COLUMN(NOTA[TANGGAL]))),-1)))</f>
        <v/>
      </c>
      <c r="AH169" s="42" t="str">
        <f ca="1">IF(NOTA[[#This Row],[NAMA BARANG]]="","",INDEX(NOTA[SUPPLIER],MATCH(,INDIRECT(ADDRESS(ROW(NOTA[ID]),COLUMN(NOTA[ID]))&amp;":"&amp;ADDRESS(ROW(),COLUMN(NOTA[ID]))),-1)))</f>
        <v/>
      </c>
      <c r="AI169" s="42" t="str">
        <f ca="1">IF(NOTA[[#This Row],[ID_H]]="","",IF(NOTA[[#This Row],[FAKTUR]]="",INDIRECT(ADDRESS(ROW()-1,COLUMN())),NOTA[[#This Row],[FAKTUR]]))</f>
        <v/>
      </c>
      <c r="AJ169" s="39" t="str">
        <f ca="1">IF(NOTA[[#This Row],[ID]]="","",COUNTIF(NOTA[ID_H],NOTA[[#This Row],[ID_H]]))</f>
        <v/>
      </c>
      <c r="AK169" s="39" t="str">
        <f ca="1">IF(NOTA[[#This Row],[TGL.NOTA]]="",IF(NOTA[[#This Row],[SUPPLIER_H]]="","",AK168),MONTH(NOTA[[#This Row],[TGL.NOTA]]))</f>
        <v/>
      </c>
      <c r="AL169" s="39" t="str">
        <f>LOWER(SUBSTITUTE(SUBSTITUTE(SUBSTITUTE(SUBSTITUTE(SUBSTITUTE(SUBSTITUTE(SUBSTITUTE(SUBSTITUTE(SUBSTITUTE(NOTA[NAMA BARANG]," ",),".",""),"-",""),"(",""),")",""),",",""),"/",""),"""",""),"+",""))</f>
        <v/>
      </c>
      <c r="AM1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9" t="str">
        <f>IF(NOTA[[#This Row],[CONCAT4]]="","",_xlfn.IFNA(MATCH(NOTA[[#This Row],[CONCAT4]],[2]!RAW[CONCAT_H],0),FALSE))</f>
        <v/>
      </c>
      <c r="AQ169" s="39" t="str">
        <f>IF(NOTA[[#This Row],[CONCAT1]]="","",MATCH(NOTA[[#This Row],[CONCAT1]],[3]!db[NB NOTA_C],0))</f>
        <v/>
      </c>
      <c r="AR169" s="39" t="str">
        <f>IF(NOTA[[#This Row],[QTY/ CTN]]="","",TRUE)</f>
        <v/>
      </c>
      <c r="AS169" s="39" t="str">
        <f ca="1">IF(NOTA[[#This Row],[ID_H]]="","",IF(NOTA[[#This Row],[Column3]]=TRUE,NOTA[[#This Row],[QTY/ CTN]],INDEX([3]!db[QTY/ CTN],NOTA[[#This Row],[//DB]])))</f>
        <v/>
      </c>
      <c r="AT1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9" t="str">
        <f ca="1">IF(NOTA[[#This Row],[ID_H]]="","",MATCH(NOTA[[#This Row],[NB NOTA_C_QTY]],[4]!db[NB NOTA_C_QTY+F],0))</f>
        <v/>
      </c>
      <c r="AV169" s="55" t="str">
        <f ca="1">IF(NOTA[[#This Row],[NB NOTA_C_QTY]]="","",ROW()-2)</f>
        <v/>
      </c>
    </row>
    <row r="170" spans="1:48" ht="20.100000000000001" customHeight="1" x14ac:dyDescent="0.25">
      <c r="A170" s="42">
        <f ca="1">IF(INDIRECT(ADDRESS(ROW()-1,COLUMN(NOTA[[#Headers],[ID]])))="ID",1,IF(NOTA[[#This Row],[FAKTUR]]="","",COUNT(INDIRECT(ADDRESS(ROW(NOTA[ID]),COLUMN(NOTA[ID]))&amp;":"&amp;ADDRESS(ROW()-1,COLUMN(NOTA[ID]))))+1))</f>
        <v>40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ATA_0807_160-9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40</v>
      </c>
      <c r="E170" s="47">
        <v>45115</v>
      </c>
      <c r="F170" s="38" t="s">
        <v>24</v>
      </c>
      <c r="G170" s="38" t="s">
        <v>23</v>
      </c>
      <c r="H170" s="48" t="s">
        <v>303</v>
      </c>
      <c r="J170" s="40">
        <v>45111</v>
      </c>
      <c r="L170" s="38" t="s">
        <v>304</v>
      </c>
      <c r="M170" s="41">
        <v>3</v>
      </c>
      <c r="N170" s="39">
        <v>90</v>
      </c>
      <c r="O170" s="38" t="s">
        <v>305</v>
      </c>
      <c r="P170" s="42">
        <v>99000</v>
      </c>
      <c r="Q170" s="43"/>
      <c r="R170" s="49" t="s">
        <v>306</v>
      </c>
      <c r="S170" s="50">
        <v>0.125</v>
      </c>
      <c r="T170" s="45">
        <v>0.05</v>
      </c>
      <c r="U170" s="51"/>
      <c r="V170" s="46"/>
      <c r="W170" s="51">
        <f>IF(NOTA[[#This Row],[HARGA/ CTN]]="",NOTA[[#This Row],[JUMLAH_H]],NOTA[[#This Row],[HARGA/ CTN]]*IF(NOTA[[#This Row],[C]]="",0,NOTA[[#This Row],[C]]))</f>
        <v>8910000</v>
      </c>
      <c r="X170" s="51">
        <f>IF(NOTA[[#This Row],[JUMLAH]]="","",NOTA[[#This Row],[JUMLAH]]*NOTA[[#This Row],[DISC 1]])</f>
        <v>1113750</v>
      </c>
      <c r="Y170" s="51">
        <f>IF(NOTA[[#This Row],[JUMLAH]]="","",(NOTA[[#This Row],[JUMLAH]]-NOTA[[#This Row],[DISC 1-]])*NOTA[[#This Row],[DISC 2]])</f>
        <v>389812.5</v>
      </c>
      <c r="Z170" s="51">
        <f>IF(NOTA[[#This Row],[JUMLAH]]="","",NOTA[[#This Row],[DISC 1-]]+NOTA[[#This Row],[DISC 2-]])</f>
        <v>1503562.5</v>
      </c>
      <c r="AA170" s="51">
        <f>IF(NOTA[[#This Row],[JUMLAH]]="","",NOTA[[#This Row],[JUMLAH]]-NOTA[[#This Row],[DISC]])</f>
        <v>7406437.5</v>
      </c>
      <c r="AB170" s="51"/>
      <c r="AC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170" s="51">
        <f>IF(OR(NOTA[[#This Row],[QTY]]="",NOTA[[#This Row],[HARGA SATUAN]]="",),"",NOTA[[#This Row],[QTY]]*NOTA[[#This Row],[HARGA SATUAN]])</f>
        <v>8910000</v>
      </c>
      <c r="AG170" s="40">
        <f ca="1">IF(NOTA[ID_H]="","",INDEX(NOTA[TANGGAL],MATCH(,INDIRECT(ADDRESS(ROW(NOTA[TANGGAL]),COLUMN(NOTA[TANGGAL]))&amp;":"&amp;ADDRESS(ROW(),COLUMN(NOTA[TANGGAL]))),-1)))</f>
        <v>45115</v>
      </c>
      <c r="AH170" s="42" t="str">
        <f ca="1">IF(NOTA[[#This Row],[NAMA BARANG]]="","",INDEX(NOTA[SUPPLIER],MATCH(,INDIRECT(ADDRESS(ROW(NOTA[ID]),COLUMN(NOTA[ID]))&amp;":"&amp;ADDRESS(ROW(),COLUMN(NOTA[ID]))),-1)))</f>
        <v>ATALI MAKMUR</v>
      </c>
      <c r="AI170" s="42" t="str">
        <f ca="1">IF(NOTA[[#This Row],[ID_H]]="","",IF(NOTA[[#This Row],[FAKTUR]]="",INDIRECT(ADDRESS(ROW()-1,COLUMN())),NOTA[[#This Row],[FAKTUR]]))</f>
        <v>ARTO MORO</v>
      </c>
      <c r="AJ170" s="39">
        <f ca="1">IF(NOTA[[#This Row],[ID]]="","",COUNTIF(NOTA[ID_H],NOTA[[#This Row],[ID_H]]))</f>
        <v>9</v>
      </c>
      <c r="AK170" s="39">
        <f>IF(NOTA[[#This Row],[TGL.NOTA]]="",IF(NOTA[[#This Row],[SUPPLIER_H]]="","",AK169),MONTH(NOTA[[#This Row],[TGL.NOTA]]))</f>
        <v>7</v>
      </c>
      <c r="AL170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1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1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17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MOROSA23071116045111pencilp912bjk</v>
      </c>
      <c r="AP170" s="39" t="e">
        <f>IF(NOTA[[#This Row],[CONCAT4]]="","",_xlfn.IFNA(MATCH(NOTA[[#This Row],[CONCAT4]],[2]!RAW[CONCAT_H],0),FALSE))</f>
        <v>#REF!</v>
      </c>
      <c r="AQ170" s="39">
        <f>IF(NOTA[[#This Row],[CONCAT1]]="","",MATCH(NOTA[[#This Row],[CONCAT1]],[3]!db[NB NOTA_C],0))</f>
        <v>2196</v>
      </c>
      <c r="AR170" s="39" t="b">
        <f>IF(NOTA[[#This Row],[QTY/ CTN]]="","",TRUE)</f>
        <v>1</v>
      </c>
      <c r="AS170" s="39" t="str">
        <f ca="1">IF(NOTA[[#This Row],[ID_H]]="","",IF(NOTA[[#This Row],[Column3]]=TRUE,NOTA[[#This Row],[QTY/ CTN]],INDEX([3]!db[QTY/ CTN],NOTA[[#This Row],[//DB]])))</f>
        <v>30 GRS</v>
      </c>
      <c r="AT1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170" s="39" t="e">
        <f ca="1">IF(NOTA[[#This Row],[ID_H]]="","",MATCH(NOTA[[#This Row],[NB NOTA_C_QTY]],[4]!db[NB NOTA_C_QTY+F],0))</f>
        <v>#REF!</v>
      </c>
      <c r="AV170" s="55">
        <f ca="1">IF(NOTA[[#This Row],[NB NOTA_C_QTY]]="","",ROW()-2)</f>
        <v>168</v>
      </c>
    </row>
    <row r="171" spans="1:48" ht="20.100000000000001" customHeight="1" x14ac:dyDescent="0.25">
      <c r="A1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40</v>
      </c>
      <c r="E171" s="47"/>
      <c r="H171" s="48"/>
      <c r="L171" s="38" t="s">
        <v>314</v>
      </c>
      <c r="M171" s="41">
        <v>2</v>
      </c>
      <c r="N171" s="39">
        <v>60</v>
      </c>
      <c r="O171" s="38" t="s">
        <v>305</v>
      </c>
      <c r="P171" s="42">
        <v>104400</v>
      </c>
      <c r="Q171" s="43"/>
      <c r="R171" s="49" t="s">
        <v>306</v>
      </c>
      <c r="S171" s="50">
        <v>0.125</v>
      </c>
      <c r="T171" s="45">
        <v>0.05</v>
      </c>
      <c r="U171" s="51"/>
      <c r="V171" s="46"/>
      <c r="W171" s="51">
        <f>IF(NOTA[[#This Row],[HARGA/ CTN]]="",NOTA[[#This Row],[JUMLAH_H]],NOTA[[#This Row],[HARGA/ CTN]]*IF(NOTA[[#This Row],[C]]="",0,NOTA[[#This Row],[C]]))</f>
        <v>6264000</v>
      </c>
      <c r="X171" s="51">
        <f>IF(NOTA[[#This Row],[JUMLAH]]="","",NOTA[[#This Row],[JUMLAH]]*NOTA[[#This Row],[DISC 1]])</f>
        <v>783000</v>
      </c>
      <c r="Y171" s="51">
        <f>IF(NOTA[[#This Row],[JUMLAH]]="","",(NOTA[[#This Row],[JUMLAH]]-NOTA[[#This Row],[DISC 1-]])*NOTA[[#This Row],[DISC 2]])</f>
        <v>274050</v>
      </c>
      <c r="Z171" s="51">
        <f>IF(NOTA[[#This Row],[JUMLAH]]="","",NOTA[[#This Row],[DISC 1-]]+NOTA[[#This Row],[DISC 2-]])</f>
        <v>1057050</v>
      </c>
      <c r="AA171" s="51">
        <f>IF(NOTA[[#This Row],[JUMLAH]]="","",NOTA[[#This Row],[JUMLAH]]-NOTA[[#This Row],[DISC]])</f>
        <v>5206950</v>
      </c>
      <c r="AB171" s="51"/>
      <c r="AC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71" s="51">
        <f>IF(OR(NOTA[[#This Row],[QTY]]="",NOTA[[#This Row],[HARGA SATUAN]]="",),"",NOTA[[#This Row],[QTY]]*NOTA[[#This Row],[HARGA SATUAN]])</f>
        <v>6264000</v>
      </c>
      <c r="AG171" s="40">
        <f ca="1">IF(NOTA[ID_H]="","",INDEX(NOTA[TANGGAL],MATCH(,INDIRECT(ADDRESS(ROW(NOTA[TANGGAL]),COLUMN(NOTA[TANGGAL]))&amp;":"&amp;ADDRESS(ROW(),COLUMN(NOTA[TANGGAL]))),-1)))</f>
        <v>45115</v>
      </c>
      <c r="AH171" s="42" t="str">
        <f ca="1">IF(NOTA[[#This Row],[NAMA BARANG]]="","",INDEX(NOTA[SUPPLIER],MATCH(,INDIRECT(ADDRESS(ROW(NOTA[ID]),COLUMN(NOTA[ID]))&amp;":"&amp;ADDRESS(ROW(),COLUMN(NOTA[ID]))),-1)))</f>
        <v>ATALI MAKMUR</v>
      </c>
      <c r="AI171" s="42" t="str">
        <f ca="1">IF(NOTA[[#This Row],[ID_H]]="","",IF(NOTA[[#This Row],[FAKTUR]]="",INDIRECT(ADDRESS(ROW()-1,COLUMN())),NOTA[[#This Row],[FAKTUR]]))</f>
        <v>ARTO MORO</v>
      </c>
      <c r="AJ171" s="39" t="str">
        <f ca="1">IF(NOTA[[#This Row],[ID]]="","",COUNTIF(NOTA[ID_H],NOTA[[#This Row],[ID_H]]))</f>
        <v/>
      </c>
      <c r="AK171" s="39">
        <f ca="1">IF(NOTA[[#This Row],[TGL.NOTA]]="",IF(NOTA[[#This Row],[SUPPLIER_H]]="","",AK170),MONTH(NOTA[[#This Row],[TGL.NOTA]]))</f>
        <v>7</v>
      </c>
      <c r="AL17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1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9" t="str">
        <f>IF(NOTA[[#This Row],[CONCAT4]]="","",_xlfn.IFNA(MATCH(NOTA[[#This Row],[CONCAT4]],[2]!RAW[CONCAT_H],0),FALSE))</f>
        <v/>
      </c>
      <c r="AQ171" s="39">
        <f>IF(NOTA[[#This Row],[CONCAT1]]="","",MATCH(NOTA[[#This Row],[CONCAT1]],[3]!db[NB NOTA_C],0))</f>
        <v>2194</v>
      </c>
      <c r="AR171" s="39" t="b">
        <f>IF(NOTA[[#This Row],[QTY/ CTN]]="","",TRUE)</f>
        <v>1</v>
      </c>
      <c r="AS171" s="39" t="str">
        <f ca="1">IF(NOTA[[#This Row],[ID_H]]="","",IF(NOTA[[#This Row],[Column3]]=TRUE,NOTA[[#This Row],[QTY/ CTN]],INDEX([3]!db[QTY/ CTN],NOTA[[#This Row],[//DB]])))</f>
        <v>30 GRS</v>
      </c>
      <c r="AT1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171" s="39" t="e">
        <f ca="1">IF(NOTA[[#This Row],[ID_H]]="","",MATCH(NOTA[[#This Row],[NB NOTA_C_QTY]],[4]!db[NB NOTA_C_QTY+F],0))</f>
        <v>#REF!</v>
      </c>
      <c r="AV171" s="55">
        <f ca="1">IF(NOTA[[#This Row],[NB NOTA_C_QTY]]="","",ROW()-2)</f>
        <v>169</v>
      </c>
    </row>
    <row r="172" spans="1:48" ht="20.100000000000001" customHeight="1" x14ac:dyDescent="0.25">
      <c r="A1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40</v>
      </c>
      <c r="E172" s="47"/>
      <c r="H172" s="48"/>
      <c r="L172" s="38" t="s">
        <v>307</v>
      </c>
      <c r="M172" s="41">
        <v>2</v>
      </c>
      <c r="N172" s="39">
        <v>1000</v>
      </c>
      <c r="O172" s="38" t="s">
        <v>308</v>
      </c>
      <c r="P172" s="42">
        <v>3050</v>
      </c>
      <c r="Q172" s="43"/>
      <c r="R172" s="49"/>
      <c r="S172" s="50">
        <v>0.125</v>
      </c>
      <c r="T172" s="45">
        <v>0.05</v>
      </c>
      <c r="U172" s="51"/>
      <c r="V172" s="46"/>
      <c r="W172" s="51">
        <f>IF(NOTA[[#This Row],[HARGA/ CTN]]="",NOTA[[#This Row],[JUMLAH_H]],NOTA[[#This Row],[HARGA/ CTN]]*IF(NOTA[[#This Row],[C]]="",0,NOTA[[#This Row],[C]]))</f>
        <v>3050000</v>
      </c>
      <c r="X172" s="51">
        <f>IF(NOTA[[#This Row],[JUMLAH]]="","",NOTA[[#This Row],[JUMLAH]]*NOTA[[#This Row],[DISC 1]])</f>
        <v>381250</v>
      </c>
      <c r="Y172" s="51">
        <f>IF(NOTA[[#This Row],[JUMLAH]]="","",(NOTA[[#This Row],[JUMLAH]]-NOTA[[#This Row],[DISC 1-]])*NOTA[[#This Row],[DISC 2]])</f>
        <v>133437.5</v>
      </c>
      <c r="Z172" s="51">
        <f>IF(NOTA[[#This Row],[JUMLAH]]="","",NOTA[[#This Row],[DISC 1-]]+NOTA[[#This Row],[DISC 2-]])</f>
        <v>514687.5</v>
      </c>
      <c r="AA172" s="51">
        <f>IF(NOTA[[#This Row],[JUMLAH]]="","",NOTA[[#This Row],[JUMLAH]]-NOTA[[#This Row],[DISC]])</f>
        <v>2535312.5</v>
      </c>
      <c r="AB172" s="51"/>
      <c r="AC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72" s="51">
        <f>IF(OR(NOTA[[#This Row],[QTY]]="",NOTA[[#This Row],[HARGA SATUAN]]="",),"",NOTA[[#This Row],[QTY]]*NOTA[[#This Row],[HARGA SATUAN]])</f>
        <v>3050000</v>
      </c>
      <c r="AG172" s="40">
        <f ca="1">IF(NOTA[ID_H]="","",INDEX(NOTA[TANGGAL],MATCH(,INDIRECT(ADDRESS(ROW(NOTA[TANGGAL]),COLUMN(NOTA[TANGGAL]))&amp;":"&amp;ADDRESS(ROW(),COLUMN(NOTA[TANGGAL]))),-1)))</f>
        <v>45115</v>
      </c>
      <c r="AH172" s="42" t="str">
        <f ca="1">IF(NOTA[[#This Row],[NAMA BARANG]]="","",INDEX(NOTA[SUPPLIER],MATCH(,INDIRECT(ADDRESS(ROW(NOTA[ID]),COLUMN(NOTA[ID]))&amp;":"&amp;ADDRESS(ROW(),COLUMN(NOTA[ID]))),-1)))</f>
        <v>ATALI MAKMUR</v>
      </c>
      <c r="AI172" s="42" t="str">
        <f ca="1">IF(NOTA[[#This Row],[ID_H]]="","",IF(NOTA[[#This Row],[FAKTUR]]="",INDIRECT(ADDRESS(ROW()-1,COLUMN())),NOTA[[#This Row],[FAKTUR]]))</f>
        <v>ARTO MORO</v>
      </c>
      <c r="AJ172" s="39" t="str">
        <f ca="1">IF(NOTA[[#This Row],[ID]]="","",COUNTIF(NOTA[ID_H],NOTA[[#This Row],[ID_H]]))</f>
        <v/>
      </c>
      <c r="AK172" s="39">
        <f ca="1">IF(NOTA[[#This Row],[TGL.NOTA]]="",IF(NOTA[[#This Row],[SUPPLIER_H]]="","",AK171),MONTH(NOTA[[#This Row],[TGL.NOTA]]))</f>
        <v>7</v>
      </c>
      <c r="AL172" s="39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9" t="str">
        <f>IF(NOTA[[#This Row],[CONCAT4]]="","",_xlfn.IFNA(MATCH(NOTA[[#This Row],[CONCAT4]],[2]!RAW[CONCAT_H],0),FALSE))</f>
        <v/>
      </c>
      <c r="AQ172" s="39">
        <f>IF(NOTA[[#This Row],[CONCAT1]]="","",MATCH(NOTA[[#This Row],[CONCAT1]],[3]!db[NB NOTA_C],0))</f>
        <v>1473</v>
      </c>
      <c r="AR172" s="39" t="str">
        <f>IF(NOTA[[#This Row],[QTY/ CTN]]="","",TRUE)</f>
        <v/>
      </c>
      <c r="AS172" s="39" t="str">
        <f ca="1">IF(NOTA[[#This Row],[ID_H]]="","",IF(NOTA[[#This Row],[Column3]]=TRUE,NOTA[[#This Row],[QTY/ CTN]],INDEX([3]!db[QTY/ CTN],NOTA[[#This Row],[//DB]])))</f>
        <v>50 PAK (10 ROL)</v>
      </c>
      <c r="AT1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U172" s="39" t="e">
        <f ca="1">IF(NOTA[[#This Row],[ID_H]]="","",MATCH(NOTA[[#This Row],[NB NOTA_C_QTY]],[4]!db[NB NOTA_C_QTY+F],0))</f>
        <v>#REF!</v>
      </c>
      <c r="AV172" s="55">
        <f ca="1">IF(NOTA[[#This Row],[NB NOTA_C_QTY]]="","",ROW()-2)</f>
        <v>170</v>
      </c>
    </row>
    <row r="173" spans="1:48" ht="20.100000000000001" customHeight="1" x14ac:dyDescent="0.25">
      <c r="A1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40</v>
      </c>
      <c r="E173" s="47"/>
      <c r="H173" s="48"/>
      <c r="L173" s="38" t="s">
        <v>309</v>
      </c>
      <c r="M173" s="41">
        <v>1</v>
      </c>
      <c r="N173" s="39">
        <v>144</v>
      </c>
      <c r="O173" s="38" t="s">
        <v>263</v>
      </c>
      <c r="P173" s="42">
        <v>13800</v>
      </c>
      <c r="Q173" s="43"/>
      <c r="R173" s="49"/>
      <c r="S173" s="50">
        <v>0.125</v>
      </c>
      <c r="T173" s="45">
        <v>0.05</v>
      </c>
      <c r="U173" s="51"/>
      <c r="V173" s="46"/>
      <c r="W173" s="51">
        <f>IF(NOTA[[#This Row],[HARGA/ CTN]]="",NOTA[[#This Row],[JUMLAH_H]],NOTA[[#This Row],[HARGA/ CTN]]*IF(NOTA[[#This Row],[C]]="",0,NOTA[[#This Row],[C]]))</f>
        <v>1987200</v>
      </c>
      <c r="X173" s="51">
        <f>IF(NOTA[[#This Row],[JUMLAH]]="","",NOTA[[#This Row],[JUMLAH]]*NOTA[[#This Row],[DISC 1]])</f>
        <v>248400</v>
      </c>
      <c r="Y173" s="51">
        <f>IF(NOTA[[#This Row],[JUMLAH]]="","",(NOTA[[#This Row],[JUMLAH]]-NOTA[[#This Row],[DISC 1-]])*NOTA[[#This Row],[DISC 2]])</f>
        <v>86940</v>
      </c>
      <c r="Z173" s="51">
        <f>IF(NOTA[[#This Row],[JUMLAH]]="","",NOTA[[#This Row],[DISC 1-]]+NOTA[[#This Row],[DISC 2-]])</f>
        <v>335340</v>
      </c>
      <c r="AA173" s="51">
        <f>IF(NOTA[[#This Row],[JUMLAH]]="","",NOTA[[#This Row],[JUMLAH]]-NOTA[[#This Row],[DISC]])</f>
        <v>1651860</v>
      </c>
      <c r="AB173" s="51"/>
      <c r="AC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3" s="51">
        <f>IF(OR(NOTA[[#This Row],[QTY]]="",NOTA[[#This Row],[HARGA SATUAN]]="",),"",NOTA[[#This Row],[QTY]]*NOTA[[#This Row],[HARGA SATUAN]])</f>
        <v>1987200</v>
      </c>
      <c r="AG173" s="40">
        <f ca="1">IF(NOTA[ID_H]="","",INDEX(NOTA[TANGGAL],MATCH(,INDIRECT(ADDRESS(ROW(NOTA[TANGGAL]),COLUMN(NOTA[TANGGAL]))&amp;":"&amp;ADDRESS(ROW(),COLUMN(NOTA[TANGGAL]))),-1)))</f>
        <v>45115</v>
      </c>
      <c r="AH173" s="42" t="str">
        <f ca="1">IF(NOTA[[#This Row],[NAMA BARANG]]="","",INDEX(NOTA[SUPPLIER],MATCH(,INDIRECT(ADDRESS(ROW(NOTA[ID]),COLUMN(NOTA[ID]))&amp;":"&amp;ADDRESS(ROW(),COLUMN(NOTA[ID]))),-1)))</f>
        <v>ATALI MAKMUR</v>
      </c>
      <c r="AI173" s="42" t="str">
        <f ca="1">IF(NOTA[[#This Row],[ID_H]]="","",IF(NOTA[[#This Row],[FAKTUR]]="",INDIRECT(ADDRESS(ROW()-1,COLUMN())),NOTA[[#This Row],[FAKTUR]]))</f>
        <v>ARTO MORO</v>
      </c>
      <c r="AJ173" s="39" t="str">
        <f ca="1">IF(NOTA[[#This Row],[ID]]="","",COUNTIF(NOTA[ID_H],NOTA[[#This Row],[ID_H]]))</f>
        <v/>
      </c>
      <c r="AK173" s="39">
        <f ca="1">IF(NOTA[[#This Row],[TGL.NOTA]]="",IF(NOTA[[#This Row],[SUPPLIER_H]]="","",AK172),MONTH(NOTA[[#This Row],[TGL.NOTA]]))</f>
        <v>7</v>
      </c>
      <c r="AL173" s="39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1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1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1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9" t="str">
        <f>IF(NOTA[[#This Row],[CONCAT4]]="","",_xlfn.IFNA(MATCH(NOTA[[#This Row],[CONCAT4]],[2]!RAW[CONCAT_H],0),FALSE))</f>
        <v/>
      </c>
      <c r="AQ173" s="39">
        <f>IF(NOTA[[#This Row],[CONCAT1]]="","",MATCH(NOTA[[#This Row],[CONCAT1]],[3]!db[NB NOTA_C],0))</f>
        <v>2327</v>
      </c>
      <c r="AR173" s="39" t="str">
        <f>IF(NOTA[[#This Row],[QTY/ CTN]]="","",TRUE)</f>
        <v/>
      </c>
      <c r="AS173" s="39" t="str">
        <f ca="1">IF(NOTA[[#This Row],[ID_H]]="","",IF(NOTA[[#This Row],[Column3]]=TRUE,NOTA[[#This Row],[QTY/ CTN]],INDEX([3]!db[QTY/ CTN],NOTA[[#This Row],[//DB]])))</f>
        <v>12 LSN</v>
      </c>
      <c r="AT1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U173" s="39" t="e">
        <f ca="1">IF(NOTA[[#This Row],[ID_H]]="","",MATCH(NOTA[[#This Row],[NB NOTA_C_QTY]],[4]!db[NB NOTA_C_QTY+F],0))</f>
        <v>#REF!</v>
      </c>
      <c r="AV173" s="55">
        <f ca="1">IF(NOTA[[#This Row],[NB NOTA_C_QTY]]="","",ROW()-2)</f>
        <v>171</v>
      </c>
    </row>
    <row r="174" spans="1:48" ht="20.100000000000001" customHeight="1" x14ac:dyDescent="0.25">
      <c r="A1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40</v>
      </c>
      <c r="E174" s="47"/>
      <c r="H174" s="48"/>
      <c r="L174" s="38" t="s">
        <v>310</v>
      </c>
      <c r="M174" s="41">
        <v>1</v>
      </c>
      <c r="N174" s="39">
        <v>144</v>
      </c>
      <c r="O174" s="38" t="s">
        <v>152</v>
      </c>
      <c r="P174" s="42">
        <v>7200</v>
      </c>
      <c r="Q174" s="43"/>
      <c r="R174" s="49"/>
      <c r="S174" s="50">
        <v>0.125</v>
      </c>
      <c r="T174" s="45">
        <v>0.05</v>
      </c>
      <c r="U174" s="51"/>
      <c r="V174" s="46"/>
      <c r="W174" s="51">
        <f>IF(NOTA[[#This Row],[HARGA/ CTN]]="",NOTA[[#This Row],[JUMLAH_H]],NOTA[[#This Row],[HARGA/ CTN]]*IF(NOTA[[#This Row],[C]]="",0,NOTA[[#This Row],[C]]))</f>
        <v>1036800</v>
      </c>
      <c r="X174" s="51">
        <f>IF(NOTA[[#This Row],[JUMLAH]]="","",NOTA[[#This Row],[JUMLAH]]*NOTA[[#This Row],[DISC 1]])</f>
        <v>129600</v>
      </c>
      <c r="Y174" s="51">
        <f>IF(NOTA[[#This Row],[JUMLAH]]="","",(NOTA[[#This Row],[JUMLAH]]-NOTA[[#This Row],[DISC 1-]])*NOTA[[#This Row],[DISC 2]])</f>
        <v>45360</v>
      </c>
      <c r="Z174" s="51">
        <f>IF(NOTA[[#This Row],[JUMLAH]]="","",NOTA[[#This Row],[DISC 1-]]+NOTA[[#This Row],[DISC 2-]])</f>
        <v>174960</v>
      </c>
      <c r="AA174" s="51">
        <f>IF(NOTA[[#This Row],[JUMLAH]]="","",NOTA[[#This Row],[JUMLAH]]-NOTA[[#This Row],[DISC]])</f>
        <v>861840</v>
      </c>
      <c r="AB174" s="51"/>
      <c r="AC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2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174" s="51">
        <f>IF(OR(NOTA[[#This Row],[QTY]]="",NOTA[[#This Row],[HARGA SATUAN]]="",),"",NOTA[[#This Row],[QTY]]*NOTA[[#This Row],[HARGA SATUAN]])</f>
        <v>1036800</v>
      </c>
      <c r="AG174" s="40">
        <f ca="1">IF(NOTA[ID_H]="","",INDEX(NOTA[TANGGAL],MATCH(,INDIRECT(ADDRESS(ROW(NOTA[TANGGAL]),COLUMN(NOTA[TANGGAL]))&amp;":"&amp;ADDRESS(ROW(),COLUMN(NOTA[TANGGAL]))),-1)))</f>
        <v>45115</v>
      </c>
      <c r="AH174" s="42" t="str">
        <f ca="1">IF(NOTA[[#This Row],[NAMA BARANG]]="","",INDEX(NOTA[SUPPLIER],MATCH(,INDIRECT(ADDRESS(ROW(NOTA[ID]),COLUMN(NOTA[ID]))&amp;":"&amp;ADDRESS(ROW(),COLUMN(NOTA[ID]))),-1)))</f>
        <v>ATALI MAKMUR</v>
      </c>
      <c r="AI174" s="42" t="str">
        <f ca="1">IF(NOTA[[#This Row],[ID_H]]="","",IF(NOTA[[#This Row],[FAKTUR]]="",INDIRECT(ADDRESS(ROW()-1,COLUMN())),NOTA[[#This Row],[FAKTUR]]))</f>
        <v>ARTO MORO</v>
      </c>
      <c r="AJ174" s="39" t="str">
        <f ca="1">IF(NOTA[[#This Row],[ID]]="","",COUNTIF(NOTA[ID_H],NOTA[[#This Row],[ID_H]]))</f>
        <v/>
      </c>
      <c r="AK174" s="39">
        <f ca="1">IF(NOTA[[#This Row],[TGL.NOTA]]="",IF(NOTA[[#This Row],[SUPPLIER_H]]="","",AK173),MONTH(NOTA[[#This Row],[TGL.NOTA]]))</f>
        <v>7</v>
      </c>
      <c r="AL174" s="39" t="str">
        <f>LOWER(SUBSTITUTE(SUBSTITUTE(SUBSTITUTE(SUBSTITUTE(SUBSTITUTE(SUBSTITUTE(SUBSTITUTE(SUBSTITUTE(SUBSTITUTE(NOTA[NAMA BARANG]," ",),".",""),"-",""),"(",""),")",""),",",""),"/",""),"""",""),"+",""))</f>
        <v>ballpenbp336mypastelblackjk</v>
      </c>
      <c r="AM1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N1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O1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9" t="str">
        <f>IF(NOTA[[#This Row],[CONCAT4]]="","",_xlfn.IFNA(MATCH(NOTA[[#This Row],[CONCAT4]],[2]!RAW[CONCAT_H],0),FALSE))</f>
        <v/>
      </c>
      <c r="AQ174" s="39">
        <f>IF(NOTA[[#This Row],[CONCAT1]]="","",MATCH(NOTA[[#This Row],[CONCAT1]],[3]!db[NB NOTA_C],0))</f>
        <v>630</v>
      </c>
      <c r="AR174" s="39" t="str">
        <f>IF(NOTA[[#This Row],[QTY/ CTN]]="","",TRUE)</f>
        <v/>
      </c>
      <c r="AS174" s="39" t="str">
        <f ca="1">IF(NOTA[[#This Row],[ID_H]]="","",IF(NOTA[[#This Row],[Column3]]=TRUE,NOTA[[#This Row],[QTY/ CTN]],INDEX([3]!db[QTY/ CTN],NOTA[[#This Row],[//DB]])))</f>
        <v>144 LSN</v>
      </c>
      <c r="AT1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ballpenbp336mypastelblackjk144lsnartomoro</v>
      </c>
      <c r="AU174" s="39" t="e">
        <f ca="1">IF(NOTA[[#This Row],[ID_H]]="","",MATCH(NOTA[[#This Row],[NB NOTA_C_QTY]],[4]!db[NB NOTA_C_QTY+F],0))</f>
        <v>#REF!</v>
      </c>
      <c r="AV174" s="55">
        <f ca="1">IF(NOTA[[#This Row],[NB NOTA_C_QTY]]="","",ROW()-2)</f>
        <v>172</v>
      </c>
    </row>
    <row r="175" spans="1:48" ht="20.100000000000001" customHeight="1" x14ac:dyDescent="0.25">
      <c r="A1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40</v>
      </c>
      <c r="E175" s="47"/>
      <c r="H175" s="48"/>
      <c r="L175" s="38" t="s">
        <v>315</v>
      </c>
      <c r="M175" s="41">
        <v>1</v>
      </c>
      <c r="N175" s="39">
        <v>144</v>
      </c>
      <c r="O175" s="38" t="s">
        <v>152</v>
      </c>
      <c r="P175" s="42">
        <v>24600</v>
      </c>
      <c r="Q175" s="43"/>
      <c r="R175" s="49"/>
      <c r="S175" s="50">
        <v>0.125</v>
      </c>
      <c r="T175" s="45">
        <v>0.05</v>
      </c>
      <c r="U175" s="51"/>
      <c r="V175" s="46"/>
      <c r="W175" s="51">
        <f>IF(NOTA[[#This Row],[HARGA/ CTN]]="",NOTA[[#This Row],[JUMLAH_H]],NOTA[[#This Row],[HARGA/ CTN]]*IF(NOTA[[#This Row],[C]]="",0,NOTA[[#This Row],[C]]))</f>
        <v>3542400</v>
      </c>
      <c r="X175" s="51">
        <f>IF(NOTA[[#This Row],[JUMLAH]]="","",NOTA[[#This Row],[JUMLAH]]*NOTA[[#This Row],[DISC 1]])</f>
        <v>442800</v>
      </c>
      <c r="Y175" s="51">
        <f>IF(NOTA[[#This Row],[JUMLAH]]="","",(NOTA[[#This Row],[JUMLAH]]-NOTA[[#This Row],[DISC 1-]])*NOTA[[#This Row],[DISC 2]])</f>
        <v>154980</v>
      </c>
      <c r="Z175" s="51">
        <f>IF(NOTA[[#This Row],[JUMLAH]]="","",NOTA[[#This Row],[DISC 1-]]+NOTA[[#This Row],[DISC 2-]])</f>
        <v>597780</v>
      </c>
      <c r="AA175" s="51">
        <f>IF(NOTA[[#This Row],[JUMLAH]]="","",NOTA[[#This Row],[JUMLAH]]-NOTA[[#This Row],[DISC]])</f>
        <v>2944620</v>
      </c>
      <c r="AB175" s="51"/>
      <c r="AC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175" s="51">
        <f>IF(OR(NOTA[[#This Row],[QTY]]="",NOTA[[#This Row],[HARGA SATUAN]]="",),"",NOTA[[#This Row],[QTY]]*NOTA[[#This Row],[HARGA SATUAN]])</f>
        <v>3542400</v>
      </c>
      <c r="AG175" s="40">
        <f ca="1">IF(NOTA[ID_H]="","",INDEX(NOTA[TANGGAL],MATCH(,INDIRECT(ADDRESS(ROW(NOTA[TANGGAL]),COLUMN(NOTA[TANGGAL]))&amp;":"&amp;ADDRESS(ROW(),COLUMN(NOTA[TANGGAL]))),-1)))</f>
        <v>45115</v>
      </c>
      <c r="AH175" s="42" t="str">
        <f ca="1">IF(NOTA[[#This Row],[NAMA BARANG]]="","",INDEX(NOTA[SUPPLIER],MATCH(,INDIRECT(ADDRESS(ROW(NOTA[ID]),COLUMN(NOTA[ID]))&amp;":"&amp;ADDRESS(ROW(),COLUMN(NOTA[ID]))),-1)))</f>
        <v>ATALI MAKMUR</v>
      </c>
      <c r="AI175" s="42" t="str">
        <f ca="1">IF(NOTA[[#This Row],[ID_H]]="","",IF(NOTA[[#This Row],[FAKTUR]]="",INDIRECT(ADDRESS(ROW()-1,COLUMN())),NOTA[[#This Row],[FAKTUR]]))</f>
        <v>ARTO MORO</v>
      </c>
      <c r="AJ175" s="39" t="str">
        <f ca="1">IF(NOTA[[#This Row],[ID]]="","",COUNTIF(NOTA[ID_H],NOTA[[#This Row],[ID_H]]))</f>
        <v/>
      </c>
      <c r="AK175" s="39">
        <f ca="1">IF(NOTA[[#This Row],[TGL.NOTA]]="",IF(NOTA[[#This Row],[SUPPLIER_H]]="","",AK174),MONTH(NOTA[[#This Row],[TGL.NOTA]]))</f>
        <v>7</v>
      </c>
      <c r="AL175" s="39" t="str">
        <f>LOWER(SUBSTITUTE(SUBSTITUTE(SUBSTITUTE(SUBSTITUTE(SUBSTITUTE(SUBSTITUTE(SUBSTITUTE(SUBSTITUTE(SUBSTITUTE(NOTA[NAMA BARANG]," ",),".",""),"-",""),"(",""),")",""),",",""),"/",""),"""",""),"+",""))</f>
        <v>gelpengp243whizgelblackjk</v>
      </c>
      <c r="AM1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gelpengp243whizgelblackjk35424000.1250.05</v>
      </c>
      <c r="AN1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gelpengp243whizgelblackjk35424000.1250.05</v>
      </c>
      <c r="AO1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9" t="str">
        <f>IF(NOTA[[#This Row],[CONCAT4]]="","",_xlfn.IFNA(MATCH(NOTA[[#This Row],[CONCAT4]],[2]!RAW[CONCAT_H],0),FALSE))</f>
        <v/>
      </c>
      <c r="AQ175" s="39">
        <f>IF(NOTA[[#This Row],[CONCAT1]]="","",MATCH(NOTA[[#This Row],[CONCAT1]],[3]!db[NB NOTA_C],0))</f>
        <v>716</v>
      </c>
      <c r="AR175" s="39" t="str">
        <f>IF(NOTA[[#This Row],[QTY/ CTN]]="","",TRUE)</f>
        <v/>
      </c>
      <c r="AS175" s="39" t="str">
        <f ca="1">IF(NOTA[[#This Row],[ID_H]]="","",IF(NOTA[[#This Row],[Column3]]=TRUE,NOTA[[#This Row],[QTY/ CTN]],INDEX([3]!db[QTY/ CTN],NOTA[[#This Row],[//DB]])))</f>
        <v>144 LSN</v>
      </c>
      <c r="AT1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gelpengp243whizgelblackjk144lsnartomoro</v>
      </c>
      <c r="AU175" s="39" t="e">
        <f ca="1">IF(NOTA[[#This Row],[ID_H]]="","",MATCH(NOTA[[#This Row],[NB NOTA_C_QTY]],[4]!db[NB NOTA_C_QTY+F],0))</f>
        <v>#REF!</v>
      </c>
      <c r="AV175" s="55">
        <f ca="1">IF(NOTA[[#This Row],[NB NOTA_C_QTY]]="","",ROW()-2)</f>
        <v>173</v>
      </c>
    </row>
    <row r="176" spans="1:48" ht="20.100000000000001" customHeight="1" x14ac:dyDescent="0.25">
      <c r="A1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40</v>
      </c>
      <c r="E176" s="47"/>
      <c r="H176" s="48"/>
      <c r="L176" s="38" t="s">
        <v>311</v>
      </c>
      <c r="M176" s="41">
        <v>1</v>
      </c>
      <c r="N176" s="39">
        <v>144</v>
      </c>
      <c r="O176" s="38" t="s">
        <v>152</v>
      </c>
      <c r="P176" s="42">
        <v>27600</v>
      </c>
      <c r="Q176" s="43"/>
      <c r="R176" s="49"/>
      <c r="S176" s="50">
        <v>0.125</v>
      </c>
      <c r="T176" s="45">
        <v>0.05</v>
      </c>
      <c r="U176" s="51"/>
      <c r="V176" s="46"/>
      <c r="W176" s="51">
        <f>IF(NOTA[[#This Row],[HARGA/ CTN]]="",NOTA[[#This Row],[JUMLAH_H]],NOTA[[#This Row],[HARGA/ CTN]]*IF(NOTA[[#This Row],[C]]="",0,NOTA[[#This Row],[C]]))</f>
        <v>3974400</v>
      </c>
      <c r="X176" s="51">
        <f>IF(NOTA[[#This Row],[JUMLAH]]="","",NOTA[[#This Row],[JUMLAH]]*NOTA[[#This Row],[DISC 1]])</f>
        <v>496800</v>
      </c>
      <c r="Y176" s="51">
        <f>IF(NOTA[[#This Row],[JUMLAH]]="","",(NOTA[[#This Row],[JUMLAH]]-NOTA[[#This Row],[DISC 1-]])*NOTA[[#This Row],[DISC 2]])</f>
        <v>173880</v>
      </c>
      <c r="Z176" s="51">
        <f>IF(NOTA[[#This Row],[JUMLAH]]="","",NOTA[[#This Row],[DISC 1-]]+NOTA[[#This Row],[DISC 2-]])</f>
        <v>670680</v>
      </c>
      <c r="AA176" s="51">
        <f>IF(NOTA[[#This Row],[JUMLAH]]="","",NOTA[[#This Row],[JUMLAH]]-NOTA[[#This Row],[DISC]])</f>
        <v>3303720</v>
      </c>
      <c r="AB176" s="51"/>
      <c r="AC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76" s="51">
        <f>IF(OR(NOTA[[#This Row],[QTY]]="",NOTA[[#This Row],[HARGA SATUAN]]="",),"",NOTA[[#This Row],[QTY]]*NOTA[[#This Row],[HARGA SATUAN]])</f>
        <v>3974400</v>
      </c>
      <c r="AG176" s="40">
        <f ca="1">IF(NOTA[ID_H]="","",INDEX(NOTA[TANGGAL],MATCH(,INDIRECT(ADDRESS(ROW(NOTA[TANGGAL]),COLUMN(NOTA[TANGGAL]))&amp;":"&amp;ADDRESS(ROW(),COLUMN(NOTA[TANGGAL]))),-1)))</f>
        <v>45115</v>
      </c>
      <c r="AH176" s="42" t="str">
        <f ca="1">IF(NOTA[[#This Row],[NAMA BARANG]]="","",INDEX(NOTA[SUPPLIER],MATCH(,INDIRECT(ADDRESS(ROW(NOTA[ID]),COLUMN(NOTA[ID]))&amp;":"&amp;ADDRESS(ROW(),COLUMN(NOTA[ID]))),-1)))</f>
        <v>ATALI MAKMUR</v>
      </c>
      <c r="AI176" s="42" t="str">
        <f ca="1">IF(NOTA[[#This Row],[ID_H]]="","",IF(NOTA[[#This Row],[FAKTUR]]="",INDIRECT(ADDRESS(ROW()-1,COLUMN())),NOTA[[#This Row],[FAKTUR]]))</f>
        <v>ARTO MORO</v>
      </c>
      <c r="AJ176" s="39" t="str">
        <f ca="1">IF(NOTA[[#This Row],[ID]]="","",COUNTIF(NOTA[ID_H],NOTA[[#This Row],[ID_H]]))</f>
        <v/>
      </c>
      <c r="AK176" s="39">
        <f ca="1">IF(NOTA[[#This Row],[TGL.NOTA]]="",IF(NOTA[[#This Row],[SUPPLIER_H]]="","",AK175),MONTH(NOTA[[#This Row],[TGL.NOTA]]))</f>
        <v>7</v>
      </c>
      <c r="AL176" s="39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9" t="str">
        <f>IF(NOTA[[#This Row],[CONCAT4]]="","",_xlfn.IFNA(MATCH(NOTA[[#This Row],[CONCAT4]],[2]!RAW[CONCAT_H],0),FALSE))</f>
        <v/>
      </c>
      <c r="AQ176" s="39">
        <f>IF(NOTA[[#This Row],[CONCAT1]]="","",MATCH(NOTA[[#This Row],[CONCAT1]],[3]!db[NB NOTA_C],0))</f>
        <v>719</v>
      </c>
      <c r="AR176" s="39" t="str">
        <f>IF(NOTA[[#This Row],[QTY/ CTN]]="","",TRUE)</f>
        <v/>
      </c>
      <c r="AS176" s="39" t="str">
        <f ca="1">IF(NOTA[[#This Row],[ID_H]]="","",IF(NOTA[[#This Row],[Column3]]=TRUE,NOTA[[#This Row],[QTY/ CTN]],INDEX([3]!db[QTY/ CTN],NOTA[[#This Row],[//DB]])))</f>
        <v>144 LSN</v>
      </c>
      <c r="AT1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U176" s="39" t="e">
        <f ca="1">IF(NOTA[[#This Row],[ID_H]]="","",MATCH(NOTA[[#This Row],[NB NOTA_C_QTY]],[4]!db[NB NOTA_C_QTY+F],0))</f>
        <v>#REF!</v>
      </c>
      <c r="AV176" s="55">
        <f ca="1">IF(NOTA[[#This Row],[NB NOTA_C_QTY]]="","",ROW()-2)</f>
        <v>174</v>
      </c>
    </row>
    <row r="177" spans="1:48" ht="20.100000000000001" customHeight="1" x14ac:dyDescent="0.25">
      <c r="A1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40</v>
      </c>
      <c r="E177" s="47"/>
      <c r="H177" s="48"/>
      <c r="L177" s="38" t="s">
        <v>325</v>
      </c>
      <c r="M177" s="41">
        <v>1</v>
      </c>
      <c r="N177" s="39">
        <v>288</v>
      </c>
      <c r="O177" s="38" t="s">
        <v>117</v>
      </c>
      <c r="P177" s="42">
        <v>4800</v>
      </c>
      <c r="Q177" s="43"/>
      <c r="R177" s="49"/>
      <c r="S177" s="50">
        <v>0.125</v>
      </c>
      <c r="T177" s="45">
        <v>0.05</v>
      </c>
      <c r="U177" s="51"/>
      <c r="V177" s="46"/>
      <c r="W177" s="51">
        <f>IF(NOTA[[#This Row],[HARGA/ CTN]]="",NOTA[[#This Row],[JUMLAH_H]],NOTA[[#This Row],[HARGA/ CTN]]*IF(NOTA[[#This Row],[C]]="",0,NOTA[[#This Row],[C]]))</f>
        <v>1382400</v>
      </c>
      <c r="X177" s="51">
        <f>IF(NOTA[[#This Row],[JUMLAH]]="","",NOTA[[#This Row],[JUMLAH]]*NOTA[[#This Row],[DISC 1]])</f>
        <v>172800</v>
      </c>
      <c r="Y177" s="51">
        <f>IF(NOTA[[#This Row],[JUMLAH]]="","",(NOTA[[#This Row],[JUMLAH]]-NOTA[[#This Row],[DISC 1-]])*NOTA[[#This Row],[DISC 2]])</f>
        <v>60480</v>
      </c>
      <c r="Z177" s="51">
        <f>IF(NOTA[[#This Row],[JUMLAH]]="","",NOTA[[#This Row],[DISC 1-]]+NOTA[[#This Row],[DISC 2-]])</f>
        <v>233280</v>
      </c>
      <c r="AA177" s="51">
        <f>IF(NOTA[[#This Row],[JUMLAH]]="","",NOTA[[#This Row],[JUMLAH]]-NOTA[[#This Row],[DISC]])</f>
        <v>1149120</v>
      </c>
      <c r="AB177" s="51"/>
      <c r="AC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7" s="51">
        <f>IF(OR(NOTA[[#This Row],[QTY]]="",NOTA[[#This Row],[HARGA SATUAN]]="",),"",NOTA[[#This Row],[QTY]]*NOTA[[#This Row],[HARGA SATUAN]])</f>
        <v>1382400</v>
      </c>
      <c r="AG177" s="40">
        <f ca="1">IF(NOTA[ID_H]="","",INDEX(NOTA[TANGGAL],MATCH(,INDIRECT(ADDRESS(ROW(NOTA[TANGGAL]),COLUMN(NOTA[TANGGAL]))&amp;":"&amp;ADDRESS(ROW(),COLUMN(NOTA[TANGGAL]))),-1)))</f>
        <v>45115</v>
      </c>
      <c r="AH177" s="42" t="str">
        <f ca="1">IF(NOTA[[#This Row],[NAMA BARANG]]="","",INDEX(NOTA[SUPPLIER],MATCH(,INDIRECT(ADDRESS(ROW(NOTA[ID]),COLUMN(NOTA[ID]))&amp;":"&amp;ADDRESS(ROW(),COLUMN(NOTA[ID]))),-1)))</f>
        <v>ATALI MAKMUR</v>
      </c>
      <c r="AI177" s="42" t="str">
        <f ca="1">IF(NOTA[[#This Row],[ID_H]]="","",IF(NOTA[[#This Row],[FAKTUR]]="",INDIRECT(ADDRESS(ROW()-1,COLUMN())),NOTA[[#This Row],[FAKTUR]]))</f>
        <v>ARTO MORO</v>
      </c>
      <c r="AJ177" s="39" t="str">
        <f ca="1">IF(NOTA[[#This Row],[ID]]="","",COUNTIF(NOTA[ID_H],NOTA[[#This Row],[ID_H]]))</f>
        <v/>
      </c>
      <c r="AK177" s="39">
        <f ca="1">IF(NOTA[[#This Row],[TGL.NOTA]]="",IF(NOTA[[#This Row],[SUPPLIER_H]]="","",AK176),MONTH(NOTA[[#This Row],[TGL.NOTA]]))</f>
        <v>7</v>
      </c>
      <c r="AL177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9" t="str">
        <f>IF(NOTA[[#This Row],[CONCAT4]]="","",_xlfn.IFNA(MATCH(NOTA[[#This Row],[CONCAT4]],[2]!RAW[CONCAT_H],0),FALSE))</f>
        <v/>
      </c>
      <c r="AQ177" s="39">
        <f>IF(NOTA[[#This Row],[CONCAT1]]="","",MATCH(NOTA[[#This Row],[CONCAT1]],[3]!db[NB NOTA_C],0))</f>
        <v>1893</v>
      </c>
      <c r="AR177" s="39" t="str">
        <f>IF(NOTA[[#This Row],[QTY/ CTN]]="","",TRUE)</f>
        <v/>
      </c>
      <c r="AS177" s="39" t="str">
        <f ca="1">IF(NOTA[[#This Row],[ID_H]]="","",IF(NOTA[[#This Row],[Column3]]=TRUE,NOTA[[#This Row],[QTY/ CTN]],INDEX([3]!db[QTY/ CTN],NOTA[[#This Row],[//DB]])))</f>
        <v>288 PCS</v>
      </c>
      <c r="AT1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77" s="39" t="e">
        <f ca="1">IF(NOTA[[#This Row],[ID_H]]="","",MATCH(NOTA[[#This Row],[NB NOTA_C_QTY]],[4]!db[NB NOTA_C_QTY+F],0))</f>
        <v>#REF!</v>
      </c>
      <c r="AV177" s="55">
        <f ca="1">IF(NOTA[[#This Row],[NB NOTA_C_QTY]]="","",ROW()-2)</f>
        <v>175</v>
      </c>
    </row>
    <row r="178" spans="1:48" ht="20.100000000000001" customHeight="1" x14ac:dyDescent="0.25">
      <c r="A1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40</v>
      </c>
      <c r="E178" s="47"/>
      <c r="H178" s="48"/>
      <c r="L178" s="38" t="s">
        <v>312</v>
      </c>
      <c r="M178" s="41">
        <v>2</v>
      </c>
      <c r="N178" s="39">
        <v>576</v>
      </c>
      <c r="O178" s="38" t="s">
        <v>117</v>
      </c>
      <c r="P178" s="42">
        <v>4800</v>
      </c>
      <c r="Q178" s="43"/>
      <c r="R178" s="49" t="s">
        <v>313</v>
      </c>
      <c r="S178" s="50">
        <v>0.125</v>
      </c>
      <c r="T178" s="45">
        <v>0.05</v>
      </c>
      <c r="U178" s="51"/>
      <c r="V178" s="46"/>
      <c r="W178" s="51">
        <f>IF(NOTA[[#This Row],[HARGA/ CTN]]="",NOTA[[#This Row],[JUMLAH_H]],NOTA[[#This Row],[HARGA/ CTN]]*IF(NOTA[[#This Row],[C]]="",0,NOTA[[#This Row],[C]]))</f>
        <v>2764800</v>
      </c>
      <c r="X178" s="51">
        <f>IF(NOTA[[#This Row],[JUMLAH]]="","",NOTA[[#This Row],[JUMLAH]]*NOTA[[#This Row],[DISC 1]])</f>
        <v>345600</v>
      </c>
      <c r="Y178" s="51">
        <f>IF(NOTA[[#This Row],[JUMLAH]]="","",(NOTA[[#This Row],[JUMLAH]]-NOTA[[#This Row],[DISC 1-]])*NOTA[[#This Row],[DISC 2]])</f>
        <v>120960</v>
      </c>
      <c r="Z178" s="51">
        <f>IF(NOTA[[#This Row],[JUMLAH]]="","",NOTA[[#This Row],[DISC 1-]]+NOTA[[#This Row],[DISC 2-]])</f>
        <v>466560</v>
      </c>
      <c r="AA178" s="51">
        <f>IF(NOTA[[#This Row],[JUMLAH]]="","",NOTA[[#This Row],[JUMLAH]]-NOTA[[#This Row],[DISC]])</f>
        <v>2298240</v>
      </c>
      <c r="AB178" s="51"/>
      <c r="AC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5553900</v>
      </c>
      <c r="AD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27358100</v>
      </c>
      <c r="AE178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8" s="51">
        <f>IF(OR(NOTA[[#This Row],[QTY]]="",NOTA[[#This Row],[HARGA SATUAN]]="",),"",NOTA[[#This Row],[QTY]]*NOTA[[#This Row],[HARGA SATUAN]])</f>
        <v>2764800</v>
      </c>
      <c r="AG178" s="40">
        <f ca="1">IF(NOTA[ID_H]="","",INDEX(NOTA[TANGGAL],MATCH(,INDIRECT(ADDRESS(ROW(NOTA[TANGGAL]),COLUMN(NOTA[TANGGAL]))&amp;":"&amp;ADDRESS(ROW(),COLUMN(NOTA[TANGGAL]))),-1)))</f>
        <v>45115</v>
      </c>
      <c r="AH178" s="42" t="str">
        <f ca="1">IF(NOTA[[#This Row],[NAMA BARANG]]="","",INDEX(NOTA[SUPPLIER],MATCH(,INDIRECT(ADDRESS(ROW(NOTA[ID]),COLUMN(NOTA[ID]))&amp;":"&amp;ADDRESS(ROW(),COLUMN(NOTA[ID]))),-1)))</f>
        <v>ATALI MAKMUR</v>
      </c>
      <c r="AI178" s="42" t="str">
        <f ca="1">IF(NOTA[[#This Row],[ID_H]]="","",IF(NOTA[[#This Row],[FAKTUR]]="",INDIRECT(ADDRESS(ROW()-1,COLUMN())),NOTA[[#This Row],[FAKTUR]]))</f>
        <v>ARTO MORO</v>
      </c>
      <c r="AJ178" s="39" t="str">
        <f ca="1">IF(NOTA[[#This Row],[ID]]="","",COUNTIF(NOTA[ID_H],NOTA[[#This Row],[ID_H]]))</f>
        <v/>
      </c>
      <c r="AK178" s="39">
        <f ca="1">IF(NOTA[[#This Row],[TGL.NOTA]]="",IF(NOTA[[#This Row],[SUPPLIER_H]]="","",AK177),MONTH(NOTA[[#This Row],[TGL.NOTA]]))</f>
        <v>7</v>
      </c>
      <c r="AL178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9" t="str">
        <f>IF(NOTA[[#This Row],[CONCAT4]]="","",_xlfn.IFNA(MATCH(NOTA[[#This Row],[CONCAT4]],[2]!RAW[CONCAT_H],0),FALSE))</f>
        <v/>
      </c>
      <c r="AQ178" s="39">
        <f>IF(NOTA[[#This Row],[CONCAT1]]="","",MATCH(NOTA[[#This Row],[CONCAT1]],[3]!db[NB NOTA_C],0))</f>
        <v>1905</v>
      </c>
      <c r="AR178" s="39" t="b">
        <f>IF(NOTA[[#This Row],[QTY/ CTN]]="","",TRUE)</f>
        <v>1</v>
      </c>
      <c r="AS178" s="39" t="str">
        <f ca="1">IF(NOTA[[#This Row],[ID_H]]="","",IF(NOTA[[#This Row],[Column3]]=TRUE,NOTA[[#This Row],[QTY/ CTN]],INDEX([3]!db[QTY/ CTN],NOTA[[#This Row],[//DB]])))</f>
        <v>288 PCS</v>
      </c>
      <c r="AT1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78" s="39" t="e">
        <f ca="1">IF(NOTA[[#This Row],[ID_H]]="","",MATCH(NOTA[[#This Row],[NB NOTA_C_QTY]],[4]!db[NB NOTA_C_QTY+F],0))</f>
        <v>#REF!</v>
      </c>
      <c r="AV178" s="55">
        <f ca="1">IF(NOTA[[#This Row],[NB NOTA_C_QTY]]="","",ROW()-2)</f>
        <v>176</v>
      </c>
    </row>
    <row r="179" spans="1:48" ht="20.100000000000001" customHeight="1" x14ac:dyDescent="0.25">
      <c r="A1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 t="str">
        <f ca="1">IF(NOTA[[#This Row],[NAMA BARANG]]="","",INDEX(NOTA[ID],MATCH(,INDIRECT(ADDRESS(ROW(NOTA[ID]),COLUMN(NOTA[ID]))&amp;":"&amp;ADDRESS(ROW(),COLUMN(NOTA[ID]))),-1)))</f>
        <v/>
      </c>
      <c r="E179" s="47"/>
      <c r="H179" s="48"/>
      <c r="N179" s="39"/>
      <c r="Q179" s="43"/>
      <c r="R179" s="49"/>
      <c r="S179" s="50"/>
      <c r="U179" s="51"/>
      <c r="V179" s="46"/>
      <c r="W179" s="51" t="str">
        <f>IF(NOTA[[#This Row],[HARGA/ CTN]]="",NOTA[[#This Row],[JUMLAH_H]],NOTA[[#This Row],[HARGA/ CTN]]*IF(NOTA[[#This Row],[C]]="",0,NOTA[[#This Row],[C]]))</f>
        <v/>
      </c>
      <c r="X179" s="51" t="str">
        <f>IF(NOTA[[#This Row],[JUMLAH]]="","",NOTA[[#This Row],[JUMLAH]]*NOTA[[#This Row],[DISC 1]])</f>
        <v/>
      </c>
      <c r="Y179" s="51" t="str">
        <f>IF(NOTA[[#This Row],[JUMLAH]]="","",(NOTA[[#This Row],[JUMLAH]]-NOTA[[#This Row],[DISC 1-]])*NOTA[[#This Row],[DISC 2]])</f>
        <v/>
      </c>
      <c r="Z179" s="51" t="str">
        <f>IF(NOTA[[#This Row],[JUMLAH]]="","",NOTA[[#This Row],[DISC 1-]]+NOTA[[#This Row],[DISC 2-]])</f>
        <v/>
      </c>
      <c r="AA179" s="51" t="str">
        <f>IF(NOTA[[#This Row],[JUMLAH]]="","",NOTA[[#This Row],[JUMLAH]]-NOTA[[#This Row],[DISC]])</f>
        <v/>
      </c>
      <c r="AB179" s="51"/>
      <c r="AC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1" t="str">
        <f>IF(OR(NOTA[[#This Row],[QTY]]="",NOTA[[#This Row],[HARGA SATUAN]]="",),"",NOTA[[#This Row],[QTY]]*NOTA[[#This Row],[HARGA SATUAN]])</f>
        <v/>
      </c>
      <c r="AG179" s="40" t="str">
        <f ca="1">IF(NOTA[ID_H]="","",INDEX(NOTA[TANGGAL],MATCH(,INDIRECT(ADDRESS(ROW(NOTA[TANGGAL]),COLUMN(NOTA[TANGGAL]))&amp;":"&amp;ADDRESS(ROW(),COLUMN(NOTA[TANGGAL]))),-1)))</f>
        <v/>
      </c>
      <c r="AH179" s="42" t="str">
        <f ca="1">IF(NOTA[[#This Row],[NAMA BARANG]]="","",INDEX(NOTA[SUPPLIER],MATCH(,INDIRECT(ADDRESS(ROW(NOTA[ID]),COLUMN(NOTA[ID]))&amp;":"&amp;ADDRESS(ROW(),COLUMN(NOTA[ID]))),-1)))</f>
        <v/>
      </c>
      <c r="AI179" s="42" t="str">
        <f ca="1">IF(NOTA[[#This Row],[ID_H]]="","",IF(NOTA[[#This Row],[FAKTUR]]="",INDIRECT(ADDRESS(ROW()-1,COLUMN())),NOTA[[#This Row],[FAKTUR]]))</f>
        <v/>
      </c>
      <c r="AJ179" s="39" t="str">
        <f ca="1">IF(NOTA[[#This Row],[ID]]="","",COUNTIF(NOTA[ID_H],NOTA[[#This Row],[ID_H]]))</f>
        <v/>
      </c>
      <c r="AK179" s="39" t="str">
        <f ca="1">IF(NOTA[[#This Row],[TGL.NOTA]]="",IF(NOTA[[#This Row],[SUPPLIER_H]]="","",AK178),MONTH(NOTA[[#This Row],[TGL.NOTA]]))</f>
        <v/>
      </c>
      <c r="AL179" s="39" t="str">
        <f>LOWER(SUBSTITUTE(SUBSTITUTE(SUBSTITUTE(SUBSTITUTE(SUBSTITUTE(SUBSTITUTE(SUBSTITUTE(SUBSTITUTE(SUBSTITUTE(NOTA[NAMA BARANG]," ",),".",""),"-",""),"(",""),")",""),",",""),"/",""),"""",""),"+",""))</f>
        <v/>
      </c>
      <c r="AM1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9" t="str">
        <f>IF(NOTA[[#This Row],[CONCAT4]]="","",_xlfn.IFNA(MATCH(NOTA[[#This Row],[CONCAT4]],[2]!RAW[CONCAT_H],0),FALSE))</f>
        <v/>
      </c>
      <c r="AQ179" s="39" t="str">
        <f>IF(NOTA[[#This Row],[CONCAT1]]="","",MATCH(NOTA[[#This Row],[CONCAT1]],[3]!db[NB NOTA_C],0))</f>
        <v/>
      </c>
      <c r="AR179" s="39" t="str">
        <f>IF(NOTA[[#This Row],[QTY/ CTN]]="","",TRUE)</f>
        <v/>
      </c>
      <c r="AS179" s="39" t="str">
        <f ca="1">IF(NOTA[[#This Row],[ID_H]]="","",IF(NOTA[[#This Row],[Column3]]=TRUE,NOTA[[#This Row],[QTY/ CTN]],INDEX([3]!db[QTY/ CTN],NOTA[[#This Row],[//DB]])))</f>
        <v/>
      </c>
      <c r="AT1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9" t="str">
        <f ca="1">IF(NOTA[[#This Row],[ID_H]]="","",MATCH(NOTA[[#This Row],[NB NOTA_C_QTY]],[4]!db[NB NOTA_C_QTY+F],0))</f>
        <v/>
      </c>
      <c r="AV179" s="55" t="str">
        <f ca="1">IF(NOTA[[#This Row],[NB NOTA_C_QTY]]="","",ROW()-2)</f>
        <v/>
      </c>
    </row>
    <row r="180" spans="1:48" ht="20.100000000000001" customHeight="1" x14ac:dyDescent="0.25">
      <c r="A180" s="42">
        <f ca="1">IF(INDIRECT(ADDRESS(ROW()-1,COLUMN(NOTA[[#Headers],[ID]])))="ID",1,IF(NOTA[[#This Row],[FAKTUR]]="","",COUNT(INDIRECT(ADDRESS(ROW(NOTA[ID]),COLUMN(NOTA[ID]))&amp;":"&amp;ADDRESS(ROW()-1,COLUMN(NOTA[ID]))))+1))</f>
        <v>41</v>
      </c>
      <c r="B1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ATA_0807_255-8</v>
      </c>
      <c r="C180" s="39" t="e">
        <f ca="1">IF(NOTA[[#This Row],[ID_P]]="","",MATCH(NOTA[[#This Row],[ID_P]],[1]!B_MSK[N_ID],0))</f>
        <v>#REF!</v>
      </c>
      <c r="D180" s="39">
        <f ca="1">IF(NOTA[[#This Row],[NAMA BARANG]]="","",INDEX(NOTA[ID],MATCH(,INDIRECT(ADDRESS(ROW(NOTA[ID]),COLUMN(NOTA[ID]))&amp;":"&amp;ADDRESS(ROW(),COLUMN(NOTA[ID]))),-1)))</f>
        <v>41</v>
      </c>
      <c r="E180" s="47"/>
      <c r="F180" s="38" t="s">
        <v>24</v>
      </c>
      <c r="G180" s="38" t="s">
        <v>23</v>
      </c>
      <c r="H180" s="48" t="s">
        <v>316</v>
      </c>
      <c r="J180" s="40">
        <v>45112</v>
      </c>
      <c r="L180" s="38" t="s">
        <v>262</v>
      </c>
      <c r="M180" s="41">
        <v>10</v>
      </c>
      <c r="N180" s="39">
        <v>1440</v>
      </c>
      <c r="O180" s="38" t="s">
        <v>263</v>
      </c>
      <c r="P180" s="42">
        <v>11900</v>
      </c>
      <c r="Q180" s="43"/>
      <c r="R180" s="49"/>
      <c r="S180" s="50">
        <v>0.125</v>
      </c>
      <c r="T180" s="45">
        <v>0.05</v>
      </c>
      <c r="U180" s="51"/>
      <c r="V180" s="46"/>
      <c r="W180" s="51">
        <f>IF(NOTA[[#This Row],[HARGA/ CTN]]="",NOTA[[#This Row],[JUMLAH_H]],NOTA[[#This Row],[HARGA/ CTN]]*IF(NOTA[[#This Row],[C]]="",0,NOTA[[#This Row],[C]]))</f>
        <v>17136000</v>
      </c>
      <c r="X180" s="51">
        <f>IF(NOTA[[#This Row],[JUMLAH]]="","",NOTA[[#This Row],[JUMLAH]]*NOTA[[#This Row],[DISC 1]])</f>
        <v>2142000</v>
      </c>
      <c r="Y180" s="51">
        <f>IF(NOTA[[#This Row],[JUMLAH]]="","",(NOTA[[#This Row],[JUMLAH]]-NOTA[[#This Row],[DISC 1-]])*NOTA[[#This Row],[DISC 2]])</f>
        <v>749700</v>
      </c>
      <c r="Z180" s="51">
        <f>IF(NOTA[[#This Row],[JUMLAH]]="","",NOTA[[#This Row],[DISC 1-]]+NOTA[[#This Row],[DISC 2-]])</f>
        <v>2891700</v>
      </c>
      <c r="AA180" s="51">
        <f>IF(NOTA[[#This Row],[JUMLAH]]="","",NOTA[[#This Row],[JUMLAH]]-NOTA[[#This Row],[DISC]])</f>
        <v>14244300</v>
      </c>
      <c r="AB180" s="51"/>
      <c r="AC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0" s="51">
        <f>IF(OR(NOTA[[#This Row],[QTY]]="",NOTA[[#This Row],[HARGA SATUAN]]="",),"",NOTA[[#This Row],[QTY]]*NOTA[[#This Row],[HARGA SATUAN]])</f>
        <v>17136000</v>
      </c>
      <c r="AG180" s="40">
        <f ca="1">IF(NOTA[ID_H]="","",INDEX(NOTA[TANGGAL],MATCH(,INDIRECT(ADDRESS(ROW(NOTA[TANGGAL]),COLUMN(NOTA[TANGGAL]))&amp;":"&amp;ADDRESS(ROW(),COLUMN(NOTA[TANGGAL]))),-1)))</f>
        <v>45115</v>
      </c>
      <c r="AH180" s="42" t="str">
        <f ca="1">IF(NOTA[[#This Row],[NAMA BARANG]]="","",INDEX(NOTA[SUPPLIER],MATCH(,INDIRECT(ADDRESS(ROW(NOTA[ID]),COLUMN(NOTA[ID]))&amp;":"&amp;ADDRESS(ROW(),COLUMN(NOTA[ID]))),-1)))</f>
        <v>ATALI MAKMUR</v>
      </c>
      <c r="AI180" s="42" t="str">
        <f ca="1">IF(NOTA[[#This Row],[ID_H]]="","",IF(NOTA[[#This Row],[FAKTUR]]="",INDIRECT(ADDRESS(ROW()-1,COLUMN())),NOTA[[#This Row],[FAKTUR]]))</f>
        <v>ARTO MORO</v>
      </c>
      <c r="AJ180" s="39">
        <f ca="1">IF(NOTA[[#This Row],[ID]]="","",COUNTIF(NOTA[ID_H],NOTA[[#This Row],[ID_H]]))</f>
        <v>8</v>
      </c>
      <c r="AK180" s="39">
        <f>IF(NOTA[[#This Row],[TGL.NOTA]]="",IF(NOTA[[#This Row],[SUPPLIER_H]]="","",AK179),MONTH(NOTA[[#This Row],[TGL.NOTA]]))</f>
        <v>7</v>
      </c>
      <c r="AL180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MOROSA23071125545112oilpastelop12sppcaseseaworldjk</v>
      </c>
      <c r="AP180" s="39" t="e">
        <f>IF(NOTA[[#This Row],[CONCAT4]]="","",_xlfn.IFNA(MATCH(NOTA[[#This Row],[CONCAT4]],[2]!RAW[CONCAT_H],0),FALSE))</f>
        <v>#REF!</v>
      </c>
      <c r="AQ180" s="39">
        <f>IF(NOTA[[#This Row],[CONCAT1]]="","",MATCH(NOTA[[#This Row],[CONCAT1]],[3]!db[NB NOTA_C],0))</f>
        <v>1775</v>
      </c>
      <c r="AR180" s="39" t="str">
        <f>IF(NOTA[[#This Row],[QTY/ CTN]]="","",TRUE)</f>
        <v/>
      </c>
      <c r="AS180" s="39" t="str">
        <f ca="1">IF(NOTA[[#This Row],[ID_H]]="","",IF(NOTA[[#This Row],[Column3]]=TRUE,NOTA[[#This Row],[QTY/ CTN]],INDEX([3]!db[QTY/ CTN],NOTA[[#This Row],[//DB]])))</f>
        <v>12 LSN</v>
      </c>
      <c r="AT1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0" s="39" t="e">
        <f ca="1">IF(NOTA[[#This Row],[ID_H]]="","",MATCH(NOTA[[#This Row],[NB NOTA_C_QTY]],[4]!db[NB NOTA_C_QTY+F],0))</f>
        <v>#REF!</v>
      </c>
      <c r="AV180" s="55">
        <f ca="1">IF(NOTA[[#This Row],[NB NOTA_C_QTY]]="","",ROW()-2)</f>
        <v>178</v>
      </c>
    </row>
    <row r="181" spans="1:48" ht="20.100000000000001" customHeight="1" x14ac:dyDescent="0.25">
      <c r="A1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41</v>
      </c>
      <c r="E181" s="47"/>
      <c r="H181" s="48"/>
      <c r="L181" s="38" t="s">
        <v>317</v>
      </c>
      <c r="M181" s="41">
        <v>13</v>
      </c>
      <c r="N181" s="39">
        <v>1872</v>
      </c>
      <c r="O181" s="38" t="s">
        <v>263</v>
      </c>
      <c r="P181" s="42">
        <v>10600</v>
      </c>
      <c r="Q181" s="43"/>
      <c r="R181" s="49"/>
      <c r="S181" s="50">
        <v>0.125</v>
      </c>
      <c r="T181" s="45">
        <v>0.05</v>
      </c>
      <c r="U181" s="51"/>
      <c r="V181" s="46"/>
      <c r="W181" s="51">
        <f>IF(NOTA[[#This Row],[HARGA/ CTN]]="",NOTA[[#This Row],[JUMLAH_H]],NOTA[[#This Row],[HARGA/ CTN]]*IF(NOTA[[#This Row],[C]]="",0,NOTA[[#This Row],[C]]))</f>
        <v>19843200</v>
      </c>
      <c r="X181" s="51">
        <f>IF(NOTA[[#This Row],[JUMLAH]]="","",NOTA[[#This Row],[JUMLAH]]*NOTA[[#This Row],[DISC 1]])</f>
        <v>2480400</v>
      </c>
      <c r="Y181" s="51">
        <f>IF(NOTA[[#This Row],[JUMLAH]]="","",(NOTA[[#This Row],[JUMLAH]]-NOTA[[#This Row],[DISC 1-]])*NOTA[[#This Row],[DISC 2]])</f>
        <v>868140</v>
      </c>
      <c r="Z181" s="51">
        <f>IF(NOTA[[#This Row],[JUMLAH]]="","",NOTA[[#This Row],[DISC 1-]]+NOTA[[#This Row],[DISC 2-]])</f>
        <v>3348540</v>
      </c>
      <c r="AA181" s="51">
        <f>IF(NOTA[[#This Row],[JUMLAH]]="","",NOTA[[#This Row],[JUMLAH]]-NOTA[[#This Row],[DISC]])</f>
        <v>16494660</v>
      </c>
      <c r="AB181" s="51"/>
      <c r="AC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81" s="51">
        <f>IF(OR(NOTA[[#This Row],[QTY]]="",NOTA[[#This Row],[HARGA SATUAN]]="",),"",NOTA[[#This Row],[QTY]]*NOTA[[#This Row],[HARGA SATUAN]])</f>
        <v>19843200</v>
      </c>
      <c r="AG181" s="40">
        <f ca="1">IF(NOTA[ID_H]="","",INDEX(NOTA[TANGGAL],MATCH(,INDIRECT(ADDRESS(ROW(NOTA[TANGGAL]),COLUMN(NOTA[TANGGAL]))&amp;":"&amp;ADDRESS(ROW(),COLUMN(NOTA[TANGGAL]))),-1)))</f>
        <v>45115</v>
      </c>
      <c r="AH181" s="42" t="str">
        <f ca="1">IF(NOTA[[#This Row],[NAMA BARANG]]="","",INDEX(NOTA[SUPPLIER],MATCH(,INDIRECT(ADDRESS(ROW(NOTA[ID]),COLUMN(NOTA[ID]))&amp;":"&amp;ADDRESS(ROW(),COLUMN(NOTA[ID]))),-1)))</f>
        <v>ATALI MAKMUR</v>
      </c>
      <c r="AI181" s="42" t="str">
        <f ca="1">IF(NOTA[[#This Row],[ID_H]]="","",IF(NOTA[[#This Row],[FAKTUR]]="",INDIRECT(ADDRESS(ROW()-1,COLUMN())),NOTA[[#This Row],[FAKTUR]]))</f>
        <v>ARTO MORO</v>
      </c>
      <c r="AJ181" s="39" t="str">
        <f ca="1">IF(NOTA[[#This Row],[ID]]="","",COUNTIF(NOTA[ID_H],NOTA[[#This Row],[ID_H]]))</f>
        <v/>
      </c>
      <c r="AK181" s="39">
        <f ca="1">IF(NOTA[[#This Row],[TGL.NOTA]]="",IF(NOTA[[#This Row],[SUPPLIER_H]]="","",AK180),MONTH(NOTA[[#This Row],[TGL.NOTA]]))</f>
        <v>7</v>
      </c>
      <c r="AL181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9" t="str">
        <f>IF(NOTA[[#This Row],[CONCAT4]]="","",_xlfn.IFNA(MATCH(NOTA[[#This Row],[CONCAT4]],[2]!RAW[CONCAT_H],0),FALSE))</f>
        <v/>
      </c>
      <c r="AQ181" s="39">
        <f>IF(NOTA[[#This Row],[CONCAT1]]="","",MATCH(NOTA[[#This Row],[CONCAT1]],[3]!db[NB NOTA_C],0))</f>
        <v>2320</v>
      </c>
      <c r="AR181" s="39" t="str">
        <f>IF(NOTA[[#This Row],[QTY/ CTN]]="","",TRUE)</f>
        <v/>
      </c>
      <c r="AS181" s="39" t="str">
        <f ca="1">IF(NOTA[[#This Row],[ID_H]]="","",IF(NOTA[[#This Row],[Column3]]=TRUE,NOTA[[#This Row],[QTY/ CTN]],INDEX([3]!db[QTY/ CTN],NOTA[[#This Row],[//DB]])))</f>
        <v>12 LSN</v>
      </c>
      <c r="AT1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181" s="39" t="e">
        <f ca="1">IF(NOTA[[#This Row],[ID_H]]="","",MATCH(NOTA[[#This Row],[NB NOTA_C_QTY]],[4]!db[NB NOTA_C_QTY+F],0))</f>
        <v>#REF!</v>
      </c>
      <c r="AV181" s="55">
        <f ca="1">IF(NOTA[[#This Row],[NB NOTA_C_QTY]]="","",ROW()-2)</f>
        <v>179</v>
      </c>
    </row>
    <row r="182" spans="1:48" ht="20.100000000000001" customHeight="1" x14ac:dyDescent="0.25">
      <c r="A1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41</v>
      </c>
      <c r="E182" s="47"/>
      <c r="H182" s="48"/>
      <c r="L182" s="38" t="s">
        <v>318</v>
      </c>
      <c r="M182" s="41">
        <v>1</v>
      </c>
      <c r="N182" s="39">
        <v>50</v>
      </c>
      <c r="O182" s="38" t="s">
        <v>319</v>
      </c>
      <c r="P182" s="42">
        <v>28300</v>
      </c>
      <c r="Q182" s="43"/>
      <c r="R182" s="49"/>
      <c r="S182" s="50">
        <v>0.125</v>
      </c>
      <c r="T182" s="45">
        <v>0.05</v>
      </c>
      <c r="U182" s="51"/>
      <c r="V182" s="46"/>
      <c r="W182" s="51">
        <f>IF(NOTA[[#This Row],[HARGA/ CTN]]="",NOTA[[#This Row],[JUMLAH_H]],NOTA[[#This Row],[HARGA/ CTN]]*IF(NOTA[[#This Row],[C]]="",0,NOTA[[#This Row],[C]]))</f>
        <v>1415000</v>
      </c>
      <c r="X182" s="51">
        <f>IF(NOTA[[#This Row],[JUMLAH]]="","",NOTA[[#This Row],[JUMLAH]]*NOTA[[#This Row],[DISC 1]])</f>
        <v>176875</v>
      </c>
      <c r="Y182" s="51">
        <f>IF(NOTA[[#This Row],[JUMLAH]]="","",(NOTA[[#This Row],[JUMLAH]]-NOTA[[#This Row],[DISC 1-]])*NOTA[[#This Row],[DISC 2]])</f>
        <v>61906.25</v>
      </c>
      <c r="Z182" s="51">
        <f>IF(NOTA[[#This Row],[JUMLAH]]="","",NOTA[[#This Row],[DISC 1-]]+NOTA[[#This Row],[DISC 2-]])</f>
        <v>238781.25</v>
      </c>
      <c r="AA182" s="51">
        <f>IF(NOTA[[#This Row],[JUMLAH]]="","",NOTA[[#This Row],[JUMLAH]]-NOTA[[#This Row],[DISC]])</f>
        <v>1176218.75</v>
      </c>
      <c r="AB182" s="51"/>
      <c r="AC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82" s="51">
        <f>IF(OR(NOTA[[#This Row],[QTY]]="",NOTA[[#This Row],[HARGA SATUAN]]="",),"",NOTA[[#This Row],[QTY]]*NOTA[[#This Row],[HARGA SATUAN]])</f>
        <v>1415000</v>
      </c>
      <c r="AG182" s="40">
        <f ca="1">IF(NOTA[ID_H]="","",INDEX(NOTA[TANGGAL],MATCH(,INDIRECT(ADDRESS(ROW(NOTA[TANGGAL]),COLUMN(NOTA[TANGGAL]))&amp;":"&amp;ADDRESS(ROW(),COLUMN(NOTA[TANGGAL]))),-1)))</f>
        <v>45115</v>
      </c>
      <c r="AH182" s="42" t="str">
        <f ca="1">IF(NOTA[[#This Row],[NAMA BARANG]]="","",INDEX(NOTA[SUPPLIER],MATCH(,INDIRECT(ADDRESS(ROW(NOTA[ID]),COLUMN(NOTA[ID]))&amp;":"&amp;ADDRESS(ROW(),COLUMN(NOTA[ID]))),-1)))</f>
        <v>ATALI MAKMUR</v>
      </c>
      <c r="AI182" s="42" t="str">
        <f ca="1">IF(NOTA[[#This Row],[ID_H]]="","",IF(NOTA[[#This Row],[FAKTUR]]="",INDIRECT(ADDRESS(ROW()-1,COLUMN())),NOTA[[#This Row],[FAKTUR]]))</f>
        <v>ARTO MORO</v>
      </c>
      <c r="AJ182" s="39" t="str">
        <f ca="1">IF(NOTA[[#This Row],[ID]]="","",COUNTIF(NOTA[ID_H],NOTA[[#This Row],[ID_H]]))</f>
        <v/>
      </c>
      <c r="AK182" s="39">
        <f ca="1">IF(NOTA[[#This Row],[TGL.NOTA]]="",IF(NOTA[[#This Row],[SUPPLIER_H]]="","",AK181),MONTH(NOTA[[#This Row],[TGL.NOTA]]))</f>
        <v>7</v>
      </c>
      <c r="AL18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1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9" t="str">
        <f>IF(NOTA[[#This Row],[CONCAT4]]="","",_xlfn.IFNA(MATCH(NOTA[[#This Row],[CONCAT4]],[2]!RAW[CONCAT_H],0),FALSE))</f>
        <v/>
      </c>
      <c r="AQ182" s="39">
        <f>IF(NOTA[[#This Row],[CONCAT1]]="","",MATCH(NOTA[[#This Row],[CONCAT1]],[3]!db[NB NOTA_C],0))</f>
        <v>2499</v>
      </c>
      <c r="AR182" s="39" t="str">
        <f>IF(NOTA[[#This Row],[QTY/ CTN]]="","",TRUE)</f>
        <v/>
      </c>
      <c r="AS182" s="39" t="str">
        <f ca="1">IF(NOTA[[#This Row],[ID_H]]="","",IF(NOTA[[#This Row],[Column3]]=TRUE,NOTA[[#This Row],[QTY/ CTN]],INDEX([3]!db[QTY/ CTN],NOTA[[#This Row],[//DB]])))</f>
        <v>50 BOX (40 PCS)</v>
      </c>
      <c r="AT1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82" s="39" t="e">
        <f ca="1">IF(NOTA[[#This Row],[ID_H]]="","",MATCH(NOTA[[#This Row],[NB NOTA_C_QTY]],[4]!db[NB NOTA_C_QTY+F],0))</f>
        <v>#REF!</v>
      </c>
      <c r="AV182" s="55">
        <f ca="1">IF(NOTA[[#This Row],[NB NOTA_C_QTY]]="","",ROW()-2)</f>
        <v>180</v>
      </c>
    </row>
    <row r="183" spans="1:48" ht="20.100000000000001" customHeight="1" x14ac:dyDescent="0.25">
      <c r="A1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41</v>
      </c>
      <c r="E183" s="47"/>
      <c r="H183" s="48"/>
      <c r="L183" s="38" t="s">
        <v>322</v>
      </c>
      <c r="M183" s="41">
        <v>1</v>
      </c>
      <c r="N183" s="39">
        <v>50</v>
      </c>
      <c r="O183" s="38" t="s">
        <v>319</v>
      </c>
      <c r="P183" s="42">
        <v>32000</v>
      </c>
      <c r="Q183" s="43"/>
      <c r="R183" s="49"/>
      <c r="S183" s="50">
        <v>0.125</v>
      </c>
      <c r="T183" s="45">
        <v>0.05</v>
      </c>
      <c r="U183" s="51"/>
      <c r="V183" s="46"/>
      <c r="W183" s="51">
        <f>IF(NOTA[[#This Row],[HARGA/ CTN]]="",NOTA[[#This Row],[JUMLAH_H]],NOTA[[#This Row],[HARGA/ CTN]]*IF(NOTA[[#This Row],[C]]="",0,NOTA[[#This Row],[C]]))</f>
        <v>1600000</v>
      </c>
      <c r="X183" s="51">
        <f>IF(NOTA[[#This Row],[JUMLAH]]="","",NOTA[[#This Row],[JUMLAH]]*NOTA[[#This Row],[DISC 1]])</f>
        <v>200000</v>
      </c>
      <c r="Y183" s="51">
        <f>IF(NOTA[[#This Row],[JUMLAH]]="","",(NOTA[[#This Row],[JUMLAH]]-NOTA[[#This Row],[DISC 1-]])*NOTA[[#This Row],[DISC 2]])</f>
        <v>70000</v>
      </c>
      <c r="Z183" s="51">
        <f>IF(NOTA[[#This Row],[JUMLAH]]="","",NOTA[[#This Row],[DISC 1-]]+NOTA[[#This Row],[DISC 2-]])</f>
        <v>270000</v>
      </c>
      <c r="AA183" s="51">
        <f>IF(NOTA[[#This Row],[JUMLAH]]="","",NOTA[[#This Row],[JUMLAH]]-NOTA[[#This Row],[DISC]])</f>
        <v>1330000</v>
      </c>
      <c r="AB183" s="51"/>
      <c r="AC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3" s="51">
        <f>IF(OR(NOTA[[#This Row],[QTY]]="",NOTA[[#This Row],[HARGA SATUAN]]="",),"",NOTA[[#This Row],[QTY]]*NOTA[[#This Row],[HARGA SATUAN]])</f>
        <v>1600000</v>
      </c>
      <c r="AG183" s="40">
        <f ca="1">IF(NOTA[ID_H]="","",INDEX(NOTA[TANGGAL],MATCH(,INDIRECT(ADDRESS(ROW(NOTA[TANGGAL]),COLUMN(NOTA[TANGGAL]))&amp;":"&amp;ADDRESS(ROW(),COLUMN(NOTA[TANGGAL]))),-1)))</f>
        <v>45115</v>
      </c>
      <c r="AH183" s="42" t="str">
        <f ca="1">IF(NOTA[[#This Row],[NAMA BARANG]]="","",INDEX(NOTA[SUPPLIER],MATCH(,INDIRECT(ADDRESS(ROW(NOTA[ID]),COLUMN(NOTA[ID]))&amp;":"&amp;ADDRESS(ROW(),COLUMN(NOTA[ID]))),-1)))</f>
        <v>ATALI MAKMUR</v>
      </c>
      <c r="AI183" s="42" t="str">
        <f ca="1">IF(NOTA[[#This Row],[ID_H]]="","",IF(NOTA[[#This Row],[FAKTUR]]="",INDIRECT(ADDRESS(ROW()-1,COLUMN())),NOTA[[#This Row],[FAKTUR]]))</f>
        <v>ARTO MORO</v>
      </c>
      <c r="AJ183" s="39" t="str">
        <f ca="1">IF(NOTA[[#This Row],[ID]]="","",COUNTIF(NOTA[ID_H],NOTA[[#This Row],[ID_H]]))</f>
        <v/>
      </c>
      <c r="AK183" s="39">
        <f ca="1">IF(NOTA[[#This Row],[TGL.NOTA]]="",IF(NOTA[[#This Row],[SUPPLIER_H]]="","",AK182),MONTH(NOTA[[#This Row],[TGL.NOTA]]))</f>
        <v>7</v>
      </c>
      <c r="AL183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1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9" t="str">
        <f>IF(NOTA[[#This Row],[CONCAT4]]="","",_xlfn.IFNA(MATCH(NOTA[[#This Row],[CONCAT4]],[2]!RAW[CONCAT_H],0),FALSE))</f>
        <v/>
      </c>
      <c r="AQ183" s="39">
        <f>IF(NOTA[[#This Row],[CONCAT1]]="","",MATCH(NOTA[[#This Row],[CONCAT1]],[3]!db[NB NOTA_C],0))</f>
        <v>2496</v>
      </c>
      <c r="AR183" s="39" t="str">
        <f>IF(NOTA[[#This Row],[QTY/ CTN]]="","",TRUE)</f>
        <v/>
      </c>
      <c r="AS183" s="39" t="str">
        <f ca="1">IF(NOTA[[#This Row],[ID_H]]="","",IF(NOTA[[#This Row],[Column3]]=TRUE,NOTA[[#This Row],[QTY/ CTN]],INDEX([3]!db[QTY/ CTN],NOTA[[#This Row],[//DB]])))</f>
        <v>50 BOX (30 PCS)</v>
      </c>
      <c r="AT1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183" s="39" t="e">
        <f ca="1">IF(NOTA[[#This Row],[ID_H]]="","",MATCH(NOTA[[#This Row],[NB NOTA_C_QTY]],[4]!db[NB NOTA_C_QTY+F],0))</f>
        <v>#REF!</v>
      </c>
      <c r="AV183" s="55">
        <f ca="1">IF(NOTA[[#This Row],[NB NOTA_C_QTY]]="","",ROW()-2)</f>
        <v>181</v>
      </c>
    </row>
    <row r="184" spans="1:48" ht="20.100000000000001" customHeight="1" x14ac:dyDescent="0.25">
      <c r="A1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41</v>
      </c>
      <c r="E184" s="47"/>
      <c r="H184" s="48"/>
      <c r="L184" s="38" t="s">
        <v>321</v>
      </c>
      <c r="M184" s="41">
        <v>2</v>
      </c>
      <c r="N184" s="39">
        <v>100</v>
      </c>
      <c r="O184" s="38" t="s">
        <v>319</v>
      </c>
      <c r="P184" s="42">
        <v>32000</v>
      </c>
      <c r="Q184" s="43"/>
      <c r="R184" s="49"/>
      <c r="S184" s="50">
        <v>0.125</v>
      </c>
      <c r="T184" s="45">
        <v>0.05</v>
      </c>
      <c r="U184" s="51"/>
      <c r="V184" s="46"/>
      <c r="W184" s="51">
        <f>IF(NOTA[[#This Row],[HARGA/ CTN]]="",NOTA[[#This Row],[JUMLAH_H]],NOTA[[#This Row],[HARGA/ CTN]]*IF(NOTA[[#This Row],[C]]="",0,NOTA[[#This Row],[C]]))</f>
        <v>3200000</v>
      </c>
      <c r="X184" s="51">
        <f>IF(NOTA[[#This Row],[JUMLAH]]="","",NOTA[[#This Row],[JUMLAH]]*NOTA[[#This Row],[DISC 1]])</f>
        <v>400000</v>
      </c>
      <c r="Y184" s="51">
        <f>IF(NOTA[[#This Row],[JUMLAH]]="","",(NOTA[[#This Row],[JUMLAH]]-NOTA[[#This Row],[DISC 1-]])*NOTA[[#This Row],[DISC 2]])</f>
        <v>140000</v>
      </c>
      <c r="Z184" s="51">
        <f>IF(NOTA[[#This Row],[JUMLAH]]="","",NOTA[[#This Row],[DISC 1-]]+NOTA[[#This Row],[DISC 2-]])</f>
        <v>540000</v>
      </c>
      <c r="AA184" s="51">
        <f>IF(NOTA[[#This Row],[JUMLAH]]="","",NOTA[[#This Row],[JUMLAH]]-NOTA[[#This Row],[DISC]])</f>
        <v>2660000</v>
      </c>
      <c r="AB184" s="51"/>
      <c r="AC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4" s="51">
        <f>IF(OR(NOTA[[#This Row],[QTY]]="",NOTA[[#This Row],[HARGA SATUAN]]="",),"",NOTA[[#This Row],[QTY]]*NOTA[[#This Row],[HARGA SATUAN]])</f>
        <v>3200000</v>
      </c>
      <c r="AG184" s="40">
        <f ca="1">IF(NOTA[ID_H]="","",INDEX(NOTA[TANGGAL],MATCH(,INDIRECT(ADDRESS(ROW(NOTA[TANGGAL]),COLUMN(NOTA[TANGGAL]))&amp;":"&amp;ADDRESS(ROW(),COLUMN(NOTA[TANGGAL]))),-1)))</f>
        <v>45115</v>
      </c>
      <c r="AH184" s="42" t="str">
        <f ca="1">IF(NOTA[[#This Row],[NAMA BARANG]]="","",INDEX(NOTA[SUPPLIER],MATCH(,INDIRECT(ADDRESS(ROW(NOTA[ID]),COLUMN(NOTA[ID]))&amp;":"&amp;ADDRESS(ROW(),COLUMN(NOTA[ID]))),-1)))</f>
        <v>ATALI MAKMUR</v>
      </c>
      <c r="AI184" s="42" t="str">
        <f ca="1">IF(NOTA[[#This Row],[ID_H]]="","",IF(NOTA[[#This Row],[FAKTUR]]="",INDIRECT(ADDRESS(ROW()-1,COLUMN())),NOTA[[#This Row],[FAKTUR]]))</f>
        <v>ARTO MORO</v>
      </c>
      <c r="AJ184" s="39" t="str">
        <f ca="1">IF(NOTA[[#This Row],[ID]]="","",COUNTIF(NOTA[ID_H],NOTA[[#This Row],[ID_H]]))</f>
        <v/>
      </c>
      <c r="AK184" s="39">
        <f ca="1">IF(NOTA[[#This Row],[TGL.NOTA]]="",IF(NOTA[[#This Row],[SUPPLIER_H]]="","",AK183),MONTH(NOTA[[#This Row],[TGL.NOTA]]))</f>
        <v>7</v>
      </c>
      <c r="AL184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1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9" t="str">
        <f>IF(NOTA[[#This Row],[CONCAT4]]="","",_xlfn.IFNA(MATCH(NOTA[[#This Row],[CONCAT4]],[2]!RAW[CONCAT_H],0),FALSE))</f>
        <v/>
      </c>
      <c r="AQ184" s="39">
        <f>IF(NOTA[[#This Row],[CONCAT1]]="","",MATCH(NOTA[[#This Row],[CONCAT1]],[3]!db[NB NOTA_C],0))</f>
        <v>2497</v>
      </c>
      <c r="AR184" s="39" t="str">
        <f>IF(NOTA[[#This Row],[QTY/ CTN]]="","",TRUE)</f>
        <v/>
      </c>
      <c r="AS184" s="39" t="str">
        <f ca="1">IF(NOTA[[#This Row],[ID_H]]="","",IF(NOTA[[#This Row],[Column3]]=TRUE,NOTA[[#This Row],[QTY/ CTN]],INDEX([3]!db[QTY/ CTN],NOTA[[#This Row],[//DB]])))</f>
        <v>50 BOX (30 PCS)</v>
      </c>
      <c r="AT1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184" s="39" t="e">
        <f ca="1">IF(NOTA[[#This Row],[ID_H]]="","",MATCH(NOTA[[#This Row],[NB NOTA_C_QTY]],[4]!db[NB NOTA_C_QTY+F],0))</f>
        <v>#REF!</v>
      </c>
      <c r="AV184" s="55">
        <f ca="1">IF(NOTA[[#This Row],[NB NOTA_C_QTY]]="","",ROW()-2)</f>
        <v>182</v>
      </c>
    </row>
    <row r="185" spans="1:48" ht="20.100000000000001" customHeight="1" x14ac:dyDescent="0.25">
      <c r="A1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41</v>
      </c>
      <c r="E185" s="47"/>
      <c r="H185" s="48"/>
      <c r="L185" s="38" t="s">
        <v>320</v>
      </c>
      <c r="M185" s="41">
        <v>2</v>
      </c>
      <c r="N185" s="39">
        <v>100</v>
      </c>
      <c r="O185" s="38" t="s">
        <v>319</v>
      </c>
      <c r="P185" s="42">
        <v>34100</v>
      </c>
      <c r="Q185" s="43"/>
      <c r="R185" s="49"/>
      <c r="S185" s="50">
        <v>0.125</v>
      </c>
      <c r="T185" s="45">
        <v>0.05</v>
      </c>
      <c r="U185" s="51"/>
      <c r="V185" s="46"/>
      <c r="W185" s="51">
        <f>IF(NOTA[[#This Row],[HARGA/ CTN]]="",NOTA[[#This Row],[JUMLAH_H]],NOTA[[#This Row],[HARGA/ CTN]]*IF(NOTA[[#This Row],[C]]="",0,NOTA[[#This Row],[C]]))</f>
        <v>3410000</v>
      </c>
      <c r="X185" s="51">
        <f>IF(NOTA[[#This Row],[JUMLAH]]="","",NOTA[[#This Row],[JUMLAH]]*NOTA[[#This Row],[DISC 1]])</f>
        <v>426250</v>
      </c>
      <c r="Y185" s="51">
        <f>IF(NOTA[[#This Row],[JUMLAH]]="","",(NOTA[[#This Row],[JUMLAH]]-NOTA[[#This Row],[DISC 1-]])*NOTA[[#This Row],[DISC 2]])</f>
        <v>149187.5</v>
      </c>
      <c r="Z185" s="51">
        <f>IF(NOTA[[#This Row],[JUMLAH]]="","",NOTA[[#This Row],[DISC 1-]]+NOTA[[#This Row],[DISC 2-]])</f>
        <v>575437.5</v>
      </c>
      <c r="AA185" s="51">
        <f>IF(NOTA[[#This Row],[JUMLAH]]="","",NOTA[[#This Row],[JUMLAH]]-NOTA[[#This Row],[DISC]])</f>
        <v>2834562.5</v>
      </c>
      <c r="AB185" s="51"/>
      <c r="AC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85" s="51">
        <f>IF(OR(NOTA[[#This Row],[QTY]]="",NOTA[[#This Row],[HARGA SATUAN]]="",),"",NOTA[[#This Row],[QTY]]*NOTA[[#This Row],[HARGA SATUAN]])</f>
        <v>3410000</v>
      </c>
      <c r="AG185" s="40">
        <f ca="1">IF(NOTA[ID_H]="","",INDEX(NOTA[TANGGAL],MATCH(,INDIRECT(ADDRESS(ROW(NOTA[TANGGAL]),COLUMN(NOTA[TANGGAL]))&amp;":"&amp;ADDRESS(ROW(),COLUMN(NOTA[TANGGAL]))),-1)))</f>
        <v>45115</v>
      </c>
      <c r="AH185" s="42" t="str">
        <f ca="1">IF(NOTA[[#This Row],[NAMA BARANG]]="","",INDEX(NOTA[SUPPLIER],MATCH(,INDIRECT(ADDRESS(ROW(NOTA[ID]),COLUMN(NOTA[ID]))&amp;":"&amp;ADDRESS(ROW(),COLUMN(NOTA[ID]))),-1)))</f>
        <v>ATALI MAKMUR</v>
      </c>
      <c r="AI185" s="42" t="str">
        <f ca="1">IF(NOTA[[#This Row],[ID_H]]="","",IF(NOTA[[#This Row],[FAKTUR]]="",INDIRECT(ADDRESS(ROW()-1,COLUMN())),NOTA[[#This Row],[FAKTUR]]))</f>
        <v>ARTO MORO</v>
      </c>
      <c r="AJ185" s="39" t="str">
        <f ca="1">IF(NOTA[[#This Row],[ID]]="","",COUNTIF(NOTA[ID_H],NOTA[[#This Row],[ID_H]]))</f>
        <v/>
      </c>
      <c r="AK185" s="39">
        <f ca="1">IF(NOTA[[#This Row],[TGL.NOTA]]="",IF(NOTA[[#This Row],[SUPPLIER_H]]="","",AK184),MONTH(NOTA[[#This Row],[TGL.NOTA]]))</f>
        <v>7</v>
      </c>
      <c r="AL185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1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9" t="str">
        <f>IF(NOTA[[#This Row],[CONCAT4]]="","",_xlfn.IFNA(MATCH(NOTA[[#This Row],[CONCAT4]],[2]!RAW[CONCAT_H],0),FALSE))</f>
        <v/>
      </c>
      <c r="AQ185" s="39">
        <f>IF(NOTA[[#This Row],[CONCAT1]]="","",MATCH(NOTA[[#This Row],[CONCAT1]],[3]!db[NB NOTA_C],0))</f>
        <v>2495</v>
      </c>
      <c r="AR185" s="39" t="str">
        <f>IF(NOTA[[#This Row],[QTY/ CTN]]="","",TRUE)</f>
        <v/>
      </c>
      <c r="AS185" s="39" t="str">
        <f ca="1">IF(NOTA[[#This Row],[ID_H]]="","",IF(NOTA[[#This Row],[Column3]]=TRUE,NOTA[[#This Row],[QTY/ CTN]],INDEX([3]!db[QTY/ CTN],NOTA[[#This Row],[//DB]])))</f>
        <v>50 BOX (20 PCS)</v>
      </c>
      <c r="AT1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185" s="39" t="e">
        <f ca="1">IF(NOTA[[#This Row],[ID_H]]="","",MATCH(NOTA[[#This Row],[NB NOTA_C_QTY]],[4]!db[NB NOTA_C_QTY+F],0))</f>
        <v>#REF!</v>
      </c>
      <c r="AV185" s="55">
        <f ca="1">IF(NOTA[[#This Row],[NB NOTA_C_QTY]]="","",ROW()-2)</f>
        <v>183</v>
      </c>
    </row>
    <row r="186" spans="1:48" ht="20.100000000000001" customHeight="1" x14ac:dyDescent="0.25">
      <c r="A1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41</v>
      </c>
      <c r="E186" s="47"/>
      <c r="H186" s="48"/>
      <c r="L186" s="38" t="s">
        <v>123</v>
      </c>
      <c r="M186" s="41">
        <v>4</v>
      </c>
      <c r="N186" s="39">
        <v>192</v>
      </c>
      <c r="O186" s="38" t="s">
        <v>152</v>
      </c>
      <c r="P186" s="42">
        <v>36000</v>
      </c>
      <c r="Q186" s="43"/>
      <c r="R186" s="49"/>
      <c r="S186" s="50">
        <v>0.125</v>
      </c>
      <c r="T186" s="45">
        <v>0.05</v>
      </c>
      <c r="U186" s="51"/>
      <c r="V186" s="46"/>
      <c r="W186" s="51">
        <f>IF(NOTA[[#This Row],[HARGA/ CTN]]="",NOTA[[#This Row],[JUMLAH_H]],NOTA[[#This Row],[HARGA/ CTN]]*IF(NOTA[[#This Row],[C]]="",0,NOTA[[#This Row],[C]]))</f>
        <v>6912000</v>
      </c>
      <c r="X186" s="51">
        <f>IF(NOTA[[#This Row],[JUMLAH]]="","",NOTA[[#This Row],[JUMLAH]]*NOTA[[#This Row],[DISC 1]])</f>
        <v>864000</v>
      </c>
      <c r="Y186" s="51">
        <f>IF(NOTA[[#This Row],[JUMLAH]]="","",(NOTA[[#This Row],[JUMLAH]]-NOTA[[#This Row],[DISC 1-]])*NOTA[[#This Row],[DISC 2]])</f>
        <v>302400</v>
      </c>
      <c r="Z186" s="51">
        <f>IF(NOTA[[#This Row],[JUMLAH]]="","",NOTA[[#This Row],[DISC 1-]]+NOTA[[#This Row],[DISC 2-]])</f>
        <v>1166400</v>
      </c>
      <c r="AA186" s="51">
        <f>IF(NOTA[[#This Row],[JUMLAH]]="","",NOTA[[#This Row],[JUMLAH]]-NOTA[[#This Row],[DISC]])</f>
        <v>5745600</v>
      </c>
      <c r="AB186" s="51"/>
      <c r="AC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86" s="51">
        <f>IF(OR(NOTA[[#This Row],[QTY]]="",NOTA[[#This Row],[HARGA SATUAN]]="",),"",NOTA[[#This Row],[QTY]]*NOTA[[#This Row],[HARGA SATUAN]])</f>
        <v>6912000</v>
      </c>
      <c r="AG186" s="40">
        <f ca="1">IF(NOTA[ID_H]="","",INDEX(NOTA[TANGGAL],MATCH(,INDIRECT(ADDRESS(ROW(NOTA[TANGGAL]),COLUMN(NOTA[TANGGAL]))&amp;":"&amp;ADDRESS(ROW(),COLUMN(NOTA[TANGGAL]))),-1)))</f>
        <v>45115</v>
      </c>
      <c r="AH186" s="42" t="str">
        <f ca="1">IF(NOTA[[#This Row],[NAMA BARANG]]="","",INDEX(NOTA[SUPPLIER],MATCH(,INDIRECT(ADDRESS(ROW(NOTA[ID]),COLUMN(NOTA[ID]))&amp;":"&amp;ADDRESS(ROW(),COLUMN(NOTA[ID]))),-1)))</f>
        <v>ATALI MAKMUR</v>
      </c>
      <c r="AI186" s="42" t="str">
        <f ca="1">IF(NOTA[[#This Row],[ID_H]]="","",IF(NOTA[[#This Row],[FAKTUR]]="",INDIRECT(ADDRESS(ROW()-1,COLUMN())),NOTA[[#This Row],[FAKTUR]]))</f>
        <v>ARTO MORO</v>
      </c>
      <c r="AJ186" s="39" t="str">
        <f ca="1">IF(NOTA[[#This Row],[ID]]="","",COUNTIF(NOTA[ID_H],NOTA[[#This Row],[ID_H]]))</f>
        <v/>
      </c>
      <c r="AK186" s="39">
        <f ca="1">IF(NOTA[[#This Row],[TGL.NOTA]]="",IF(NOTA[[#This Row],[SUPPLIER_H]]="","",AK185),MONTH(NOTA[[#This Row],[TGL.NOTA]]))</f>
        <v>7</v>
      </c>
      <c r="AL186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9" t="str">
        <f>IF(NOTA[[#This Row],[CONCAT4]]="","",_xlfn.IFNA(MATCH(NOTA[[#This Row],[CONCAT4]],[2]!RAW[CONCAT_H],0),FALSE))</f>
        <v/>
      </c>
      <c r="AQ186" s="39">
        <f>IF(NOTA[[#This Row],[CONCAT1]]="","",MATCH(NOTA[[#This Row],[CONCAT1]],[3]!db[NB NOTA_C],0))</f>
        <v>2644</v>
      </c>
      <c r="AR186" s="39" t="str">
        <f>IF(NOTA[[#This Row],[QTY/ CTN]]="","",TRUE)</f>
        <v/>
      </c>
      <c r="AS186" s="39" t="str">
        <f ca="1">IF(NOTA[[#This Row],[ID_H]]="","",IF(NOTA[[#This Row],[Column3]]=TRUE,NOTA[[#This Row],[QTY/ CTN]],INDEX([3]!db[QTY/ CTN],NOTA[[#This Row],[//DB]])))</f>
        <v>48 LSN</v>
      </c>
      <c r="AT1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86" s="39" t="e">
        <f ca="1">IF(NOTA[[#This Row],[ID_H]]="","",MATCH(NOTA[[#This Row],[NB NOTA_C_QTY]],[4]!db[NB NOTA_C_QTY+F],0))</f>
        <v>#REF!</v>
      </c>
      <c r="AV186" s="55">
        <f ca="1">IF(NOTA[[#This Row],[NB NOTA_C_QTY]]="","",ROW()-2)</f>
        <v>184</v>
      </c>
    </row>
    <row r="187" spans="1:48" ht="20.100000000000001" customHeight="1" x14ac:dyDescent="0.25">
      <c r="A1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41</v>
      </c>
      <c r="E187" s="47"/>
      <c r="H187" s="48"/>
      <c r="L187" s="38" t="s">
        <v>420</v>
      </c>
      <c r="N187" s="39">
        <v>24</v>
      </c>
      <c r="O187" s="38" t="s">
        <v>152</v>
      </c>
      <c r="P187" s="42">
        <v>13200</v>
      </c>
      <c r="Q187" s="43"/>
      <c r="R187" s="49"/>
      <c r="S187" s="50">
        <v>0.1</v>
      </c>
      <c r="T187" s="45">
        <v>0.05</v>
      </c>
      <c r="U187" s="51">
        <v>270864</v>
      </c>
      <c r="V187" s="46"/>
      <c r="W187" s="51">
        <f>IF(NOTA[[#This Row],[HARGA/ CTN]]="",NOTA[[#This Row],[JUMLAH_H]],NOTA[[#This Row],[HARGA/ CTN]]*IF(NOTA[[#This Row],[C]]="",0,NOTA[[#This Row],[C]]))</f>
        <v>316800</v>
      </c>
      <c r="X187" s="51">
        <f>IF(NOTA[[#This Row],[JUMLAH]]="","",NOTA[[#This Row],[JUMLAH]]*NOTA[[#This Row],[DISC 1]])</f>
        <v>31680</v>
      </c>
      <c r="Y187" s="51">
        <f>IF(NOTA[[#This Row],[JUMLAH]]="","",(NOTA[[#This Row],[JUMLAH]]-NOTA[[#This Row],[DISC 1-]])*NOTA[[#This Row],[DISC 2]])</f>
        <v>14256</v>
      </c>
      <c r="Z187" s="51">
        <f>IF(NOTA[[#This Row],[JUMLAH]]="","",NOTA[[#This Row],[DISC 1-]]+NOTA[[#This Row],[DISC 2-]])</f>
        <v>45936</v>
      </c>
      <c r="AA187" s="51">
        <f>IF(NOTA[[#This Row],[JUMLAH]]="","",NOTA[[#This Row],[JUMLAH]]-NOTA[[#This Row],[DISC]])</f>
        <v>270864</v>
      </c>
      <c r="AB187" s="51"/>
      <c r="AC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9347658.75</v>
      </c>
      <c r="AD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44485341.25</v>
      </c>
      <c r="AE187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187" s="51">
        <f>IF(OR(NOTA[[#This Row],[QTY]]="",NOTA[[#This Row],[HARGA SATUAN]]="",),"",NOTA[[#This Row],[QTY]]*NOTA[[#This Row],[HARGA SATUAN]])</f>
        <v>316800</v>
      </c>
      <c r="AG187" s="40">
        <f ca="1">IF(NOTA[ID_H]="","",INDEX(NOTA[TANGGAL],MATCH(,INDIRECT(ADDRESS(ROW(NOTA[TANGGAL]),COLUMN(NOTA[TANGGAL]))&amp;":"&amp;ADDRESS(ROW(),COLUMN(NOTA[TANGGAL]))),-1)))</f>
        <v>45115</v>
      </c>
      <c r="AH187" s="42" t="str">
        <f ca="1">IF(NOTA[[#This Row],[NAMA BARANG]]="","",INDEX(NOTA[SUPPLIER],MATCH(,INDIRECT(ADDRESS(ROW(NOTA[ID]),COLUMN(NOTA[ID]))&amp;":"&amp;ADDRESS(ROW(),COLUMN(NOTA[ID]))),-1)))</f>
        <v>ATALI MAKMUR</v>
      </c>
      <c r="AI187" s="42" t="str">
        <f ca="1">IF(NOTA[[#This Row],[ID_H]]="","",IF(NOTA[[#This Row],[FAKTUR]]="",INDIRECT(ADDRESS(ROW()-1,COLUMN())),NOTA[[#This Row],[FAKTUR]]))</f>
        <v>ARTO MORO</v>
      </c>
      <c r="AJ187" s="39" t="str">
        <f ca="1">IF(NOTA[[#This Row],[ID]]="","",COUNTIF(NOTA[ID_H],NOTA[[#This Row],[ID_H]]))</f>
        <v/>
      </c>
      <c r="AK187" s="39">
        <f ca="1">IF(NOTA[[#This Row],[TGL.NOTA]]="",IF(NOTA[[#This Row],[SUPPLIER_H]]="","",AK186),MONTH(NOTA[[#This Row],[TGL.NOTA]]))</f>
        <v>7</v>
      </c>
      <c r="AL187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1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9" t="str">
        <f>IF(NOTA[[#This Row],[CONCAT4]]="","",_xlfn.IFNA(MATCH(NOTA[[#This Row],[CONCAT4]],[2]!RAW[CONCAT_H],0),FALSE))</f>
        <v/>
      </c>
      <c r="AQ187" s="39">
        <f>IF(NOTA[[#This Row],[CONCAT1]]="","",MATCH(NOTA[[#This Row],[CONCAT1]],[3]!db[NB NOTA_C],0))</f>
        <v>635</v>
      </c>
      <c r="AR187" s="39" t="str">
        <f>IF(NOTA[[#This Row],[QTY/ CTN]]="","",TRUE)</f>
        <v/>
      </c>
      <c r="AS187" s="39" t="str">
        <f ca="1">IF(NOTA[[#This Row],[ID_H]]="","",IF(NOTA[[#This Row],[Column3]]=TRUE,NOTA[[#This Row],[QTY/ CTN]],INDEX([3]!db[QTY/ CTN],NOTA[[#This Row],[//DB]])))</f>
        <v>144 LSN</v>
      </c>
      <c r="AT1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U187" s="39" t="e">
        <f ca="1">IF(NOTA[[#This Row],[ID_H]]="","",MATCH(NOTA[[#This Row],[NB NOTA_C_QTY]],[4]!db[NB NOTA_C_QTY+F],0))</f>
        <v>#REF!</v>
      </c>
      <c r="AV187" s="55">
        <f ca="1">IF(NOTA[[#This Row],[NB NOTA_C_QTY]]="","",ROW()-2)</f>
        <v>185</v>
      </c>
    </row>
    <row r="188" spans="1:48" ht="20.100000000000001" customHeight="1" x14ac:dyDescent="0.25">
      <c r="A1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 t="str">
        <f ca="1">IF(NOTA[[#This Row],[NAMA BARANG]]="","",INDEX(NOTA[ID],MATCH(,INDIRECT(ADDRESS(ROW(NOTA[ID]),COLUMN(NOTA[ID]))&amp;":"&amp;ADDRESS(ROW(),COLUMN(NOTA[ID]))),-1)))</f>
        <v/>
      </c>
      <c r="E188" s="47"/>
      <c r="H188" s="48"/>
      <c r="N188" s="39"/>
      <c r="Q188" s="43"/>
      <c r="R188" s="49"/>
      <c r="S188" s="50"/>
      <c r="U188" s="51"/>
      <c r="V188" s="46"/>
      <c r="W188" s="51" t="str">
        <f>IF(NOTA[[#This Row],[HARGA/ CTN]]="",NOTA[[#This Row],[JUMLAH_H]],NOTA[[#This Row],[HARGA/ CTN]]*IF(NOTA[[#This Row],[C]]="",0,NOTA[[#This Row],[C]]))</f>
        <v/>
      </c>
      <c r="X188" s="51" t="str">
        <f>IF(NOTA[[#This Row],[JUMLAH]]="","",NOTA[[#This Row],[JUMLAH]]*NOTA[[#This Row],[DISC 1]])</f>
        <v/>
      </c>
      <c r="Y188" s="51" t="str">
        <f>IF(NOTA[[#This Row],[JUMLAH]]="","",(NOTA[[#This Row],[JUMLAH]]-NOTA[[#This Row],[DISC 1-]])*NOTA[[#This Row],[DISC 2]])</f>
        <v/>
      </c>
      <c r="Z188" s="51" t="str">
        <f>IF(NOTA[[#This Row],[JUMLAH]]="","",NOTA[[#This Row],[DISC 1-]]+NOTA[[#This Row],[DISC 2-]])</f>
        <v/>
      </c>
      <c r="AA188" s="51" t="str">
        <f>IF(NOTA[[#This Row],[JUMLAH]]="","",NOTA[[#This Row],[JUMLAH]]-NOTA[[#This Row],[DISC]])</f>
        <v/>
      </c>
      <c r="AB188" s="51"/>
      <c r="AC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1" t="str">
        <f>IF(OR(NOTA[[#This Row],[QTY]]="",NOTA[[#This Row],[HARGA SATUAN]]="",),"",NOTA[[#This Row],[QTY]]*NOTA[[#This Row],[HARGA SATUAN]])</f>
        <v/>
      </c>
      <c r="AG188" s="40" t="str">
        <f ca="1">IF(NOTA[ID_H]="","",INDEX(NOTA[TANGGAL],MATCH(,INDIRECT(ADDRESS(ROW(NOTA[TANGGAL]),COLUMN(NOTA[TANGGAL]))&amp;":"&amp;ADDRESS(ROW(),COLUMN(NOTA[TANGGAL]))),-1)))</f>
        <v/>
      </c>
      <c r="AH188" s="42" t="str">
        <f ca="1">IF(NOTA[[#This Row],[NAMA BARANG]]="","",INDEX(NOTA[SUPPLIER],MATCH(,INDIRECT(ADDRESS(ROW(NOTA[ID]),COLUMN(NOTA[ID]))&amp;":"&amp;ADDRESS(ROW(),COLUMN(NOTA[ID]))),-1)))</f>
        <v/>
      </c>
      <c r="AI188" s="42" t="str">
        <f ca="1">IF(NOTA[[#This Row],[ID_H]]="","",IF(NOTA[[#This Row],[FAKTUR]]="",INDIRECT(ADDRESS(ROW()-1,COLUMN())),NOTA[[#This Row],[FAKTUR]]))</f>
        <v/>
      </c>
      <c r="AJ188" s="39" t="str">
        <f ca="1">IF(NOTA[[#This Row],[ID]]="","",COUNTIF(NOTA[ID_H],NOTA[[#This Row],[ID_H]]))</f>
        <v/>
      </c>
      <c r="AK188" s="39" t="str">
        <f ca="1">IF(NOTA[[#This Row],[TGL.NOTA]]="",IF(NOTA[[#This Row],[SUPPLIER_H]]="","",AK187),MONTH(NOTA[[#This Row],[TGL.NOTA]]))</f>
        <v/>
      </c>
      <c r="AL188" s="39" t="str">
        <f>LOWER(SUBSTITUTE(SUBSTITUTE(SUBSTITUTE(SUBSTITUTE(SUBSTITUTE(SUBSTITUTE(SUBSTITUTE(SUBSTITUTE(SUBSTITUTE(NOTA[NAMA BARANG]," ",),".",""),"-",""),"(",""),")",""),",",""),"/",""),"""",""),"+",""))</f>
        <v/>
      </c>
      <c r="AM1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9" t="str">
        <f>IF(NOTA[[#This Row],[CONCAT4]]="","",_xlfn.IFNA(MATCH(NOTA[[#This Row],[CONCAT4]],[2]!RAW[CONCAT_H],0),FALSE))</f>
        <v/>
      </c>
      <c r="AQ188" s="39" t="str">
        <f>IF(NOTA[[#This Row],[CONCAT1]]="","",MATCH(NOTA[[#This Row],[CONCAT1]],[3]!db[NB NOTA_C],0))</f>
        <v/>
      </c>
      <c r="AR188" s="39" t="str">
        <f>IF(NOTA[[#This Row],[QTY/ CTN]]="","",TRUE)</f>
        <v/>
      </c>
      <c r="AS188" s="39" t="str">
        <f ca="1">IF(NOTA[[#This Row],[ID_H]]="","",IF(NOTA[[#This Row],[Column3]]=TRUE,NOTA[[#This Row],[QTY/ CTN]],INDEX([3]!db[QTY/ CTN],NOTA[[#This Row],[//DB]])))</f>
        <v/>
      </c>
      <c r="AT1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9" t="str">
        <f ca="1">IF(NOTA[[#This Row],[ID_H]]="","",MATCH(NOTA[[#This Row],[NB NOTA_C_QTY]],[4]!db[NB NOTA_C_QTY+F],0))</f>
        <v/>
      </c>
      <c r="AV188" s="55" t="str">
        <f ca="1">IF(NOTA[[#This Row],[NB NOTA_C_QTY]]="","",ROW()-2)</f>
        <v/>
      </c>
    </row>
    <row r="189" spans="1:48" ht="20.100000000000001" customHeight="1" x14ac:dyDescent="0.25">
      <c r="A189" s="42">
        <f ca="1">IF(INDIRECT(ADDRESS(ROW()-1,COLUMN(NOTA[[#Headers],[ID]])))="ID",1,IF(NOTA[[#This Row],[FAKTUR]]="","",COUNT(INDIRECT(ADDRESS(ROW(NOTA[ID]),COLUMN(NOTA[ID]))&amp;":"&amp;ADDRESS(ROW()-1,COLUMN(NOTA[ID]))))+1))</f>
        <v>42</v>
      </c>
      <c r="B1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ATA_0807_292-5</v>
      </c>
      <c r="C189" s="39" t="e">
        <f ca="1">IF(NOTA[[#This Row],[ID_P]]="","",MATCH(NOTA[[#This Row],[ID_P]],[1]!B_MSK[N_ID],0))</f>
        <v>#REF!</v>
      </c>
      <c r="D189" s="39">
        <f ca="1">IF(NOTA[[#This Row],[NAMA BARANG]]="","",INDEX(NOTA[ID],MATCH(,INDIRECT(ADDRESS(ROW(NOTA[ID]),COLUMN(NOTA[ID]))&amp;":"&amp;ADDRESS(ROW(),COLUMN(NOTA[ID]))),-1)))</f>
        <v>42</v>
      </c>
      <c r="E189" s="47"/>
      <c r="F189" s="38" t="s">
        <v>24</v>
      </c>
      <c r="G189" s="38" t="s">
        <v>23</v>
      </c>
      <c r="H189" s="48" t="s">
        <v>323</v>
      </c>
      <c r="J189" s="40">
        <v>45112</v>
      </c>
      <c r="L189" s="38" t="s">
        <v>262</v>
      </c>
      <c r="M189" s="41">
        <v>8</v>
      </c>
      <c r="N189" s="39">
        <v>1152</v>
      </c>
      <c r="O189" s="38" t="s">
        <v>263</v>
      </c>
      <c r="P189" s="42">
        <v>11900</v>
      </c>
      <c r="Q189" s="43"/>
      <c r="R189" s="49"/>
      <c r="S189" s="50">
        <v>0.125</v>
      </c>
      <c r="T189" s="45">
        <v>0.05</v>
      </c>
      <c r="U189" s="51"/>
      <c r="V189" s="46"/>
      <c r="W189" s="51">
        <f>IF(NOTA[[#This Row],[HARGA/ CTN]]="",NOTA[[#This Row],[JUMLAH_H]],NOTA[[#This Row],[HARGA/ CTN]]*IF(NOTA[[#This Row],[C]]="",0,NOTA[[#This Row],[C]]))</f>
        <v>13708800</v>
      </c>
      <c r="X189" s="51">
        <f>IF(NOTA[[#This Row],[JUMLAH]]="","",NOTA[[#This Row],[JUMLAH]]*NOTA[[#This Row],[DISC 1]])</f>
        <v>1713600</v>
      </c>
      <c r="Y189" s="51">
        <f>IF(NOTA[[#This Row],[JUMLAH]]="","",(NOTA[[#This Row],[JUMLAH]]-NOTA[[#This Row],[DISC 1-]])*NOTA[[#This Row],[DISC 2]])</f>
        <v>599760</v>
      </c>
      <c r="Z189" s="51">
        <f>IF(NOTA[[#This Row],[JUMLAH]]="","",NOTA[[#This Row],[DISC 1-]]+NOTA[[#This Row],[DISC 2-]])</f>
        <v>2313360</v>
      </c>
      <c r="AA189" s="51">
        <f>IF(NOTA[[#This Row],[JUMLAH]]="","",NOTA[[#This Row],[JUMLAH]]-NOTA[[#This Row],[DISC]])</f>
        <v>11395440</v>
      </c>
      <c r="AB189" s="51"/>
      <c r="AC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9" s="51">
        <f>IF(OR(NOTA[[#This Row],[QTY]]="",NOTA[[#This Row],[HARGA SATUAN]]="",),"",NOTA[[#This Row],[QTY]]*NOTA[[#This Row],[HARGA SATUAN]])</f>
        <v>13708800</v>
      </c>
      <c r="AG189" s="40">
        <f ca="1">IF(NOTA[ID_H]="","",INDEX(NOTA[TANGGAL],MATCH(,INDIRECT(ADDRESS(ROW(NOTA[TANGGAL]),COLUMN(NOTA[TANGGAL]))&amp;":"&amp;ADDRESS(ROW(),COLUMN(NOTA[TANGGAL]))),-1)))</f>
        <v>45115</v>
      </c>
      <c r="AH189" s="42" t="str">
        <f ca="1">IF(NOTA[[#This Row],[NAMA BARANG]]="","",INDEX(NOTA[SUPPLIER],MATCH(,INDIRECT(ADDRESS(ROW(NOTA[ID]),COLUMN(NOTA[ID]))&amp;":"&amp;ADDRESS(ROW(),COLUMN(NOTA[ID]))),-1)))</f>
        <v>ATALI MAKMUR</v>
      </c>
      <c r="AI189" s="42" t="str">
        <f ca="1">IF(NOTA[[#This Row],[ID_H]]="","",IF(NOTA[[#This Row],[FAKTUR]]="",INDIRECT(ADDRESS(ROW()-1,COLUMN())),NOTA[[#This Row],[FAKTUR]]))</f>
        <v>ARTO MORO</v>
      </c>
      <c r="AJ189" s="39">
        <f ca="1">IF(NOTA[[#This Row],[ID]]="","",COUNTIF(NOTA[ID_H],NOTA[[#This Row],[ID_H]]))</f>
        <v>5</v>
      </c>
      <c r="AK189" s="39">
        <f>IF(NOTA[[#This Row],[TGL.NOTA]]="",IF(NOTA[[#This Row],[SUPPLIER_H]]="","",AK188),MONTH(NOTA[[#This Row],[TGL.NOTA]]))</f>
        <v>7</v>
      </c>
      <c r="AL18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MOROSA23071129245112oilpastelop12sppcaseseaworldjk</v>
      </c>
      <c r="AP189" s="39" t="e">
        <f>IF(NOTA[[#This Row],[CONCAT4]]="","",_xlfn.IFNA(MATCH(NOTA[[#This Row],[CONCAT4]],[2]!RAW[CONCAT_H],0),FALSE))</f>
        <v>#REF!</v>
      </c>
      <c r="AQ189" s="39">
        <f>IF(NOTA[[#This Row],[CONCAT1]]="","",MATCH(NOTA[[#This Row],[CONCAT1]],[3]!db[NB NOTA_C],0))</f>
        <v>1775</v>
      </c>
      <c r="AR189" s="39" t="str">
        <f>IF(NOTA[[#This Row],[QTY/ CTN]]="","",TRUE)</f>
        <v/>
      </c>
      <c r="AS189" s="39" t="str">
        <f ca="1">IF(NOTA[[#This Row],[ID_H]]="","",IF(NOTA[[#This Row],[Column3]]=TRUE,NOTA[[#This Row],[QTY/ CTN]],INDEX([3]!db[QTY/ CTN],NOTA[[#This Row],[//DB]])))</f>
        <v>12 LSN</v>
      </c>
      <c r="AT1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9" s="39" t="e">
        <f ca="1">IF(NOTA[[#This Row],[ID_H]]="","",MATCH(NOTA[[#This Row],[NB NOTA_C_QTY]],[4]!db[NB NOTA_C_QTY+F],0))</f>
        <v>#REF!</v>
      </c>
      <c r="AV189" s="55">
        <f ca="1">IF(NOTA[[#This Row],[NB NOTA_C_QTY]]="","",ROW()-2)</f>
        <v>187</v>
      </c>
    </row>
    <row r="190" spans="1:48" ht="20.100000000000001" customHeight="1" x14ac:dyDescent="0.25">
      <c r="A1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42</v>
      </c>
      <c r="E190" s="47"/>
      <c r="H190" s="48"/>
      <c r="L190" s="38" t="s">
        <v>325</v>
      </c>
      <c r="M190" s="41">
        <v>1</v>
      </c>
      <c r="N190" s="39">
        <v>288</v>
      </c>
      <c r="O190" s="38" t="s">
        <v>117</v>
      </c>
      <c r="P190" s="42">
        <v>4800</v>
      </c>
      <c r="Q190" s="43"/>
      <c r="R190" s="49"/>
      <c r="S190" s="50">
        <v>0.125</v>
      </c>
      <c r="T190" s="45">
        <v>0.05</v>
      </c>
      <c r="U190" s="51"/>
      <c r="V190" s="46"/>
      <c r="W190" s="51">
        <f>IF(NOTA[[#This Row],[HARGA/ CTN]]="",NOTA[[#This Row],[JUMLAH_H]],NOTA[[#This Row],[HARGA/ CTN]]*IF(NOTA[[#This Row],[C]]="",0,NOTA[[#This Row],[C]]))</f>
        <v>1382400</v>
      </c>
      <c r="X190" s="51">
        <f>IF(NOTA[[#This Row],[JUMLAH]]="","",NOTA[[#This Row],[JUMLAH]]*NOTA[[#This Row],[DISC 1]])</f>
        <v>172800</v>
      </c>
      <c r="Y190" s="51">
        <f>IF(NOTA[[#This Row],[JUMLAH]]="","",(NOTA[[#This Row],[JUMLAH]]-NOTA[[#This Row],[DISC 1-]])*NOTA[[#This Row],[DISC 2]])</f>
        <v>60480</v>
      </c>
      <c r="Z190" s="51">
        <f>IF(NOTA[[#This Row],[JUMLAH]]="","",NOTA[[#This Row],[DISC 1-]]+NOTA[[#This Row],[DISC 2-]])</f>
        <v>233280</v>
      </c>
      <c r="AA190" s="51">
        <f>IF(NOTA[[#This Row],[JUMLAH]]="","",NOTA[[#This Row],[JUMLAH]]-NOTA[[#This Row],[DISC]])</f>
        <v>1149120</v>
      </c>
      <c r="AB190" s="51"/>
      <c r="AC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0" s="51">
        <f>IF(OR(NOTA[[#This Row],[QTY]]="",NOTA[[#This Row],[HARGA SATUAN]]="",),"",NOTA[[#This Row],[QTY]]*NOTA[[#This Row],[HARGA SATUAN]])</f>
        <v>1382400</v>
      </c>
      <c r="AG190" s="40">
        <f ca="1">IF(NOTA[ID_H]="","",INDEX(NOTA[TANGGAL],MATCH(,INDIRECT(ADDRESS(ROW(NOTA[TANGGAL]),COLUMN(NOTA[TANGGAL]))&amp;":"&amp;ADDRESS(ROW(),COLUMN(NOTA[TANGGAL]))),-1)))</f>
        <v>45115</v>
      </c>
      <c r="AH190" s="42" t="str">
        <f ca="1">IF(NOTA[[#This Row],[NAMA BARANG]]="","",INDEX(NOTA[SUPPLIER],MATCH(,INDIRECT(ADDRESS(ROW(NOTA[ID]),COLUMN(NOTA[ID]))&amp;":"&amp;ADDRESS(ROW(),COLUMN(NOTA[ID]))),-1)))</f>
        <v>ATALI MAKMUR</v>
      </c>
      <c r="AI190" s="42" t="str">
        <f ca="1">IF(NOTA[[#This Row],[ID_H]]="","",IF(NOTA[[#This Row],[FAKTUR]]="",INDIRECT(ADDRESS(ROW()-1,COLUMN())),NOTA[[#This Row],[FAKTUR]]))</f>
        <v>ARTO MORO</v>
      </c>
      <c r="AJ190" s="39" t="str">
        <f ca="1">IF(NOTA[[#This Row],[ID]]="","",COUNTIF(NOTA[ID_H],NOTA[[#This Row],[ID_H]]))</f>
        <v/>
      </c>
      <c r="AK190" s="39">
        <f ca="1">IF(NOTA[[#This Row],[TGL.NOTA]]="",IF(NOTA[[#This Row],[SUPPLIER_H]]="","",AK189),MONTH(NOTA[[#This Row],[TGL.NOTA]]))</f>
        <v>7</v>
      </c>
      <c r="AL190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9" t="str">
        <f>IF(NOTA[[#This Row],[CONCAT4]]="","",_xlfn.IFNA(MATCH(NOTA[[#This Row],[CONCAT4]],[2]!RAW[CONCAT_H],0),FALSE))</f>
        <v/>
      </c>
      <c r="AQ190" s="39">
        <f>IF(NOTA[[#This Row],[CONCAT1]]="","",MATCH(NOTA[[#This Row],[CONCAT1]],[3]!db[NB NOTA_C],0))</f>
        <v>1893</v>
      </c>
      <c r="AR190" s="39" t="str">
        <f>IF(NOTA[[#This Row],[QTY/ CTN]]="","",TRUE)</f>
        <v/>
      </c>
      <c r="AS190" s="39" t="str">
        <f ca="1">IF(NOTA[[#This Row],[ID_H]]="","",IF(NOTA[[#This Row],[Column3]]=TRUE,NOTA[[#This Row],[QTY/ CTN]],INDEX([3]!db[QTY/ CTN],NOTA[[#This Row],[//DB]])))</f>
        <v>288 PCS</v>
      </c>
      <c r="AT1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90" s="39" t="e">
        <f ca="1">IF(NOTA[[#This Row],[ID_H]]="","",MATCH(NOTA[[#This Row],[NB NOTA_C_QTY]],[4]!db[NB NOTA_C_QTY+F],0))</f>
        <v>#REF!</v>
      </c>
      <c r="AV190" s="55">
        <f ca="1">IF(NOTA[[#This Row],[NB NOTA_C_QTY]]="","",ROW()-2)</f>
        <v>188</v>
      </c>
    </row>
    <row r="191" spans="1:48" ht="20.100000000000001" customHeight="1" x14ac:dyDescent="0.25">
      <c r="A1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42</v>
      </c>
      <c r="E191" s="47"/>
      <c r="H191" s="48"/>
      <c r="L191" s="38" t="s">
        <v>324</v>
      </c>
      <c r="M191" s="41">
        <v>1</v>
      </c>
      <c r="N191" s="39">
        <v>288</v>
      </c>
      <c r="O191" s="38" t="s">
        <v>117</v>
      </c>
      <c r="P191" s="42">
        <v>4800</v>
      </c>
      <c r="Q191" s="43"/>
      <c r="R191" s="49" t="s">
        <v>313</v>
      </c>
      <c r="S191" s="50">
        <v>0.125</v>
      </c>
      <c r="T191" s="45">
        <v>0.05</v>
      </c>
      <c r="U191" s="51"/>
      <c r="V191" s="46"/>
      <c r="W191" s="51">
        <f>IF(NOTA[[#This Row],[HARGA/ CTN]]="",NOTA[[#This Row],[JUMLAH_H]],NOTA[[#This Row],[HARGA/ CTN]]*IF(NOTA[[#This Row],[C]]="",0,NOTA[[#This Row],[C]]))</f>
        <v>1382400</v>
      </c>
      <c r="X191" s="51">
        <f>IF(NOTA[[#This Row],[JUMLAH]]="","",NOTA[[#This Row],[JUMLAH]]*NOTA[[#This Row],[DISC 1]])</f>
        <v>172800</v>
      </c>
      <c r="Y191" s="51">
        <f>IF(NOTA[[#This Row],[JUMLAH]]="","",(NOTA[[#This Row],[JUMLAH]]-NOTA[[#This Row],[DISC 1-]])*NOTA[[#This Row],[DISC 2]])</f>
        <v>60480</v>
      </c>
      <c r="Z191" s="51">
        <f>IF(NOTA[[#This Row],[JUMLAH]]="","",NOTA[[#This Row],[DISC 1-]]+NOTA[[#This Row],[DISC 2-]])</f>
        <v>233280</v>
      </c>
      <c r="AA191" s="51">
        <f>IF(NOTA[[#This Row],[JUMLAH]]="","",NOTA[[#This Row],[JUMLAH]]-NOTA[[#This Row],[DISC]])</f>
        <v>1149120</v>
      </c>
      <c r="AB191" s="51"/>
      <c r="AC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1" s="51">
        <f>IF(OR(NOTA[[#This Row],[QTY]]="",NOTA[[#This Row],[HARGA SATUAN]]="",),"",NOTA[[#This Row],[QTY]]*NOTA[[#This Row],[HARGA SATUAN]])</f>
        <v>1382400</v>
      </c>
      <c r="AG191" s="40">
        <f ca="1">IF(NOTA[ID_H]="","",INDEX(NOTA[TANGGAL],MATCH(,INDIRECT(ADDRESS(ROW(NOTA[TANGGAL]),COLUMN(NOTA[TANGGAL]))&amp;":"&amp;ADDRESS(ROW(),COLUMN(NOTA[TANGGAL]))),-1)))</f>
        <v>45115</v>
      </c>
      <c r="AH191" s="42" t="str">
        <f ca="1">IF(NOTA[[#This Row],[NAMA BARANG]]="","",INDEX(NOTA[SUPPLIER],MATCH(,INDIRECT(ADDRESS(ROW(NOTA[ID]),COLUMN(NOTA[ID]))&amp;":"&amp;ADDRESS(ROW(),COLUMN(NOTA[ID]))),-1)))</f>
        <v>ATALI MAKMUR</v>
      </c>
      <c r="AI191" s="42" t="str">
        <f ca="1">IF(NOTA[[#This Row],[ID_H]]="","",IF(NOTA[[#This Row],[FAKTUR]]="",INDIRECT(ADDRESS(ROW()-1,COLUMN())),NOTA[[#This Row],[FAKTUR]]))</f>
        <v>ARTO MORO</v>
      </c>
      <c r="AJ191" s="39" t="str">
        <f ca="1">IF(NOTA[[#This Row],[ID]]="","",COUNTIF(NOTA[ID_H],NOTA[[#This Row],[ID_H]]))</f>
        <v/>
      </c>
      <c r="AK191" s="39">
        <f ca="1">IF(NOTA[[#This Row],[TGL.NOTA]]="",IF(NOTA[[#This Row],[SUPPLIER_H]]="","",AK190),MONTH(NOTA[[#This Row],[TGL.NOTA]]))</f>
        <v>7</v>
      </c>
      <c r="AL191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1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1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1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9" t="str">
        <f>IF(NOTA[[#This Row],[CONCAT4]]="","",_xlfn.IFNA(MATCH(NOTA[[#This Row],[CONCAT4]],[2]!RAW[CONCAT_H],0),FALSE))</f>
        <v/>
      </c>
      <c r="AQ191" s="39">
        <f>IF(NOTA[[#This Row],[CONCAT1]]="","",MATCH(NOTA[[#This Row],[CONCAT1]],[3]!db[NB NOTA_C],0))</f>
        <v>1894</v>
      </c>
      <c r="AR191" s="39" t="b">
        <f>IF(NOTA[[#This Row],[QTY/ CTN]]="","",TRUE)</f>
        <v>1</v>
      </c>
      <c r="AS191" s="39" t="str">
        <f ca="1">IF(NOTA[[#This Row],[ID_H]]="","",IF(NOTA[[#This Row],[Column3]]=TRUE,NOTA[[#This Row],[QTY/ CTN]],INDEX([3]!db[QTY/ CTN],NOTA[[#This Row],[//DB]])))</f>
        <v>288 PCS</v>
      </c>
      <c r="AT1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191" s="39" t="e">
        <f ca="1">IF(NOTA[[#This Row],[ID_H]]="","",MATCH(NOTA[[#This Row],[NB NOTA_C_QTY]],[4]!db[NB NOTA_C_QTY+F],0))</f>
        <v>#REF!</v>
      </c>
      <c r="AV191" s="55">
        <f ca="1">IF(NOTA[[#This Row],[NB NOTA_C_QTY]]="","",ROW()-2)</f>
        <v>189</v>
      </c>
    </row>
    <row r="192" spans="1:48" ht="20.100000000000001" customHeight="1" x14ac:dyDescent="0.25">
      <c r="A1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42</v>
      </c>
      <c r="E192" s="47"/>
      <c r="H192" s="48"/>
      <c r="L192" s="38" t="s">
        <v>312</v>
      </c>
      <c r="M192" s="41">
        <v>1</v>
      </c>
      <c r="N192" s="39">
        <v>288</v>
      </c>
      <c r="O192" s="38" t="s">
        <v>117</v>
      </c>
      <c r="P192" s="42">
        <v>4800</v>
      </c>
      <c r="Q192" s="43"/>
      <c r="R192" s="49" t="s">
        <v>313</v>
      </c>
      <c r="S192" s="50">
        <v>0.125</v>
      </c>
      <c r="T192" s="45">
        <v>0.05</v>
      </c>
      <c r="U192" s="51"/>
      <c r="V192" s="46"/>
      <c r="W192" s="51">
        <f>IF(NOTA[[#This Row],[HARGA/ CTN]]="",NOTA[[#This Row],[JUMLAH_H]],NOTA[[#This Row],[HARGA/ CTN]]*IF(NOTA[[#This Row],[C]]="",0,NOTA[[#This Row],[C]]))</f>
        <v>1382400</v>
      </c>
      <c r="X192" s="51">
        <f>IF(NOTA[[#This Row],[JUMLAH]]="","",NOTA[[#This Row],[JUMLAH]]*NOTA[[#This Row],[DISC 1]])</f>
        <v>172800</v>
      </c>
      <c r="Y192" s="51">
        <f>IF(NOTA[[#This Row],[JUMLAH]]="","",(NOTA[[#This Row],[JUMLAH]]-NOTA[[#This Row],[DISC 1-]])*NOTA[[#This Row],[DISC 2]])</f>
        <v>60480</v>
      </c>
      <c r="Z192" s="51">
        <f>IF(NOTA[[#This Row],[JUMLAH]]="","",NOTA[[#This Row],[DISC 1-]]+NOTA[[#This Row],[DISC 2-]])</f>
        <v>233280</v>
      </c>
      <c r="AA192" s="51">
        <f>IF(NOTA[[#This Row],[JUMLAH]]="","",NOTA[[#This Row],[JUMLAH]]-NOTA[[#This Row],[DISC]])</f>
        <v>1149120</v>
      </c>
      <c r="AB192" s="51"/>
      <c r="AC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2" s="51">
        <f>IF(OR(NOTA[[#This Row],[QTY]]="",NOTA[[#This Row],[HARGA SATUAN]]="",),"",NOTA[[#This Row],[QTY]]*NOTA[[#This Row],[HARGA SATUAN]])</f>
        <v>1382400</v>
      </c>
      <c r="AG192" s="40">
        <f ca="1">IF(NOTA[ID_H]="","",INDEX(NOTA[TANGGAL],MATCH(,INDIRECT(ADDRESS(ROW(NOTA[TANGGAL]),COLUMN(NOTA[TANGGAL]))&amp;":"&amp;ADDRESS(ROW(),COLUMN(NOTA[TANGGAL]))),-1)))</f>
        <v>45115</v>
      </c>
      <c r="AH192" s="42" t="str">
        <f ca="1">IF(NOTA[[#This Row],[NAMA BARANG]]="","",INDEX(NOTA[SUPPLIER],MATCH(,INDIRECT(ADDRESS(ROW(NOTA[ID]),COLUMN(NOTA[ID]))&amp;":"&amp;ADDRESS(ROW(),COLUMN(NOTA[ID]))),-1)))</f>
        <v>ATALI MAKMUR</v>
      </c>
      <c r="AI192" s="42" t="str">
        <f ca="1">IF(NOTA[[#This Row],[ID_H]]="","",IF(NOTA[[#This Row],[FAKTUR]]="",INDIRECT(ADDRESS(ROW()-1,COLUMN())),NOTA[[#This Row],[FAKTUR]]))</f>
        <v>ARTO MORO</v>
      </c>
      <c r="AJ192" s="39" t="str">
        <f ca="1">IF(NOTA[[#This Row],[ID]]="","",COUNTIF(NOTA[ID_H],NOTA[[#This Row],[ID_H]]))</f>
        <v/>
      </c>
      <c r="AK192" s="39">
        <f ca="1">IF(NOTA[[#This Row],[TGL.NOTA]]="",IF(NOTA[[#This Row],[SUPPLIER_H]]="","",AK191),MONTH(NOTA[[#This Row],[TGL.NOTA]]))</f>
        <v>7</v>
      </c>
      <c r="AL192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9" t="str">
        <f>IF(NOTA[[#This Row],[CONCAT4]]="","",_xlfn.IFNA(MATCH(NOTA[[#This Row],[CONCAT4]],[2]!RAW[CONCAT_H],0),FALSE))</f>
        <v/>
      </c>
      <c r="AQ192" s="39">
        <f>IF(NOTA[[#This Row],[CONCAT1]]="","",MATCH(NOTA[[#This Row],[CONCAT1]],[3]!db[NB NOTA_C],0))</f>
        <v>1905</v>
      </c>
      <c r="AR192" s="39" t="b">
        <f>IF(NOTA[[#This Row],[QTY/ CTN]]="","",TRUE)</f>
        <v>1</v>
      </c>
      <c r="AS192" s="39" t="str">
        <f ca="1">IF(NOTA[[#This Row],[ID_H]]="","",IF(NOTA[[#This Row],[Column3]]=TRUE,NOTA[[#This Row],[QTY/ CTN]],INDEX([3]!db[QTY/ CTN],NOTA[[#This Row],[//DB]])))</f>
        <v>288 PCS</v>
      </c>
      <c r="AT1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92" s="39" t="e">
        <f ca="1">IF(NOTA[[#This Row],[ID_H]]="","",MATCH(NOTA[[#This Row],[NB NOTA_C_QTY]],[4]!db[NB NOTA_C_QTY+F],0))</f>
        <v>#REF!</v>
      </c>
      <c r="AV192" s="55">
        <f ca="1">IF(NOTA[[#This Row],[NB NOTA_C_QTY]]="","",ROW()-2)</f>
        <v>190</v>
      </c>
    </row>
    <row r="193" spans="1:48" ht="20.100000000000001" customHeight="1" x14ac:dyDescent="0.25">
      <c r="A1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42</v>
      </c>
      <c r="E193" s="47"/>
      <c r="H193" s="48"/>
      <c r="L193" s="38" t="s">
        <v>102</v>
      </c>
      <c r="M193" s="41">
        <v>2</v>
      </c>
      <c r="N193" s="39">
        <v>288</v>
      </c>
      <c r="O193" s="38" t="s">
        <v>263</v>
      </c>
      <c r="P193" s="42">
        <v>23900</v>
      </c>
      <c r="Q193" s="43"/>
      <c r="R193" s="49"/>
      <c r="S193" s="50">
        <v>0.125</v>
      </c>
      <c r="T193" s="45">
        <v>0.05</v>
      </c>
      <c r="U193" s="51"/>
      <c r="V193" s="46"/>
      <c r="W193" s="51">
        <f>IF(NOTA[[#This Row],[HARGA/ CTN]]="",NOTA[[#This Row],[JUMLAH_H]],NOTA[[#This Row],[HARGA/ CTN]]*IF(NOTA[[#This Row],[C]]="",0,NOTA[[#This Row],[C]]))</f>
        <v>6883200</v>
      </c>
      <c r="X193" s="51">
        <f>IF(NOTA[[#This Row],[JUMLAH]]="","",NOTA[[#This Row],[JUMLAH]]*NOTA[[#This Row],[DISC 1]])</f>
        <v>860400</v>
      </c>
      <c r="Y193" s="51">
        <f>IF(NOTA[[#This Row],[JUMLAH]]="","",(NOTA[[#This Row],[JUMLAH]]-NOTA[[#This Row],[DISC 1-]])*NOTA[[#This Row],[DISC 2]])</f>
        <v>301140</v>
      </c>
      <c r="Z193" s="51">
        <f>IF(NOTA[[#This Row],[JUMLAH]]="","",NOTA[[#This Row],[DISC 1-]]+NOTA[[#This Row],[DISC 2-]])</f>
        <v>1161540</v>
      </c>
      <c r="AA193" s="51">
        <f>IF(NOTA[[#This Row],[JUMLAH]]="","",NOTA[[#This Row],[JUMLAH]]-NOTA[[#This Row],[DISC]])</f>
        <v>5721660</v>
      </c>
      <c r="AB193" s="51"/>
      <c r="AC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4174740</v>
      </c>
      <c r="AD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20564460</v>
      </c>
      <c r="AE193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93" s="51">
        <f>IF(OR(NOTA[[#This Row],[QTY]]="",NOTA[[#This Row],[HARGA SATUAN]]="",),"",NOTA[[#This Row],[QTY]]*NOTA[[#This Row],[HARGA SATUAN]])</f>
        <v>6883200</v>
      </c>
      <c r="AG193" s="40">
        <f ca="1">IF(NOTA[ID_H]="","",INDEX(NOTA[TANGGAL],MATCH(,INDIRECT(ADDRESS(ROW(NOTA[TANGGAL]),COLUMN(NOTA[TANGGAL]))&amp;":"&amp;ADDRESS(ROW(),COLUMN(NOTA[TANGGAL]))),-1)))</f>
        <v>45115</v>
      </c>
      <c r="AH193" s="42" t="str">
        <f ca="1">IF(NOTA[[#This Row],[NAMA BARANG]]="","",INDEX(NOTA[SUPPLIER],MATCH(,INDIRECT(ADDRESS(ROW(NOTA[ID]),COLUMN(NOTA[ID]))&amp;":"&amp;ADDRESS(ROW(),COLUMN(NOTA[ID]))),-1)))</f>
        <v>ATALI MAKMUR</v>
      </c>
      <c r="AI193" s="42" t="str">
        <f ca="1">IF(NOTA[[#This Row],[ID_H]]="","",IF(NOTA[[#This Row],[FAKTUR]]="",INDIRECT(ADDRESS(ROW()-1,COLUMN())),NOTA[[#This Row],[FAKTUR]]))</f>
        <v>ARTO MORO</v>
      </c>
      <c r="AJ193" s="39" t="str">
        <f ca="1">IF(NOTA[[#This Row],[ID]]="","",COUNTIF(NOTA[ID_H],NOTA[[#This Row],[ID_H]]))</f>
        <v/>
      </c>
      <c r="AK193" s="39">
        <f ca="1">IF(NOTA[[#This Row],[TGL.NOTA]]="",IF(NOTA[[#This Row],[SUPPLIER_H]]="","",AK192),MONTH(NOTA[[#This Row],[TGL.NOTA]]))</f>
        <v>7</v>
      </c>
      <c r="AL193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9" t="str">
        <f>IF(NOTA[[#This Row],[CONCAT4]]="","",_xlfn.IFNA(MATCH(NOTA[[#This Row],[CONCAT4]],[2]!RAW[CONCAT_H],0),FALSE))</f>
        <v/>
      </c>
      <c r="AQ193" s="39">
        <f>IF(NOTA[[#This Row],[CONCAT1]]="","",MATCH(NOTA[[#This Row],[CONCAT1]],[3]!db[NB NOTA_C],0))</f>
        <v>920</v>
      </c>
      <c r="AR193" s="39" t="str">
        <f>IF(NOTA[[#This Row],[QTY/ CTN]]="","",TRUE)</f>
        <v/>
      </c>
      <c r="AS193" s="39" t="str">
        <f ca="1">IF(NOTA[[#This Row],[ID_H]]="","",IF(NOTA[[#This Row],[Column3]]=TRUE,NOTA[[#This Row],[QTY/ CTN]],INDEX([3]!db[QTY/ CTN],NOTA[[#This Row],[//DB]])))</f>
        <v>12 LSN</v>
      </c>
      <c r="AT1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193" s="39" t="e">
        <f ca="1">IF(NOTA[[#This Row],[ID_H]]="","",MATCH(NOTA[[#This Row],[NB NOTA_C_QTY]],[4]!db[NB NOTA_C_QTY+F],0))</f>
        <v>#REF!</v>
      </c>
      <c r="AV193" s="55">
        <f ca="1">IF(NOTA[[#This Row],[NB NOTA_C_QTY]]="","",ROW()-2)</f>
        <v>191</v>
      </c>
    </row>
    <row r="194" spans="1:48" ht="20.100000000000001" customHeight="1" x14ac:dyDescent="0.25">
      <c r="A1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 t="str">
        <f ca="1">IF(NOTA[[#This Row],[NAMA BARANG]]="","",INDEX(NOTA[ID],MATCH(,INDIRECT(ADDRESS(ROW(NOTA[ID]),COLUMN(NOTA[ID]))&amp;":"&amp;ADDRESS(ROW(),COLUMN(NOTA[ID]))),-1)))</f>
        <v/>
      </c>
      <c r="E194" s="47"/>
      <c r="H194" s="48"/>
      <c r="N194" s="39"/>
      <c r="Q194" s="43"/>
      <c r="R194" s="49"/>
      <c r="S194" s="50"/>
      <c r="U194" s="51"/>
      <c r="V194" s="46"/>
      <c r="W194" s="51" t="str">
        <f>IF(NOTA[[#This Row],[HARGA/ CTN]]="",NOTA[[#This Row],[JUMLAH_H]],NOTA[[#This Row],[HARGA/ CTN]]*IF(NOTA[[#This Row],[C]]="",0,NOTA[[#This Row],[C]]))</f>
        <v/>
      </c>
      <c r="X194" s="51" t="str">
        <f>IF(NOTA[[#This Row],[JUMLAH]]="","",NOTA[[#This Row],[JUMLAH]]*NOTA[[#This Row],[DISC 1]])</f>
        <v/>
      </c>
      <c r="Y194" s="51" t="str">
        <f>IF(NOTA[[#This Row],[JUMLAH]]="","",(NOTA[[#This Row],[JUMLAH]]-NOTA[[#This Row],[DISC 1-]])*NOTA[[#This Row],[DISC 2]])</f>
        <v/>
      </c>
      <c r="Z194" s="51" t="str">
        <f>IF(NOTA[[#This Row],[JUMLAH]]="","",NOTA[[#This Row],[DISC 1-]]+NOTA[[#This Row],[DISC 2-]])</f>
        <v/>
      </c>
      <c r="AA194" s="51" t="str">
        <f>IF(NOTA[[#This Row],[JUMLAH]]="","",NOTA[[#This Row],[JUMLAH]]-NOTA[[#This Row],[DISC]])</f>
        <v/>
      </c>
      <c r="AB194" s="51"/>
      <c r="AC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1" t="str">
        <f>IF(OR(NOTA[[#This Row],[QTY]]="",NOTA[[#This Row],[HARGA SATUAN]]="",),"",NOTA[[#This Row],[QTY]]*NOTA[[#This Row],[HARGA SATUAN]])</f>
        <v/>
      </c>
      <c r="AG194" s="40" t="str">
        <f ca="1">IF(NOTA[ID_H]="","",INDEX(NOTA[TANGGAL],MATCH(,INDIRECT(ADDRESS(ROW(NOTA[TANGGAL]),COLUMN(NOTA[TANGGAL]))&amp;":"&amp;ADDRESS(ROW(),COLUMN(NOTA[TANGGAL]))),-1)))</f>
        <v/>
      </c>
      <c r="AH194" s="42" t="str">
        <f ca="1">IF(NOTA[[#This Row],[NAMA BARANG]]="","",INDEX(NOTA[SUPPLIER],MATCH(,INDIRECT(ADDRESS(ROW(NOTA[ID]),COLUMN(NOTA[ID]))&amp;":"&amp;ADDRESS(ROW(),COLUMN(NOTA[ID]))),-1)))</f>
        <v/>
      </c>
      <c r="AI194" s="42" t="str">
        <f ca="1">IF(NOTA[[#This Row],[ID_H]]="","",IF(NOTA[[#This Row],[FAKTUR]]="",INDIRECT(ADDRESS(ROW()-1,COLUMN())),NOTA[[#This Row],[FAKTUR]]))</f>
        <v/>
      </c>
      <c r="AJ194" s="39" t="str">
        <f ca="1">IF(NOTA[[#This Row],[ID]]="","",COUNTIF(NOTA[ID_H],NOTA[[#This Row],[ID_H]]))</f>
        <v/>
      </c>
      <c r="AK194" s="39" t="str">
        <f ca="1">IF(NOTA[[#This Row],[TGL.NOTA]]="",IF(NOTA[[#This Row],[SUPPLIER_H]]="","",AK193),MONTH(NOTA[[#This Row],[TGL.NOTA]]))</f>
        <v/>
      </c>
      <c r="AL194" s="39" t="str">
        <f>LOWER(SUBSTITUTE(SUBSTITUTE(SUBSTITUTE(SUBSTITUTE(SUBSTITUTE(SUBSTITUTE(SUBSTITUTE(SUBSTITUTE(SUBSTITUTE(NOTA[NAMA BARANG]," ",),".",""),"-",""),"(",""),")",""),",",""),"/",""),"""",""),"+",""))</f>
        <v/>
      </c>
      <c r="AM1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9" t="str">
        <f>IF(NOTA[[#This Row],[CONCAT4]]="","",_xlfn.IFNA(MATCH(NOTA[[#This Row],[CONCAT4]],[2]!RAW[CONCAT_H],0),FALSE))</f>
        <v/>
      </c>
      <c r="AQ194" s="39" t="str">
        <f>IF(NOTA[[#This Row],[CONCAT1]]="","",MATCH(NOTA[[#This Row],[CONCAT1]],[3]!db[NB NOTA_C],0))</f>
        <v/>
      </c>
      <c r="AR194" s="39" t="str">
        <f>IF(NOTA[[#This Row],[QTY/ CTN]]="","",TRUE)</f>
        <v/>
      </c>
      <c r="AS194" s="39" t="str">
        <f ca="1">IF(NOTA[[#This Row],[ID_H]]="","",IF(NOTA[[#This Row],[Column3]]=TRUE,NOTA[[#This Row],[QTY/ CTN]],INDEX([3]!db[QTY/ CTN],NOTA[[#This Row],[//DB]])))</f>
        <v/>
      </c>
      <c r="AT1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9" t="str">
        <f ca="1">IF(NOTA[[#This Row],[ID_H]]="","",MATCH(NOTA[[#This Row],[NB NOTA_C_QTY]],[4]!db[NB NOTA_C_QTY+F],0))</f>
        <v/>
      </c>
      <c r="AV194" s="55" t="str">
        <f ca="1">IF(NOTA[[#This Row],[NB NOTA_C_QTY]]="","",ROW()-2)</f>
        <v/>
      </c>
    </row>
    <row r="195" spans="1:48" ht="20.100000000000001" customHeight="1" x14ac:dyDescent="0.25">
      <c r="A195" s="42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KEN_0807_383-8</v>
      </c>
      <c r="C195" s="39" t="e">
        <f ca="1">IF(NOTA[[#This Row],[ID_P]]="","",MATCH(NOTA[[#This Row],[ID_P]],[1]!B_MSK[N_ID],0))</f>
        <v>#REF!</v>
      </c>
      <c r="D195" s="39">
        <f ca="1">IF(NOTA[[#This Row],[NAMA BARANG]]="","",INDEX(NOTA[ID],MATCH(,INDIRECT(ADDRESS(ROW(NOTA[ID]),COLUMN(NOTA[ID]))&amp;":"&amp;ADDRESS(ROW(),COLUMN(NOTA[ID]))),-1)))</f>
        <v>43</v>
      </c>
      <c r="E195" s="47"/>
      <c r="F195" s="38" t="s">
        <v>22</v>
      </c>
      <c r="G195" s="38" t="s">
        <v>23</v>
      </c>
      <c r="H195" s="48" t="s">
        <v>326</v>
      </c>
      <c r="I195" s="38" t="s">
        <v>342</v>
      </c>
      <c r="J195" s="40">
        <v>45113</v>
      </c>
      <c r="L195" s="38" t="s">
        <v>285</v>
      </c>
      <c r="M195" s="41">
        <v>3</v>
      </c>
      <c r="N195" s="39"/>
      <c r="Q195" s="43">
        <v>1380000</v>
      </c>
      <c r="R195" s="49"/>
      <c r="S195" s="50">
        <v>0.17</v>
      </c>
      <c r="U195" s="51"/>
      <c r="V195" s="46"/>
      <c r="W195" s="51">
        <f>IF(NOTA[[#This Row],[HARGA/ CTN]]="",NOTA[[#This Row],[JUMLAH_H]],NOTA[[#This Row],[HARGA/ CTN]]*IF(NOTA[[#This Row],[C]]="",0,NOTA[[#This Row],[C]]))</f>
        <v>4140000</v>
      </c>
      <c r="X195" s="51">
        <f>IF(NOTA[[#This Row],[JUMLAH]]="","",NOTA[[#This Row],[JUMLAH]]*NOTA[[#This Row],[DISC 1]])</f>
        <v>703800</v>
      </c>
      <c r="Y195" s="51">
        <f>IF(NOTA[[#This Row],[JUMLAH]]="","",(NOTA[[#This Row],[JUMLAH]]-NOTA[[#This Row],[DISC 1-]])*NOTA[[#This Row],[DISC 2]])</f>
        <v>0</v>
      </c>
      <c r="Z195" s="51">
        <f>IF(NOTA[[#This Row],[JUMLAH]]="","",NOTA[[#This Row],[DISC 1-]]+NOTA[[#This Row],[DISC 2-]])</f>
        <v>703800</v>
      </c>
      <c r="AA195" s="51">
        <f>IF(NOTA[[#This Row],[JUMLAH]]="","",NOTA[[#This Row],[JUMLAH]]-NOTA[[#This Row],[DISC]])</f>
        <v>3436200</v>
      </c>
      <c r="AB195" s="51"/>
      <c r="AC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95" s="51" t="str">
        <f>IF(OR(NOTA[[#This Row],[QTY]]="",NOTA[[#This Row],[HARGA SATUAN]]="",),"",NOTA[[#This Row],[QTY]]*NOTA[[#This Row],[HARGA SATUAN]])</f>
        <v/>
      </c>
      <c r="AG195" s="40">
        <f ca="1">IF(NOTA[ID_H]="","",INDEX(NOTA[TANGGAL],MATCH(,INDIRECT(ADDRESS(ROW(NOTA[TANGGAL]),COLUMN(NOTA[TANGGAL]))&amp;":"&amp;ADDRESS(ROW(),COLUMN(NOTA[TANGGAL]))),-1)))</f>
        <v>45115</v>
      </c>
      <c r="AH195" s="42" t="str">
        <f ca="1">IF(NOTA[[#This Row],[NAMA BARANG]]="","",INDEX(NOTA[SUPPLIER],MATCH(,INDIRECT(ADDRESS(ROW(NOTA[ID]),COLUMN(NOTA[ID]))&amp;":"&amp;ADDRESS(ROW(),COLUMN(NOTA[ID]))),-1)))</f>
        <v>KENKO SINAR INDONESIA</v>
      </c>
      <c r="AI195" s="42" t="str">
        <f ca="1">IF(NOTA[[#This Row],[ID_H]]="","",IF(NOTA[[#This Row],[FAKTUR]]="",INDIRECT(ADDRESS(ROW()-1,COLUMN())),NOTA[[#This Row],[FAKTUR]]))</f>
        <v>ARTO MORO</v>
      </c>
      <c r="AJ195" s="39">
        <f ca="1">IF(NOTA[[#This Row],[ID]]="","",COUNTIF(NOTA[ID_H],NOTA[[#This Row],[ID_H]]))</f>
        <v>8</v>
      </c>
      <c r="AK195" s="39">
        <f>IF(NOTA[[#This Row],[TGL.NOTA]]="",IF(NOTA[[#This Row],[SUPPLIER_H]]="","",AK194),MONTH(NOTA[[#This Row],[TGL.NOTA]]))</f>
        <v>7</v>
      </c>
      <c r="AL195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9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MORO23070383SA 4283445113kenkobinderclipno155</v>
      </c>
      <c r="AP195" s="39" t="e">
        <f>IF(NOTA[[#This Row],[CONCAT4]]="","",_xlfn.IFNA(MATCH(NOTA[[#This Row],[CONCAT4]],[2]!RAW[CONCAT_H],0),FALSE))</f>
        <v>#REF!</v>
      </c>
      <c r="AQ195" s="39">
        <f>IF(NOTA[[#This Row],[CONCAT1]]="","",MATCH(NOTA[[#This Row],[CONCAT1]],[3]!db[NB NOTA_C],0))</f>
        <v>229</v>
      </c>
      <c r="AR195" s="39" t="str">
        <f>IF(NOTA[[#This Row],[QTY/ CTN]]="","",TRUE)</f>
        <v/>
      </c>
      <c r="AS195" s="39" t="str">
        <f ca="1">IF(NOTA[[#This Row],[ID_H]]="","",IF(NOTA[[#This Row],[Column3]]=TRUE,NOTA[[#This Row],[QTY/ CTN]],INDEX([3]!db[QTY/ CTN],NOTA[[#This Row],[//DB]])))</f>
        <v>20 GRS</v>
      </c>
      <c r="AT1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95" s="39" t="e">
        <f ca="1">IF(NOTA[[#This Row],[ID_H]]="","",MATCH(NOTA[[#This Row],[NB NOTA_C_QTY]],[4]!db[NB NOTA_C_QTY+F],0))</f>
        <v>#REF!</v>
      </c>
      <c r="AV195" s="55">
        <f ca="1">IF(NOTA[[#This Row],[NB NOTA_C_QTY]]="","",ROW()-2)</f>
        <v>193</v>
      </c>
    </row>
    <row r="196" spans="1:48" ht="20.100000000000001" customHeight="1" x14ac:dyDescent="0.25">
      <c r="A1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43</v>
      </c>
      <c r="E196" s="47"/>
      <c r="H196" s="48"/>
      <c r="L196" s="38" t="s">
        <v>286</v>
      </c>
      <c r="M196" s="41">
        <v>5</v>
      </c>
      <c r="N196" s="39"/>
      <c r="Q196" s="43">
        <v>1200000</v>
      </c>
      <c r="R196" s="49"/>
      <c r="S196" s="50">
        <v>0.17</v>
      </c>
      <c r="U196" s="51"/>
      <c r="V196" s="46"/>
      <c r="W196" s="51">
        <f>IF(NOTA[[#This Row],[HARGA/ CTN]]="",NOTA[[#This Row],[JUMLAH_H]],NOTA[[#This Row],[HARGA/ CTN]]*IF(NOTA[[#This Row],[C]]="",0,NOTA[[#This Row],[C]]))</f>
        <v>6000000</v>
      </c>
      <c r="X196" s="51">
        <f>IF(NOTA[[#This Row],[JUMLAH]]="","",NOTA[[#This Row],[JUMLAH]]*NOTA[[#This Row],[DISC 1]])</f>
        <v>1020000.0000000001</v>
      </c>
      <c r="Y196" s="51">
        <f>IF(NOTA[[#This Row],[JUMLAH]]="","",(NOTA[[#This Row],[JUMLAH]]-NOTA[[#This Row],[DISC 1-]])*NOTA[[#This Row],[DISC 2]])</f>
        <v>0</v>
      </c>
      <c r="Z196" s="51">
        <f>IF(NOTA[[#This Row],[JUMLAH]]="","",NOTA[[#This Row],[DISC 1-]]+NOTA[[#This Row],[DISC 2-]])</f>
        <v>1020000.0000000001</v>
      </c>
      <c r="AA196" s="51">
        <f>IF(NOTA[[#This Row],[JUMLAH]]="","",NOTA[[#This Row],[JUMLAH]]-NOTA[[#This Row],[DISC]])</f>
        <v>4980000</v>
      </c>
      <c r="AB196" s="51"/>
      <c r="AC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96" s="51" t="str">
        <f>IF(OR(NOTA[[#This Row],[QTY]]="",NOTA[[#This Row],[HARGA SATUAN]]="",),"",NOTA[[#This Row],[QTY]]*NOTA[[#This Row],[HARGA SATUAN]])</f>
        <v/>
      </c>
      <c r="AG196" s="40">
        <f ca="1">IF(NOTA[ID_H]="","",INDEX(NOTA[TANGGAL],MATCH(,INDIRECT(ADDRESS(ROW(NOTA[TANGGAL]),COLUMN(NOTA[TANGGAL]))&amp;":"&amp;ADDRESS(ROW(),COLUMN(NOTA[TANGGAL]))),-1)))</f>
        <v>45115</v>
      </c>
      <c r="AH196" s="42" t="str">
        <f ca="1">IF(NOTA[[#This Row],[NAMA BARANG]]="","",INDEX(NOTA[SUPPLIER],MATCH(,INDIRECT(ADDRESS(ROW(NOTA[ID]),COLUMN(NOTA[ID]))&amp;":"&amp;ADDRESS(ROW(),COLUMN(NOTA[ID]))),-1)))</f>
        <v>KENKO SINAR INDONESIA</v>
      </c>
      <c r="AI196" s="42" t="str">
        <f ca="1">IF(NOTA[[#This Row],[ID_H]]="","",IF(NOTA[[#This Row],[FAKTUR]]="",INDIRECT(ADDRESS(ROW()-1,COLUMN())),NOTA[[#This Row],[FAKTUR]]))</f>
        <v>ARTO MORO</v>
      </c>
      <c r="AJ196" s="39" t="str">
        <f ca="1">IF(NOTA[[#This Row],[ID]]="","",COUNTIF(NOTA[ID_H],NOTA[[#This Row],[ID_H]]))</f>
        <v/>
      </c>
      <c r="AK196" s="39">
        <f ca="1">IF(NOTA[[#This Row],[TGL.NOTA]]="",IF(NOTA[[#This Row],[SUPPLIER_H]]="","",AK195),MONTH(NOTA[[#This Row],[TGL.NOTA]]))</f>
        <v>7</v>
      </c>
      <c r="AL19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9" t="str">
        <f>IF(NOTA[[#This Row],[CONCAT4]]="","",_xlfn.IFNA(MATCH(NOTA[[#This Row],[CONCAT4]],[2]!RAW[CONCAT_H],0),FALSE))</f>
        <v/>
      </c>
      <c r="AQ196" s="39">
        <f>IF(NOTA[[#This Row],[CONCAT1]]="","",MATCH(NOTA[[#This Row],[CONCAT1]],[3]!db[NB NOTA_C],0))</f>
        <v>230</v>
      </c>
      <c r="AR196" s="39" t="str">
        <f>IF(NOTA[[#This Row],[QTY/ CTN]]="","",TRUE)</f>
        <v/>
      </c>
      <c r="AS196" s="39" t="str">
        <f ca="1">IF(NOTA[[#This Row],[ID_H]]="","",IF(NOTA[[#This Row],[Column3]]=TRUE,NOTA[[#This Row],[QTY/ CTN]],INDEX([3]!db[QTY/ CTN],NOTA[[#This Row],[//DB]])))</f>
        <v>10 GRS</v>
      </c>
      <c r="AT1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96" s="39" t="e">
        <f ca="1">IF(NOTA[[#This Row],[ID_H]]="","",MATCH(NOTA[[#This Row],[NB NOTA_C_QTY]],[4]!db[NB NOTA_C_QTY+F],0))</f>
        <v>#REF!</v>
      </c>
      <c r="AV196" s="55">
        <f ca="1">IF(NOTA[[#This Row],[NB NOTA_C_QTY]]="","",ROW()-2)</f>
        <v>194</v>
      </c>
    </row>
    <row r="197" spans="1:48" ht="20.100000000000001" customHeight="1" x14ac:dyDescent="0.25">
      <c r="A1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43</v>
      </c>
      <c r="E197" s="47"/>
      <c r="H197" s="48"/>
      <c r="L197" s="38" t="s">
        <v>292</v>
      </c>
      <c r="M197" s="41">
        <v>8</v>
      </c>
      <c r="N197" s="39"/>
      <c r="Q197" s="43">
        <v>900000</v>
      </c>
      <c r="R197" s="49"/>
      <c r="S197" s="50">
        <v>0.17</v>
      </c>
      <c r="U197" s="51"/>
      <c r="V197" s="46"/>
      <c r="W197" s="51">
        <f>IF(NOTA[[#This Row],[HARGA/ CTN]]="",NOTA[[#This Row],[JUMLAH_H]],NOTA[[#This Row],[HARGA/ CTN]]*IF(NOTA[[#This Row],[C]]="",0,NOTA[[#This Row],[C]]))</f>
        <v>7200000</v>
      </c>
      <c r="X197" s="51">
        <f>IF(NOTA[[#This Row],[JUMLAH]]="","",NOTA[[#This Row],[JUMLAH]]*NOTA[[#This Row],[DISC 1]])</f>
        <v>1224000</v>
      </c>
      <c r="Y197" s="51">
        <f>IF(NOTA[[#This Row],[JUMLAH]]="","",(NOTA[[#This Row],[JUMLAH]]-NOTA[[#This Row],[DISC 1-]])*NOTA[[#This Row],[DISC 2]])</f>
        <v>0</v>
      </c>
      <c r="Z197" s="51">
        <f>IF(NOTA[[#This Row],[JUMLAH]]="","",NOTA[[#This Row],[DISC 1-]]+NOTA[[#This Row],[DISC 2-]])</f>
        <v>1224000</v>
      </c>
      <c r="AA197" s="51">
        <f>IF(NOTA[[#This Row],[JUMLAH]]="","",NOTA[[#This Row],[JUMLAH]]-NOTA[[#This Row],[DISC]])</f>
        <v>5976000</v>
      </c>
      <c r="AB197" s="51"/>
      <c r="AC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97" s="51" t="str">
        <f>IF(OR(NOTA[[#This Row],[QTY]]="",NOTA[[#This Row],[HARGA SATUAN]]="",),"",NOTA[[#This Row],[QTY]]*NOTA[[#This Row],[HARGA SATUAN]])</f>
        <v/>
      </c>
      <c r="AG197" s="40">
        <f ca="1">IF(NOTA[ID_H]="","",INDEX(NOTA[TANGGAL],MATCH(,INDIRECT(ADDRESS(ROW(NOTA[TANGGAL]),COLUMN(NOTA[TANGGAL]))&amp;":"&amp;ADDRESS(ROW(),COLUMN(NOTA[TANGGAL]))),-1)))</f>
        <v>45115</v>
      </c>
      <c r="AH197" s="42" t="str">
        <f ca="1">IF(NOTA[[#This Row],[NAMA BARANG]]="","",INDEX(NOTA[SUPPLIER],MATCH(,INDIRECT(ADDRESS(ROW(NOTA[ID]),COLUMN(NOTA[ID]))&amp;":"&amp;ADDRESS(ROW(),COLUMN(NOTA[ID]))),-1)))</f>
        <v>KENKO SINAR INDONESIA</v>
      </c>
      <c r="AI197" s="42" t="str">
        <f ca="1">IF(NOTA[[#This Row],[ID_H]]="","",IF(NOTA[[#This Row],[FAKTUR]]="",INDIRECT(ADDRESS(ROW()-1,COLUMN())),NOTA[[#This Row],[FAKTUR]]))</f>
        <v>ARTO MORO</v>
      </c>
      <c r="AJ197" s="39" t="str">
        <f ca="1">IF(NOTA[[#This Row],[ID]]="","",COUNTIF(NOTA[ID_H],NOTA[[#This Row],[ID_H]]))</f>
        <v/>
      </c>
      <c r="AK197" s="39">
        <f ca="1">IF(NOTA[[#This Row],[TGL.NOTA]]="",IF(NOTA[[#This Row],[SUPPLIER_H]]="","",AK196),MONTH(NOTA[[#This Row],[TGL.NOTA]]))</f>
        <v>7</v>
      </c>
      <c r="AL19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9" t="str">
        <f>IF(NOTA[[#This Row],[CONCAT4]]="","",_xlfn.IFNA(MATCH(NOTA[[#This Row],[CONCAT4]],[2]!RAW[CONCAT_H],0),FALSE))</f>
        <v/>
      </c>
      <c r="AQ197" s="39">
        <f>IF(NOTA[[#This Row],[CONCAT1]]="","",MATCH(NOTA[[#This Row],[CONCAT1]],[3]!db[NB NOTA_C],0))</f>
        <v>231</v>
      </c>
      <c r="AR197" s="39" t="str">
        <f>IF(NOTA[[#This Row],[QTY/ CTN]]="","",TRUE)</f>
        <v/>
      </c>
      <c r="AS197" s="39" t="str">
        <f ca="1">IF(NOTA[[#This Row],[ID_H]]="","",IF(NOTA[[#This Row],[Column3]]=TRUE,NOTA[[#This Row],[QTY/ CTN]],INDEX([3]!db[QTY/ CTN],NOTA[[#This Row],[//DB]])))</f>
        <v>5 GRS</v>
      </c>
      <c r="AT1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97" s="39" t="e">
        <f ca="1">IF(NOTA[[#This Row],[ID_H]]="","",MATCH(NOTA[[#This Row],[NB NOTA_C_QTY]],[4]!db[NB NOTA_C_QTY+F],0))</f>
        <v>#REF!</v>
      </c>
      <c r="AV197" s="55">
        <f ca="1">IF(NOTA[[#This Row],[NB NOTA_C_QTY]]="","",ROW()-2)</f>
        <v>195</v>
      </c>
    </row>
    <row r="198" spans="1:48" ht="20.100000000000001" customHeight="1" x14ac:dyDescent="0.25">
      <c r="A1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43</v>
      </c>
      <c r="E198" s="47"/>
      <c r="H198" s="48"/>
      <c r="L198" s="38" t="s">
        <v>327</v>
      </c>
      <c r="M198" s="41">
        <v>2</v>
      </c>
      <c r="N198" s="39"/>
      <c r="Q198" s="43">
        <v>1548000</v>
      </c>
      <c r="R198" s="49" t="s">
        <v>480</v>
      </c>
      <c r="S198" s="50">
        <v>0.17</v>
      </c>
      <c r="U198" s="51"/>
      <c r="V198" s="46"/>
      <c r="W198" s="51">
        <f>IF(NOTA[[#This Row],[HARGA/ CTN]]="",NOTA[[#This Row],[JUMLAH_H]],NOTA[[#This Row],[HARGA/ CTN]]*IF(NOTA[[#This Row],[C]]="",0,NOTA[[#This Row],[C]]))</f>
        <v>3096000</v>
      </c>
      <c r="X198" s="51">
        <f>IF(NOTA[[#This Row],[JUMLAH]]="","",NOTA[[#This Row],[JUMLAH]]*NOTA[[#This Row],[DISC 1]])</f>
        <v>526320</v>
      </c>
      <c r="Y198" s="51">
        <f>IF(NOTA[[#This Row],[JUMLAH]]="","",(NOTA[[#This Row],[JUMLAH]]-NOTA[[#This Row],[DISC 1-]])*NOTA[[#This Row],[DISC 2]])</f>
        <v>0</v>
      </c>
      <c r="Z198" s="51">
        <f>IF(NOTA[[#This Row],[JUMLAH]]="","",NOTA[[#This Row],[DISC 1-]]+NOTA[[#This Row],[DISC 2-]])</f>
        <v>526320</v>
      </c>
      <c r="AA198" s="51">
        <f>IF(NOTA[[#This Row],[JUMLAH]]="","",NOTA[[#This Row],[JUMLAH]]-NOTA[[#This Row],[DISC]])</f>
        <v>2569680</v>
      </c>
      <c r="AB198" s="51"/>
      <c r="AC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98" s="51" t="str">
        <f>IF(OR(NOTA[[#This Row],[QTY]]="",NOTA[[#This Row],[HARGA SATUAN]]="",),"",NOTA[[#This Row],[QTY]]*NOTA[[#This Row],[HARGA SATUAN]])</f>
        <v/>
      </c>
      <c r="AG198" s="40">
        <f ca="1">IF(NOTA[ID_H]="","",INDEX(NOTA[TANGGAL],MATCH(,INDIRECT(ADDRESS(ROW(NOTA[TANGGAL]),COLUMN(NOTA[TANGGAL]))&amp;":"&amp;ADDRESS(ROW(),COLUMN(NOTA[TANGGAL]))),-1)))</f>
        <v>45115</v>
      </c>
      <c r="AH198" s="42" t="str">
        <f ca="1">IF(NOTA[[#This Row],[NAMA BARANG]]="","",INDEX(NOTA[SUPPLIER],MATCH(,INDIRECT(ADDRESS(ROW(NOTA[ID]),COLUMN(NOTA[ID]))&amp;":"&amp;ADDRESS(ROW(),COLUMN(NOTA[ID]))),-1)))</f>
        <v>KENKO SINAR INDONESIA</v>
      </c>
      <c r="AI198" s="42" t="str">
        <f ca="1">IF(NOTA[[#This Row],[ID_H]]="","",IF(NOTA[[#This Row],[FAKTUR]]="",INDIRECT(ADDRESS(ROW()-1,COLUMN())),NOTA[[#This Row],[FAKTUR]]))</f>
        <v>ARTO MORO</v>
      </c>
      <c r="AJ198" s="39" t="str">
        <f ca="1">IF(NOTA[[#This Row],[ID]]="","",COUNTIF(NOTA[ID_H],NOTA[[#This Row],[ID_H]]))</f>
        <v/>
      </c>
      <c r="AK198" s="39">
        <f ca="1">IF(NOTA[[#This Row],[TGL.NOTA]]="",IF(NOTA[[#This Row],[SUPPLIER_H]]="","",AK197),MONTH(NOTA[[#This Row],[TGL.NOTA]]))</f>
        <v>7</v>
      </c>
      <c r="AL198" s="39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9" t="str">
        <f>IF(NOTA[[#This Row],[CONCAT4]]="","",_xlfn.IFNA(MATCH(NOTA[[#This Row],[CONCAT4]],[2]!RAW[CONCAT_H],0),FALSE))</f>
        <v/>
      </c>
      <c r="AQ198" s="39">
        <f>IF(NOTA[[#This Row],[CONCAT1]]="","",MATCH(NOTA[[#This Row],[CONCAT1]],[3]!db[NB NOTA_C],0))</f>
        <v>233</v>
      </c>
      <c r="AR198" s="39" t="b">
        <f>IF(NOTA[[#This Row],[QTY/ CTN]]="","",TRUE)</f>
        <v>1</v>
      </c>
      <c r="AS198" s="39" t="str">
        <f ca="1">IF(NOTA[[#This Row],[ID_H]]="","",IF(NOTA[[#This Row],[Column3]]=TRUE,NOTA[[#This Row],[QTY/ CTN]],INDEX([3]!db[QTY/ CTN],NOTA[[#This Row],[//DB]])))</f>
        <v>72 BOX (6 PCS)</v>
      </c>
      <c r="AT1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198" s="39" t="e">
        <f ca="1">IF(NOTA[[#This Row],[ID_H]]="","",MATCH(NOTA[[#This Row],[NB NOTA_C_QTY]],[4]!db[NB NOTA_C_QTY+F],0))</f>
        <v>#REF!</v>
      </c>
      <c r="AV198" s="55">
        <f ca="1">IF(NOTA[[#This Row],[NB NOTA_C_QTY]]="","",ROW()-2)</f>
        <v>196</v>
      </c>
    </row>
    <row r="199" spans="1:48" ht="20.100000000000001" customHeight="1" x14ac:dyDescent="0.25">
      <c r="A1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43</v>
      </c>
      <c r="E199" s="47"/>
      <c r="H199" s="48"/>
      <c r="L199" s="38" t="s">
        <v>328</v>
      </c>
      <c r="M199" s="41">
        <v>2</v>
      </c>
      <c r="N199" s="39"/>
      <c r="Q199" s="43">
        <v>2059200</v>
      </c>
      <c r="R199" s="49" t="s">
        <v>481</v>
      </c>
      <c r="S199" s="50">
        <v>0.17</v>
      </c>
      <c r="U199" s="51"/>
      <c r="V199" s="46"/>
      <c r="W199" s="51">
        <f>IF(NOTA[[#This Row],[HARGA/ CTN]]="",NOTA[[#This Row],[JUMLAH_H]],NOTA[[#This Row],[HARGA/ CTN]]*IF(NOTA[[#This Row],[C]]="",0,NOTA[[#This Row],[C]]))</f>
        <v>4118400</v>
      </c>
      <c r="X199" s="51">
        <f>IF(NOTA[[#This Row],[JUMLAH]]="","",NOTA[[#This Row],[JUMLAH]]*NOTA[[#This Row],[DISC 1]])</f>
        <v>700128</v>
      </c>
      <c r="Y199" s="51">
        <f>IF(NOTA[[#This Row],[JUMLAH]]="","",(NOTA[[#This Row],[JUMLAH]]-NOTA[[#This Row],[DISC 1-]])*NOTA[[#This Row],[DISC 2]])</f>
        <v>0</v>
      </c>
      <c r="Z199" s="51">
        <f>IF(NOTA[[#This Row],[JUMLAH]]="","",NOTA[[#This Row],[DISC 1-]]+NOTA[[#This Row],[DISC 2-]])</f>
        <v>700128</v>
      </c>
      <c r="AA199" s="51">
        <f>IF(NOTA[[#This Row],[JUMLAH]]="","",NOTA[[#This Row],[JUMLAH]]-NOTA[[#This Row],[DISC]])</f>
        <v>3418272</v>
      </c>
      <c r="AB199" s="51"/>
      <c r="AC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2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99" s="51" t="str">
        <f>IF(OR(NOTA[[#This Row],[QTY]]="",NOTA[[#This Row],[HARGA SATUAN]]="",),"",NOTA[[#This Row],[QTY]]*NOTA[[#This Row],[HARGA SATUAN]])</f>
        <v/>
      </c>
      <c r="AG199" s="40">
        <f ca="1">IF(NOTA[ID_H]="","",INDEX(NOTA[TANGGAL],MATCH(,INDIRECT(ADDRESS(ROW(NOTA[TANGGAL]),COLUMN(NOTA[TANGGAL]))&amp;":"&amp;ADDRESS(ROW(),COLUMN(NOTA[TANGGAL]))),-1)))</f>
        <v>45115</v>
      </c>
      <c r="AH199" s="42" t="str">
        <f ca="1">IF(NOTA[[#This Row],[NAMA BARANG]]="","",INDEX(NOTA[SUPPLIER],MATCH(,INDIRECT(ADDRESS(ROW(NOTA[ID]),COLUMN(NOTA[ID]))&amp;":"&amp;ADDRESS(ROW(),COLUMN(NOTA[ID]))),-1)))</f>
        <v>KENKO SINAR INDONESIA</v>
      </c>
      <c r="AI199" s="42" t="str">
        <f ca="1">IF(NOTA[[#This Row],[ID_H]]="","",IF(NOTA[[#This Row],[FAKTUR]]="",INDIRECT(ADDRESS(ROW()-1,COLUMN())),NOTA[[#This Row],[FAKTUR]]))</f>
        <v>ARTO MORO</v>
      </c>
      <c r="AJ199" s="39" t="str">
        <f ca="1">IF(NOTA[[#This Row],[ID]]="","",COUNTIF(NOTA[ID_H],NOTA[[#This Row],[ID_H]]))</f>
        <v/>
      </c>
      <c r="AK199" s="39">
        <f ca="1">IF(NOTA[[#This Row],[TGL.NOTA]]="",IF(NOTA[[#This Row],[SUPPLIER_H]]="","",AK198),MONTH(NOTA[[#This Row],[TGL.NOTA]]))</f>
        <v>7</v>
      </c>
      <c r="AL199" s="39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M1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N1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O1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9" t="str">
        <f>IF(NOTA[[#This Row],[CONCAT4]]="","",_xlfn.IFNA(MATCH(NOTA[[#This Row],[CONCAT4]],[2]!RAW[CONCAT_H],0),FALSE))</f>
        <v/>
      </c>
      <c r="AQ199" s="39">
        <f>IF(NOTA[[#This Row],[CONCAT1]]="","",MATCH(NOTA[[#This Row],[CONCAT1]],[3]!db[NB NOTA_C],0))</f>
        <v>235</v>
      </c>
      <c r="AR199" s="39" t="b">
        <f>IF(NOTA[[#This Row],[QTY/ CTN]]="","",TRUE)</f>
        <v>1</v>
      </c>
      <c r="AS199" s="39" t="str">
        <f ca="1">IF(NOTA[[#This Row],[ID_H]]="","",IF(NOTA[[#This Row],[Column3]]=TRUE,NOTA[[#This Row],[QTY/ CTN]],INDEX([3]!db[QTY/ CTN],NOTA[[#This Row],[//DB]])))</f>
        <v>48 BOX (6 PCS)</v>
      </c>
      <c r="AT1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U199" s="39" t="e">
        <f ca="1">IF(NOTA[[#This Row],[ID_H]]="","",MATCH(NOTA[[#This Row],[NB NOTA_C_QTY]],[4]!db[NB NOTA_C_QTY+F],0))</f>
        <v>#REF!</v>
      </c>
      <c r="AV199" s="55">
        <f ca="1">IF(NOTA[[#This Row],[NB NOTA_C_QTY]]="","",ROW()-2)</f>
        <v>197</v>
      </c>
    </row>
    <row r="200" spans="1:48" ht="20.100000000000001" customHeight="1" x14ac:dyDescent="0.25">
      <c r="A2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43</v>
      </c>
      <c r="E200" s="47"/>
      <c r="H200" s="48"/>
      <c r="L200" s="38" t="s">
        <v>329</v>
      </c>
      <c r="M200" s="41">
        <v>3</v>
      </c>
      <c r="N200" s="39"/>
      <c r="Q200" s="43">
        <v>1440000</v>
      </c>
      <c r="R200" s="49"/>
      <c r="S200" s="50">
        <v>0.17</v>
      </c>
      <c r="U200" s="51"/>
      <c r="V200" s="46"/>
      <c r="W200" s="51">
        <f>IF(NOTA[[#This Row],[HARGA/ CTN]]="",NOTA[[#This Row],[JUMLAH_H]],NOTA[[#This Row],[HARGA/ CTN]]*IF(NOTA[[#This Row],[C]]="",0,NOTA[[#This Row],[C]]))</f>
        <v>4320000</v>
      </c>
      <c r="X200" s="51">
        <f>IF(NOTA[[#This Row],[JUMLAH]]="","",NOTA[[#This Row],[JUMLAH]]*NOTA[[#This Row],[DISC 1]])</f>
        <v>734400</v>
      </c>
      <c r="Y200" s="51">
        <f>IF(NOTA[[#This Row],[JUMLAH]]="","",(NOTA[[#This Row],[JUMLAH]]-NOTA[[#This Row],[DISC 1-]])*NOTA[[#This Row],[DISC 2]])</f>
        <v>0</v>
      </c>
      <c r="Z200" s="51">
        <f>IF(NOTA[[#This Row],[JUMLAH]]="","",NOTA[[#This Row],[DISC 1-]]+NOTA[[#This Row],[DISC 2-]])</f>
        <v>734400</v>
      </c>
      <c r="AA200" s="51">
        <f>IF(NOTA[[#This Row],[JUMLAH]]="","",NOTA[[#This Row],[JUMLAH]]-NOTA[[#This Row],[DISC]])</f>
        <v>3585600</v>
      </c>
      <c r="AB200" s="51"/>
      <c r="AC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00" s="51" t="str">
        <f>IF(OR(NOTA[[#This Row],[QTY]]="",NOTA[[#This Row],[HARGA SATUAN]]="",),"",NOTA[[#This Row],[QTY]]*NOTA[[#This Row],[HARGA SATUAN]])</f>
        <v/>
      </c>
      <c r="AG200" s="40">
        <f ca="1">IF(NOTA[ID_H]="","",INDEX(NOTA[TANGGAL],MATCH(,INDIRECT(ADDRESS(ROW(NOTA[TANGGAL]),COLUMN(NOTA[TANGGAL]))&amp;":"&amp;ADDRESS(ROW(),COLUMN(NOTA[TANGGAL]))),-1)))</f>
        <v>45115</v>
      </c>
      <c r="AH200" s="42" t="str">
        <f ca="1">IF(NOTA[[#This Row],[NAMA BARANG]]="","",INDEX(NOTA[SUPPLIER],MATCH(,INDIRECT(ADDRESS(ROW(NOTA[ID]),COLUMN(NOTA[ID]))&amp;":"&amp;ADDRESS(ROW(),COLUMN(NOTA[ID]))),-1)))</f>
        <v>KENKO SINAR INDONESIA</v>
      </c>
      <c r="AI200" s="42" t="str">
        <f ca="1">IF(NOTA[[#This Row],[ID_H]]="","",IF(NOTA[[#This Row],[FAKTUR]]="",INDIRECT(ADDRESS(ROW()-1,COLUMN())),NOTA[[#This Row],[FAKTUR]]))</f>
        <v>ARTO MORO</v>
      </c>
      <c r="AJ200" s="39" t="str">
        <f ca="1">IF(NOTA[[#This Row],[ID]]="","",COUNTIF(NOTA[ID_H],NOTA[[#This Row],[ID_H]]))</f>
        <v/>
      </c>
      <c r="AK200" s="39">
        <f ca="1">IF(NOTA[[#This Row],[TGL.NOTA]]="",IF(NOTA[[#This Row],[SUPPLIER_H]]="","",AK199),MONTH(NOTA[[#This Row],[TGL.NOTA]]))</f>
        <v>7</v>
      </c>
      <c r="AL200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2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2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2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9" t="str">
        <f>IF(NOTA[[#This Row],[CONCAT4]]="","",_xlfn.IFNA(MATCH(NOTA[[#This Row],[CONCAT4]],[2]!RAW[CONCAT_H],0),FALSE))</f>
        <v/>
      </c>
      <c r="AQ200" s="39">
        <f>IF(NOTA[[#This Row],[CONCAT1]]="","",MATCH(NOTA[[#This Row],[CONCAT1]],[3]!db[NB NOTA_C],0))</f>
        <v>226</v>
      </c>
      <c r="AR200" s="39" t="str">
        <f>IF(NOTA[[#This Row],[QTY/ CTN]]="","",TRUE)</f>
        <v/>
      </c>
      <c r="AS200" s="39" t="str">
        <f ca="1">IF(NOTA[[#This Row],[ID_H]]="","",IF(NOTA[[#This Row],[Column3]]=TRUE,NOTA[[#This Row],[QTY/ CTN]],INDEX([3]!db[QTY/ CTN],NOTA[[#This Row],[//DB]])))</f>
        <v>50 GRS</v>
      </c>
      <c r="AT2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200" s="39" t="e">
        <f ca="1">IF(NOTA[[#This Row],[ID_H]]="","",MATCH(NOTA[[#This Row],[NB NOTA_C_QTY]],[4]!db[NB NOTA_C_QTY+F],0))</f>
        <v>#REF!</v>
      </c>
      <c r="AV200" s="55">
        <f ca="1">IF(NOTA[[#This Row],[NB NOTA_C_QTY]]="","",ROW()-2)</f>
        <v>198</v>
      </c>
    </row>
    <row r="201" spans="1:48" ht="20.100000000000001" customHeight="1" x14ac:dyDescent="0.25">
      <c r="A2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43</v>
      </c>
      <c r="E201" s="47"/>
      <c r="H201" s="48"/>
      <c r="L201" s="38" t="s">
        <v>330</v>
      </c>
      <c r="M201" s="41">
        <v>2</v>
      </c>
      <c r="N201" s="39"/>
      <c r="Q201" s="43">
        <v>1590000</v>
      </c>
      <c r="R201" s="49"/>
      <c r="S201" s="50">
        <v>0.17</v>
      </c>
      <c r="U201" s="51"/>
      <c r="V201" s="46"/>
      <c r="W201" s="51">
        <f>IF(NOTA[[#This Row],[HARGA/ CTN]]="",NOTA[[#This Row],[JUMLAH_H]],NOTA[[#This Row],[HARGA/ CTN]]*IF(NOTA[[#This Row],[C]]="",0,NOTA[[#This Row],[C]]))</f>
        <v>3180000</v>
      </c>
      <c r="X201" s="51">
        <f>IF(NOTA[[#This Row],[JUMLAH]]="","",NOTA[[#This Row],[JUMLAH]]*NOTA[[#This Row],[DISC 1]])</f>
        <v>540600</v>
      </c>
      <c r="Y201" s="51">
        <f>IF(NOTA[[#This Row],[JUMLAH]]="","",(NOTA[[#This Row],[JUMLAH]]-NOTA[[#This Row],[DISC 1-]])*NOTA[[#This Row],[DISC 2]])</f>
        <v>0</v>
      </c>
      <c r="Z201" s="51">
        <f>IF(NOTA[[#This Row],[JUMLAH]]="","",NOTA[[#This Row],[DISC 1-]]+NOTA[[#This Row],[DISC 2-]])</f>
        <v>540600</v>
      </c>
      <c r="AA201" s="51">
        <f>IF(NOTA[[#This Row],[JUMLAH]]="","",NOTA[[#This Row],[JUMLAH]]-NOTA[[#This Row],[DISC]])</f>
        <v>2639400</v>
      </c>
      <c r="AB201" s="51"/>
      <c r="AC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1" s="51" t="str">
        <f>IF(OR(NOTA[[#This Row],[QTY]]="",NOTA[[#This Row],[HARGA SATUAN]]="",),"",NOTA[[#This Row],[QTY]]*NOTA[[#This Row],[HARGA SATUAN]])</f>
        <v/>
      </c>
      <c r="AG201" s="40">
        <f ca="1">IF(NOTA[ID_H]="","",INDEX(NOTA[TANGGAL],MATCH(,INDIRECT(ADDRESS(ROW(NOTA[TANGGAL]),COLUMN(NOTA[TANGGAL]))&amp;":"&amp;ADDRESS(ROW(),COLUMN(NOTA[TANGGAL]))),-1)))</f>
        <v>45115</v>
      </c>
      <c r="AH201" s="42" t="str">
        <f ca="1">IF(NOTA[[#This Row],[NAMA BARANG]]="","",INDEX(NOTA[SUPPLIER],MATCH(,INDIRECT(ADDRESS(ROW(NOTA[ID]),COLUMN(NOTA[ID]))&amp;":"&amp;ADDRESS(ROW(),COLUMN(NOTA[ID]))),-1)))</f>
        <v>KENKO SINAR INDONESIA</v>
      </c>
      <c r="AI201" s="42" t="str">
        <f ca="1">IF(NOTA[[#This Row],[ID_H]]="","",IF(NOTA[[#This Row],[FAKTUR]]="",INDIRECT(ADDRESS(ROW()-1,COLUMN())),NOTA[[#This Row],[FAKTUR]]))</f>
        <v>ARTO MORO</v>
      </c>
      <c r="AJ201" s="39" t="str">
        <f ca="1">IF(NOTA[[#This Row],[ID]]="","",COUNTIF(NOTA[ID_H],NOTA[[#This Row],[ID_H]]))</f>
        <v/>
      </c>
      <c r="AK201" s="39">
        <f ca="1">IF(NOTA[[#This Row],[TGL.NOTA]]="",IF(NOTA[[#This Row],[SUPPLIER_H]]="","",AK200),MONTH(NOTA[[#This Row],[TGL.NOTA]]))</f>
        <v>7</v>
      </c>
      <c r="AL201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9" t="str">
        <f>IF(NOTA[[#This Row],[CONCAT4]]="","",_xlfn.IFNA(MATCH(NOTA[[#This Row],[CONCAT4]],[2]!RAW[CONCAT_H],0),FALSE))</f>
        <v/>
      </c>
      <c r="AQ201" s="39">
        <f>IF(NOTA[[#This Row],[CONCAT1]]="","",MATCH(NOTA[[#This Row],[CONCAT1]],[3]!db[NB NOTA_C],0))</f>
        <v>227</v>
      </c>
      <c r="AR201" s="39" t="str">
        <f>IF(NOTA[[#This Row],[QTY/ CTN]]="","",TRUE)</f>
        <v/>
      </c>
      <c r="AS201" s="39" t="str">
        <f ca="1">IF(NOTA[[#This Row],[ID_H]]="","",IF(NOTA[[#This Row],[Column3]]=TRUE,NOTA[[#This Row],[QTY/ CTN]],INDEX([3]!db[QTY/ CTN],NOTA[[#This Row],[//DB]])))</f>
        <v>50 GRS</v>
      </c>
      <c r="AT2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01" s="39" t="e">
        <f ca="1">IF(NOTA[[#This Row],[ID_H]]="","",MATCH(NOTA[[#This Row],[NB NOTA_C_QTY]],[4]!db[NB NOTA_C_QTY+F],0))</f>
        <v>#REF!</v>
      </c>
      <c r="AV201" s="55">
        <f ca="1">IF(NOTA[[#This Row],[NB NOTA_C_QTY]]="","",ROW()-2)</f>
        <v>199</v>
      </c>
    </row>
    <row r="202" spans="1:48" ht="20.100000000000001" customHeight="1" x14ac:dyDescent="0.25">
      <c r="A2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>
        <f ca="1">IF(NOTA[[#This Row],[NAMA BARANG]]="","",INDEX(NOTA[ID],MATCH(,INDIRECT(ADDRESS(ROW(NOTA[ID]),COLUMN(NOTA[ID]))&amp;":"&amp;ADDRESS(ROW(),COLUMN(NOTA[ID]))),-1)))</f>
        <v>43</v>
      </c>
      <c r="E202" s="47"/>
      <c r="H202" s="48"/>
      <c r="L202" s="38" t="s">
        <v>331</v>
      </c>
      <c r="M202" s="41">
        <v>2</v>
      </c>
      <c r="N202" s="39"/>
      <c r="Q202" s="43">
        <v>1476000</v>
      </c>
      <c r="R202" s="49"/>
      <c r="S202" s="50">
        <v>0.17</v>
      </c>
      <c r="U202" s="51"/>
      <c r="V202" s="46"/>
      <c r="W202" s="51">
        <f>IF(NOTA[[#This Row],[HARGA/ CTN]]="",NOTA[[#This Row],[JUMLAH_H]],NOTA[[#This Row],[HARGA/ CTN]]*IF(NOTA[[#This Row],[C]]="",0,NOTA[[#This Row],[C]]))</f>
        <v>2952000</v>
      </c>
      <c r="X202" s="51">
        <f>IF(NOTA[[#This Row],[JUMLAH]]="","",NOTA[[#This Row],[JUMLAH]]*NOTA[[#This Row],[DISC 1]])</f>
        <v>501840.00000000006</v>
      </c>
      <c r="Y202" s="51">
        <f>IF(NOTA[[#This Row],[JUMLAH]]="","",(NOTA[[#This Row],[JUMLAH]]-NOTA[[#This Row],[DISC 1-]])*NOTA[[#This Row],[DISC 2]])</f>
        <v>0</v>
      </c>
      <c r="Z202" s="51">
        <f>IF(NOTA[[#This Row],[JUMLAH]]="","",NOTA[[#This Row],[DISC 1-]]+NOTA[[#This Row],[DISC 2-]])</f>
        <v>501840.00000000006</v>
      </c>
      <c r="AA202" s="51">
        <f>IF(NOTA[[#This Row],[JUMLAH]]="","",NOTA[[#This Row],[JUMLAH]]-NOTA[[#This Row],[DISC]])</f>
        <v>2450160</v>
      </c>
      <c r="AB202" s="51"/>
      <c r="AC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5951088</v>
      </c>
      <c r="AD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29055312</v>
      </c>
      <c r="AE202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02" s="51" t="str">
        <f>IF(OR(NOTA[[#This Row],[QTY]]="",NOTA[[#This Row],[HARGA SATUAN]]="",),"",NOTA[[#This Row],[QTY]]*NOTA[[#This Row],[HARGA SATUAN]])</f>
        <v/>
      </c>
      <c r="AG202" s="40">
        <f ca="1">IF(NOTA[ID_H]="","",INDEX(NOTA[TANGGAL],MATCH(,INDIRECT(ADDRESS(ROW(NOTA[TANGGAL]),COLUMN(NOTA[TANGGAL]))&amp;":"&amp;ADDRESS(ROW(),COLUMN(NOTA[TANGGAL]))),-1)))</f>
        <v>45115</v>
      </c>
      <c r="AH202" s="42" t="str">
        <f ca="1">IF(NOTA[[#This Row],[NAMA BARANG]]="","",INDEX(NOTA[SUPPLIER],MATCH(,INDIRECT(ADDRESS(ROW(NOTA[ID]),COLUMN(NOTA[ID]))&amp;":"&amp;ADDRESS(ROW(),COLUMN(NOTA[ID]))),-1)))</f>
        <v>KENKO SINAR INDONESIA</v>
      </c>
      <c r="AI202" s="42" t="str">
        <f ca="1">IF(NOTA[[#This Row],[ID_H]]="","",IF(NOTA[[#This Row],[FAKTUR]]="",INDIRECT(ADDRESS(ROW()-1,COLUMN())),NOTA[[#This Row],[FAKTUR]]))</f>
        <v>ARTO MORO</v>
      </c>
      <c r="AJ202" s="39" t="str">
        <f ca="1">IF(NOTA[[#This Row],[ID]]="","",COUNTIF(NOTA[ID_H],NOTA[[#This Row],[ID_H]]))</f>
        <v/>
      </c>
      <c r="AK202" s="39">
        <f ca="1">IF(NOTA[[#This Row],[TGL.NOTA]]="",IF(NOTA[[#This Row],[SUPPLIER_H]]="","",AK201),MONTH(NOTA[[#This Row],[TGL.NOTA]]))</f>
        <v>7</v>
      </c>
      <c r="AL202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9" t="str">
        <f>IF(NOTA[[#This Row],[CONCAT4]]="","",_xlfn.IFNA(MATCH(NOTA[[#This Row],[CONCAT4]],[2]!RAW[CONCAT_H],0),FALSE))</f>
        <v/>
      </c>
      <c r="AQ202" s="39">
        <f>IF(NOTA[[#This Row],[CONCAT1]]="","",MATCH(NOTA[[#This Row],[CONCAT1]],[3]!db[NB NOTA_C],0))</f>
        <v>228</v>
      </c>
      <c r="AR202" s="39" t="str">
        <f>IF(NOTA[[#This Row],[QTY/ CTN]]="","",TRUE)</f>
        <v/>
      </c>
      <c r="AS202" s="39" t="str">
        <f ca="1">IF(NOTA[[#This Row],[ID_H]]="","",IF(NOTA[[#This Row],[Column3]]=TRUE,NOTA[[#This Row],[QTY/ CTN]],INDEX([3]!db[QTY/ CTN],NOTA[[#This Row],[//DB]])))</f>
        <v>30 GRS</v>
      </c>
      <c r="AT2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02" s="39" t="e">
        <f ca="1">IF(NOTA[[#This Row],[ID_H]]="","",MATCH(NOTA[[#This Row],[NB NOTA_C_QTY]],[4]!db[NB NOTA_C_QTY+F],0))</f>
        <v>#REF!</v>
      </c>
      <c r="AV202" s="55">
        <f ca="1">IF(NOTA[[#This Row],[NB NOTA_C_QTY]]="","",ROW()-2)</f>
        <v>200</v>
      </c>
    </row>
    <row r="203" spans="1:48" ht="20.100000000000001" customHeight="1" x14ac:dyDescent="0.25">
      <c r="A2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 t="str">
        <f ca="1">IF(NOTA[[#This Row],[NAMA BARANG]]="","",INDEX(NOTA[ID],MATCH(,INDIRECT(ADDRESS(ROW(NOTA[ID]),COLUMN(NOTA[ID]))&amp;":"&amp;ADDRESS(ROW(),COLUMN(NOTA[ID]))),-1)))</f>
        <v/>
      </c>
      <c r="E203" s="47"/>
      <c r="H203" s="48"/>
      <c r="N203" s="39"/>
      <c r="Q203" s="43"/>
      <c r="R203" s="49"/>
      <c r="S203" s="50"/>
      <c r="U203" s="51"/>
      <c r="V203" s="46"/>
      <c r="W203" s="51" t="str">
        <f>IF(NOTA[[#This Row],[HARGA/ CTN]]="",NOTA[[#This Row],[JUMLAH_H]],NOTA[[#This Row],[HARGA/ CTN]]*IF(NOTA[[#This Row],[C]]="",0,NOTA[[#This Row],[C]]))</f>
        <v/>
      </c>
      <c r="X203" s="51" t="str">
        <f>IF(NOTA[[#This Row],[JUMLAH]]="","",NOTA[[#This Row],[JUMLAH]]*NOTA[[#This Row],[DISC 1]])</f>
        <v/>
      </c>
      <c r="Y203" s="51" t="str">
        <f>IF(NOTA[[#This Row],[JUMLAH]]="","",(NOTA[[#This Row],[JUMLAH]]-NOTA[[#This Row],[DISC 1-]])*NOTA[[#This Row],[DISC 2]])</f>
        <v/>
      </c>
      <c r="Z203" s="51" t="str">
        <f>IF(NOTA[[#This Row],[JUMLAH]]="","",NOTA[[#This Row],[DISC 1-]]+NOTA[[#This Row],[DISC 2-]])</f>
        <v/>
      </c>
      <c r="AA203" s="51" t="str">
        <f>IF(NOTA[[#This Row],[JUMLAH]]="","",NOTA[[#This Row],[JUMLAH]]-NOTA[[#This Row],[DISC]])</f>
        <v/>
      </c>
      <c r="AB203" s="51"/>
      <c r="AC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1" t="str">
        <f>IF(OR(NOTA[[#This Row],[QTY]]="",NOTA[[#This Row],[HARGA SATUAN]]="",),"",NOTA[[#This Row],[QTY]]*NOTA[[#This Row],[HARGA SATUAN]])</f>
        <v/>
      </c>
      <c r="AG203" s="40" t="str">
        <f ca="1">IF(NOTA[ID_H]="","",INDEX(NOTA[TANGGAL],MATCH(,INDIRECT(ADDRESS(ROW(NOTA[TANGGAL]),COLUMN(NOTA[TANGGAL]))&amp;":"&amp;ADDRESS(ROW(),COLUMN(NOTA[TANGGAL]))),-1)))</f>
        <v/>
      </c>
      <c r="AH203" s="42" t="str">
        <f ca="1">IF(NOTA[[#This Row],[NAMA BARANG]]="","",INDEX(NOTA[SUPPLIER],MATCH(,INDIRECT(ADDRESS(ROW(NOTA[ID]),COLUMN(NOTA[ID]))&amp;":"&amp;ADDRESS(ROW(),COLUMN(NOTA[ID]))),-1)))</f>
        <v/>
      </c>
      <c r="AI203" s="42" t="str">
        <f ca="1">IF(NOTA[[#This Row],[ID_H]]="","",IF(NOTA[[#This Row],[FAKTUR]]="",INDIRECT(ADDRESS(ROW()-1,COLUMN())),NOTA[[#This Row],[FAKTUR]]))</f>
        <v/>
      </c>
      <c r="AJ203" s="39" t="str">
        <f ca="1">IF(NOTA[[#This Row],[ID]]="","",COUNTIF(NOTA[ID_H],NOTA[[#This Row],[ID_H]]))</f>
        <v/>
      </c>
      <c r="AK203" s="39" t="str">
        <f ca="1">IF(NOTA[[#This Row],[TGL.NOTA]]="",IF(NOTA[[#This Row],[SUPPLIER_H]]="","",AK202),MONTH(NOTA[[#This Row],[TGL.NOTA]]))</f>
        <v/>
      </c>
      <c r="AL203" s="39" t="str">
        <f>LOWER(SUBSTITUTE(SUBSTITUTE(SUBSTITUTE(SUBSTITUTE(SUBSTITUTE(SUBSTITUTE(SUBSTITUTE(SUBSTITUTE(SUBSTITUTE(NOTA[NAMA BARANG]," ",),".",""),"-",""),"(",""),")",""),",",""),"/",""),"""",""),"+",""))</f>
        <v/>
      </c>
      <c r="AM2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9" t="str">
        <f>IF(NOTA[[#This Row],[CONCAT4]]="","",_xlfn.IFNA(MATCH(NOTA[[#This Row],[CONCAT4]],[2]!RAW[CONCAT_H],0),FALSE))</f>
        <v/>
      </c>
      <c r="AQ203" s="39" t="str">
        <f>IF(NOTA[[#This Row],[CONCAT1]]="","",MATCH(NOTA[[#This Row],[CONCAT1]],[3]!db[NB NOTA_C],0))</f>
        <v/>
      </c>
      <c r="AR203" s="39" t="str">
        <f>IF(NOTA[[#This Row],[QTY/ CTN]]="","",TRUE)</f>
        <v/>
      </c>
      <c r="AS203" s="39" t="str">
        <f ca="1">IF(NOTA[[#This Row],[ID_H]]="","",IF(NOTA[[#This Row],[Column3]]=TRUE,NOTA[[#This Row],[QTY/ CTN]],INDEX([3]!db[QTY/ CTN],NOTA[[#This Row],[//DB]])))</f>
        <v/>
      </c>
      <c r="AT2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9" t="str">
        <f ca="1">IF(NOTA[[#This Row],[ID_H]]="","",MATCH(NOTA[[#This Row],[NB NOTA_C_QTY]],[4]!db[NB NOTA_C_QTY+F],0))</f>
        <v/>
      </c>
      <c r="AV203" s="55" t="str">
        <f ca="1">IF(NOTA[[#This Row],[NB NOTA_C_QTY]]="","",ROW()-2)</f>
        <v/>
      </c>
    </row>
    <row r="204" spans="1:48" ht="20.100000000000001" customHeight="1" x14ac:dyDescent="0.25">
      <c r="A204" s="42">
        <f ca="1">IF(INDIRECT(ADDRESS(ROW()-1,COLUMN(NOTA[[#Headers],[ID]])))="ID",1,IF(NOTA[[#This Row],[FAKTUR]]="","",COUNT(INDIRECT(ADDRESS(ROW(NOTA[ID]),COLUMN(NOTA[ID]))&amp;":"&amp;ADDRESS(ROW()-1,COLUMN(NOTA[ID]))))+1))</f>
        <v>44</v>
      </c>
      <c r="B2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KEN_0807_366-9</v>
      </c>
      <c r="C204" s="39" t="e">
        <f ca="1">IF(NOTA[[#This Row],[ID_P]]="","",MATCH(NOTA[[#This Row],[ID_P]],[1]!B_MSK[N_ID],0))</f>
        <v>#REF!</v>
      </c>
      <c r="D204" s="39">
        <f ca="1">IF(NOTA[[#This Row],[NAMA BARANG]]="","",INDEX(NOTA[ID],MATCH(,INDIRECT(ADDRESS(ROW(NOTA[ID]),COLUMN(NOTA[ID]))&amp;":"&amp;ADDRESS(ROW(),COLUMN(NOTA[ID]))),-1)))</f>
        <v>44</v>
      </c>
      <c r="E204" s="47"/>
      <c r="F204" s="38" t="s">
        <v>22</v>
      </c>
      <c r="G204" s="38" t="s">
        <v>23</v>
      </c>
      <c r="H204" s="48" t="s">
        <v>332</v>
      </c>
      <c r="I204" s="38" t="s">
        <v>343</v>
      </c>
      <c r="J204" s="40">
        <v>45113</v>
      </c>
      <c r="L204" s="38" t="s">
        <v>333</v>
      </c>
      <c r="M204" s="41">
        <v>1</v>
      </c>
      <c r="N204" s="39"/>
      <c r="Q204" s="43">
        <v>504000</v>
      </c>
      <c r="R204" s="49"/>
      <c r="S204" s="50">
        <v>0.17</v>
      </c>
      <c r="U204" s="51"/>
      <c r="V204" s="46"/>
      <c r="W204" s="51">
        <f>IF(NOTA[[#This Row],[HARGA/ CTN]]="",NOTA[[#This Row],[JUMLAH_H]],NOTA[[#This Row],[HARGA/ CTN]]*IF(NOTA[[#This Row],[C]]="",0,NOTA[[#This Row],[C]]))</f>
        <v>504000</v>
      </c>
      <c r="X204" s="51">
        <f>IF(NOTA[[#This Row],[JUMLAH]]="","",NOTA[[#This Row],[JUMLAH]]*NOTA[[#This Row],[DISC 1]])</f>
        <v>85680</v>
      </c>
      <c r="Y204" s="51">
        <f>IF(NOTA[[#This Row],[JUMLAH]]="","",(NOTA[[#This Row],[JUMLAH]]-NOTA[[#This Row],[DISC 1-]])*NOTA[[#This Row],[DISC 2]])</f>
        <v>0</v>
      </c>
      <c r="Z204" s="51">
        <f>IF(NOTA[[#This Row],[JUMLAH]]="","",NOTA[[#This Row],[DISC 1-]]+NOTA[[#This Row],[DISC 2-]])</f>
        <v>85680</v>
      </c>
      <c r="AA204" s="51">
        <f>IF(NOTA[[#This Row],[JUMLAH]]="","",NOTA[[#This Row],[JUMLAH]]-NOTA[[#This Row],[DISC]])</f>
        <v>418320</v>
      </c>
      <c r="AB204" s="51"/>
      <c r="AC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04" s="51" t="str">
        <f>IF(OR(NOTA[[#This Row],[QTY]]="",NOTA[[#This Row],[HARGA SATUAN]]="",),"",NOTA[[#This Row],[QTY]]*NOTA[[#This Row],[HARGA SATUAN]])</f>
        <v/>
      </c>
      <c r="AG204" s="40">
        <f ca="1">IF(NOTA[ID_H]="","",INDEX(NOTA[TANGGAL],MATCH(,INDIRECT(ADDRESS(ROW(NOTA[TANGGAL]),COLUMN(NOTA[TANGGAL]))&amp;":"&amp;ADDRESS(ROW(),COLUMN(NOTA[TANGGAL]))),-1)))</f>
        <v>45115</v>
      </c>
      <c r="AH204" s="42" t="str">
        <f ca="1">IF(NOTA[[#This Row],[NAMA BARANG]]="","",INDEX(NOTA[SUPPLIER],MATCH(,INDIRECT(ADDRESS(ROW(NOTA[ID]),COLUMN(NOTA[ID]))&amp;":"&amp;ADDRESS(ROW(),COLUMN(NOTA[ID]))),-1)))</f>
        <v>KENKO SINAR INDONESIA</v>
      </c>
      <c r="AI204" s="42" t="str">
        <f ca="1">IF(NOTA[[#This Row],[ID_H]]="","",IF(NOTA[[#This Row],[FAKTUR]]="",INDIRECT(ADDRESS(ROW()-1,COLUMN())),NOTA[[#This Row],[FAKTUR]]))</f>
        <v>ARTO MORO</v>
      </c>
      <c r="AJ204" s="39">
        <f ca="1">IF(NOTA[[#This Row],[ID]]="","",COUNTIF(NOTA[ID_H],NOTA[[#This Row],[ID_H]]))</f>
        <v>9</v>
      </c>
      <c r="AK204" s="39">
        <f>IF(NOTA[[#This Row],[TGL.NOTA]]="",IF(NOTA[[#This Row],[SUPPLIER_H]]="","",AK203),MONTH(NOTA[[#This Row],[TGL.NOTA]]))</f>
        <v>7</v>
      </c>
      <c r="AL204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MORO23070366SA 4281445113kenkoliquidgluelg5050ml</v>
      </c>
      <c r="AP204" s="39" t="e">
        <f>IF(NOTA[[#This Row],[CONCAT4]]="","",_xlfn.IFNA(MATCH(NOTA[[#This Row],[CONCAT4]],[2]!RAW[CONCAT_H],0),FALSE))</f>
        <v>#REF!</v>
      </c>
      <c r="AQ204" s="39">
        <f>IF(NOTA[[#This Row],[CONCAT1]]="","",MATCH(NOTA[[#This Row],[CONCAT1]],[3]!db[NB NOTA_C],0))</f>
        <v>1493</v>
      </c>
      <c r="AR204" s="39" t="str">
        <f>IF(NOTA[[#This Row],[QTY/ CTN]]="","",TRUE)</f>
        <v/>
      </c>
      <c r="AS204" s="39" t="str">
        <f ca="1">IF(NOTA[[#This Row],[ID_H]]="","",IF(NOTA[[#This Row],[Column3]]=TRUE,NOTA[[#This Row],[QTY/ CTN]],INDEX([3]!db[QTY/ CTN],NOTA[[#This Row],[//DB]])))</f>
        <v>20 LSN</v>
      </c>
      <c r="AT2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04" s="39" t="e">
        <f ca="1">IF(NOTA[[#This Row],[ID_H]]="","",MATCH(NOTA[[#This Row],[NB NOTA_C_QTY]],[4]!db[NB NOTA_C_QTY+F],0))</f>
        <v>#REF!</v>
      </c>
      <c r="AV204" s="55">
        <f ca="1">IF(NOTA[[#This Row],[NB NOTA_C_QTY]]="","",ROW()-2)</f>
        <v>202</v>
      </c>
    </row>
    <row r="205" spans="1:48" ht="20.100000000000001" customHeight="1" x14ac:dyDescent="0.25">
      <c r="A2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44</v>
      </c>
      <c r="E205" s="47"/>
      <c r="H205" s="48"/>
      <c r="L205" s="38" t="s">
        <v>334</v>
      </c>
      <c r="M205" s="41">
        <v>2</v>
      </c>
      <c r="N205" s="39"/>
      <c r="Q205" s="43">
        <v>5702400</v>
      </c>
      <c r="R205" s="49"/>
      <c r="S205" s="50">
        <v>0.17</v>
      </c>
      <c r="U205" s="51"/>
      <c r="V205" s="46"/>
      <c r="W205" s="51">
        <f>IF(NOTA[[#This Row],[HARGA/ CTN]]="",NOTA[[#This Row],[JUMLAH_H]],NOTA[[#This Row],[HARGA/ CTN]]*IF(NOTA[[#This Row],[C]]="",0,NOTA[[#This Row],[C]]))</f>
        <v>11404800</v>
      </c>
      <c r="X205" s="51">
        <f>IF(NOTA[[#This Row],[JUMLAH]]="","",NOTA[[#This Row],[JUMLAH]]*NOTA[[#This Row],[DISC 1]])</f>
        <v>1938816.0000000002</v>
      </c>
      <c r="Y205" s="51">
        <f>IF(NOTA[[#This Row],[JUMLAH]]="","",(NOTA[[#This Row],[JUMLAH]]-NOTA[[#This Row],[DISC 1-]])*NOTA[[#This Row],[DISC 2]])</f>
        <v>0</v>
      </c>
      <c r="Z205" s="51">
        <f>IF(NOTA[[#This Row],[JUMLAH]]="","",NOTA[[#This Row],[DISC 1-]]+NOTA[[#This Row],[DISC 2-]])</f>
        <v>1938816.0000000002</v>
      </c>
      <c r="AA205" s="51">
        <f>IF(NOTA[[#This Row],[JUMLAH]]="","",NOTA[[#This Row],[JUMLAH]]-NOTA[[#This Row],[DISC]])</f>
        <v>9465984</v>
      </c>
      <c r="AB205" s="51"/>
      <c r="AC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5" s="51" t="str">
        <f>IF(OR(NOTA[[#This Row],[QTY]]="",NOTA[[#This Row],[HARGA SATUAN]]="",),"",NOTA[[#This Row],[QTY]]*NOTA[[#This Row],[HARGA SATUAN]])</f>
        <v/>
      </c>
      <c r="AG205" s="40">
        <f ca="1">IF(NOTA[ID_H]="","",INDEX(NOTA[TANGGAL],MATCH(,INDIRECT(ADDRESS(ROW(NOTA[TANGGAL]),COLUMN(NOTA[TANGGAL]))&amp;":"&amp;ADDRESS(ROW(),COLUMN(NOTA[TANGGAL]))),-1)))</f>
        <v>45115</v>
      </c>
      <c r="AH205" s="42" t="str">
        <f ca="1">IF(NOTA[[#This Row],[NAMA BARANG]]="","",INDEX(NOTA[SUPPLIER],MATCH(,INDIRECT(ADDRESS(ROW(NOTA[ID]),COLUMN(NOTA[ID]))&amp;":"&amp;ADDRESS(ROW(),COLUMN(NOTA[ID]))),-1)))</f>
        <v>KENKO SINAR INDONESIA</v>
      </c>
      <c r="AI205" s="42" t="str">
        <f ca="1">IF(NOTA[[#This Row],[ID_H]]="","",IF(NOTA[[#This Row],[FAKTUR]]="",INDIRECT(ADDRESS(ROW()-1,COLUMN())),NOTA[[#This Row],[FAKTUR]]))</f>
        <v>ARTO MORO</v>
      </c>
      <c r="AJ205" s="39" t="str">
        <f ca="1">IF(NOTA[[#This Row],[ID]]="","",COUNTIF(NOTA[ID_H],NOTA[[#This Row],[ID_H]]))</f>
        <v/>
      </c>
      <c r="AK205" s="39">
        <f ca="1">IF(NOTA[[#This Row],[TGL.NOTA]]="",IF(NOTA[[#This Row],[SUPPLIER_H]]="","",AK204),MONTH(NOTA[[#This Row],[TGL.NOTA]]))</f>
        <v>7</v>
      </c>
      <c r="AL205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9" t="str">
        <f>IF(NOTA[[#This Row],[CONCAT4]]="","",_xlfn.IFNA(MATCH(NOTA[[#This Row],[CONCAT4]],[2]!RAW[CONCAT_H],0),FALSE))</f>
        <v/>
      </c>
      <c r="AQ205" s="39">
        <f>IF(NOTA[[#This Row],[CONCAT1]]="","",MATCH(NOTA[[#This Row],[CONCAT1]],[3]!db[NB NOTA_C],0))</f>
        <v>661</v>
      </c>
      <c r="AR205" s="39" t="str">
        <f>IF(NOTA[[#This Row],[QTY/ CTN]]="","",TRUE)</f>
        <v/>
      </c>
      <c r="AS205" s="39" t="str">
        <f ca="1">IF(NOTA[[#This Row],[ID_H]]="","",IF(NOTA[[#This Row],[Column3]]=TRUE,NOTA[[#This Row],[QTY/ CTN]],INDEX([3]!db[QTY/ CTN],NOTA[[#This Row],[//DB]])))</f>
        <v>144 LSN</v>
      </c>
      <c r="AT2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205" s="39" t="e">
        <f ca="1">IF(NOTA[[#This Row],[ID_H]]="","",MATCH(NOTA[[#This Row],[NB NOTA_C_QTY]],[4]!db[NB NOTA_C_QTY+F],0))</f>
        <v>#REF!</v>
      </c>
      <c r="AV205" s="55">
        <f ca="1">IF(NOTA[[#This Row],[NB NOTA_C_QTY]]="","",ROW()-2)</f>
        <v>203</v>
      </c>
    </row>
    <row r="206" spans="1:48" ht="20.100000000000001" customHeight="1" x14ac:dyDescent="0.25">
      <c r="A2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44</v>
      </c>
      <c r="E206" s="47"/>
      <c r="H206" s="48"/>
      <c r="L206" s="38" t="s">
        <v>335</v>
      </c>
      <c r="M206" s="41">
        <v>10</v>
      </c>
      <c r="N206" s="39"/>
      <c r="Q206" s="43">
        <v>5616000</v>
      </c>
      <c r="R206" s="49"/>
      <c r="S206" s="50">
        <v>0.17</v>
      </c>
      <c r="U206" s="51"/>
      <c r="V206" s="46"/>
      <c r="W206" s="51">
        <f>IF(NOTA[[#This Row],[HARGA/ CTN]]="",NOTA[[#This Row],[JUMLAH_H]],NOTA[[#This Row],[HARGA/ CTN]]*IF(NOTA[[#This Row],[C]]="",0,NOTA[[#This Row],[C]]))</f>
        <v>56160000</v>
      </c>
      <c r="X206" s="51">
        <f>IF(NOTA[[#This Row],[JUMLAH]]="","",NOTA[[#This Row],[JUMLAH]]*NOTA[[#This Row],[DISC 1]])</f>
        <v>9547200</v>
      </c>
      <c r="Y206" s="51">
        <f>IF(NOTA[[#This Row],[JUMLAH]]="","",(NOTA[[#This Row],[JUMLAH]]-NOTA[[#This Row],[DISC 1-]])*NOTA[[#This Row],[DISC 2]])</f>
        <v>0</v>
      </c>
      <c r="Z206" s="51">
        <f>IF(NOTA[[#This Row],[JUMLAH]]="","",NOTA[[#This Row],[DISC 1-]]+NOTA[[#This Row],[DISC 2-]])</f>
        <v>9547200</v>
      </c>
      <c r="AA206" s="51">
        <f>IF(NOTA[[#This Row],[JUMLAH]]="","",NOTA[[#This Row],[JUMLAH]]-NOTA[[#This Row],[DISC]])</f>
        <v>46612800</v>
      </c>
      <c r="AB206" s="51"/>
      <c r="AC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6" s="51" t="str">
        <f>IF(OR(NOTA[[#This Row],[QTY]]="",NOTA[[#This Row],[HARGA SATUAN]]="",),"",NOTA[[#This Row],[QTY]]*NOTA[[#This Row],[HARGA SATUAN]])</f>
        <v/>
      </c>
      <c r="AG206" s="40">
        <f ca="1">IF(NOTA[ID_H]="","",INDEX(NOTA[TANGGAL],MATCH(,INDIRECT(ADDRESS(ROW(NOTA[TANGGAL]),COLUMN(NOTA[TANGGAL]))&amp;":"&amp;ADDRESS(ROW(),COLUMN(NOTA[TANGGAL]))),-1)))</f>
        <v>45115</v>
      </c>
      <c r="AH206" s="42" t="str">
        <f ca="1">IF(NOTA[[#This Row],[NAMA BARANG]]="","",INDEX(NOTA[SUPPLIER],MATCH(,INDIRECT(ADDRESS(ROW(NOTA[ID]),COLUMN(NOTA[ID]))&amp;":"&amp;ADDRESS(ROW(),COLUMN(NOTA[ID]))),-1)))</f>
        <v>KENKO SINAR INDONESIA</v>
      </c>
      <c r="AI206" s="42" t="str">
        <f ca="1">IF(NOTA[[#This Row],[ID_H]]="","",IF(NOTA[[#This Row],[FAKTUR]]="",INDIRECT(ADDRESS(ROW()-1,COLUMN())),NOTA[[#This Row],[FAKTUR]]))</f>
        <v>ARTO MORO</v>
      </c>
      <c r="AJ206" s="39" t="str">
        <f ca="1">IF(NOTA[[#This Row],[ID]]="","",COUNTIF(NOTA[ID_H],NOTA[[#This Row],[ID_H]]))</f>
        <v/>
      </c>
      <c r="AK206" s="39">
        <f ca="1">IF(NOTA[[#This Row],[TGL.NOTA]]="",IF(NOTA[[#This Row],[SUPPLIER_H]]="","",AK205),MONTH(NOTA[[#This Row],[TGL.NOTA]]))</f>
        <v>7</v>
      </c>
      <c r="AL206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2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2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9" t="str">
        <f>IF(NOTA[[#This Row],[CONCAT4]]="","",_xlfn.IFNA(MATCH(NOTA[[#This Row],[CONCAT4]],[2]!RAW[CONCAT_H],0),FALSE))</f>
        <v/>
      </c>
      <c r="AQ206" s="39">
        <f>IF(NOTA[[#This Row],[CONCAT1]]="","",MATCH(NOTA[[#This Row],[CONCAT1]],[3]!db[NB NOTA_C],0))</f>
        <v>649</v>
      </c>
      <c r="AR206" s="39" t="str">
        <f>IF(NOTA[[#This Row],[QTY/ CTN]]="","",TRUE)</f>
        <v/>
      </c>
      <c r="AS206" s="39" t="str">
        <f ca="1">IF(NOTA[[#This Row],[ID_H]]="","",IF(NOTA[[#This Row],[Column3]]=TRUE,NOTA[[#This Row],[QTY/ CTN]],INDEX([3]!db[QTY/ CTN],NOTA[[#This Row],[//DB]])))</f>
        <v>144 LSN</v>
      </c>
      <c r="AT2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U206" s="39" t="e">
        <f ca="1">IF(NOTA[[#This Row],[ID_H]]="","",MATCH(NOTA[[#This Row],[NB NOTA_C_QTY]],[4]!db[NB NOTA_C_QTY+F],0))</f>
        <v>#REF!</v>
      </c>
      <c r="AV206" s="55">
        <f ca="1">IF(NOTA[[#This Row],[NB NOTA_C_QTY]]="","",ROW()-2)</f>
        <v>204</v>
      </c>
    </row>
    <row r="207" spans="1:48" ht="20.100000000000001" customHeight="1" x14ac:dyDescent="0.25">
      <c r="A2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44</v>
      </c>
      <c r="E207" s="47"/>
      <c r="H207" s="48"/>
      <c r="L207" s="38" t="s">
        <v>336</v>
      </c>
      <c r="M207" s="41">
        <v>3</v>
      </c>
      <c r="N207" s="39"/>
      <c r="Q207" s="43">
        <v>5616000</v>
      </c>
      <c r="R207" s="49"/>
      <c r="S207" s="50">
        <v>0.17</v>
      </c>
      <c r="U207" s="51"/>
      <c r="V207" s="46"/>
      <c r="W207" s="51">
        <f>IF(NOTA[[#This Row],[HARGA/ CTN]]="",NOTA[[#This Row],[JUMLAH_H]],NOTA[[#This Row],[HARGA/ CTN]]*IF(NOTA[[#This Row],[C]]="",0,NOTA[[#This Row],[C]]))</f>
        <v>16848000</v>
      </c>
      <c r="X207" s="51">
        <f>IF(NOTA[[#This Row],[JUMLAH]]="","",NOTA[[#This Row],[JUMLAH]]*NOTA[[#This Row],[DISC 1]])</f>
        <v>2864160</v>
      </c>
      <c r="Y207" s="51">
        <f>IF(NOTA[[#This Row],[JUMLAH]]="","",(NOTA[[#This Row],[JUMLAH]]-NOTA[[#This Row],[DISC 1-]])*NOTA[[#This Row],[DISC 2]])</f>
        <v>0</v>
      </c>
      <c r="Z207" s="51">
        <f>IF(NOTA[[#This Row],[JUMLAH]]="","",NOTA[[#This Row],[DISC 1-]]+NOTA[[#This Row],[DISC 2-]])</f>
        <v>2864160</v>
      </c>
      <c r="AA207" s="51">
        <f>IF(NOTA[[#This Row],[JUMLAH]]="","",NOTA[[#This Row],[JUMLAH]]-NOTA[[#This Row],[DISC]])</f>
        <v>13983840</v>
      </c>
      <c r="AB207" s="51"/>
      <c r="AC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7" s="51" t="str">
        <f>IF(OR(NOTA[[#This Row],[QTY]]="",NOTA[[#This Row],[HARGA SATUAN]]="",),"",NOTA[[#This Row],[QTY]]*NOTA[[#This Row],[HARGA SATUAN]])</f>
        <v/>
      </c>
      <c r="AG207" s="40">
        <f ca="1">IF(NOTA[ID_H]="","",INDEX(NOTA[TANGGAL],MATCH(,INDIRECT(ADDRESS(ROW(NOTA[TANGGAL]),COLUMN(NOTA[TANGGAL]))&amp;":"&amp;ADDRESS(ROW(),COLUMN(NOTA[TANGGAL]))),-1)))</f>
        <v>45115</v>
      </c>
      <c r="AH207" s="42" t="str">
        <f ca="1">IF(NOTA[[#This Row],[NAMA BARANG]]="","",INDEX(NOTA[SUPPLIER],MATCH(,INDIRECT(ADDRESS(ROW(NOTA[ID]),COLUMN(NOTA[ID]))&amp;":"&amp;ADDRESS(ROW(),COLUMN(NOTA[ID]))),-1)))</f>
        <v>KENKO SINAR INDONESIA</v>
      </c>
      <c r="AI207" s="42" t="str">
        <f ca="1">IF(NOTA[[#This Row],[ID_H]]="","",IF(NOTA[[#This Row],[FAKTUR]]="",INDIRECT(ADDRESS(ROW()-1,COLUMN())),NOTA[[#This Row],[FAKTUR]]))</f>
        <v>ARTO MORO</v>
      </c>
      <c r="AJ207" s="39" t="str">
        <f ca="1">IF(NOTA[[#This Row],[ID]]="","",COUNTIF(NOTA[ID_H],NOTA[[#This Row],[ID_H]]))</f>
        <v/>
      </c>
      <c r="AK207" s="39">
        <f ca="1">IF(NOTA[[#This Row],[TGL.NOTA]]="",IF(NOTA[[#This Row],[SUPPLIER_H]]="","",AK206),MONTH(NOTA[[#This Row],[TGL.NOTA]]))</f>
        <v>7</v>
      </c>
      <c r="AL207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2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2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2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9" t="str">
        <f>IF(NOTA[[#This Row],[CONCAT4]]="","",_xlfn.IFNA(MATCH(NOTA[[#This Row],[CONCAT4]],[2]!RAW[CONCAT_H],0),FALSE))</f>
        <v/>
      </c>
      <c r="AQ207" s="39">
        <f>IF(NOTA[[#This Row],[CONCAT1]]="","",MATCH(NOTA[[#This Row],[CONCAT1]],[3]!db[NB NOTA_C],0))</f>
        <v>648</v>
      </c>
      <c r="AR207" s="39" t="str">
        <f>IF(NOTA[[#This Row],[QTY/ CTN]]="","",TRUE)</f>
        <v/>
      </c>
      <c r="AS207" s="39" t="str">
        <f ca="1">IF(NOTA[[#This Row],[ID_H]]="","",IF(NOTA[[#This Row],[Column3]]=TRUE,NOTA[[#This Row],[QTY/ CTN]],INDEX([3]!db[QTY/ CTN],NOTA[[#This Row],[//DB]])))</f>
        <v>144 LSN</v>
      </c>
      <c r="AT2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207" s="39" t="e">
        <f ca="1">IF(NOTA[[#This Row],[ID_H]]="","",MATCH(NOTA[[#This Row],[NB NOTA_C_QTY]],[4]!db[NB NOTA_C_QTY+F],0))</f>
        <v>#REF!</v>
      </c>
      <c r="AV207" s="55">
        <f ca="1">IF(NOTA[[#This Row],[NB NOTA_C_QTY]]="","",ROW()-2)</f>
        <v>205</v>
      </c>
    </row>
    <row r="208" spans="1:48" ht="20.100000000000001" customHeight="1" x14ac:dyDescent="0.25">
      <c r="A2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44</v>
      </c>
      <c r="E208" s="47"/>
      <c r="H208" s="48"/>
      <c r="L208" s="38" t="s">
        <v>341</v>
      </c>
      <c r="M208" s="41">
        <v>4</v>
      </c>
      <c r="N208" s="39"/>
      <c r="Q208" s="43">
        <v>3110400</v>
      </c>
      <c r="R208" s="49"/>
      <c r="S208" s="50">
        <v>0.17</v>
      </c>
      <c r="U208" s="51"/>
      <c r="V208" s="46"/>
      <c r="W208" s="51">
        <f>IF(NOTA[[#This Row],[HARGA/ CTN]]="",NOTA[[#This Row],[JUMLAH_H]],NOTA[[#This Row],[HARGA/ CTN]]*IF(NOTA[[#This Row],[C]]="",0,NOTA[[#This Row],[C]]))</f>
        <v>12441600</v>
      </c>
      <c r="X208" s="51">
        <f>IF(NOTA[[#This Row],[JUMLAH]]="","",NOTA[[#This Row],[JUMLAH]]*NOTA[[#This Row],[DISC 1]])</f>
        <v>2115072</v>
      </c>
      <c r="Y208" s="51">
        <f>IF(NOTA[[#This Row],[JUMLAH]]="","",(NOTA[[#This Row],[JUMLAH]]-NOTA[[#This Row],[DISC 1-]])*NOTA[[#This Row],[DISC 2]])</f>
        <v>0</v>
      </c>
      <c r="Z208" s="51">
        <f>IF(NOTA[[#This Row],[JUMLAH]]="","",NOTA[[#This Row],[DISC 1-]]+NOTA[[#This Row],[DISC 2-]])</f>
        <v>2115072</v>
      </c>
      <c r="AA208" s="51">
        <f>IF(NOTA[[#This Row],[JUMLAH]]="","",NOTA[[#This Row],[JUMLAH]]-NOTA[[#This Row],[DISC]])</f>
        <v>10326528</v>
      </c>
      <c r="AB208" s="51"/>
      <c r="AC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08" s="51" t="str">
        <f>IF(OR(NOTA[[#This Row],[QTY]]="",NOTA[[#This Row],[HARGA SATUAN]]="",),"",NOTA[[#This Row],[QTY]]*NOTA[[#This Row],[HARGA SATUAN]])</f>
        <v/>
      </c>
      <c r="AG208" s="40">
        <f ca="1">IF(NOTA[ID_H]="","",INDEX(NOTA[TANGGAL],MATCH(,INDIRECT(ADDRESS(ROW(NOTA[TANGGAL]),COLUMN(NOTA[TANGGAL]))&amp;":"&amp;ADDRESS(ROW(),COLUMN(NOTA[TANGGAL]))),-1)))</f>
        <v>45115</v>
      </c>
      <c r="AH208" s="42" t="str">
        <f ca="1">IF(NOTA[[#This Row],[NAMA BARANG]]="","",INDEX(NOTA[SUPPLIER],MATCH(,INDIRECT(ADDRESS(ROW(NOTA[ID]),COLUMN(NOTA[ID]))&amp;":"&amp;ADDRESS(ROW(),COLUMN(NOTA[ID]))),-1)))</f>
        <v>KENKO SINAR INDONESIA</v>
      </c>
      <c r="AI208" s="42" t="str">
        <f ca="1">IF(NOTA[[#This Row],[ID_H]]="","",IF(NOTA[[#This Row],[FAKTUR]]="",INDIRECT(ADDRESS(ROW()-1,COLUMN())),NOTA[[#This Row],[FAKTUR]]))</f>
        <v>ARTO MORO</v>
      </c>
      <c r="AJ208" s="39" t="str">
        <f ca="1">IF(NOTA[[#This Row],[ID]]="","",COUNTIF(NOTA[ID_H],NOTA[[#This Row],[ID_H]]))</f>
        <v/>
      </c>
      <c r="AK208" s="39">
        <f ca="1">IF(NOTA[[#This Row],[TGL.NOTA]]="",IF(NOTA[[#This Row],[SUPPLIER_H]]="","",AK207),MONTH(NOTA[[#This Row],[TGL.NOTA]]))</f>
        <v>7</v>
      </c>
      <c r="AL208" s="39" t="str">
        <f>LOWER(SUBSTITUTE(SUBSTITUTE(SUBSTITUTE(SUBSTITUTE(SUBSTITUTE(SUBSTITUTE(SUBSTITUTE(SUBSTITUTE(SUBSTITUTE(NOTA[NAMA BARANG]," ",),".",""),"-",""),"(",""),")",""),",",""),"/",""),"""",""),"+",""))</f>
        <v>kenkogelpenke303tgeltriangularblue</v>
      </c>
      <c r="AM2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N2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O2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9" t="str">
        <f>IF(NOTA[[#This Row],[CONCAT4]]="","",_xlfn.IFNA(MATCH(NOTA[[#This Row],[CONCAT4]],[2]!RAW[CONCAT_H],0),FALSE))</f>
        <v/>
      </c>
      <c r="AQ208" s="39">
        <f>IF(NOTA[[#This Row],[CONCAT1]]="","",MATCH(NOTA[[#This Row],[CONCAT1]],[3]!db[NB NOTA_C],0))</f>
        <v>669</v>
      </c>
      <c r="AR208" s="39" t="str">
        <f>IF(NOTA[[#This Row],[QTY/ CTN]]="","",TRUE)</f>
        <v/>
      </c>
      <c r="AS208" s="39" t="str">
        <f ca="1">IF(NOTA[[#This Row],[ID_H]]="","",IF(NOTA[[#This Row],[Column3]]=TRUE,NOTA[[#This Row],[QTY/ CTN]],INDEX([3]!db[QTY/ CTN],NOTA[[#This Row],[//DB]])))</f>
        <v>144 LSN</v>
      </c>
      <c r="AT2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kenkogelpenke303tgeltriangularblue144lsnartomoro</v>
      </c>
      <c r="AU208" s="39" t="e">
        <f ca="1">IF(NOTA[[#This Row],[ID_H]]="","",MATCH(NOTA[[#This Row],[NB NOTA_C_QTY]],[4]!db[NB NOTA_C_QTY+F],0))</f>
        <v>#REF!</v>
      </c>
      <c r="AV208" s="55">
        <f ca="1">IF(NOTA[[#This Row],[NB NOTA_C_QTY]]="","",ROW()-2)</f>
        <v>206</v>
      </c>
    </row>
    <row r="209" spans="1:48" ht="20.100000000000001" customHeight="1" x14ac:dyDescent="0.25">
      <c r="A2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44</v>
      </c>
      <c r="E209" s="47"/>
      <c r="H209" s="48"/>
      <c r="L209" s="38" t="s">
        <v>337</v>
      </c>
      <c r="M209" s="41">
        <v>2</v>
      </c>
      <c r="N209" s="39"/>
      <c r="Q209" s="43">
        <v>2764800</v>
      </c>
      <c r="R209" s="49"/>
      <c r="S209" s="50">
        <v>0.17</v>
      </c>
      <c r="U209" s="51"/>
      <c r="V209" s="46"/>
      <c r="W209" s="51">
        <f>IF(NOTA[[#This Row],[HARGA/ CTN]]="",NOTA[[#This Row],[JUMLAH_H]],NOTA[[#This Row],[HARGA/ CTN]]*IF(NOTA[[#This Row],[C]]="",0,NOTA[[#This Row],[C]]))</f>
        <v>5529600</v>
      </c>
      <c r="X209" s="51">
        <f>IF(NOTA[[#This Row],[JUMLAH]]="","",NOTA[[#This Row],[JUMLAH]]*NOTA[[#This Row],[DISC 1]])</f>
        <v>940032.00000000012</v>
      </c>
      <c r="Y209" s="51">
        <f>IF(NOTA[[#This Row],[JUMLAH]]="","",(NOTA[[#This Row],[JUMLAH]]-NOTA[[#This Row],[DISC 1-]])*NOTA[[#This Row],[DISC 2]])</f>
        <v>0</v>
      </c>
      <c r="Z209" s="51">
        <f>IF(NOTA[[#This Row],[JUMLAH]]="","",NOTA[[#This Row],[DISC 1-]]+NOTA[[#This Row],[DISC 2-]])</f>
        <v>940032.00000000012</v>
      </c>
      <c r="AA209" s="51">
        <f>IF(NOTA[[#This Row],[JUMLAH]]="","",NOTA[[#This Row],[JUMLAH]]-NOTA[[#This Row],[DISC]])</f>
        <v>4589568</v>
      </c>
      <c r="AB209" s="51"/>
      <c r="AC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09" s="51" t="str">
        <f>IF(OR(NOTA[[#This Row],[QTY]]="",NOTA[[#This Row],[HARGA SATUAN]]="",),"",NOTA[[#This Row],[QTY]]*NOTA[[#This Row],[HARGA SATUAN]])</f>
        <v/>
      </c>
      <c r="AG209" s="40">
        <f ca="1">IF(NOTA[ID_H]="","",INDEX(NOTA[TANGGAL],MATCH(,INDIRECT(ADDRESS(ROW(NOTA[TANGGAL]),COLUMN(NOTA[TANGGAL]))&amp;":"&amp;ADDRESS(ROW(),COLUMN(NOTA[TANGGAL]))),-1)))</f>
        <v>45115</v>
      </c>
      <c r="AH209" s="42" t="str">
        <f ca="1">IF(NOTA[[#This Row],[NAMA BARANG]]="","",INDEX(NOTA[SUPPLIER],MATCH(,INDIRECT(ADDRESS(ROW(NOTA[ID]),COLUMN(NOTA[ID]))&amp;":"&amp;ADDRESS(ROW(),COLUMN(NOTA[ID]))),-1)))</f>
        <v>KENKO SINAR INDONESIA</v>
      </c>
      <c r="AI209" s="42" t="str">
        <f ca="1">IF(NOTA[[#This Row],[ID_H]]="","",IF(NOTA[[#This Row],[FAKTUR]]="",INDIRECT(ADDRESS(ROW()-1,COLUMN())),NOTA[[#This Row],[FAKTUR]]))</f>
        <v>ARTO MORO</v>
      </c>
      <c r="AJ209" s="39" t="str">
        <f ca="1">IF(NOTA[[#This Row],[ID]]="","",COUNTIF(NOTA[ID_H],NOTA[[#This Row],[ID_H]]))</f>
        <v/>
      </c>
      <c r="AK209" s="39">
        <f ca="1">IF(NOTA[[#This Row],[TGL.NOTA]]="",IF(NOTA[[#This Row],[SUPPLIER_H]]="","",AK208),MONTH(NOTA[[#This Row],[TGL.NOTA]]))</f>
        <v>7</v>
      </c>
      <c r="AL209" s="39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9" t="str">
        <f>IF(NOTA[[#This Row],[CONCAT4]]="","",_xlfn.IFNA(MATCH(NOTA[[#This Row],[CONCAT4]],[2]!RAW[CONCAT_H],0),FALSE))</f>
        <v/>
      </c>
      <c r="AQ209" s="39">
        <f>IF(NOTA[[#This Row],[CONCAT1]]="","",MATCH(NOTA[[#This Row],[CONCAT1]],[3]!db[NB NOTA_C],0))</f>
        <v>665</v>
      </c>
      <c r="AR209" s="39" t="str">
        <f>IF(NOTA[[#This Row],[QTY/ CTN]]="","",TRUE)</f>
        <v/>
      </c>
      <c r="AS209" s="39" t="str">
        <f ca="1">IF(NOTA[[#This Row],[ID_H]]="","",IF(NOTA[[#This Row],[Column3]]=TRUE,NOTA[[#This Row],[QTY/ CTN]],INDEX([3]!db[QTY/ CTN],NOTA[[#This Row],[//DB]])))</f>
        <v>144 LSN</v>
      </c>
      <c r="AT2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U209" s="39" t="e">
        <f ca="1">IF(NOTA[[#This Row],[ID_H]]="","",MATCH(NOTA[[#This Row],[NB NOTA_C_QTY]],[4]!db[NB NOTA_C_QTY+F],0))</f>
        <v>#REF!</v>
      </c>
      <c r="AV209" s="55">
        <f ca="1">IF(NOTA[[#This Row],[NB NOTA_C_QTY]]="","",ROW()-2)</f>
        <v>207</v>
      </c>
    </row>
    <row r="210" spans="1:48" ht="20.100000000000001" customHeight="1" x14ac:dyDescent="0.25">
      <c r="A2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44</v>
      </c>
      <c r="E210" s="47"/>
      <c r="H210" s="48"/>
      <c r="L210" s="38" t="s">
        <v>338</v>
      </c>
      <c r="M210" s="41">
        <v>1</v>
      </c>
      <c r="N210" s="39"/>
      <c r="Q210" s="43">
        <v>800000</v>
      </c>
      <c r="R210" s="49"/>
      <c r="S210" s="50">
        <v>0.17</v>
      </c>
      <c r="U210" s="51"/>
      <c r="V210" s="46"/>
      <c r="W210" s="51">
        <f>IF(NOTA[[#This Row],[HARGA/ CTN]]="",NOTA[[#This Row],[JUMLAH_H]],NOTA[[#This Row],[HARGA/ CTN]]*IF(NOTA[[#This Row],[C]]="",0,NOTA[[#This Row],[C]]))</f>
        <v>800000</v>
      </c>
      <c r="X210" s="51">
        <f>IF(NOTA[[#This Row],[JUMLAH]]="","",NOTA[[#This Row],[JUMLAH]]*NOTA[[#This Row],[DISC 1]])</f>
        <v>136000</v>
      </c>
      <c r="Y210" s="51">
        <f>IF(NOTA[[#This Row],[JUMLAH]]="","",(NOTA[[#This Row],[JUMLAH]]-NOTA[[#This Row],[DISC 1-]])*NOTA[[#This Row],[DISC 2]])</f>
        <v>0</v>
      </c>
      <c r="Z210" s="51">
        <f>IF(NOTA[[#This Row],[JUMLAH]]="","",NOTA[[#This Row],[DISC 1-]]+NOTA[[#This Row],[DISC 2-]])</f>
        <v>136000</v>
      </c>
      <c r="AA210" s="51">
        <f>IF(NOTA[[#This Row],[JUMLAH]]="","",NOTA[[#This Row],[JUMLAH]]-NOTA[[#This Row],[DISC]])</f>
        <v>664000</v>
      </c>
      <c r="AB210" s="51"/>
      <c r="AC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10" s="51" t="str">
        <f>IF(OR(NOTA[[#This Row],[QTY]]="",NOTA[[#This Row],[HARGA SATUAN]]="",),"",NOTA[[#This Row],[QTY]]*NOTA[[#This Row],[HARGA SATUAN]])</f>
        <v/>
      </c>
      <c r="AG210" s="40">
        <f ca="1">IF(NOTA[ID_H]="","",INDEX(NOTA[TANGGAL],MATCH(,INDIRECT(ADDRESS(ROW(NOTA[TANGGAL]),COLUMN(NOTA[TANGGAL]))&amp;":"&amp;ADDRESS(ROW(),COLUMN(NOTA[TANGGAL]))),-1)))</f>
        <v>45115</v>
      </c>
      <c r="AH210" s="42" t="str">
        <f ca="1">IF(NOTA[[#This Row],[NAMA BARANG]]="","",INDEX(NOTA[SUPPLIER],MATCH(,INDIRECT(ADDRESS(ROW(NOTA[ID]),COLUMN(NOTA[ID]))&amp;":"&amp;ADDRESS(ROW(),COLUMN(NOTA[ID]))),-1)))</f>
        <v>KENKO SINAR INDONESIA</v>
      </c>
      <c r="AI210" s="42" t="str">
        <f ca="1">IF(NOTA[[#This Row],[ID_H]]="","",IF(NOTA[[#This Row],[FAKTUR]]="",INDIRECT(ADDRESS(ROW()-1,COLUMN())),NOTA[[#This Row],[FAKTUR]]))</f>
        <v>ARTO MORO</v>
      </c>
      <c r="AJ210" s="39" t="str">
        <f ca="1">IF(NOTA[[#This Row],[ID]]="","",COUNTIF(NOTA[ID_H],NOTA[[#This Row],[ID_H]]))</f>
        <v/>
      </c>
      <c r="AK210" s="39">
        <f ca="1">IF(NOTA[[#This Row],[TGL.NOTA]]="",IF(NOTA[[#This Row],[SUPPLIER_H]]="","",AK209),MONTH(NOTA[[#This Row],[TGL.NOTA]]))</f>
        <v>7</v>
      </c>
      <c r="AL210" s="39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9" t="str">
        <f>IF(NOTA[[#This Row],[CONCAT4]]="","",_xlfn.IFNA(MATCH(NOTA[[#This Row],[CONCAT4]],[2]!RAW[CONCAT_H],0),FALSE))</f>
        <v/>
      </c>
      <c r="AQ210" s="39">
        <f>IF(NOTA[[#This Row],[CONCAT1]]="","",MATCH(NOTA[[#This Row],[CONCAT1]],[3]!db[NB NOTA_C],0))</f>
        <v>895</v>
      </c>
      <c r="AR210" s="39" t="str">
        <f>IF(NOTA[[#This Row],[QTY/ CTN]]="","",TRUE)</f>
        <v/>
      </c>
      <c r="AS210" s="39" t="str">
        <f ca="1">IF(NOTA[[#This Row],[ID_H]]="","",IF(NOTA[[#This Row],[Column3]]=TRUE,NOTA[[#This Row],[QTY/ CTN]],INDEX([3]!db[QTY/ CTN],NOTA[[#This Row],[//DB]])))</f>
        <v>500 BOX</v>
      </c>
      <c r="AT2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210" s="39" t="e">
        <f ca="1">IF(NOTA[[#This Row],[ID_H]]="","",MATCH(NOTA[[#This Row],[NB NOTA_C_QTY]],[4]!db[NB NOTA_C_QTY+F],0))</f>
        <v>#REF!</v>
      </c>
      <c r="AV210" s="55">
        <f ca="1">IF(NOTA[[#This Row],[NB NOTA_C_QTY]]="","",ROW()-2)</f>
        <v>208</v>
      </c>
    </row>
    <row r="211" spans="1:48" ht="20.100000000000001" customHeight="1" x14ac:dyDescent="0.25">
      <c r="A2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44</v>
      </c>
      <c r="E211" s="47"/>
      <c r="H211" s="48"/>
      <c r="L211" s="38" t="s">
        <v>339</v>
      </c>
      <c r="M211" s="41">
        <v>1</v>
      </c>
      <c r="N211" s="39"/>
      <c r="Q211" s="43">
        <v>860000</v>
      </c>
      <c r="R211" s="49"/>
      <c r="S211" s="50">
        <v>0.17</v>
      </c>
      <c r="U211" s="51"/>
      <c r="V211" s="46"/>
      <c r="W211" s="51">
        <f>IF(NOTA[[#This Row],[HARGA/ CTN]]="",NOTA[[#This Row],[JUMLAH_H]],NOTA[[#This Row],[HARGA/ CTN]]*IF(NOTA[[#This Row],[C]]="",0,NOTA[[#This Row],[C]]))</f>
        <v>860000</v>
      </c>
      <c r="X211" s="51">
        <f>IF(NOTA[[#This Row],[JUMLAH]]="","",NOTA[[#This Row],[JUMLAH]]*NOTA[[#This Row],[DISC 1]])</f>
        <v>146200</v>
      </c>
      <c r="Y211" s="51">
        <f>IF(NOTA[[#This Row],[JUMLAH]]="","",(NOTA[[#This Row],[JUMLAH]]-NOTA[[#This Row],[DISC 1-]])*NOTA[[#This Row],[DISC 2]])</f>
        <v>0</v>
      </c>
      <c r="Z211" s="51">
        <f>IF(NOTA[[#This Row],[JUMLAH]]="","",NOTA[[#This Row],[DISC 1-]]+NOTA[[#This Row],[DISC 2-]])</f>
        <v>146200</v>
      </c>
      <c r="AA211" s="51">
        <f>IF(NOTA[[#This Row],[JUMLAH]]="","",NOTA[[#This Row],[JUMLAH]]-NOTA[[#This Row],[DISC]])</f>
        <v>713800</v>
      </c>
      <c r="AB211" s="51"/>
      <c r="AC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11" s="51" t="str">
        <f>IF(OR(NOTA[[#This Row],[QTY]]="",NOTA[[#This Row],[HARGA SATUAN]]="",),"",NOTA[[#This Row],[QTY]]*NOTA[[#This Row],[HARGA SATUAN]])</f>
        <v/>
      </c>
      <c r="AG211" s="40">
        <f ca="1">IF(NOTA[ID_H]="","",INDEX(NOTA[TANGGAL],MATCH(,INDIRECT(ADDRESS(ROW(NOTA[TANGGAL]),COLUMN(NOTA[TANGGAL]))&amp;":"&amp;ADDRESS(ROW(),COLUMN(NOTA[TANGGAL]))),-1)))</f>
        <v>45115</v>
      </c>
      <c r="AH211" s="42" t="str">
        <f ca="1">IF(NOTA[[#This Row],[NAMA BARANG]]="","",INDEX(NOTA[SUPPLIER],MATCH(,INDIRECT(ADDRESS(ROW(NOTA[ID]),COLUMN(NOTA[ID]))&amp;":"&amp;ADDRESS(ROW(),COLUMN(NOTA[ID]))),-1)))</f>
        <v>KENKO SINAR INDONESIA</v>
      </c>
      <c r="AI211" s="42" t="str">
        <f ca="1">IF(NOTA[[#This Row],[ID_H]]="","",IF(NOTA[[#This Row],[FAKTUR]]="",INDIRECT(ADDRESS(ROW()-1,COLUMN())),NOTA[[#This Row],[FAKTUR]]))</f>
        <v>ARTO MORO</v>
      </c>
      <c r="AJ211" s="39" t="str">
        <f ca="1">IF(NOTA[[#This Row],[ID]]="","",COUNTIF(NOTA[ID_H],NOTA[[#This Row],[ID_H]]))</f>
        <v/>
      </c>
      <c r="AK211" s="39">
        <f ca="1">IF(NOTA[[#This Row],[TGL.NOTA]]="",IF(NOTA[[#This Row],[SUPPLIER_H]]="","",AK210),MONTH(NOTA[[#This Row],[TGL.NOTA]]))</f>
        <v>7</v>
      </c>
      <c r="AL211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9" t="str">
        <f>IF(NOTA[[#This Row],[CONCAT4]]="","",_xlfn.IFNA(MATCH(NOTA[[#This Row],[CONCAT4]],[2]!RAW[CONCAT_H],0),FALSE))</f>
        <v/>
      </c>
      <c r="AQ211" s="39">
        <f>IF(NOTA[[#This Row],[CONCAT1]]="","",MATCH(NOTA[[#This Row],[CONCAT1]],[3]!db[NB NOTA_C],0))</f>
        <v>896</v>
      </c>
      <c r="AR211" s="39" t="str">
        <f>IF(NOTA[[#This Row],[QTY/ CTN]]="","",TRUE)</f>
        <v/>
      </c>
      <c r="AS211" s="39" t="str">
        <f ca="1">IF(NOTA[[#This Row],[ID_H]]="","",IF(NOTA[[#This Row],[Column3]]=TRUE,NOTA[[#This Row],[QTY/ CTN]],INDEX([3]!db[QTY/ CTN],NOTA[[#This Row],[//DB]])))</f>
        <v>200 BOX</v>
      </c>
      <c r="AT2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211" s="39" t="e">
        <f ca="1">IF(NOTA[[#This Row],[ID_H]]="","",MATCH(NOTA[[#This Row],[NB NOTA_C_QTY]],[4]!db[NB NOTA_C_QTY+F],0))</f>
        <v>#REF!</v>
      </c>
      <c r="AV211" s="55">
        <f ca="1">IF(NOTA[[#This Row],[NB NOTA_C_QTY]]="","",ROW()-2)</f>
        <v>209</v>
      </c>
    </row>
    <row r="212" spans="1:48" ht="20.100000000000001" customHeight="1" x14ac:dyDescent="0.25">
      <c r="A2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>
        <f ca="1">IF(NOTA[[#This Row],[NAMA BARANG]]="","",INDEX(NOTA[ID],MATCH(,INDIRECT(ADDRESS(ROW(NOTA[ID]),COLUMN(NOTA[ID]))&amp;":"&amp;ADDRESS(ROW(),COLUMN(NOTA[ID]))),-1)))</f>
        <v>44</v>
      </c>
      <c r="E212" s="47"/>
      <c r="H212" s="48"/>
      <c r="L212" s="38" t="s">
        <v>340</v>
      </c>
      <c r="M212" s="41">
        <v>1</v>
      </c>
      <c r="N212" s="39"/>
      <c r="Q212" s="43">
        <v>1560000</v>
      </c>
      <c r="R212" s="49"/>
      <c r="S212" s="50">
        <v>0.17</v>
      </c>
      <c r="U212" s="51"/>
      <c r="V212" s="46"/>
      <c r="W212" s="51">
        <f>IF(NOTA[[#This Row],[HARGA/ CTN]]="",NOTA[[#This Row],[JUMLAH_H]],NOTA[[#This Row],[HARGA/ CTN]]*IF(NOTA[[#This Row],[C]]="",0,NOTA[[#This Row],[C]]))</f>
        <v>1560000</v>
      </c>
      <c r="X212" s="51">
        <f>IF(NOTA[[#This Row],[JUMLAH]]="","",NOTA[[#This Row],[JUMLAH]]*NOTA[[#This Row],[DISC 1]])</f>
        <v>265200</v>
      </c>
      <c r="Y212" s="51">
        <f>IF(NOTA[[#This Row],[JUMLAH]]="","",(NOTA[[#This Row],[JUMLAH]]-NOTA[[#This Row],[DISC 1-]])*NOTA[[#This Row],[DISC 2]])</f>
        <v>0</v>
      </c>
      <c r="Z212" s="51">
        <f>IF(NOTA[[#This Row],[JUMLAH]]="","",NOTA[[#This Row],[DISC 1-]]+NOTA[[#This Row],[DISC 2-]])</f>
        <v>265200</v>
      </c>
      <c r="AA212" s="51">
        <f>IF(NOTA[[#This Row],[JUMLAH]]="","",NOTA[[#This Row],[JUMLAH]]-NOTA[[#This Row],[DISC]])</f>
        <v>1294800</v>
      </c>
      <c r="AB212" s="51"/>
      <c r="AC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18038360</v>
      </c>
      <c r="AD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88069640</v>
      </c>
      <c r="AE21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12" s="51" t="str">
        <f>IF(OR(NOTA[[#This Row],[QTY]]="",NOTA[[#This Row],[HARGA SATUAN]]="",),"",NOTA[[#This Row],[QTY]]*NOTA[[#This Row],[HARGA SATUAN]])</f>
        <v/>
      </c>
      <c r="AG212" s="40">
        <f ca="1">IF(NOTA[ID_H]="","",INDEX(NOTA[TANGGAL],MATCH(,INDIRECT(ADDRESS(ROW(NOTA[TANGGAL]),COLUMN(NOTA[TANGGAL]))&amp;":"&amp;ADDRESS(ROW(),COLUMN(NOTA[TANGGAL]))),-1)))</f>
        <v>45115</v>
      </c>
      <c r="AH212" s="42" t="str">
        <f ca="1">IF(NOTA[[#This Row],[NAMA BARANG]]="","",INDEX(NOTA[SUPPLIER],MATCH(,INDIRECT(ADDRESS(ROW(NOTA[ID]),COLUMN(NOTA[ID]))&amp;":"&amp;ADDRESS(ROW(),COLUMN(NOTA[ID]))),-1)))</f>
        <v>KENKO SINAR INDONESIA</v>
      </c>
      <c r="AI212" s="42" t="str">
        <f ca="1">IF(NOTA[[#This Row],[ID_H]]="","",IF(NOTA[[#This Row],[FAKTUR]]="",INDIRECT(ADDRESS(ROW()-1,COLUMN())),NOTA[[#This Row],[FAKTUR]]))</f>
        <v>ARTO MORO</v>
      </c>
      <c r="AJ212" s="39" t="str">
        <f ca="1">IF(NOTA[[#This Row],[ID]]="","",COUNTIF(NOTA[ID_H],NOTA[[#This Row],[ID_H]]))</f>
        <v/>
      </c>
      <c r="AK212" s="39">
        <f ca="1">IF(NOTA[[#This Row],[TGL.NOTA]]="",IF(NOTA[[#This Row],[SUPPLIER_H]]="","",AK211),MONTH(NOTA[[#This Row],[TGL.NOTA]]))</f>
        <v>7</v>
      </c>
      <c r="AL212" s="39" t="str">
        <f>LOWER(SUBSTITUTE(SUBSTITUTE(SUBSTITUTE(SUBSTITUTE(SUBSTITUTE(SUBSTITUTE(SUBSTITUTE(SUBSTITUTE(SUBSTITUTE(NOTA[NAMA BARANG]," ",),".",""),"-",""),"(",""),")",""),",",""),"/",""),"""",""),"+",""))</f>
        <v>kenkopunchno30</v>
      </c>
      <c r="AM2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2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2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9" t="str">
        <f>IF(NOTA[[#This Row],[CONCAT4]]="","",_xlfn.IFNA(MATCH(NOTA[[#This Row],[CONCAT4]],[2]!RAW[CONCAT_H],0),FALSE))</f>
        <v/>
      </c>
      <c r="AQ212" s="39">
        <f>IF(NOTA[[#This Row],[CONCAT1]]="","",MATCH(NOTA[[#This Row],[CONCAT1]],[3]!db[NB NOTA_C],0))</f>
        <v>2296</v>
      </c>
      <c r="AR212" s="39" t="str">
        <f>IF(NOTA[[#This Row],[QTY/ CTN]]="","",TRUE)</f>
        <v/>
      </c>
      <c r="AS212" s="39" t="str">
        <f ca="1">IF(NOTA[[#This Row],[ID_H]]="","",IF(NOTA[[#This Row],[Column3]]=TRUE,NOTA[[#This Row],[QTY/ CTN]],INDEX([3]!db[QTY/ CTN],NOTA[[#This Row],[//DB]])))</f>
        <v>10 LSN</v>
      </c>
      <c r="AT2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212" s="39" t="e">
        <f ca="1">IF(NOTA[[#This Row],[ID_H]]="","",MATCH(NOTA[[#This Row],[NB NOTA_C_QTY]],[4]!db[NB NOTA_C_QTY+F],0))</f>
        <v>#REF!</v>
      </c>
      <c r="AV212" s="55">
        <f ca="1">IF(NOTA[[#This Row],[NB NOTA_C_QTY]]="","",ROW()-2)</f>
        <v>210</v>
      </c>
    </row>
    <row r="213" spans="1:48" ht="20.100000000000001" customHeight="1" x14ac:dyDescent="0.25">
      <c r="A2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 t="str">
        <f ca="1">IF(NOTA[[#This Row],[NAMA BARANG]]="","",INDEX(NOTA[ID],MATCH(,INDIRECT(ADDRESS(ROW(NOTA[ID]),COLUMN(NOTA[ID]))&amp;":"&amp;ADDRESS(ROW(),COLUMN(NOTA[ID]))),-1)))</f>
        <v/>
      </c>
      <c r="E213" s="47"/>
      <c r="H213" s="48"/>
      <c r="N213" s="39"/>
      <c r="Q213" s="43"/>
      <c r="R213" s="49"/>
      <c r="S213" s="50"/>
      <c r="U213" s="51"/>
      <c r="V213" s="46"/>
      <c r="W213" s="51" t="str">
        <f>IF(NOTA[[#This Row],[HARGA/ CTN]]="",NOTA[[#This Row],[JUMLAH_H]],NOTA[[#This Row],[HARGA/ CTN]]*IF(NOTA[[#This Row],[C]]="",0,NOTA[[#This Row],[C]]))</f>
        <v/>
      </c>
      <c r="X213" s="51" t="str">
        <f>IF(NOTA[[#This Row],[JUMLAH]]="","",NOTA[[#This Row],[JUMLAH]]*NOTA[[#This Row],[DISC 1]])</f>
        <v/>
      </c>
      <c r="Y213" s="51" t="str">
        <f>IF(NOTA[[#This Row],[JUMLAH]]="","",(NOTA[[#This Row],[JUMLAH]]-NOTA[[#This Row],[DISC 1-]])*NOTA[[#This Row],[DISC 2]])</f>
        <v/>
      </c>
      <c r="Z213" s="51" t="str">
        <f>IF(NOTA[[#This Row],[JUMLAH]]="","",NOTA[[#This Row],[DISC 1-]]+NOTA[[#This Row],[DISC 2-]])</f>
        <v/>
      </c>
      <c r="AA213" s="51" t="str">
        <f>IF(NOTA[[#This Row],[JUMLAH]]="","",NOTA[[#This Row],[JUMLAH]]-NOTA[[#This Row],[DISC]])</f>
        <v/>
      </c>
      <c r="AB213" s="51"/>
      <c r="AC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1" t="str">
        <f>IF(OR(NOTA[[#This Row],[QTY]]="",NOTA[[#This Row],[HARGA SATUAN]]="",),"",NOTA[[#This Row],[QTY]]*NOTA[[#This Row],[HARGA SATUAN]])</f>
        <v/>
      </c>
      <c r="AG213" s="40" t="str">
        <f ca="1">IF(NOTA[ID_H]="","",INDEX(NOTA[TANGGAL],MATCH(,INDIRECT(ADDRESS(ROW(NOTA[TANGGAL]),COLUMN(NOTA[TANGGAL]))&amp;":"&amp;ADDRESS(ROW(),COLUMN(NOTA[TANGGAL]))),-1)))</f>
        <v/>
      </c>
      <c r="AH213" s="42" t="str">
        <f ca="1">IF(NOTA[[#This Row],[NAMA BARANG]]="","",INDEX(NOTA[SUPPLIER],MATCH(,INDIRECT(ADDRESS(ROW(NOTA[ID]),COLUMN(NOTA[ID]))&amp;":"&amp;ADDRESS(ROW(),COLUMN(NOTA[ID]))),-1)))</f>
        <v/>
      </c>
      <c r="AI213" s="42" t="str">
        <f ca="1">IF(NOTA[[#This Row],[ID_H]]="","",IF(NOTA[[#This Row],[FAKTUR]]="",INDIRECT(ADDRESS(ROW()-1,COLUMN())),NOTA[[#This Row],[FAKTUR]]))</f>
        <v/>
      </c>
      <c r="AJ213" s="39" t="str">
        <f ca="1">IF(NOTA[[#This Row],[ID]]="","",COUNTIF(NOTA[ID_H],NOTA[[#This Row],[ID_H]]))</f>
        <v/>
      </c>
      <c r="AK213" s="39" t="str">
        <f ca="1">IF(NOTA[[#This Row],[TGL.NOTA]]="",IF(NOTA[[#This Row],[SUPPLIER_H]]="","",AK212),MONTH(NOTA[[#This Row],[TGL.NOTA]]))</f>
        <v/>
      </c>
      <c r="AL213" s="39" t="str">
        <f>LOWER(SUBSTITUTE(SUBSTITUTE(SUBSTITUTE(SUBSTITUTE(SUBSTITUTE(SUBSTITUTE(SUBSTITUTE(SUBSTITUTE(SUBSTITUTE(NOTA[NAMA BARANG]," ",),".",""),"-",""),"(",""),")",""),",",""),"/",""),"""",""),"+",""))</f>
        <v/>
      </c>
      <c r="AM2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9" t="str">
        <f>IF(NOTA[[#This Row],[CONCAT4]]="","",_xlfn.IFNA(MATCH(NOTA[[#This Row],[CONCAT4]],[2]!RAW[CONCAT_H],0),FALSE))</f>
        <v/>
      </c>
      <c r="AQ213" s="39" t="str">
        <f>IF(NOTA[[#This Row],[CONCAT1]]="","",MATCH(NOTA[[#This Row],[CONCAT1]],[3]!db[NB NOTA_C],0))</f>
        <v/>
      </c>
      <c r="AR213" s="39" t="str">
        <f>IF(NOTA[[#This Row],[QTY/ CTN]]="","",TRUE)</f>
        <v/>
      </c>
      <c r="AS213" s="39" t="str">
        <f ca="1">IF(NOTA[[#This Row],[ID_H]]="","",IF(NOTA[[#This Row],[Column3]]=TRUE,NOTA[[#This Row],[QTY/ CTN]],INDEX([3]!db[QTY/ CTN],NOTA[[#This Row],[//DB]])))</f>
        <v/>
      </c>
      <c r="AT2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9" t="str">
        <f ca="1">IF(NOTA[[#This Row],[ID_H]]="","",MATCH(NOTA[[#This Row],[NB NOTA_C_QTY]],[4]!db[NB NOTA_C_QTY+F],0))</f>
        <v/>
      </c>
      <c r="AV213" s="55" t="str">
        <f ca="1">IF(NOTA[[#This Row],[NB NOTA_C_QTY]]="","",ROW()-2)</f>
        <v/>
      </c>
    </row>
    <row r="214" spans="1:48" ht="20.100000000000001" customHeight="1" x14ac:dyDescent="0.25">
      <c r="A214" s="42">
        <f ca="1">IF(INDIRECT(ADDRESS(ROW()-1,COLUMN(NOTA[[#Headers],[ID]])))="ID",1,IF(NOTA[[#This Row],[FAKTUR]]="","",COUNT(INDIRECT(ADDRESS(ROW(NOTA[ID]),COLUMN(NOTA[ID]))&amp;":"&amp;ADDRESS(ROW()-1,COLUMN(NOTA[ID]))))+1))</f>
        <v>45</v>
      </c>
      <c r="B2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SAP_1107_SOS-1</v>
      </c>
      <c r="C214" s="39" t="e">
        <f ca="1">IF(NOTA[[#This Row],[ID_P]]="","",MATCH(NOTA[[#This Row],[ID_P]],[1]!B_MSK[N_ID],0))</f>
        <v>#REF!</v>
      </c>
      <c r="D214" s="39">
        <f ca="1">IF(NOTA[[#This Row],[NAMA BARANG]]="","",INDEX(NOTA[ID],MATCH(,INDIRECT(ADDRESS(ROW(NOTA[ID]),COLUMN(NOTA[ID]))&amp;":"&amp;ADDRESS(ROW(),COLUMN(NOTA[ID]))),-1)))</f>
        <v>45</v>
      </c>
      <c r="E214" s="47">
        <v>45118</v>
      </c>
      <c r="F214" s="38" t="s">
        <v>147</v>
      </c>
      <c r="G214" s="38" t="s">
        <v>145</v>
      </c>
      <c r="H214" s="48" t="s">
        <v>344</v>
      </c>
      <c r="J214" s="40">
        <v>45114</v>
      </c>
      <c r="L214" s="38" t="s">
        <v>149</v>
      </c>
      <c r="M214" s="41">
        <v>50</v>
      </c>
      <c r="N214" s="39">
        <v>500</v>
      </c>
      <c r="O214" s="38" t="s">
        <v>117</v>
      </c>
      <c r="P214" s="42">
        <v>48000</v>
      </c>
      <c r="Q214" s="43"/>
      <c r="R214" s="49" t="s">
        <v>150</v>
      </c>
      <c r="S214" s="50"/>
      <c r="U214" s="51"/>
      <c r="V214" s="46"/>
      <c r="W214" s="51">
        <f>IF(NOTA[[#This Row],[HARGA/ CTN]]="",NOTA[[#This Row],[JUMLAH_H]],NOTA[[#This Row],[HARGA/ CTN]]*IF(NOTA[[#This Row],[C]]="",0,NOTA[[#This Row],[C]]))</f>
        <v>24000000</v>
      </c>
      <c r="X214" s="51">
        <f>IF(NOTA[[#This Row],[JUMLAH]]="","",NOTA[[#This Row],[JUMLAH]]*NOTA[[#This Row],[DISC 1]])</f>
        <v>0</v>
      </c>
      <c r="Y214" s="51">
        <f>IF(NOTA[[#This Row],[JUMLAH]]="","",(NOTA[[#This Row],[JUMLAH]]-NOTA[[#This Row],[DISC 1-]])*NOTA[[#This Row],[DISC 2]])</f>
        <v>0</v>
      </c>
      <c r="Z214" s="51">
        <f>IF(NOTA[[#This Row],[JUMLAH]]="","",NOTA[[#This Row],[DISC 1-]]+NOTA[[#This Row],[DISC 2-]])</f>
        <v>0</v>
      </c>
      <c r="AA214" s="51">
        <f>IF(NOTA[[#This Row],[JUMLAH]]="","",NOTA[[#This Row],[JUMLAH]]-NOTA[[#This Row],[DISC]])</f>
        <v>24000000</v>
      </c>
      <c r="AB214" s="51"/>
      <c r="AC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14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14" s="51">
        <f>IF(OR(NOTA[[#This Row],[QTY]]="",NOTA[[#This Row],[HARGA SATUAN]]="",),"",NOTA[[#This Row],[QTY]]*NOTA[[#This Row],[HARGA SATUAN]])</f>
        <v>24000000</v>
      </c>
      <c r="AG214" s="40">
        <f ca="1">IF(NOTA[ID_H]="","",INDEX(NOTA[TANGGAL],MATCH(,INDIRECT(ADDRESS(ROW(NOTA[TANGGAL]),COLUMN(NOTA[TANGGAL]))&amp;":"&amp;ADDRESS(ROW(),COLUMN(NOTA[TANGGAL]))),-1)))</f>
        <v>45118</v>
      </c>
      <c r="AH214" s="42" t="str">
        <f ca="1">IF(NOTA[[#This Row],[NAMA BARANG]]="","",INDEX(NOTA[SUPPLIER],MATCH(,INDIRECT(ADDRESS(ROW(NOTA[ID]),COLUMN(NOTA[ID]))&amp;":"&amp;ADDRESS(ROW(),COLUMN(NOTA[ID]))),-1)))</f>
        <v>SAPUTRO</v>
      </c>
      <c r="AI214" s="42" t="str">
        <f ca="1">IF(NOTA[[#This Row],[ID_H]]="","",IF(NOTA[[#This Row],[FAKTUR]]="",INDIRECT(ADDRESS(ROW()-1,COLUMN())),NOTA[[#This Row],[FAKTUR]]))</f>
        <v>UNTANA</v>
      </c>
      <c r="AJ214" s="39">
        <f ca="1">IF(NOTA[[#This Row],[ID]]="","",COUNTIF(NOTA[ID_H],NOTA[[#This Row],[ID_H]]))</f>
        <v>1</v>
      </c>
      <c r="AK214" s="39">
        <f>IF(NOTA[[#This Row],[TGL.NOTA]]="",IF(NOTA[[#This Row],[SUPPLIER_H]]="","",AK213),MONTH(NOTA[[#This Row],[TGL.NOTA]]))</f>
        <v>7</v>
      </c>
      <c r="AL214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2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214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SAPUTROUNTANAG-1705 INVSOS45114mejaipadimportjumbokarakter</v>
      </c>
      <c r="AP214" s="39" t="e">
        <f>IF(NOTA[[#This Row],[CONCAT4]]="","",_xlfn.IFNA(MATCH(NOTA[[#This Row],[CONCAT4]],[2]!RAW[CONCAT_H],0),FALSE))</f>
        <v>#REF!</v>
      </c>
      <c r="AQ214" s="39">
        <f>IF(NOTA[[#This Row],[CONCAT1]]="","",MATCH(NOTA[[#This Row],[CONCAT1]],[3]!db[NB NOTA_C],0))</f>
        <v>1721</v>
      </c>
      <c r="AR214" s="39" t="b">
        <f>IF(NOTA[[#This Row],[QTY/ CTN]]="","",TRUE)</f>
        <v>1</v>
      </c>
      <c r="AS214" s="39" t="str">
        <f ca="1">IF(NOTA[[#This Row],[ID_H]]="","",IF(NOTA[[#This Row],[Column3]]=TRUE,NOTA[[#This Row],[QTY/ CTN]],INDEX([3]!db[QTY/ CTN],NOTA[[#This Row],[//DB]])))</f>
        <v>10 PCS</v>
      </c>
      <c r="AT2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214" s="39" t="e">
        <f ca="1">IF(NOTA[[#This Row],[ID_H]]="","",MATCH(NOTA[[#This Row],[NB NOTA_C_QTY]],[4]!db[NB NOTA_C_QTY+F],0))</f>
        <v>#REF!</v>
      </c>
      <c r="AV214" s="55">
        <f ca="1">IF(NOTA[[#This Row],[NB NOTA_C_QTY]]="","",ROW()-2)</f>
        <v>212</v>
      </c>
    </row>
    <row r="215" spans="1:48" ht="20.100000000000001" customHeight="1" x14ac:dyDescent="0.25">
      <c r="A2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 t="str">
        <f ca="1">IF(NOTA[[#This Row],[NAMA BARANG]]="","",INDEX(NOTA[ID],MATCH(,INDIRECT(ADDRESS(ROW(NOTA[ID]),COLUMN(NOTA[ID]))&amp;":"&amp;ADDRESS(ROW(),COLUMN(NOTA[ID]))),-1)))</f>
        <v/>
      </c>
      <c r="E215" s="47"/>
      <c r="H215" s="48"/>
      <c r="N215" s="39"/>
      <c r="Q215" s="43"/>
      <c r="R215" s="49"/>
      <c r="S215" s="50"/>
      <c r="U215" s="51"/>
      <c r="V215" s="46"/>
      <c r="W215" s="51" t="str">
        <f>IF(NOTA[[#This Row],[HARGA/ CTN]]="",NOTA[[#This Row],[JUMLAH_H]],NOTA[[#This Row],[HARGA/ CTN]]*IF(NOTA[[#This Row],[C]]="",0,NOTA[[#This Row],[C]]))</f>
        <v/>
      </c>
      <c r="X215" s="51" t="str">
        <f>IF(NOTA[[#This Row],[JUMLAH]]="","",NOTA[[#This Row],[JUMLAH]]*NOTA[[#This Row],[DISC 1]])</f>
        <v/>
      </c>
      <c r="Y215" s="51" t="str">
        <f>IF(NOTA[[#This Row],[JUMLAH]]="","",(NOTA[[#This Row],[JUMLAH]]-NOTA[[#This Row],[DISC 1-]])*NOTA[[#This Row],[DISC 2]])</f>
        <v/>
      </c>
      <c r="Z215" s="51" t="str">
        <f>IF(NOTA[[#This Row],[JUMLAH]]="","",NOTA[[#This Row],[DISC 1-]]+NOTA[[#This Row],[DISC 2-]])</f>
        <v/>
      </c>
      <c r="AA215" s="51" t="str">
        <f>IF(NOTA[[#This Row],[JUMLAH]]="","",NOTA[[#This Row],[JUMLAH]]-NOTA[[#This Row],[DISC]])</f>
        <v/>
      </c>
      <c r="AB215" s="51"/>
      <c r="AC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1" t="str">
        <f>IF(OR(NOTA[[#This Row],[QTY]]="",NOTA[[#This Row],[HARGA SATUAN]]="",),"",NOTA[[#This Row],[QTY]]*NOTA[[#This Row],[HARGA SATUAN]])</f>
        <v/>
      </c>
      <c r="AG215" s="40" t="str">
        <f ca="1">IF(NOTA[ID_H]="","",INDEX(NOTA[TANGGAL],MATCH(,INDIRECT(ADDRESS(ROW(NOTA[TANGGAL]),COLUMN(NOTA[TANGGAL]))&amp;":"&amp;ADDRESS(ROW(),COLUMN(NOTA[TANGGAL]))),-1)))</f>
        <v/>
      </c>
      <c r="AH215" s="42" t="str">
        <f ca="1">IF(NOTA[[#This Row],[NAMA BARANG]]="","",INDEX(NOTA[SUPPLIER],MATCH(,INDIRECT(ADDRESS(ROW(NOTA[ID]),COLUMN(NOTA[ID]))&amp;":"&amp;ADDRESS(ROW(),COLUMN(NOTA[ID]))),-1)))</f>
        <v/>
      </c>
      <c r="AI215" s="42" t="str">
        <f ca="1">IF(NOTA[[#This Row],[ID_H]]="","",IF(NOTA[[#This Row],[FAKTUR]]="",INDIRECT(ADDRESS(ROW()-1,COLUMN())),NOTA[[#This Row],[FAKTUR]]))</f>
        <v/>
      </c>
      <c r="AJ215" s="39" t="str">
        <f ca="1">IF(NOTA[[#This Row],[ID]]="","",COUNTIF(NOTA[ID_H],NOTA[[#This Row],[ID_H]]))</f>
        <v/>
      </c>
      <c r="AK215" s="39" t="str">
        <f ca="1">IF(NOTA[[#This Row],[TGL.NOTA]]="",IF(NOTA[[#This Row],[SUPPLIER_H]]="","",AK214),MONTH(NOTA[[#This Row],[TGL.NOTA]]))</f>
        <v/>
      </c>
      <c r="AL215" s="39" t="str">
        <f>LOWER(SUBSTITUTE(SUBSTITUTE(SUBSTITUTE(SUBSTITUTE(SUBSTITUTE(SUBSTITUTE(SUBSTITUTE(SUBSTITUTE(SUBSTITUTE(NOTA[NAMA BARANG]," ",),".",""),"-",""),"(",""),")",""),",",""),"/",""),"""",""),"+",""))</f>
        <v/>
      </c>
      <c r="AM2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9" t="str">
        <f>IF(NOTA[[#This Row],[CONCAT4]]="","",_xlfn.IFNA(MATCH(NOTA[[#This Row],[CONCAT4]],[2]!RAW[CONCAT_H],0),FALSE))</f>
        <v/>
      </c>
      <c r="AQ215" s="39" t="str">
        <f>IF(NOTA[[#This Row],[CONCAT1]]="","",MATCH(NOTA[[#This Row],[CONCAT1]],[3]!db[NB NOTA_C],0))</f>
        <v/>
      </c>
      <c r="AR215" s="39" t="str">
        <f>IF(NOTA[[#This Row],[QTY/ CTN]]="","",TRUE)</f>
        <v/>
      </c>
      <c r="AS215" s="39" t="str">
        <f ca="1">IF(NOTA[[#This Row],[ID_H]]="","",IF(NOTA[[#This Row],[Column3]]=TRUE,NOTA[[#This Row],[QTY/ CTN]],INDEX([3]!db[QTY/ CTN],NOTA[[#This Row],[//DB]])))</f>
        <v/>
      </c>
      <c r="AT2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9" t="str">
        <f ca="1">IF(NOTA[[#This Row],[ID_H]]="","",MATCH(NOTA[[#This Row],[NB NOTA_C_QTY]],[4]!db[NB NOTA_C_QTY+F],0))</f>
        <v/>
      </c>
      <c r="AV215" s="55" t="str">
        <f ca="1">IF(NOTA[[#This Row],[NB NOTA_C_QTY]]="","",ROW()-2)</f>
        <v/>
      </c>
    </row>
    <row r="216" spans="1:48" ht="20.100000000000001" customHeight="1" x14ac:dyDescent="0.25">
      <c r="A216" s="42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LES_0807_253-1</v>
      </c>
      <c r="C216" s="39" t="e">
        <f ca="1">IF(NOTA[[#This Row],[ID_P]]="","",MATCH(NOTA[[#This Row],[ID_P]],[1]!B_MSK[N_ID],0))</f>
        <v>#REF!</v>
      </c>
      <c r="D216" s="39">
        <f ca="1">IF(NOTA[[#This Row],[NAMA BARANG]]="","",INDEX(NOTA[ID],MATCH(,INDIRECT(ADDRESS(ROW(NOTA[ID]),COLUMN(NOTA[ID]))&amp;":"&amp;ADDRESS(ROW(),COLUMN(NOTA[ID]))),-1)))</f>
        <v>46</v>
      </c>
      <c r="E216" s="47">
        <v>45115</v>
      </c>
      <c r="F216" s="38" t="s">
        <v>345</v>
      </c>
      <c r="G216" s="38" t="s">
        <v>145</v>
      </c>
      <c r="H216" s="48" t="s">
        <v>346</v>
      </c>
      <c r="J216" s="40">
        <v>45110</v>
      </c>
      <c r="L216" s="38" t="s">
        <v>347</v>
      </c>
      <c r="M216" s="41">
        <v>90</v>
      </c>
      <c r="N216" s="39">
        <v>900</v>
      </c>
      <c r="O216" s="38" t="s">
        <v>263</v>
      </c>
      <c r="P216" s="42">
        <v>75000</v>
      </c>
      <c r="Q216" s="43"/>
      <c r="R216" s="49" t="s">
        <v>348</v>
      </c>
      <c r="S216" s="50"/>
      <c r="U216" s="51"/>
      <c r="V216" s="46" t="s">
        <v>349</v>
      </c>
      <c r="W216" s="51">
        <f>IF(NOTA[[#This Row],[HARGA/ CTN]]="",NOTA[[#This Row],[JUMLAH_H]],NOTA[[#This Row],[HARGA/ CTN]]*IF(NOTA[[#This Row],[C]]="",0,NOTA[[#This Row],[C]]))</f>
        <v>67500000</v>
      </c>
      <c r="X216" s="51">
        <f>IF(NOTA[[#This Row],[JUMLAH]]="","",NOTA[[#This Row],[JUMLAH]]*NOTA[[#This Row],[DISC 1]])</f>
        <v>0</v>
      </c>
      <c r="Y216" s="51">
        <f>IF(NOTA[[#This Row],[JUMLAH]]="","",(NOTA[[#This Row],[JUMLAH]]-NOTA[[#This Row],[DISC 1-]])*NOTA[[#This Row],[DISC 2]])</f>
        <v>0</v>
      </c>
      <c r="Z216" s="51">
        <f>IF(NOTA[[#This Row],[JUMLAH]]="","",NOTA[[#This Row],[DISC 1-]]+NOTA[[#This Row],[DISC 2-]])</f>
        <v>0</v>
      </c>
      <c r="AA216" s="51">
        <f>IF(NOTA[[#This Row],[JUMLAH]]="","",NOTA[[#This Row],[JUMLAH]]-NOTA[[#This Row],[DISC]])</f>
        <v>67500000</v>
      </c>
      <c r="AB216" s="51"/>
      <c r="AC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67500000</v>
      </c>
      <c r="AE216" s="4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51">
        <f>IF(OR(NOTA[[#This Row],[QTY]]="",NOTA[[#This Row],[HARGA SATUAN]]="",),"",NOTA[[#This Row],[QTY]]*NOTA[[#This Row],[HARGA SATUAN]])</f>
        <v>67500000</v>
      </c>
      <c r="AG216" s="40">
        <f ca="1">IF(NOTA[ID_H]="","",INDEX(NOTA[TANGGAL],MATCH(,INDIRECT(ADDRESS(ROW(NOTA[TANGGAL]),COLUMN(NOTA[TANGGAL]))&amp;":"&amp;ADDRESS(ROW(),COLUMN(NOTA[TANGGAL]))),-1)))</f>
        <v>45115</v>
      </c>
      <c r="AH216" s="42" t="str">
        <f ca="1">IF(NOTA[[#This Row],[NAMA BARANG]]="","",INDEX(NOTA[SUPPLIER],MATCH(,INDIRECT(ADDRESS(ROW(NOTA[ID]),COLUMN(NOTA[ID]))&amp;":"&amp;ADDRESS(ROW(),COLUMN(NOTA[ID]))),-1)))</f>
        <v>LESTARI</v>
      </c>
      <c r="AI216" s="42" t="str">
        <f ca="1">IF(NOTA[[#This Row],[ID_H]]="","",IF(NOTA[[#This Row],[FAKTUR]]="",INDIRECT(ADDRESS(ROW()-1,COLUMN())),NOTA[[#This Row],[FAKTUR]]))</f>
        <v>UNTANA</v>
      </c>
      <c r="AJ216" s="39">
        <f ca="1">IF(NOTA[[#This Row],[ID]]="","",COUNTIF(NOTA[ID_H],NOTA[[#This Row],[ID_H]]))</f>
        <v>1</v>
      </c>
      <c r="AK216" s="39">
        <f>IF(NOTA[[#This Row],[TGL.NOTA]]="",IF(NOTA[[#This Row],[SUPPLIER_H]]="","",AK215),MONTH(NOTA[[#This Row],[TGL.NOTA]]))</f>
        <v>7</v>
      </c>
      <c r="AL216" s="39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M2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pianikabluelovelyk2799b750000</v>
      </c>
      <c r="AN2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pianikabluelovelyk2799b750000</v>
      </c>
      <c r="AO216" s="39" t="str">
        <f>IF(NOTA[[#This Row],[SUPPLIER]]="","",NOTA[[#This Row],[SUPPLIER]]&amp;NOTA[[#This Row],[FAKTUR]]&amp;NOTA[[#This Row],[NO.NOTA]]&amp;NOTA[[#This Row],[NO.SJ]]&amp;NOTA[[#This Row],[TGL.NOTA]]&amp;NOTA[[#This Row],[CONCAT1]])</f>
        <v>LESTARIUNTANA44825345110pianikabluelovelyk2799b</v>
      </c>
      <c r="AP216" s="39" t="e">
        <f>IF(NOTA[[#This Row],[CONCAT4]]="","",_xlfn.IFNA(MATCH(NOTA[[#This Row],[CONCAT4]],[2]!RAW[CONCAT_H],0),FALSE))</f>
        <v>#REF!</v>
      </c>
      <c r="AQ216" s="39">
        <f>IF(NOTA[[#This Row],[CONCAT1]]="","",MATCH(NOTA[[#This Row],[CONCAT1]],[3]!db[NB NOTA_C],0))</f>
        <v>2244</v>
      </c>
      <c r="AR216" s="39" t="b">
        <f>IF(NOTA[[#This Row],[QTY/ CTN]]="","",TRUE)</f>
        <v>1</v>
      </c>
      <c r="AS216" s="39" t="str">
        <f ca="1">IF(NOTA[[#This Row],[ID_H]]="","",IF(NOTA[[#This Row],[Column3]]=TRUE,NOTA[[#This Row],[QTY/ CTN]],INDEX([3]!db[QTY/ CTN],NOTA[[#This Row],[//DB]])))</f>
        <v>10 SET</v>
      </c>
      <c r="AT2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U216" s="39" t="e">
        <f ca="1">IF(NOTA[[#This Row],[ID_H]]="","",MATCH(NOTA[[#This Row],[NB NOTA_C_QTY]],[4]!db[NB NOTA_C_QTY+F],0))</f>
        <v>#REF!</v>
      </c>
      <c r="AV216" s="55">
        <f ca="1">IF(NOTA[[#This Row],[NB NOTA_C_QTY]]="","",ROW()-2)</f>
        <v>214</v>
      </c>
    </row>
    <row r="217" spans="1:48" ht="20.100000000000001" customHeight="1" x14ac:dyDescent="0.25">
      <c r="A2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 t="str">
        <f ca="1">IF(NOTA[[#This Row],[NAMA BARANG]]="","",INDEX(NOTA[ID],MATCH(,INDIRECT(ADDRESS(ROW(NOTA[ID]),COLUMN(NOTA[ID]))&amp;":"&amp;ADDRESS(ROW(),COLUMN(NOTA[ID]))),-1)))</f>
        <v/>
      </c>
      <c r="E217" s="47"/>
      <c r="H217" s="48"/>
      <c r="N217" s="39"/>
      <c r="Q217" s="43"/>
      <c r="R217" s="49"/>
      <c r="S217" s="50"/>
      <c r="U217" s="51"/>
      <c r="V217" s="46"/>
      <c r="W217" s="51" t="str">
        <f>IF(NOTA[[#This Row],[HARGA/ CTN]]="",NOTA[[#This Row],[JUMLAH_H]],NOTA[[#This Row],[HARGA/ CTN]]*IF(NOTA[[#This Row],[C]]="",0,NOTA[[#This Row],[C]]))</f>
        <v/>
      </c>
      <c r="X217" s="51" t="str">
        <f>IF(NOTA[[#This Row],[JUMLAH]]="","",NOTA[[#This Row],[JUMLAH]]*NOTA[[#This Row],[DISC 1]])</f>
        <v/>
      </c>
      <c r="Y217" s="51" t="str">
        <f>IF(NOTA[[#This Row],[JUMLAH]]="","",(NOTA[[#This Row],[JUMLAH]]-NOTA[[#This Row],[DISC 1-]])*NOTA[[#This Row],[DISC 2]])</f>
        <v/>
      </c>
      <c r="Z217" s="51" t="str">
        <f>IF(NOTA[[#This Row],[JUMLAH]]="","",NOTA[[#This Row],[DISC 1-]]+NOTA[[#This Row],[DISC 2-]])</f>
        <v/>
      </c>
      <c r="AA217" s="51" t="str">
        <f>IF(NOTA[[#This Row],[JUMLAH]]="","",NOTA[[#This Row],[JUMLAH]]-NOTA[[#This Row],[DISC]])</f>
        <v/>
      </c>
      <c r="AB217" s="51"/>
      <c r="AC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1" t="str">
        <f>IF(OR(NOTA[[#This Row],[QTY]]="",NOTA[[#This Row],[HARGA SATUAN]]="",),"",NOTA[[#This Row],[QTY]]*NOTA[[#This Row],[HARGA SATUAN]])</f>
        <v/>
      </c>
      <c r="AG217" s="40" t="str">
        <f ca="1">IF(NOTA[ID_H]="","",INDEX(NOTA[TANGGAL],MATCH(,INDIRECT(ADDRESS(ROW(NOTA[TANGGAL]),COLUMN(NOTA[TANGGAL]))&amp;":"&amp;ADDRESS(ROW(),COLUMN(NOTA[TANGGAL]))),-1)))</f>
        <v/>
      </c>
      <c r="AH217" s="42" t="str">
        <f ca="1">IF(NOTA[[#This Row],[NAMA BARANG]]="","",INDEX(NOTA[SUPPLIER],MATCH(,INDIRECT(ADDRESS(ROW(NOTA[ID]),COLUMN(NOTA[ID]))&amp;":"&amp;ADDRESS(ROW(),COLUMN(NOTA[ID]))),-1)))</f>
        <v/>
      </c>
      <c r="AI217" s="42" t="str">
        <f ca="1">IF(NOTA[[#This Row],[ID_H]]="","",IF(NOTA[[#This Row],[FAKTUR]]="",INDIRECT(ADDRESS(ROW()-1,COLUMN())),NOTA[[#This Row],[FAKTUR]]))</f>
        <v/>
      </c>
      <c r="AJ217" s="39" t="str">
        <f ca="1">IF(NOTA[[#This Row],[ID]]="","",COUNTIF(NOTA[ID_H],NOTA[[#This Row],[ID_H]]))</f>
        <v/>
      </c>
      <c r="AK217" s="39" t="str">
        <f ca="1">IF(NOTA[[#This Row],[TGL.NOTA]]="",IF(NOTA[[#This Row],[SUPPLIER_H]]="","",AK216),MONTH(NOTA[[#This Row],[TGL.NOTA]]))</f>
        <v/>
      </c>
      <c r="AL217" s="39" t="str">
        <f>LOWER(SUBSTITUTE(SUBSTITUTE(SUBSTITUTE(SUBSTITUTE(SUBSTITUTE(SUBSTITUTE(SUBSTITUTE(SUBSTITUTE(SUBSTITUTE(NOTA[NAMA BARANG]," ",),".",""),"-",""),"(",""),")",""),",",""),"/",""),"""",""),"+",""))</f>
        <v/>
      </c>
      <c r="AM2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9" t="str">
        <f>IF(NOTA[[#This Row],[CONCAT4]]="","",_xlfn.IFNA(MATCH(NOTA[[#This Row],[CONCAT4]],[2]!RAW[CONCAT_H],0),FALSE))</f>
        <v/>
      </c>
      <c r="AQ217" s="39" t="str">
        <f>IF(NOTA[[#This Row],[CONCAT1]]="","",MATCH(NOTA[[#This Row],[CONCAT1]],[3]!db[NB NOTA_C],0))</f>
        <v/>
      </c>
      <c r="AR217" s="39" t="str">
        <f>IF(NOTA[[#This Row],[QTY/ CTN]]="","",TRUE)</f>
        <v/>
      </c>
      <c r="AS217" s="39" t="str">
        <f ca="1">IF(NOTA[[#This Row],[ID_H]]="","",IF(NOTA[[#This Row],[Column3]]=TRUE,NOTA[[#This Row],[QTY/ CTN]],INDEX([3]!db[QTY/ CTN],NOTA[[#This Row],[//DB]])))</f>
        <v/>
      </c>
      <c r="AT2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9" t="str">
        <f ca="1">IF(NOTA[[#This Row],[ID_H]]="","",MATCH(NOTA[[#This Row],[NB NOTA_C_QTY]],[4]!db[NB NOTA_C_QTY+F],0))</f>
        <v/>
      </c>
      <c r="AV217" s="55" t="str">
        <f ca="1">IF(NOTA[[#This Row],[NB NOTA_C_QTY]]="","",ROW()-2)</f>
        <v/>
      </c>
    </row>
    <row r="218" spans="1:48" ht="20.100000000000001" customHeight="1" x14ac:dyDescent="0.25">
      <c r="A2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 t="str">
        <f ca="1">IF(NOTA[[#This Row],[NAMA BARANG]]="","",INDEX(NOTA[ID],MATCH(,INDIRECT(ADDRESS(ROW(NOTA[ID]),COLUMN(NOTA[ID]))&amp;":"&amp;ADDRESS(ROW(),COLUMN(NOTA[ID]))),-1)))</f>
        <v/>
      </c>
      <c r="E218" s="47"/>
      <c r="H218" s="48"/>
      <c r="N218" s="39"/>
      <c r="Q218" s="43"/>
      <c r="R218" s="49"/>
      <c r="S218" s="50"/>
      <c r="U218" s="51"/>
      <c r="V218" s="46"/>
      <c r="W218" s="51" t="str">
        <f>IF(NOTA[[#This Row],[HARGA/ CTN]]="",NOTA[[#This Row],[JUMLAH_H]],NOTA[[#This Row],[HARGA/ CTN]]*IF(NOTA[[#This Row],[C]]="",0,NOTA[[#This Row],[C]]))</f>
        <v/>
      </c>
      <c r="X218" s="51" t="str">
        <f>IF(NOTA[[#This Row],[JUMLAH]]="","",NOTA[[#This Row],[JUMLAH]]*NOTA[[#This Row],[DISC 1]])</f>
        <v/>
      </c>
      <c r="Y218" s="51" t="str">
        <f>IF(NOTA[[#This Row],[JUMLAH]]="","",(NOTA[[#This Row],[JUMLAH]]-NOTA[[#This Row],[DISC 1-]])*NOTA[[#This Row],[DISC 2]])</f>
        <v/>
      </c>
      <c r="Z218" s="51" t="str">
        <f>IF(NOTA[[#This Row],[JUMLAH]]="","",NOTA[[#This Row],[DISC 1-]]+NOTA[[#This Row],[DISC 2-]])</f>
        <v/>
      </c>
      <c r="AA218" s="51" t="str">
        <f>IF(NOTA[[#This Row],[JUMLAH]]="","",NOTA[[#This Row],[JUMLAH]]-NOTA[[#This Row],[DISC]])</f>
        <v/>
      </c>
      <c r="AB218" s="51"/>
      <c r="AC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1" t="str">
        <f>IF(OR(NOTA[[#This Row],[QTY]]="",NOTA[[#This Row],[HARGA SATUAN]]="",),"",NOTA[[#This Row],[QTY]]*NOTA[[#This Row],[HARGA SATUAN]])</f>
        <v/>
      </c>
      <c r="AG218" s="40" t="str">
        <f ca="1">IF(NOTA[ID_H]="","",INDEX(NOTA[TANGGAL],MATCH(,INDIRECT(ADDRESS(ROW(NOTA[TANGGAL]),COLUMN(NOTA[TANGGAL]))&amp;":"&amp;ADDRESS(ROW(),COLUMN(NOTA[TANGGAL]))),-1)))</f>
        <v/>
      </c>
      <c r="AH218" s="42" t="str">
        <f ca="1">IF(NOTA[[#This Row],[NAMA BARANG]]="","",INDEX(NOTA[SUPPLIER],MATCH(,INDIRECT(ADDRESS(ROW(NOTA[ID]),COLUMN(NOTA[ID]))&amp;":"&amp;ADDRESS(ROW(),COLUMN(NOTA[ID]))),-1)))</f>
        <v/>
      </c>
      <c r="AI218" s="42" t="str">
        <f ca="1">IF(NOTA[[#This Row],[ID_H]]="","",IF(NOTA[[#This Row],[FAKTUR]]="",INDIRECT(ADDRESS(ROW()-1,COLUMN())),NOTA[[#This Row],[FAKTUR]]))</f>
        <v/>
      </c>
      <c r="AJ218" s="39" t="str">
        <f ca="1">IF(NOTA[[#This Row],[ID]]="","",COUNTIF(NOTA[ID_H],NOTA[[#This Row],[ID_H]]))</f>
        <v/>
      </c>
      <c r="AK218" s="39" t="str">
        <f ca="1">IF(NOTA[[#This Row],[TGL.NOTA]]="",IF(NOTA[[#This Row],[SUPPLIER_H]]="","",AK217),MONTH(NOTA[[#This Row],[TGL.NOTA]]))</f>
        <v/>
      </c>
      <c r="AL218" s="39" t="str">
        <f>LOWER(SUBSTITUTE(SUBSTITUTE(SUBSTITUTE(SUBSTITUTE(SUBSTITUTE(SUBSTITUTE(SUBSTITUTE(SUBSTITUTE(SUBSTITUTE(NOTA[NAMA BARANG]," ",),".",""),"-",""),"(",""),")",""),",",""),"/",""),"""",""),"+",""))</f>
        <v/>
      </c>
      <c r="AM2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9" t="str">
        <f>IF(NOTA[[#This Row],[CONCAT4]]="","",_xlfn.IFNA(MATCH(NOTA[[#This Row],[CONCAT4]],[2]!RAW[CONCAT_H],0),FALSE))</f>
        <v/>
      </c>
      <c r="AQ218" s="39" t="str">
        <f>IF(NOTA[[#This Row],[CONCAT1]]="","",MATCH(NOTA[[#This Row],[CONCAT1]],[3]!db[NB NOTA_C],0))</f>
        <v/>
      </c>
      <c r="AR218" s="39" t="str">
        <f>IF(NOTA[[#This Row],[QTY/ CTN]]="","",TRUE)</f>
        <v/>
      </c>
      <c r="AS218" s="39" t="str">
        <f ca="1">IF(NOTA[[#This Row],[ID_H]]="","",IF(NOTA[[#This Row],[Column3]]=TRUE,NOTA[[#This Row],[QTY/ CTN]],INDEX([3]!db[QTY/ CTN],NOTA[[#This Row],[//DB]])))</f>
        <v/>
      </c>
      <c r="AT2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9" t="str">
        <f ca="1">IF(NOTA[[#This Row],[ID_H]]="","",MATCH(NOTA[[#This Row],[NB NOTA_C_QTY]],[4]!db[NB NOTA_C_QTY+F],0))</f>
        <v/>
      </c>
      <c r="AV218" s="55" t="str">
        <f ca="1">IF(NOTA[[#This Row],[NB NOTA_C_QTY]]="","",ROW()-2)</f>
        <v/>
      </c>
    </row>
    <row r="219" spans="1:48" ht="20.100000000000001" customHeight="1" x14ac:dyDescent="0.25">
      <c r="A219" s="42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PAR_0807_715-1</v>
      </c>
      <c r="C219" s="39" t="e">
        <f ca="1">IF(NOTA[[#This Row],[ID_P]]="","",MATCH(NOTA[[#This Row],[ID_P]],[1]!B_MSK[N_ID],0))</f>
        <v>#REF!</v>
      </c>
      <c r="D219" s="39">
        <f ca="1">IF(NOTA[[#This Row],[NAMA BARANG]]="","",INDEX(NOTA[ID],MATCH(,INDIRECT(ADDRESS(ROW(NOTA[ID]),COLUMN(NOTA[ID]))&amp;":"&amp;ADDRESS(ROW(),COLUMN(NOTA[ID]))),-1)))</f>
        <v>47</v>
      </c>
      <c r="E219" s="47"/>
      <c r="F219" s="38" t="s">
        <v>144</v>
      </c>
      <c r="G219" s="38" t="s">
        <v>145</v>
      </c>
      <c r="H219" s="48" t="s">
        <v>350</v>
      </c>
      <c r="J219" s="40">
        <v>45115</v>
      </c>
      <c r="L219" s="38" t="s">
        <v>351</v>
      </c>
      <c r="M219" s="41">
        <v>1</v>
      </c>
      <c r="N219" s="39">
        <v>8</v>
      </c>
      <c r="O219" s="38" t="s">
        <v>152</v>
      </c>
      <c r="P219" s="42">
        <v>168000</v>
      </c>
      <c r="Q219" s="43"/>
      <c r="R219" s="49"/>
      <c r="S219" s="50"/>
      <c r="U219" s="51"/>
      <c r="V219" s="46"/>
      <c r="W219" s="51">
        <f>IF(NOTA[[#This Row],[HARGA/ CTN]]="",NOTA[[#This Row],[JUMLAH_H]],NOTA[[#This Row],[HARGA/ CTN]]*IF(NOTA[[#This Row],[C]]="",0,NOTA[[#This Row],[C]]))</f>
        <v>1344000</v>
      </c>
      <c r="X219" s="51">
        <f>IF(NOTA[[#This Row],[JUMLAH]]="","",NOTA[[#This Row],[JUMLAH]]*NOTA[[#This Row],[DISC 1]])</f>
        <v>0</v>
      </c>
      <c r="Y219" s="51">
        <f>IF(NOTA[[#This Row],[JUMLAH]]="","",(NOTA[[#This Row],[JUMLAH]]-NOTA[[#This Row],[DISC 1-]])*NOTA[[#This Row],[DISC 2]])</f>
        <v>0</v>
      </c>
      <c r="Z219" s="51">
        <f>IF(NOTA[[#This Row],[JUMLAH]]="","",NOTA[[#This Row],[DISC 1-]]+NOTA[[#This Row],[DISC 2-]])</f>
        <v>0</v>
      </c>
      <c r="AA219" s="51">
        <f>IF(NOTA[[#This Row],[JUMLAH]]="","",NOTA[[#This Row],[JUMLAH]]-NOTA[[#This Row],[DISC]])</f>
        <v>1344000</v>
      </c>
      <c r="AB219" s="51"/>
      <c r="AC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219" s="42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219" s="51">
        <f>IF(OR(NOTA[[#This Row],[QTY]]="",NOTA[[#This Row],[HARGA SATUAN]]="",),"",NOTA[[#This Row],[QTY]]*NOTA[[#This Row],[HARGA SATUAN]])</f>
        <v>1344000</v>
      </c>
      <c r="AG219" s="40">
        <f ca="1">IF(NOTA[ID_H]="","",INDEX(NOTA[TANGGAL],MATCH(,INDIRECT(ADDRESS(ROW(NOTA[TANGGAL]),COLUMN(NOTA[TANGGAL]))&amp;":"&amp;ADDRESS(ROW(),COLUMN(NOTA[TANGGAL]))),-1)))</f>
        <v>45115</v>
      </c>
      <c r="AH219" s="42" t="str">
        <f ca="1">IF(NOTA[[#This Row],[NAMA BARANG]]="","",INDEX(NOTA[SUPPLIER],MATCH(,INDIRECT(ADDRESS(ROW(NOTA[ID]),COLUMN(NOTA[ID]))&amp;":"&amp;ADDRESS(ROW(),COLUMN(NOTA[ID]))),-1)))</f>
        <v>PARAMA</v>
      </c>
      <c r="AI219" s="42" t="str">
        <f ca="1">IF(NOTA[[#This Row],[ID_H]]="","",IF(NOTA[[#This Row],[FAKTUR]]="",INDIRECT(ADDRESS(ROW()-1,COLUMN())),NOTA[[#This Row],[FAKTUR]]))</f>
        <v>UNTANA</v>
      </c>
      <c r="AJ219" s="39">
        <f ca="1">IF(NOTA[[#This Row],[ID]]="","",COUNTIF(NOTA[ID_H],NOTA[[#This Row],[ID_H]]))</f>
        <v>1</v>
      </c>
      <c r="AK219" s="39">
        <f>IF(NOTA[[#This Row],[TGL.NOTA]]="",IF(NOTA[[#This Row],[SUPPLIER_H]]="","",AK218),MONTH(NOTA[[#This Row],[TGL.NOTA]]))</f>
        <v>7</v>
      </c>
      <c r="AL219" s="39" t="str">
        <f>LOWER(SUBSTITUTE(SUBSTITUTE(SUBSTITUTE(SUBSTITUTE(SUBSTITUTE(SUBSTITUTE(SUBSTITUTE(SUBSTITUTE(SUBSTITUTE(NOTA[NAMA BARANG]," ",),".",""),"-",""),"(",""),")",""),",",""),"/",""),"""",""),"+",""))</f>
        <v>docritboxbatik</v>
      </c>
      <c r="AM2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N2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O219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PARAMAUNTANA071545115docritboxbatik</v>
      </c>
      <c r="AP219" s="39" t="e">
        <f>IF(NOTA[[#This Row],[CONCAT4]]="","",_xlfn.IFNA(MATCH(NOTA[[#This Row],[CONCAT4]],[2]!RAW[CONCAT_H],0),FALSE))</f>
        <v>#REF!</v>
      </c>
      <c r="AQ219" s="39">
        <f>IF(NOTA[[#This Row],[CONCAT1]]="","",MATCH(NOTA[[#This Row],[CONCAT1]],[3]!db[NB NOTA_C],0))</f>
        <v>1009</v>
      </c>
      <c r="AR219" s="39" t="str">
        <f>IF(NOTA[[#This Row],[QTY/ CTN]]="","",TRUE)</f>
        <v/>
      </c>
      <c r="AS219" s="39" t="str">
        <f ca="1">IF(NOTA[[#This Row],[ID_H]]="","",IF(NOTA[[#This Row],[Column3]]=TRUE,NOTA[[#This Row],[QTY/ CTN]],INDEX([3]!db[QTY/ CTN],NOTA[[#This Row],[//DB]])))</f>
        <v>8 LSN</v>
      </c>
      <c r="AT2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docritboxbatik8lsnuntana</v>
      </c>
      <c r="AU219" s="39" t="e">
        <f ca="1">IF(NOTA[[#This Row],[ID_H]]="","",MATCH(NOTA[[#This Row],[NB NOTA_C_QTY]],[4]!db[NB NOTA_C_QTY+F],0))</f>
        <v>#REF!</v>
      </c>
      <c r="AV219" s="55">
        <f ca="1">IF(NOTA[[#This Row],[NB NOTA_C_QTY]]="","",ROW()-2)</f>
        <v>217</v>
      </c>
    </row>
    <row r="220" spans="1:48" ht="20.100000000000001" customHeight="1" x14ac:dyDescent="0.25">
      <c r="A2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47"/>
      <c r="H220" s="48"/>
      <c r="N220" s="39"/>
      <c r="Q220" s="43"/>
      <c r="R220" s="49"/>
      <c r="S220" s="50"/>
      <c r="U220" s="51"/>
      <c r="V220" s="46"/>
      <c r="W220" s="51" t="str">
        <f>IF(NOTA[[#This Row],[HARGA/ CTN]]="",NOTA[[#This Row],[JUMLAH_H]],NOTA[[#This Row],[HARGA/ CTN]]*IF(NOTA[[#This Row],[C]]="",0,NOTA[[#This Row],[C]]))</f>
        <v/>
      </c>
      <c r="X220" s="51" t="str">
        <f>IF(NOTA[[#This Row],[JUMLAH]]="","",NOTA[[#This Row],[JUMLAH]]*NOTA[[#This Row],[DISC 1]])</f>
        <v/>
      </c>
      <c r="Y220" s="51" t="str">
        <f>IF(NOTA[[#This Row],[JUMLAH]]="","",(NOTA[[#This Row],[JUMLAH]]-NOTA[[#This Row],[DISC 1-]])*NOTA[[#This Row],[DISC 2]])</f>
        <v/>
      </c>
      <c r="Z220" s="51" t="str">
        <f>IF(NOTA[[#This Row],[JUMLAH]]="","",NOTA[[#This Row],[DISC 1-]]+NOTA[[#This Row],[DISC 2-]])</f>
        <v/>
      </c>
      <c r="AA220" s="51" t="str">
        <f>IF(NOTA[[#This Row],[JUMLAH]]="","",NOTA[[#This Row],[JUMLAH]]-NOTA[[#This Row],[DISC]])</f>
        <v/>
      </c>
      <c r="AB220" s="51"/>
      <c r="AC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1" t="str">
        <f>IF(OR(NOTA[[#This Row],[QTY]]="",NOTA[[#This Row],[HARGA SATUAN]]="",),"",NOTA[[#This Row],[QTY]]*NOTA[[#This Row],[HARGA SATUAN]])</f>
        <v/>
      </c>
      <c r="AG220" s="40" t="str">
        <f ca="1">IF(NOTA[ID_H]="","",INDEX(NOTA[TANGGAL],MATCH(,INDIRECT(ADDRESS(ROW(NOTA[TANGGAL]),COLUMN(NOTA[TANGGAL]))&amp;":"&amp;ADDRESS(ROW(),COLUMN(NOTA[TANGGAL]))),-1)))</f>
        <v/>
      </c>
      <c r="AH220" s="42" t="str">
        <f ca="1">IF(NOTA[[#This Row],[NAMA BARANG]]="","",INDEX(NOTA[SUPPLIER],MATCH(,INDIRECT(ADDRESS(ROW(NOTA[ID]),COLUMN(NOTA[ID]))&amp;":"&amp;ADDRESS(ROW(),COLUMN(NOTA[ID]))),-1)))</f>
        <v/>
      </c>
      <c r="AI220" s="42" t="str">
        <f ca="1">IF(NOTA[[#This Row],[ID_H]]="","",IF(NOTA[[#This Row],[FAKTUR]]="",INDIRECT(ADDRESS(ROW()-1,COLUMN())),NOTA[[#This Row],[FAKTUR]]))</f>
        <v/>
      </c>
      <c r="AJ220" s="39" t="str">
        <f ca="1">IF(NOTA[[#This Row],[ID]]="","",COUNTIF(NOTA[ID_H],NOTA[[#This Row],[ID_H]]))</f>
        <v/>
      </c>
      <c r="AK220" s="39" t="str">
        <f ca="1">IF(NOTA[[#This Row],[TGL.NOTA]]="",IF(NOTA[[#This Row],[SUPPLIER_H]]="","",AK219),MONTH(NOTA[[#This Row],[TGL.NOTA]]))</f>
        <v/>
      </c>
      <c r="AL220" s="39" t="str">
        <f>LOWER(SUBSTITUTE(SUBSTITUTE(SUBSTITUTE(SUBSTITUTE(SUBSTITUTE(SUBSTITUTE(SUBSTITUTE(SUBSTITUTE(SUBSTITUTE(NOTA[NAMA BARANG]," ",),".",""),"-",""),"(",""),")",""),",",""),"/",""),"""",""),"+",""))</f>
        <v/>
      </c>
      <c r="AM2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9" t="str">
        <f>IF(NOTA[[#This Row],[CONCAT4]]="","",_xlfn.IFNA(MATCH(NOTA[[#This Row],[CONCAT4]],[2]!RAW[CONCAT_H],0),FALSE))</f>
        <v/>
      </c>
      <c r="AQ220" s="39" t="str">
        <f>IF(NOTA[[#This Row],[CONCAT1]]="","",MATCH(NOTA[[#This Row],[CONCAT1]],[3]!db[NB NOTA_C],0))</f>
        <v/>
      </c>
      <c r="AR220" s="39" t="str">
        <f>IF(NOTA[[#This Row],[QTY/ CTN]]="","",TRUE)</f>
        <v/>
      </c>
      <c r="AS220" s="39" t="str">
        <f ca="1">IF(NOTA[[#This Row],[ID_H]]="","",IF(NOTA[[#This Row],[Column3]]=TRUE,NOTA[[#This Row],[QTY/ CTN]],INDEX([3]!db[QTY/ CTN],NOTA[[#This Row],[//DB]])))</f>
        <v/>
      </c>
      <c r="AT2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9" t="str">
        <f ca="1">IF(NOTA[[#This Row],[ID_H]]="","",MATCH(NOTA[[#This Row],[NB NOTA_C_QTY]],[4]!db[NB NOTA_C_QTY+F],0))</f>
        <v/>
      </c>
      <c r="AV220" s="55" t="str">
        <f ca="1">IF(NOTA[[#This Row],[NB NOTA_C_QTY]]="","",ROW()-2)</f>
        <v/>
      </c>
    </row>
    <row r="221" spans="1:48" ht="20.100000000000001" customHeight="1" x14ac:dyDescent="0.25">
      <c r="A221" s="42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HAN_1007_096-1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48</v>
      </c>
      <c r="E221" s="47">
        <v>45117</v>
      </c>
      <c r="F221" s="38" t="s">
        <v>193</v>
      </c>
      <c r="G221" s="38" t="s">
        <v>145</v>
      </c>
      <c r="H221" s="48" t="s">
        <v>352</v>
      </c>
      <c r="J221" s="40">
        <v>45117</v>
      </c>
      <c r="L221" s="38" t="s">
        <v>353</v>
      </c>
      <c r="M221" s="41">
        <v>3</v>
      </c>
      <c r="N221" s="39">
        <v>1440</v>
      </c>
      <c r="O221" s="38" t="s">
        <v>117</v>
      </c>
      <c r="P221" s="42">
        <v>1600</v>
      </c>
      <c r="Q221" s="43"/>
      <c r="R221" s="49" t="s">
        <v>354</v>
      </c>
      <c r="S221" s="50"/>
      <c r="U221" s="51"/>
      <c r="V221" s="46"/>
      <c r="W221" s="51">
        <f>IF(NOTA[[#This Row],[HARGA/ CTN]]="",NOTA[[#This Row],[JUMLAH_H]],NOTA[[#This Row],[HARGA/ CTN]]*IF(NOTA[[#This Row],[C]]="",0,NOTA[[#This Row],[C]]))</f>
        <v>2304000</v>
      </c>
      <c r="X221" s="51">
        <f>IF(NOTA[[#This Row],[JUMLAH]]="","",NOTA[[#This Row],[JUMLAH]]*NOTA[[#This Row],[DISC 1]])</f>
        <v>0</v>
      </c>
      <c r="Y221" s="51">
        <f>IF(NOTA[[#This Row],[JUMLAH]]="","",(NOTA[[#This Row],[JUMLAH]]-NOTA[[#This Row],[DISC 1-]])*NOTA[[#This Row],[DISC 2]])</f>
        <v>0</v>
      </c>
      <c r="Z221" s="51">
        <f>IF(NOTA[[#This Row],[JUMLAH]]="","",NOTA[[#This Row],[DISC 1-]]+NOTA[[#This Row],[DISC 2-]])</f>
        <v>0</v>
      </c>
      <c r="AA221" s="51">
        <f>IF(NOTA[[#This Row],[JUMLAH]]="","",NOTA[[#This Row],[JUMLAH]]-NOTA[[#This Row],[DISC]])</f>
        <v>2304000</v>
      </c>
      <c r="AB221" s="51"/>
      <c r="AC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</v>
      </c>
      <c r="AE22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21" s="51">
        <f>IF(OR(NOTA[[#This Row],[QTY]]="",NOTA[[#This Row],[HARGA SATUAN]]="",),"",NOTA[[#This Row],[QTY]]*NOTA[[#This Row],[HARGA SATUAN]])</f>
        <v>2304000</v>
      </c>
      <c r="AG221" s="40">
        <f ca="1">IF(NOTA[ID_H]="","",INDEX(NOTA[TANGGAL],MATCH(,INDIRECT(ADDRESS(ROW(NOTA[TANGGAL]),COLUMN(NOTA[TANGGAL]))&amp;":"&amp;ADDRESS(ROW(),COLUMN(NOTA[TANGGAL]))),-1)))</f>
        <v>45117</v>
      </c>
      <c r="AH221" s="42" t="str">
        <f ca="1">IF(NOTA[[#This Row],[NAMA BARANG]]="","",INDEX(NOTA[SUPPLIER],MATCH(,INDIRECT(ADDRESS(ROW(NOTA[ID]),COLUMN(NOTA[ID]))&amp;":"&amp;ADDRESS(ROW(),COLUMN(NOTA[ID]))),-1)))</f>
        <v>HANSA</v>
      </c>
      <c r="AI221" s="42" t="str">
        <f ca="1">IF(NOTA[[#This Row],[ID_H]]="","",IF(NOTA[[#This Row],[FAKTUR]]="",INDIRECT(ADDRESS(ROW()-1,COLUMN())),NOTA[[#This Row],[FAKTUR]]))</f>
        <v>UNTANA</v>
      </c>
      <c r="AJ221" s="39">
        <f ca="1">IF(NOTA[[#This Row],[ID]]="","",COUNTIF(NOTA[ID_H],NOTA[[#This Row],[ID_H]]))</f>
        <v>1</v>
      </c>
      <c r="AK221" s="39">
        <f>IF(NOTA[[#This Row],[TGL.NOTA]]="",IF(NOTA[[#This Row],[SUPPLIER_H]]="","",AK220),MONTH(NOTA[[#This Row],[TGL.NOTA]]))</f>
        <v>7</v>
      </c>
      <c r="AL221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2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221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HANSAUNTANAHN07202309645117malamshintoengk612w</v>
      </c>
      <c r="AP221" s="39" t="e">
        <f>IF(NOTA[[#This Row],[CONCAT4]]="","",_xlfn.IFNA(MATCH(NOTA[[#This Row],[CONCAT4]],[2]!RAW[CONCAT_H],0),FALSE))</f>
        <v>#REF!</v>
      </c>
      <c r="AQ221" s="39">
        <f>IF(NOTA[[#This Row],[CONCAT1]]="","",MATCH(NOTA[[#This Row],[CONCAT1]],[3]!db[NB NOTA_C],0))</f>
        <v>1573</v>
      </c>
      <c r="AR221" s="39" t="b">
        <f>IF(NOTA[[#This Row],[QTY/ CTN]]="","",TRUE)</f>
        <v>1</v>
      </c>
      <c r="AS221" s="39" t="str">
        <f ca="1">IF(NOTA[[#This Row],[ID_H]]="","",IF(NOTA[[#This Row],[Column3]]=TRUE,NOTA[[#This Row],[QTY/ CTN]],INDEX([3]!db[QTY/ CTN],NOTA[[#This Row],[//DB]])))</f>
        <v>480 PCS</v>
      </c>
      <c r="AT2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221" s="39" t="e">
        <f ca="1">IF(NOTA[[#This Row],[ID_H]]="","",MATCH(NOTA[[#This Row],[NB NOTA_C_QTY]],[4]!db[NB NOTA_C_QTY+F],0))</f>
        <v>#REF!</v>
      </c>
      <c r="AV221" s="55">
        <f ca="1">IF(NOTA[[#This Row],[NB NOTA_C_QTY]]="","",ROW()-2)</f>
        <v>219</v>
      </c>
    </row>
    <row r="222" spans="1:48" ht="20.100000000000001" customHeight="1" x14ac:dyDescent="0.25">
      <c r="A2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47"/>
      <c r="H222" s="48"/>
      <c r="N222" s="39"/>
      <c r="Q222" s="43"/>
      <c r="R222" s="49"/>
      <c r="S222" s="50"/>
      <c r="U222" s="51"/>
      <c r="V222" s="46"/>
      <c r="W222" s="51" t="str">
        <f>IF(NOTA[[#This Row],[HARGA/ CTN]]="",NOTA[[#This Row],[JUMLAH_H]],NOTA[[#This Row],[HARGA/ CTN]]*IF(NOTA[[#This Row],[C]]="",0,NOTA[[#This Row],[C]]))</f>
        <v/>
      </c>
      <c r="X222" s="51" t="str">
        <f>IF(NOTA[[#This Row],[JUMLAH]]="","",NOTA[[#This Row],[JUMLAH]]*NOTA[[#This Row],[DISC 1]])</f>
        <v/>
      </c>
      <c r="Y222" s="51" t="str">
        <f>IF(NOTA[[#This Row],[JUMLAH]]="","",(NOTA[[#This Row],[JUMLAH]]-NOTA[[#This Row],[DISC 1-]])*NOTA[[#This Row],[DISC 2]])</f>
        <v/>
      </c>
      <c r="Z222" s="51" t="str">
        <f>IF(NOTA[[#This Row],[JUMLAH]]="","",NOTA[[#This Row],[DISC 1-]]+NOTA[[#This Row],[DISC 2-]])</f>
        <v/>
      </c>
      <c r="AA222" s="51" t="str">
        <f>IF(NOTA[[#This Row],[JUMLAH]]="","",NOTA[[#This Row],[JUMLAH]]-NOTA[[#This Row],[DISC]])</f>
        <v/>
      </c>
      <c r="AB222" s="51"/>
      <c r="AC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1" t="str">
        <f>IF(OR(NOTA[[#This Row],[QTY]]="",NOTA[[#This Row],[HARGA SATUAN]]="",),"",NOTA[[#This Row],[QTY]]*NOTA[[#This Row],[HARGA SATUAN]])</f>
        <v/>
      </c>
      <c r="AG222" s="40" t="str">
        <f ca="1">IF(NOTA[ID_H]="","",INDEX(NOTA[TANGGAL],MATCH(,INDIRECT(ADDRESS(ROW(NOTA[TANGGAL]),COLUMN(NOTA[TANGGAL]))&amp;":"&amp;ADDRESS(ROW(),COLUMN(NOTA[TANGGAL]))),-1)))</f>
        <v/>
      </c>
      <c r="AH222" s="42" t="str">
        <f ca="1">IF(NOTA[[#This Row],[NAMA BARANG]]="","",INDEX(NOTA[SUPPLIER],MATCH(,INDIRECT(ADDRESS(ROW(NOTA[ID]),COLUMN(NOTA[ID]))&amp;":"&amp;ADDRESS(ROW(),COLUMN(NOTA[ID]))),-1)))</f>
        <v/>
      </c>
      <c r="AI222" s="42" t="str">
        <f ca="1">IF(NOTA[[#This Row],[ID_H]]="","",IF(NOTA[[#This Row],[FAKTUR]]="",INDIRECT(ADDRESS(ROW()-1,COLUMN())),NOTA[[#This Row],[FAKTUR]]))</f>
        <v/>
      </c>
      <c r="AJ222" s="39" t="str">
        <f ca="1">IF(NOTA[[#This Row],[ID]]="","",COUNTIF(NOTA[ID_H],NOTA[[#This Row],[ID_H]]))</f>
        <v/>
      </c>
      <c r="AK222" s="39" t="str">
        <f ca="1">IF(NOTA[[#This Row],[TGL.NOTA]]="",IF(NOTA[[#This Row],[SUPPLIER_H]]="","",AK221),MONTH(NOTA[[#This Row],[TGL.NOTA]]))</f>
        <v/>
      </c>
      <c r="AL222" s="39" t="str">
        <f>LOWER(SUBSTITUTE(SUBSTITUTE(SUBSTITUTE(SUBSTITUTE(SUBSTITUTE(SUBSTITUTE(SUBSTITUTE(SUBSTITUTE(SUBSTITUTE(NOTA[NAMA BARANG]," ",),".",""),"-",""),"(",""),")",""),",",""),"/",""),"""",""),"+",""))</f>
        <v/>
      </c>
      <c r="AM2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9" t="str">
        <f>IF(NOTA[[#This Row],[CONCAT4]]="","",_xlfn.IFNA(MATCH(NOTA[[#This Row],[CONCAT4]],[2]!RAW[CONCAT_H],0),FALSE))</f>
        <v/>
      </c>
      <c r="AQ222" s="39" t="str">
        <f>IF(NOTA[[#This Row],[CONCAT1]]="","",MATCH(NOTA[[#This Row],[CONCAT1]],[3]!db[NB NOTA_C],0))</f>
        <v/>
      </c>
      <c r="AR222" s="39" t="str">
        <f>IF(NOTA[[#This Row],[QTY/ CTN]]="","",TRUE)</f>
        <v/>
      </c>
      <c r="AS222" s="39" t="str">
        <f ca="1">IF(NOTA[[#This Row],[ID_H]]="","",IF(NOTA[[#This Row],[Column3]]=TRUE,NOTA[[#This Row],[QTY/ CTN]],INDEX([3]!db[QTY/ CTN],NOTA[[#This Row],[//DB]])))</f>
        <v/>
      </c>
      <c r="AT2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9" t="str">
        <f ca="1">IF(NOTA[[#This Row],[ID_H]]="","",MATCH(NOTA[[#This Row],[NB NOTA_C_QTY]],[4]!db[NB NOTA_C_QTY+F],0))</f>
        <v/>
      </c>
      <c r="AV222" s="55" t="str">
        <f ca="1">IF(NOTA[[#This Row],[NB NOTA_C_QTY]]="","",ROW()-2)</f>
        <v/>
      </c>
    </row>
    <row r="223" spans="1:48" ht="20.100000000000001" customHeight="1" x14ac:dyDescent="0.25">
      <c r="A223" s="42">
        <f ca="1">IF(INDIRECT(ADDRESS(ROW()-1,COLUMN(NOTA[[#Headers],[ID]])))="ID",1,IF(NOTA[[#This Row],[FAKTUR]]="","",COUNT(INDIRECT(ADDRESS(ROW(NOTA[ID]),COLUMN(NOTA[ID]))&amp;":"&amp;ADDRESS(ROW()-1,COLUMN(NOTA[ID]))))+1))</f>
        <v>49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BIN_1007_193-1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49</v>
      </c>
      <c r="E223" s="47"/>
      <c r="F223" s="38" t="s">
        <v>207</v>
      </c>
      <c r="G223" s="38" t="s">
        <v>145</v>
      </c>
      <c r="H223" s="48" t="s">
        <v>355</v>
      </c>
      <c r="J223" s="40">
        <v>45115</v>
      </c>
      <c r="L223" s="38" t="s">
        <v>356</v>
      </c>
      <c r="M223" s="41">
        <v>20</v>
      </c>
      <c r="N223" s="39">
        <f>72*20</f>
        <v>1440</v>
      </c>
      <c r="O223" s="38" t="s">
        <v>117</v>
      </c>
      <c r="P223" s="42">
        <v>13000</v>
      </c>
      <c r="Q223" s="43"/>
      <c r="R223" s="49" t="s">
        <v>357</v>
      </c>
      <c r="S223" s="50"/>
      <c r="U223" s="51"/>
      <c r="V223" s="46"/>
      <c r="W223" s="51">
        <f>IF(NOTA[[#This Row],[HARGA/ CTN]]="",NOTA[[#This Row],[JUMLAH_H]],NOTA[[#This Row],[HARGA/ CTN]]*IF(NOTA[[#This Row],[C]]="",0,NOTA[[#This Row],[C]]))</f>
        <v>18720000</v>
      </c>
      <c r="X223" s="51">
        <f>IF(NOTA[[#This Row],[JUMLAH]]="","",NOTA[[#This Row],[JUMLAH]]*NOTA[[#This Row],[DISC 1]])</f>
        <v>0</v>
      </c>
      <c r="Y223" s="51">
        <f>IF(NOTA[[#This Row],[JUMLAH]]="","",(NOTA[[#This Row],[JUMLAH]]-NOTA[[#This Row],[DISC 1-]])*NOTA[[#This Row],[DISC 2]])</f>
        <v>0</v>
      </c>
      <c r="Z223" s="51">
        <f>IF(NOTA[[#This Row],[JUMLAH]]="","",NOTA[[#This Row],[DISC 1-]]+NOTA[[#This Row],[DISC 2-]])</f>
        <v>0</v>
      </c>
      <c r="AA223" s="51">
        <f>IF(NOTA[[#This Row],[JUMLAH]]="","",NOTA[[#This Row],[JUMLAH]]-NOTA[[#This Row],[DISC]])</f>
        <v>18720000</v>
      </c>
      <c r="AB223" s="51"/>
      <c r="AC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E223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23" s="51">
        <f>IF(OR(NOTA[[#This Row],[QTY]]="",NOTA[[#This Row],[HARGA SATUAN]]="",),"",NOTA[[#This Row],[QTY]]*NOTA[[#This Row],[HARGA SATUAN]])</f>
        <v>18720000</v>
      </c>
      <c r="AG223" s="40">
        <f ca="1">IF(NOTA[ID_H]="","",INDEX(NOTA[TANGGAL],MATCH(,INDIRECT(ADDRESS(ROW(NOTA[TANGGAL]),COLUMN(NOTA[TANGGAL]))&amp;":"&amp;ADDRESS(ROW(),COLUMN(NOTA[TANGGAL]))),-1)))</f>
        <v>45117</v>
      </c>
      <c r="AH223" s="42" t="str">
        <f ca="1">IF(NOTA[[#This Row],[NAMA BARANG]]="","",INDEX(NOTA[SUPPLIER],MATCH(,INDIRECT(ADDRESS(ROW(NOTA[ID]),COLUMN(NOTA[ID]))&amp;":"&amp;ADDRESS(ROW(),COLUMN(NOTA[ID]))),-1)))</f>
        <v>BINTANG JAYA</v>
      </c>
      <c r="AI223" s="42" t="str">
        <f ca="1">IF(NOTA[[#This Row],[ID_H]]="","",IF(NOTA[[#This Row],[FAKTUR]]="",INDIRECT(ADDRESS(ROW()-1,COLUMN())),NOTA[[#This Row],[FAKTUR]]))</f>
        <v>UNTANA</v>
      </c>
      <c r="AJ223" s="39">
        <f ca="1">IF(NOTA[[#This Row],[ID]]="","",COUNTIF(NOTA[ID_H],NOTA[[#This Row],[ID_H]]))</f>
        <v>1</v>
      </c>
      <c r="AK223" s="39">
        <f>IF(NOTA[[#This Row],[TGL.NOTA]]="",IF(NOTA[[#This Row],[SUPPLIER_H]]="","",AK222),MONTH(NOTA[[#This Row],[TGL.NOTA]]))</f>
        <v>7</v>
      </c>
      <c r="AL223" s="39" t="str">
        <f>LOWER(SUBSTITUTE(SUBSTITUTE(SUBSTITUTE(SUBSTITUTE(SUBSTITUTE(SUBSTITUTE(SUBSTITUTE(SUBSTITUTE(SUBSTITUTE(NOTA[NAMA BARANG]," ",),".",""),"-",""),"(",""),")",""),",",""),"/",""),"""",""),"+",""))</f>
        <v>pencilcasekalengwbiscc1008</v>
      </c>
      <c r="AM2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pencilcasekalengwbiscc1008936000</v>
      </c>
      <c r="AN2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pencilcasekalengwbiscc1008936000</v>
      </c>
      <c r="AO223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JAYAUNTANASI.2023.07.0019345115pencilcasekalengwbiscc1008</v>
      </c>
      <c r="AP223" s="39" t="e">
        <f>IF(NOTA[[#This Row],[CONCAT4]]="","",_xlfn.IFNA(MATCH(NOTA[[#This Row],[CONCAT4]],[2]!RAW[CONCAT_H],0),FALSE))</f>
        <v>#REF!</v>
      </c>
      <c r="AQ223" s="39">
        <f>IF(NOTA[[#This Row],[CONCAT1]]="","",MATCH(NOTA[[#This Row],[CONCAT1]],[3]!db[NB NOTA_C],0))</f>
        <v>1938</v>
      </c>
      <c r="AR223" s="39" t="b">
        <f>IF(NOTA[[#This Row],[QTY/ CTN]]="","",TRUE)</f>
        <v>1</v>
      </c>
      <c r="AS223" s="39" t="str">
        <f ca="1">IF(NOTA[[#This Row],[ID_H]]="","",IF(NOTA[[#This Row],[Column3]]=TRUE,NOTA[[#This Row],[QTY/ CTN]],INDEX([3]!db[QTY/ CTN],NOTA[[#This Row],[//DB]])))</f>
        <v>72 PCS</v>
      </c>
      <c r="AT2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pencilcasekalengwbiscc100872pcsuntana</v>
      </c>
      <c r="AU223" s="39" t="e">
        <f ca="1">IF(NOTA[[#This Row],[ID_H]]="","",MATCH(NOTA[[#This Row],[NB NOTA_C_QTY]],[4]!db[NB NOTA_C_QTY+F],0))</f>
        <v>#REF!</v>
      </c>
      <c r="AV223" s="55">
        <f ca="1">IF(NOTA[[#This Row],[NB NOTA_C_QTY]]="","",ROW()-2)</f>
        <v>221</v>
      </c>
    </row>
    <row r="224" spans="1:48" ht="20.100000000000001" customHeight="1" x14ac:dyDescent="0.25">
      <c r="A2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47"/>
      <c r="H224" s="48"/>
      <c r="N224" s="39"/>
      <c r="Q224" s="43"/>
      <c r="R224" s="49"/>
      <c r="S224" s="50"/>
      <c r="U224" s="51"/>
      <c r="V224" s="46"/>
      <c r="W224" s="51" t="str">
        <f>IF(NOTA[[#This Row],[HARGA/ CTN]]="",NOTA[[#This Row],[JUMLAH_H]],NOTA[[#This Row],[HARGA/ CTN]]*IF(NOTA[[#This Row],[C]]="",0,NOTA[[#This Row],[C]]))</f>
        <v/>
      </c>
      <c r="X224" s="51" t="str">
        <f>IF(NOTA[[#This Row],[JUMLAH]]="","",NOTA[[#This Row],[JUMLAH]]*NOTA[[#This Row],[DISC 1]])</f>
        <v/>
      </c>
      <c r="Y224" s="51" t="str">
        <f>IF(NOTA[[#This Row],[JUMLAH]]="","",(NOTA[[#This Row],[JUMLAH]]-NOTA[[#This Row],[DISC 1-]])*NOTA[[#This Row],[DISC 2]])</f>
        <v/>
      </c>
      <c r="Z224" s="51" t="str">
        <f>IF(NOTA[[#This Row],[JUMLAH]]="","",NOTA[[#This Row],[DISC 1-]]+NOTA[[#This Row],[DISC 2-]])</f>
        <v/>
      </c>
      <c r="AA224" s="51" t="str">
        <f>IF(NOTA[[#This Row],[JUMLAH]]="","",NOTA[[#This Row],[JUMLAH]]-NOTA[[#This Row],[DISC]])</f>
        <v/>
      </c>
      <c r="AB224" s="51"/>
      <c r="AC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1" t="str">
        <f>IF(OR(NOTA[[#This Row],[QTY]]="",NOTA[[#This Row],[HARGA SATUAN]]="",),"",NOTA[[#This Row],[QTY]]*NOTA[[#This Row],[HARGA SATUAN]])</f>
        <v/>
      </c>
      <c r="AG224" s="40" t="str">
        <f ca="1">IF(NOTA[ID_H]="","",INDEX(NOTA[TANGGAL],MATCH(,INDIRECT(ADDRESS(ROW(NOTA[TANGGAL]),COLUMN(NOTA[TANGGAL]))&amp;":"&amp;ADDRESS(ROW(),COLUMN(NOTA[TANGGAL]))),-1)))</f>
        <v/>
      </c>
      <c r="AH224" s="42" t="str">
        <f ca="1">IF(NOTA[[#This Row],[NAMA BARANG]]="","",INDEX(NOTA[SUPPLIER],MATCH(,INDIRECT(ADDRESS(ROW(NOTA[ID]),COLUMN(NOTA[ID]))&amp;":"&amp;ADDRESS(ROW(),COLUMN(NOTA[ID]))),-1)))</f>
        <v/>
      </c>
      <c r="AI224" s="42" t="str">
        <f ca="1">IF(NOTA[[#This Row],[ID_H]]="","",IF(NOTA[[#This Row],[FAKTUR]]="",INDIRECT(ADDRESS(ROW()-1,COLUMN())),NOTA[[#This Row],[FAKTUR]]))</f>
        <v/>
      </c>
      <c r="AJ224" s="39" t="str">
        <f ca="1">IF(NOTA[[#This Row],[ID]]="","",COUNTIF(NOTA[ID_H],NOTA[[#This Row],[ID_H]]))</f>
        <v/>
      </c>
      <c r="AK224" s="39" t="str">
        <f ca="1">IF(NOTA[[#This Row],[TGL.NOTA]]="",IF(NOTA[[#This Row],[SUPPLIER_H]]="","",AK223),MONTH(NOTA[[#This Row],[TGL.NOTA]]))</f>
        <v/>
      </c>
      <c r="AL224" s="39" t="str">
        <f>LOWER(SUBSTITUTE(SUBSTITUTE(SUBSTITUTE(SUBSTITUTE(SUBSTITUTE(SUBSTITUTE(SUBSTITUTE(SUBSTITUTE(SUBSTITUTE(NOTA[NAMA BARANG]," ",),".",""),"-",""),"(",""),")",""),",",""),"/",""),"""",""),"+",""))</f>
        <v/>
      </c>
      <c r="AM2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9" t="str">
        <f>IF(NOTA[[#This Row],[CONCAT4]]="","",_xlfn.IFNA(MATCH(NOTA[[#This Row],[CONCAT4]],[2]!RAW[CONCAT_H],0),FALSE))</f>
        <v/>
      </c>
      <c r="AQ224" s="39" t="str">
        <f>IF(NOTA[[#This Row],[CONCAT1]]="","",MATCH(NOTA[[#This Row],[CONCAT1]],[3]!db[NB NOTA_C],0))</f>
        <v/>
      </c>
      <c r="AR224" s="39" t="str">
        <f>IF(NOTA[[#This Row],[QTY/ CTN]]="","",TRUE)</f>
        <v/>
      </c>
      <c r="AS224" s="39" t="str">
        <f ca="1">IF(NOTA[[#This Row],[ID_H]]="","",IF(NOTA[[#This Row],[Column3]]=TRUE,NOTA[[#This Row],[QTY/ CTN]],INDEX([3]!db[QTY/ CTN],NOTA[[#This Row],[//DB]])))</f>
        <v/>
      </c>
      <c r="AT2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9" t="str">
        <f ca="1">IF(NOTA[[#This Row],[ID_H]]="","",MATCH(NOTA[[#This Row],[NB NOTA_C_QTY]],[4]!db[NB NOTA_C_QTY+F],0))</f>
        <v/>
      </c>
      <c r="AV224" s="55" t="str">
        <f ca="1">IF(NOTA[[#This Row],[NB NOTA_C_QTY]]="","",ROW()-2)</f>
        <v/>
      </c>
    </row>
    <row r="225" spans="1:48" ht="20.100000000000001" customHeight="1" x14ac:dyDescent="0.25">
      <c r="A225" s="42">
        <f ca="1">IF(INDIRECT(ADDRESS(ROW()-1,COLUMN(NOTA[[#Headers],[ID]])))="ID",1,IF(NOTA[[#This Row],[FAKTUR]]="","",COUNT(INDIRECT(ADDRESS(ROW(NOTA[ID]),COLUMN(NOTA[ID]))&amp;":"&amp;ADDRESS(ROW()-1,COLUMN(NOTA[ID]))))+1))</f>
        <v>50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SBS_1007_B1M-3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50</v>
      </c>
      <c r="E225" s="47"/>
      <c r="F225" s="38" t="s">
        <v>165</v>
      </c>
      <c r="G225" s="38" t="s">
        <v>145</v>
      </c>
      <c r="H225" s="48" t="s">
        <v>358</v>
      </c>
      <c r="J225" s="40">
        <v>45113</v>
      </c>
      <c r="L225" s="38" t="s">
        <v>364</v>
      </c>
      <c r="M225" s="41">
        <v>2</v>
      </c>
      <c r="N225" s="39">
        <v>480</v>
      </c>
      <c r="O225" s="38" t="s">
        <v>117</v>
      </c>
      <c r="P225" s="42">
        <v>8700</v>
      </c>
      <c r="Q225" s="43"/>
      <c r="R225" s="49" t="s">
        <v>259</v>
      </c>
      <c r="S225" s="50"/>
      <c r="U225" s="51"/>
      <c r="V225" s="46"/>
      <c r="W225" s="51">
        <f>IF(NOTA[[#This Row],[HARGA/ CTN]]="",NOTA[[#This Row],[JUMLAH_H]],NOTA[[#This Row],[HARGA/ CTN]]*IF(NOTA[[#This Row],[C]]="",0,NOTA[[#This Row],[C]]))</f>
        <v>4176000</v>
      </c>
      <c r="X225" s="51">
        <f>IF(NOTA[[#This Row],[JUMLAH]]="","",NOTA[[#This Row],[JUMLAH]]*NOTA[[#This Row],[DISC 1]])</f>
        <v>0</v>
      </c>
      <c r="Y225" s="51">
        <f>IF(NOTA[[#This Row],[JUMLAH]]="","",(NOTA[[#This Row],[JUMLAH]]-NOTA[[#This Row],[DISC 1-]])*NOTA[[#This Row],[DISC 2]])</f>
        <v>0</v>
      </c>
      <c r="Z225" s="51">
        <f>IF(NOTA[[#This Row],[JUMLAH]]="","",NOTA[[#This Row],[DISC 1-]]+NOTA[[#This Row],[DISC 2-]])</f>
        <v>0</v>
      </c>
      <c r="AA225" s="51">
        <f>IF(NOTA[[#This Row],[JUMLAH]]="","",NOTA[[#This Row],[JUMLAH]]-NOTA[[#This Row],[DISC]])</f>
        <v>4176000</v>
      </c>
      <c r="AB225" s="51"/>
      <c r="AC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5" s="51">
        <f>IF(OR(NOTA[[#This Row],[QTY]]="",NOTA[[#This Row],[HARGA SATUAN]]="",),"",NOTA[[#This Row],[QTY]]*NOTA[[#This Row],[HARGA SATUAN]])</f>
        <v>4176000</v>
      </c>
      <c r="AG225" s="40">
        <f ca="1">IF(NOTA[ID_H]="","",INDEX(NOTA[TANGGAL],MATCH(,INDIRECT(ADDRESS(ROW(NOTA[TANGGAL]),COLUMN(NOTA[TANGGAL]))&amp;":"&amp;ADDRESS(ROW(),COLUMN(NOTA[TANGGAL]))),-1)))</f>
        <v>45117</v>
      </c>
      <c r="AH225" s="42" t="str">
        <f ca="1">IF(NOTA[[#This Row],[NAMA BARANG]]="","",INDEX(NOTA[SUPPLIER],MATCH(,INDIRECT(ADDRESS(ROW(NOTA[ID]),COLUMN(NOTA[ID]))&amp;":"&amp;ADDRESS(ROW(),COLUMN(NOTA[ID]))),-1)))</f>
        <v>SBS</v>
      </c>
      <c r="AI225" s="42" t="str">
        <f ca="1">IF(NOTA[[#This Row],[ID_H]]="","",IF(NOTA[[#This Row],[FAKTUR]]="",INDIRECT(ADDRESS(ROW()-1,COLUMN())),NOTA[[#This Row],[FAKTUR]]))</f>
        <v>UNTANA</v>
      </c>
      <c r="AJ225" s="39">
        <f ca="1">IF(NOTA[[#This Row],[ID]]="","",COUNTIF(NOTA[ID_H],NOTA[[#This Row],[ID_H]]))</f>
        <v>3</v>
      </c>
      <c r="AK225" s="39">
        <f>IF(NOTA[[#This Row],[TGL.NOTA]]="",IF(NOTA[[#This Row],[SUPPLIER_H]]="","",AK224),MONTH(NOTA[[#This Row],[TGL.NOTA]]))</f>
        <v>7</v>
      </c>
      <c r="AL225" s="39" t="str">
        <f>LOWER(SUBSTITUTE(SUBSTITUTE(SUBSTITUTE(SUBSTITUTE(SUBSTITUTE(SUBSTITUTE(SUBSTITUTE(SUBSTITUTE(SUBSTITUTE(NOTA[NAMA BARANG]," ",),".",""),"-",""),"(",""),")",""),",",""),"/",""),"""",""),"+",""))</f>
        <v>bnltaliaa032106a680bear</v>
      </c>
      <c r="AM2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bnltaliaa032106a680bear2088000</v>
      </c>
      <c r="AN2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bnltaliaa032106a680bear2088000</v>
      </c>
      <c r="AO22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SBSUNTANAVG0229B1M45113bnltaliaa032106a680bear</v>
      </c>
      <c r="AP225" s="39" t="e">
        <f>IF(NOTA[[#This Row],[CONCAT4]]="","",_xlfn.IFNA(MATCH(NOTA[[#This Row],[CONCAT4]],[2]!RAW[CONCAT_H],0),FALSE))</f>
        <v>#REF!</v>
      </c>
      <c r="AQ225" s="39">
        <f>IF(NOTA[[#This Row],[CONCAT1]]="","",MATCH(NOTA[[#This Row],[CONCAT1]],[3]!db[NB NOTA_C],0))</f>
        <v>380</v>
      </c>
      <c r="AR225" s="39" t="b">
        <f>IF(NOTA[[#This Row],[QTY/ CTN]]="","",TRUE)</f>
        <v>1</v>
      </c>
      <c r="AS225" s="39" t="str">
        <f ca="1">IF(NOTA[[#This Row],[ID_H]]="","",IF(NOTA[[#This Row],[Column3]]=TRUE,NOTA[[#This Row],[QTY/ CTN]],INDEX([3]!db[QTY/ CTN],NOTA[[#This Row],[//DB]])))</f>
        <v>240 PCS</v>
      </c>
      <c r="AT2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bnltaliaa032106a680bear240pcsuntana</v>
      </c>
      <c r="AU225" s="39" t="e">
        <f ca="1">IF(NOTA[[#This Row],[ID_H]]="","",MATCH(NOTA[[#This Row],[NB NOTA_C_QTY]],[4]!db[NB NOTA_C_QTY+F],0))</f>
        <v>#REF!</v>
      </c>
      <c r="AV225" s="55">
        <f ca="1">IF(NOTA[[#This Row],[NB NOTA_C_QTY]]="","",ROW()-2)</f>
        <v>223</v>
      </c>
    </row>
    <row r="226" spans="1:48" ht="20.100000000000001" customHeight="1" x14ac:dyDescent="0.25">
      <c r="A2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50</v>
      </c>
      <c r="E226" s="47"/>
      <c r="H226" s="48"/>
      <c r="L226" s="38" t="s">
        <v>365</v>
      </c>
      <c r="M226" s="41">
        <v>2</v>
      </c>
      <c r="N226" s="39">
        <v>480</v>
      </c>
      <c r="O226" s="38" t="s">
        <v>117</v>
      </c>
      <c r="P226" s="42">
        <v>8700</v>
      </c>
      <c r="Q226" s="43"/>
      <c r="R226" s="49" t="s">
        <v>259</v>
      </c>
      <c r="S226" s="50"/>
      <c r="U226" s="51"/>
      <c r="V226" s="46"/>
      <c r="W226" s="51">
        <f>IF(NOTA[[#This Row],[HARGA/ CTN]]="",NOTA[[#This Row],[JUMLAH_H]],NOTA[[#This Row],[HARGA/ CTN]]*IF(NOTA[[#This Row],[C]]="",0,NOTA[[#This Row],[C]]))</f>
        <v>4176000</v>
      </c>
      <c r="X226" s="51">
        <f>IF(NOTA[[#This Row],[JUMLAH]]="","",NOTA[[#This Row],[JUMLAH]]*NOTA[[#This Row],[DISC 1]])</f>
        <v>0</v>
      </c>
      <c r="Y226" s="51">
        <f>IF(NOTA[[#This Row],[JUMLAH]]="","",(NOTA[[#This Row],[JUMLAH]]-NOTA[[#This Row],[DISC 1-]])*NOTA[[#This Row],[DISC 2]])</f>
        <v>0</v>
      </c>
      <c r="Z226" s="51">
        <f>IF(NOTA[[#This Row],[JUMLAH]]="","",NOTA[[#This Row],[DISC 1-]]+NOTA[[#This Row],[DISC 2-]])</f>
        <v>0</v>
      </c>
      <c r="AA226" s="51">
        <f>IF(NOTA[[#This Row],[JUMLAH]]="","",NOTA[[#This Row],[JUMLAH]]-NOTA[[#This Row],[DISC]])</f>
        <v>4176000</v>
      </c>
      <c r="AB226" s="51"/>
      <c r="AC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6" s="51">
        <f>IF(OR(NOTA[[#This Row],[QTY]]="",NOTA[[#This Row],[HARGA SATUAN]]="",),"",NOTA[[#This Row],[QTY]]*NOTA[[#This Row],[HARGA SATUAN]])</f>
        <v>4176000</v>
      </c>
      <c r="AG226" s="40">
        <f ca="1">IF(NOTA[ID_H]="","",INDEX(NOTA[TANGGAL],MATCH(,INDIRECT(ADDRESS(ROW(NOTA[TANGGAL]),COLUMN(NOTA[TANGGAL]))&amp;":"&amp;ADDRESS(ROW(),COLUMN(NOTA[TANGGAL]))),-1)))</f>
        <v>45117</v>
      </c>
      <c r="AH226" s="42" t="str">
        <f ca="1">IF(NOTA[[#This Row],[NAMA BARANG]]="","",INDEX(NOTA[SUPPLIER],MATCH(,INDIRECT(ADDRESS(ROW(NOTA[ID]),COLUMN(NOTA[ID]))&amp;":"&amp;ADDRESS(ROW(),COLUMN(NOTA[ID]))),-1)))</f>
        <v>SBS</v>
      </c>
      <c r="AI226" s="42" t="str">
        <f ca="1">IF(NOTA[[#This Row],[ID_H]]="","",IF(NOTA[[#This Row],[FAKTUR]]="",INDIRECT(ADDRESS(ROW()-1,COLUMN())),NOTA[[#This Row],[FAKTUR]]))</f>
        <v>UNTANA</v>
      </c>
      <c r="AJ226" s="39" t="str">
        <f ca="1">IF(NOTA[[#This Row],[ID]]="","",COUNTIF(NOTA[ID_H],NOTA[[#This Row],[ID_H]]))</f>
        <v/>
      </c>
      <c r="AK226" s="39">
        <f ca="1">IF(NOTA[[#This Row],[TGL.NOTA]]="",IF(NOTA[[#This Row],[SUPPLIER_H]]="","",AK225),MONTH(NOTA[[#This Row],[TGL.NOTA]]))</f>
        <v>7</v>
      </c>
      <c r="AL226" s="39" t="str">
        <f>LOWER(SUBSTITUTE(SUBSTITUTE(SUBSTITUTE(SUBSTITUTE(SUBSTITUTE(SUBSTITUTE(SUBSTITUTE(SUBSTITUTE(SUBSTITUTE(NOTA[NAMA BARANG]," ",),".",""),"-",""),"(",""),")",""),",",""),"/",""),"""",""),"+",""))</f>
        <v>bnltaliaa032109a680universe</v>
      </c>
      <c r="AM2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bnltaliaa032109a680universe2088000</v>
      </c>
      <c r="AN2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bnltaliaa032109a680universe2088000</v>
      </c>
      <c r="AO2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9" t="str">
        <f>IF(NOTA[[#This Row],[CONCAT4]]="","",_xlfn.IFNA(MATCH(NOTA[[#This Row],[CONCAT4]],[2]!RAW[CONCAT_H],0),FALSE))</f>
        <v/>
      </c>
      <c r="AQ226" s="39">
        <f>IF(NOTA[[#This Row],[CONCAT1]]="","",MATCH(NOTA[[#This Row],[CONCAT1]],[3]!db[NB NOTA_C],0))</f>
        <v>381</v>
      </c>
      <c r="AR226" s="39" t="b">
        <f>IF(NOTA[[#This Row],[QTY/ CTN]]="","",TRUE)</f>
        <v>1</v>
      </c>
      <c r="AS226" s="39" t="str">
        <f ca="1">IF(NOTA[[#This Row],[ID_H]]="","",IF(NOTA[[#This Row],[Column3]]=TRUE,NOTA[[#This Row],[QTY/ CTN]],INDEX([3]!db[QTY/ CTN],NOTA[[#This Row],[//DB]])))</f>
        <v>240 PCS</v>
      </c>
      <c r="AT2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bnltaliaa032109a680universe240pcsuntana</v>
      </c>
      <c r="AU226" s="39" t="e">
        <f ca="1">IF(NOTA[[#This Row],[ID_H]]="","",MATCH(NOTA[[#This Row],[NB NOTA_C_QTY]],[4]!db[NB NOTA_C_QTY+F],0))</f>
        <v>#REF!</v>
      </c>
      <c r="AV226" s="55">
        <f ca="1">IF(NOTA[[#This Row],[NB NOTA_C_QTY]]="","",ROW()-2)</f>
        <v>224</v>
      </c>
    </row>
    <row r="227" spans="1:48" ht="20.100000000000001" customHeight="1" x14ac:dyDescent="0.25">
      <c r="A2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50</v>
      </c>
      <c r="E227" s="47"/>
      <c r="H227" s="48"/>
      <c r="L227" s="38" t="s">
        <v>366</v>
      </c>
      <c r="M227" s="41">
        <v>2</v>
      </c>
      <c r="N227" s="39">
        <v>480</v>
      </c>
      <c r="O227" s="38" t="s">
        <v>117</v>
      </c>
      <c r="P227" s="42">
        <v>8700</v>
      </c>
      <c r="Q227" s="43"/>
      <c r="R227" s="49" t="s">
        <v>259</v>
      </c>
      <c r="S227" s="50"/>
      <c r="U227" s="51"/>
      <c r="V227" s="46"/>
      <c r="W227" s="51">
        <f>IF(NOTA[[#This Row],[HARGA/ CTN]]="",NOTA[[#This Row],[JUMLAH_H]],NOTA[[#This Row],[HARGA/ CTN]]*IF(NOTA[[#This Row],[C]]="",0,NOTA[[#This Row],[C]]))</f>
        <v>4176000</v>
      </c>
      <c r="X227" s="51">
        <f>IF(NOTA[[#This Row],[JUMLAH]]="","",NOTA[[#This Row],[JUMLAH]]*NOTA[[#This Row],[DISC 1]])</f>
        <v>0</v>
      </c>
      <c r="Y227" s="51">
        <f>IF(NOTA[[#This Row],[JUMLAH]]="","",(NOTA[[#This Row],[JUMLAH]]-NOTA[[#This Row],[DISC 1-]])*NOTA[[#This Row],[DISC 2]])</f>
        <v>0</v>
      </c>
      <c r="Z227" s="51">
        <f>IF(NOTA[[#This Row],[JUMLAH]]="","",NOTA[[#This Row],[DISC 1-]]+NOTA[[#This Row],[DISC 2-]])</f>
        <v>0</v>
      </c>
      <c r="AA227" s="51">
        <f>IF(NOTA[[#This Row],[JUMLAH]]="","",NOTA[[#This Row],[JUMLAH]]-NOTA[[#This Row],[DISC]])</f>
        <v>4176000</v>
      </c>
      <c r="AB227" s="51"/>
      <c r="AC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12528000</v>
      </c>
      <c r="AE227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7" s="51">
        <f>IF(OR(NOTA[[#This Row],[QTY]]="",NOTA[[#This Row],[HARGA SATUAN]]="",),"",NOTA[[#This Row],[QTY]]*NOTA[[#This Row],[HARGA SATUAN]])</f>
        <v>4176000</v>
      </c>
      <c r="AG227" s="40">
        <f ca="1">IF(NOTA[ID_H]="","",INDEX(NOTA[TANGGAL],MATCH(,INDIRECT(ADDRESS(ROW(NOTA[TANGGAL]),COLUMN(NOTA[TANGGAL]))&amp;":"&amp;ADDRESS(ROW(),COLUMN(NOTA[TANGGAL]))),-1)))</f>
        <v>45117</v>
      </c>
      <c r="AH227" s="42" t="str">
        <f ca="1">IF(NOTA[[#This Row],[NAMA BARANG]]="","",INDEX(NOTA[SUPPLIER],MATCH(,INDIRECT(ADDRESS(ROW(NOTA[ID]),COLUMN(NOTA[ID]))&amp;":"&amp;ADDRESS(ROW(),COLUMN(NOTA[ID]))),-1)))</f>
        <v>SBS</v>
      </c>
      <c r="AI227" s="42" t="str">
        <f ca="1">IF(NOTA[[#This Row],[ID_H]]="","",IF(NOTA[[#This Row],[FAKTUR]]="",INDIRECT(ADDRESS(ROW()-1,COLUMN())),NOTA[[#This Row],[FAKTUR]]))</f>
        <v>UNTANA</v>
      </c>
      <c r="AJ227" s="39" t="str">
        <f ca="1">IF(NOTA[[#This Row],[ID]]="","",COUNTIF(NOTA[ID_H],NOTA[[#This Row],[ID_H]]))</f>
        <v/>
      </c>
      <c r="AK227" s="39">
        <f ca="1">IF(NOTA[[#This Row],[TGL.NOTA]]="",IF(NOTA[[#This Row],[SUPPLIER_H]]="","",AK226),MONTH(NOTA[[#This Row],[TGL.NOTA]]))</f>
        <v>7</v>
      </c>
      <c r="AL227" s="39" t="str">
        <f>LOWER(SUBSTITUTE(SUBSTITUTE(SUBSTITUTE(SUBSTITUTE(SUBSTITUTE(SUBSTITUTE(SUBSTITUTE(SUBSTITUTE(SUBSTITUTE(NOTA[NAMA BARANG]," ",),".",""),"-",""),"(",""),")",""),",",""),"/",""),"""",""),"+",""))</f>
        <v>bnltaliaa032110a680sr</v>
      </c>
      <c r="AM2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bnltaliaa032110a680sr2088000</v>
      </c>
      <c r="AN2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bnltaliaa032110a680sr2088000</v>
      </c>
      <c r="AO2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9" t="str">
        <f>IF(NOTA[[#This Row],[CONCAT4]]="","",_xlfn.IFNA(MATCH(NOTA[[#This Row],[CONCAT4]],[2]!RAW[CONCAT_H],0),FALSE))</f>
        <v/>
      </c>
      <c r="AQ227" s="39">
        <f>IF(NOTA[[#This Row],[CONCAT1]]="","",MATCH(NOTA[[#This Row],[CONCAT1]],[3]!db[NB NOTA_C],0))</f>
        <v>382</v>
      </c>
      <c r="AR227" s="39" t="b">
        <f>IF(NOTA[[#This Row],[QTY/ CTN]]="","",TRUE)</f>
        <v>1</v>
      </c>
      <c r="AS227" s="39" t="str">
        <f ca="1">IF(NOTA[[#This Row],[ID_H]]="","",IF(NOTA[[#This Row],[Column3]]=TRUE,NOTA[[#This Row],[QTY/ CTN]],INDEX([3]!db[QTY/ CTN],NOTA[[#This Row],[//DB]])))</f>
        <v>240 PCS</v>
      </c>
      <c r="AT2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bnltaliaa032110a680sr240pcsuntana</v>
      </c>
      <c r="AU227" s="39" t="e">
        <f ca="1">IF(NOTA[[#This Row],[ID_H]]="","",MATCH(NOTA[[#This Row],[NB NOTA_C_QTY]],[4]!db[NB NOTA_C_QTY+F],0))</f>
        <v>#REF!</v>
      </c>
      <c r="AV227" s="55">
        <f ca="1">IF(NOTA[[#This Row],[NB NOTA_C_QTY]]="","",ROW()-2)</f>
        <v>225</v>
      </c>
    </row>
    <row r="228" spans="1:48" ht="20.100000000000001" customHeight="1" x14ac:dyDescent="0.25">
      <c r="A2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 t="str">
        <f ca="1">IF(NOTA[[#This Row],[NAMA BARANG]]="","",INDEX(NOTA[ID],MATCH(,INDIRECT(ADDRESS(ROW(NOTA[ID]),COLUMN(NOTA[ID]))&amp;":"&amp;ADDRESS(ROW(),COLUMN(NOTA[ID]))),-1)))</f>
        <v/>
      </c>
      <c r="E228" s="47"/>
      <c r="H228" s="48"/>
      <c r="N228" s="39"/>
      <c r="Q228" s="43"/>
      <c r="R228" s="49"/>
      <c r="S228" s="50"/>
      <c r="U228" s="51"/>
      <c r="V228" s="46"/>
      <c r="W228" s="51" t="str">
        <f>IF(NOTA[[#This Row],[HARGA/ CTN]]="",NOTA[[#This Row],[JUMLAH_H]],NOTA[[#This Row],[HARGA/ CTN]]*IF(NOTA[[#This Row],[C]]="",0,NOTA[[#This Row],[C]]))</f>
        <v/>
      </c>
      <c r="X228" s="51" t="str">
        <f>IF(NOTA[[#This Row],[JUMLAH]]="","",NOTA[[#This Row],[JUMLAH]]*NOTA[[#This Row],[DISC 1]])</f>
        <v/>
      </c>
      <c r="Y228" s="51" t="str">
        <f>IF(NOTA[[#This Row],[JUMLAH]]="","",(NOTA[[#This Row],[JUMLAH]]-NOTA[[#This Row],[DISC 1-]])*NOTA[[#This Row],[DISC 2]])</f>
        <v/>
      </c>
      <c r="Z228" s="51" t="str">
        <f>IF(NOTA[[#This Row],[JUMLAH]]="","",NOTA[[#This Row],[DISC 1-]]+NOTA[[#This Row],[DISC 2-]])</f>
        <v/>
      </c>
      <c r="AA228" s="51" t="str">
        <f>IF(NOTA[[#This Row],[JUMLAH]]="","",NOTA[[#This Row],[JUMLAH]]-NOTA[[#This Row],[DISC]])</f>
        <v/>
      </c>
      <c r="AB228" s="51"/>
      <c r="AC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1" t="str">
        <f>IF(OR(NOTA[[#This Row],[QTY]]="",NOTA[[#This Row],[HARGA SATUAN]]="",),"",NOTA[[#This Row],[QTY]]*NOTA[[#This Row],[HARGA SATUAN]])</f>
        <v/>
      </c>
      <c r="AG228" s="40" t="str">
        <f ca="1">IF(NOTA[ID_H]="","",INDEX(NOTA[TANGGAL],MATCH(,INDIRECT(ADDRESS(ROW(NOTA[TANGGAL]),COLUMN(NOTA[TANGGAL]))&amp;":"&amp;ADDRESS(ROW(),COLUMN(NOTA[TANGGAL]))),-1)))</f>
        <v/>
      </c>
      <c r="AH228" s="42" t="str">
        <f ca="1">IF(NOTA[[#This Row],[NAMA BARANG]]="","",INDEX(NOTA[SUPPLIER],MATCH(,INDIRECT(ADDRESS(ROW(NOTA[ID]),COLUMN(NOTA[ID]))&amp;":"&amp;ADDRESS(ROW(),COLUMN(NOTA[ID]))),-1)))</f>
        <v/>
      </c>
      <c r="AI228" s="42" t="str">
        <f ca="1">IF(NOTA[[#This Row],[ID_H]]="","",IF(NOTA[[#This Row],[FAKTUR]]="",INDIRECT(ADDRESS(ROW()-1,COLUMN())),NOTA[[#This Row],[FAKTUR]]))</f>
        <v/>
      </c>
      <c r="AJ228" s="39" t="str">
        <f ca="1">IF(NOTA[[#This Row],[ID]]="","",COUNTIF(NOTA[ID_H],NOTA[[#This Row],[ID_H]]))</f>
        <v/>
      </c>
      <c r="AK228" s="39" t="str">
        <f ca="1">IF(NOTA[[#This Row],[TGL.NOTA]]="",IF(NOTA[[#This Row],[SUPPLIER_H]]="","",AK227),MONTH(NOTA[[#This Row],[TGL.NOTA]]))</f>
        <v/>
      </c>
      <c r="AL228" s="39" t="str">
        <f>LOWER(SUBSTITUTE(SUBSTITUTE(SUBSTITUTE(SUBSTITUTE(SUBSTITUTE(SUBSTITUTE(SUBSTITUTE(SUBSTITUTE(SUBSTITUTE(NOTA[NAMA BARANG]," ",),".",""),"-",""),"(",""),")",""),",",""),"/",""),"""",""),"+",""))</f>
        <v/>
      </c>
      <c r="AM2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9" t="str">
        <f>IF(NOTA[[#This Row],[CONCAT4]]="","",_xlfn.IFNA(MATCH(NOTA[[#This Row],[CONCAT4]],[2]!RAW[CONCAT_H],0),FALSE))</f>
        <v/>
      </c>
      <c r="AQ228" s="39" t="str">
        <f>IF(NOTA[[#This Row],[CONCAT1]]="","",MATCH(NOTA[[#This Row],[CONCAT1]],[3]!db[NB NOTA_C],0))</f>
        <v/>
      </c>
      <c r="AR228" s="39" t="str">
        <f>IF(NOTA[[#This Row],[QTY/ CTN]]="","",TRUE)</f>
        <v/>
      </c>
      <c r="AS228" s="39" t="str">
        <f ca="1">IF(NOTA[[#This Row],[ID_H]]="","",IF(NOTA[[#This Row],[Column3]]=TRUE,NOTA[[#This Row],[QTY/ CTN]],INDEX([3]!db[QTY/ CTN],NOTA[[#This Row],[//DB]])))</f>
        <v/>
      </c>
      <c r="AT2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9" t="str">
        <f ca="1">IF(NOTA[[#This Row],[ID_H]]="","",MATCH(NOTA[[#This Row],[NB NOTA_C_QTY]],[4]!db[NB NOTA_C_QTY+F],0))</f>
        <v/>
      </c>
      <c r="AV228" s="55" t="str">
        <f ca="1">IF(NOTA[[#This Row],[NB NOTA_C_QTY]]="","",ROW()-2)</f>
        <v/>
      </c>
    </row>
    <row r="229" spans="1:48" ht="20.100000000000001" customHeight="1" x14ac:dyDescent="0.25">
      <c r="A229" s="42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SBS_1007_B1M-6</v>
      </c>
      <c r="C229" s="39" t="e">
        <f ca="1">IF(NOTA[[#This Row],[ID_P]]="","",MATCH(NOTA[[#This Row],[ID_P]],[1]!B_MSK[N_ID],0))</f>
        <v>#REF!</v>
      </c>
      <c r="D229" s="39">
        <f ca="1">IF(NOTA[[#This Row],[NAMA BARANG]]="","",INDEX(NOTA[ID],MATCH(,INDIRECT(ADDRESS(ROW(NOTA[ID]),COLUMN(NOTA[ID]))&amp;":"&amp;ADDRESS(ROW(),COLUMN(NOTA[ID]))),-1)))</f>
        <v>51</v>
      </c>
      <c r="E229" s="47"/>
      <c r="F229" s="38" t="s">
        <v>165</v>
      </c>
      <c r="G229" s="38" t="s">
        <v>145</v>
      </c>
      <c r="H229" s="48" t="s">
        <v>359</v>
      </c>
      <c r="J229" s="40">
        <v>45113</v>
      </c>
      <c r="L229" s="38" t="s">
        <v>367</v>
      </c>
      <c r="M229" s="41">
        <v>2</v>
      </c>
      <c r="N229" s="39">
        <v>768</v>
      </c>
      <c r="O229" s="38" t="s">
        <v>117</v>
      </c>
      <c r="P229" s="42">
        <v>6750</v>
      </c>
      <c r="Q229" s="43"/>
      <c r="R229" s="49" t="s">
        <v>360</v>
      </c>
      <c r="S229" s="50"/>
      <c r="U229" s="51"/>
      <c r="V229" s="46"/>
      <c r="W229" s="51">
        <f>IF(NOTA[[#This Row],[HARGA/ CTN]]="",NOTA[[#This Row],[JUMLAH_H]],NOTA[[#This Row],[HARGA/ CTN]]*IF(NOTA[[#This Row],[C]]="",0,NOTA[[#This Row],[C]]))</f>
        <v>5184000</v>
      </c>
      <c r="X229" s="51">
        <f>IF(NOTA[[#This Row],[JUMLAH]]="","",NOTA[[#This Row],[JUMLAH]]*NOTA[[#This Row],[DISC 1]])</f>
        <v>0</v>
      </c>
      <c r="Y229" s="51">
        <f>IF(NOTA[[#This Row],[JUMLAH]]="","",(NOTA[[#This Row],[JUMLAH]]-NOTA[[#This Row],[DISC 1-]])*NOTA[[#This Row],[DISC 2]])</f>
        <v>0</v>
      </c>
      <c r="Z229" s="51">
        <f>IF(NOTA[[#This Row],[JUMLAH]]="","",NOTA[[#This Row],[DISC 1-]]+NOTA[[#This Row],[DISC 2-]])</f>
        <v>0</v>
      </c>
      <c r="AA229" s="51">
        <f>IF(NOTA[[#This Row],[JUMLAH]]="","",NOTA[[#This Row],[JUMLAH]]-NOTA[[#This Row],[DISC]])</f>
        <v>5184000</v>
      </c>
      <c r="AB229" s="51"/>
      <c r="AC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9" s="51">
        <f>IF(OR(NOTA[[#This Row],[QTY]]="",NOTA[[#This Row],[HARGA SATUAN]]="",),"",NOTA[[#This Row],[QTY]]*NOTA[[#This Row],[HARGA SATUAN]])</f>
        <v>5184000</v>
      </c>
      <c r="AG229" s="40">
        <f ca="1">IF(NOTA[ID_H]="","",INDEX(NOTA[TANGGAL],MATCH(,INDIRECT(ADDRESS(ROW(NOTA[TANGGAL]),COLUMN(NOTA[TANGGAL]))&amp;":"&amp;ADDRESS(ROW(),COLUMN(NOTA[TANGGAL]))),-1)))</f>
        <v>45117</v>
      </c>
      <c r="AH229" s="42" t="str">
        <f ca="1">IF(NOTA[[#This Row],[NAMA BARANG]]="","",INDEX(NOTA[SUPPLIER],MATCH(,INDIRECT(ADDRESS(ROW(NOTA[ID]),COLUMN(NOTA[ID]))&amp;":"&amp;ADDRESS(ROW(),COLUMN(NOTA[ID]))),-1)))</f>
        <v>SBS</v>
      </c>
      <c r="AI229" s="42" t="str">
        <f ca="1">IF(NOTA[[#This Row],[ID_H]]="","",IF(NOTA[[#This Row],[FAKTUR]]="",INDIRECT(ADDRESS(ROW()-1,COLUMN())),NOTA[[#This Row],[FAKTUR]]))</f>
        <v>UNTANA</v>
      </c>
      <c r="AJ229" s="39">
        <f ca="1">IF(NOTA[[#This Row],[ID]]="","",COUNTIF(NOTA[ID_H],NOTA[[#This Row],[ID_H]]))</f>
        <v>6</v>
      </c>
      <c r="AK229" s="39">
        <f>IF(NOTA[[#This Row],[TGL.NOTA]]="",IF(NOTA[[#This Row],[SUPPLIER_H]]="","",AK228),MONTH(NOTA[[#This Row],[TGL.NOTA]]))</f>
        <v>7</v>
      </c>
      <c r="AL229" s="39" t="str">
        <f>LOWER(SUBSTITUTE(SUBSTITUTE(SUBSTITUTE(SUBSTITUTE(SUBSTITUTE(SUBSTITUTE(SUBSTITUTE(SUBSTITUTE(SUBSTITUTE(NOTA[NAMA BARANG]," ",),".",""),"-",""),"(",""),")",""),",",""),"/",""),"""",""),"+",""))</f>
        <v>bnltaliaa032111a780fruit</v>
      </c>
      <c r="AM2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bnltaliaa032111a780fruit2592000</v>
      </c>
      <c r="AN2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bnltaliaa032111a780fruit2592000</v>
      </c>
      <c r="AO2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SBSUNTANAVG0230B1M45113bnltaliaa032111a780fruit</v>
      </c>
      <c r="AP229" s="39" t="e">
        <f>IF(NOTA[[#This Row],[CONCAT4]]="","",_xlfn.IFNA(MATCH(NOTA[[#This Row],[CONCAT4]],[2]!RAW[CONCAT_H],0),FALSE))</f>
        <v>#REF!</v>
      </c>
      <c r="AQ229" s="39">
        <f>IF(NOTA[[#This Row],[CONCAT1]]="","",MATCH(NOTA[[#This Row],[CONCAT1]],[3]!db[NB NOTA_C],0))</f>
        <v>383</v>
      </c>
      <c r="AR229" s="39" t="b">
        <f>IF(NOTA[[#This Row],[QTY/ CTN]]="","",TRUE)</f>
        <v>1</v>
      </c>
      <c r="AS229" s="39" t="str">
        <f ca="1">IF(NOTA[[#This Row],[ID_H]]="","",IF(NOTA[[#This Row],[Column3]]=TRUE,NOTA[[#This Row],[QTY/ CTN]],INDEX([3]!db[QTY/ CTN],NOTA[[#This Row],[//DB]])))</f>
        <v>384 PCS</v>
      </c>
      <c r="AT2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bnltaliaa032111a780fruit384pcsuntana</v>
      </c>
      <c r="AU229" s="39" t="e">
        <f ca="1">IF(NOTA[[#This Row],[ID_H]]="","",MATCH(NOTA[[#This Row],[NB NOTA_C_QTY]],[4]!db[NB NOTA_C_QTY+F],0))</f>
        <v>#REF!</v>
      </c>
      <c r="AV229" s="55">
        <f ca="1">IF(NOTA[[#This Row],[NB NOTA_C_QTY]]="","",ROW()-2)</f>
        <v>227</v>
      </c>
    </row>
    <row r="230" spans="1:48" ht="20.100000000000001" customHeight="1" x14ac:dyDescent="0.25">
      <c r="A2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>
        <f ca="1">IF(NOTA[[#This Row],[NAMA BARANG]]="","",INDEX(NOTA[ID],MATCH(,INDIRECT(ADDRESS(ROW(NOTA[ID]),COLUMN(NOTA[ID]))&amp;":"&amp;ADDRESS(ROW(),COLUMN(NOTA[ID]))),-1)))</f>
        <v>51</v>
      </c>
      <c r="E230" s="47"/>
      <c r="H230" s="48"/>
      <c r="L230" s="38" t="s">
        <v>361</v>
      </c>
      <c r="M230" s="41">
        <v>2</v>
      </c>
      <c r="N230" s="39">
        <v>768</v>
      </c>
      <c r="O230" s="38" t="s">
        <v>117</v>
      </c>
      <c r="P230" s="42">
        <v>6750</v>
      </c>
      <c r="Q230" s="43"/>
      <c r="R230" s="49" t="s">
        <v>360</v>
      </c>
      <c r="S230" s="50"/>
      <c r="U230" s="51"/>
      <c r="V230" s="46"/>
      <c r="W230" s="51">
        <f>IF(NOTA[[#This Row],[HARGA/ CTN]]="",NOTA[[#This Row],[JUMLAH_H]],NOTA[[#This Row],[HARGA/ CTN]]*IF(NOTA[[#This Row],[C]]="",0,NOTA[[#This Row],[C]]))</f>
        <v>5184000</v>
      </c>
      <c r="X230" s="51">
        <f>IF(NOTA[[#This Row],[JUMLAH]]="","",NOTA[[#This Row],[JUMLAH]]*NOTA[[#This Row],[DISC 1]])</f>
        <v>0</v>
      </c>
      <c r="Y230" s="51">
        <f>IF(NOTA[[#This Row],[JUMLAH]]="","",(NOTA[[#This Row],[JUMLAH]]-NOTA[[#This Row],[DISC 1-]])*NOTA[[#This Row],[DISC 2]])</f>
        <v>0</v>
      </c>
      <c r="Z230" s="51">
        <f>IF(NOTA[[#This Row],[JUMLAH]]="","",NOTA[[#This Row],[DISC 1-]]+NOTA[[#This Row],[DISC 2-]])</f>
        <v>0</v>
      </c>
      <c r="AA230" s="51">
        <f>IF(NOTA[[#This Row],[JUMLAH]]="","",NOTA[[#This Row],[JUMLAH]]-NOTA[[#This Row],[DISC]])</f>
        <v>5184000</v>
      </c>
      <c r="AB230" s="51"/>
      <c r="AC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0" s="51">
        <f>IF(OR(NOTA[[#This Row],[QTY]]="",NOTA[[#This Row],[HARGA SATUAN]]="",),"",NOTA[[#This Row],[QTY]]*NOTA[[#This Row],[HARGA SATUAN]])</f>
        <v>5184000</v>
      </c>
      <c r="AG230" s="40">
        <f ca="1">IF(NOTA[ID_H]="","",INDEX(NOTA[TANGGAL],MATCH(,INDIRECT(ADDRESS(ROW(NOTA[TANGGAL]),COLUMN(NOTA[TANGGAL]))&amp;":"&amp;ADDRESS(ROW(),COLUMN(NOTA[TANGGAL]))),-1)))</f>
        <v>45117</v>
      </c>
      <c r="AH230" s="42" t="str">
        <f ca="1">IF(NOTA[[#This Row],[NAMA BARANG]]="","",INDEX(NOTA[SUPPLIER],MATCH(,INDIRECT(ADDRESS(ROW(NOTA[ID]),COLUMN(NOTA[ID]))&amp;":"&amp;ADDRESS(ROW(),COLUMN(NOTA[ID]))),-1)))</f>
        <v>SBS</v>
      </c>
      <c r="AI230" s="42" t="str">
        <f ca="1">IF(NOTA[[#This Row],[ID_H]]="","",IF(NOTA[[#This Row],[FAKTUR]]="",INDIRECT(ADDRESS(ROW()-1,COLUMN())),NOTA[[#This Row],[FAKTUR]]))</f>
        <v>UNTANA</v>
      </c>
      <c r="AJ230" s="39" t="str">
        <f ca="1">IF(NOTA[[#This Row],[ID]]="","",COUNTIF(NOTA[ID_H],NOTA[[#This Row],[ID_H]]))</f>
        <v/>
      </c>
      <c r="AK230" s="39">
        <f ca="1">IF(NOTA[[#This Row],[TGL.NOTA]]="",IF(NOTA[[#This Row],[SUPPLIER_H]]="","",AK229),MONTH(NOTA[[#This Row],[TGL.NOTA]]))</f>
        <v>7</v>
      </c>
      <c r="AL230" s="39" t="str">
        <f>LOWER(SUBSTITUTE(SUBSTITUTE(SUBSTITUTE(SUBSTITUTE(SUBSTITUTE(SUBSTITUTE(SUBSTITUTE(SUBSTITUTE(SUBSTITUTE(NOTA[NAMA BARANG]," ",),".",""),"-",""),"(",""),")",""),",",""),"/",""),"""",""),"+",""))</f>
        <v>bnltaliaa032112a780glowing</v>
      </c>
      <c r="AM2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bnltaliaa032112a780glowing2592000</v>
      </c>
      <c r="AN2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bnltaliaa032112a780glowing2592000</v>
      </c>
      <c r="AO2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9" t="str">
        <f>IF(NOTA[[#This Row],[CONCAT4]]="","",_xlfn.IFNA(MATCH(NOTA[[#This Row],[CONCAT4]],[2]!RAW[CONCAT_H],0),FALSE))</f>
        <v/>
      </c>
      <c r="AQ230" s="39">
        <f>IF(NOTA[[#This Row],[CONCAT1]]="","",MATCH(NOTA[[#This Row],[CONCAT1]],[3]!db[NB NOTA_C],0))</f>
        <v>384</v>
      </c>
      <c r="AR230" s="39" t="b">
        <f>IF(NOTA[[#This Row],[QTY/ CTN]]="","",TRUE)</f>
        <v>1</v>
      </c>
      <c r="AS230" s="39" t="str">
        <f ca="1">IF(NOTA[[#This Row],[ID_H]]="","",IF(NOTA[[#This Row],[Column3]]=TRUE,NOTA[[#This Row],[QTY/ CTN]],INDEX([3]!db[QTY/ CTN],NOTA[[#This Row],[//DB]])))</f>
        <v>384 PCS</v>
      </c>
      <c r="AT2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bnltaliaa032112a780glowing384pcsuntana</v>
      </c>
      <c r="AU230" s="39" t="e">
        <f ca="1">IF(NOTA[[#This Row],[ID_H]]="","",MATCH(NOTA[[#This Row],[NB NOTA_C_QTY]],[4]!db[NB NOTA_C_QTY+F],0))</f>
        <v>#REF!</v>
      </c>
      <c r="AV230" s="55">
        <f ca="1">IF(NOTA[[#This Row],[NB NOTA_C_QTY]]="","",ROW()-2)</f>
        <v>228</v>
      </c>
    </row>
    <row r="231" spans="1:48" ht="20.100000000000001" customHeight="1" x14ac:dyDescent="0.25">
      <c r="A2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51</v>
      </c>
      <c r="E231" s="47"/>
      <c r="H231" s="48"/>
      <c r="L231" s="38" t="s">
        <v>362</v>
      </c>
      <c r="M231" s="41">
        <v>2</v>
      </c>
      <c r="N231" s="39">
        <v>768</v>
      </c>
      <c r="O231" s="38" t="s">
        <v>117</v>
      </c>
      <c r="P231" s="42">
        <v>6750</v>
      </c>
      <c r="Q231" s="43"/>
      <c r="R231" s="49" t="s">
        <v>360</v>
      </c>
      <c r="S231" s="50"/>
      <c r="U231" s="51"/>
      <c r="V231" s="46"/>
      <c r="W231" s="51">
        <f>IF(NOTA[[#This Row],[HARGA/ CTN]]="",NOTA[[#This Row],[JUMLAH_H]],NOTA[[#This Row],[HARGA/ CTN]]*IF(NOTA[[#This Row],[C]]="",0,NOTA[[#This Row],[C]]))</f>
        <v>5184000</v>
      </c>
      <c r="X231" s="51">
        <f>IF(NOTA[[#This Row],[JUMLAH]]="","",NOTA[[#This Row],[JUMLAH]]*NOTA[[#This Row],[DISC 1]])</f>
        <v>0</v>
      </c>
      <c r="Y231" s="51">
        <f>IF(NOTA[[#This Row],[JUMLAH]]="","",(NOTA[[#This Row],[JUMLAH]]-NOTA[[#This Row],[DISC 1-]])*NOTA[[#This Row],[DISC 2]])</f>
        <v>0</v>
      </c>
      <c r="Z231" s="51">
        <f>IF(NOTA[[#This Row],[JUMLAH]]="","",NOTA[[#This Row],[DISC 1-]]+NOTA[[#This Row],[DISC 2-]])</f>
        <v>0</v>
      </c>
      <c r="AA231" s="51">
        <f>IF(NOTA[[#This Row],[JUMLAH]]="","",NOTA[[#This Row],[JUMLAH]]-NOTA[[#This Row],[DISC]])</f>
        <v>5184000</v>
      </c>
      <c r="AB231" s="51"/>
      <c r="AC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1" s="51">
        <f>IF(OR(NOTA[[#This Row],[QTY]]="",NOTA[[#This Row],[HARGA SATUAN]]="",),"",NOTA[[#This Row],[QTY]]*NOTA[[#This Row],[HARGA SATUAN]])</f>
        <v>5184000</v>
      </c>
      <c r="AG231" s="40">
        <f ca="1">IF(NOTA[ID_H]="","",INDEX(NOTA[TANGGAL],MATCH(,INDIRECT(ADDRESS(ROW(NOTA[TANGGAL]),COLUMN(NOTA[TANGGAL]))&amp;":"&amp;ADDRESS(ROW(),COLUMN(NOTA[TANGGAL]))),-1)))</f>
        <v>45117</v>
      </c>
      <c r="AH231" s="42" t="str">
        <f ca="1">IF(NOTA[[#This Row],[NAMA BARANG]]="","",INDEX(NOTA[SUPPLIER],MATCH(,INDIRECT(ADDRESS(ROW(NOTA[ID]),COLUMN(NOTA[ID]))&amp;":"&amp;ADDRESS(ROW(),COLUMN(NOTA[ID]))),-1)))</f>
        <v>SBS</v>
      </c>
      <c r="AI231" s="42" t="str">
        <f ca="1">IF(NOTA[[#This Row],[ID_H]]="","",IF(NOTA[[#This Row],[FAKTUR]]="",INDIRECT(ADDRESS(ROW()-1,COLUMN())),NOTA[[#This Row],[FAKTUR]]))</f>
        <v>UNTANA</v>
      </c>
      <c r="AJ231" s="39" t="str">
        <f ca="1">IF(NOTA[[#This Row],[ID]]="","",COUNTIF(NOTA[ID_H],NOTA[[#This Row],[ID_H]]))</f>
        <v/>
      </c>
      <c r="AK231" s="39">
        <f ca="1">IF(NOTA[[#This Row],[TGL.NOTA]]="",IF(NOTA[[#This Row],[SUPPLIER_H]]="","",AK230),MONTH(NOTA[[#This Row],[TGL.NOTA]]))</f>
        <v>7</v>
      </c>
      <c r="AL231" s="39" t="str">
        <f>LOWER(SUBSTITUTE(SUBSTITUTE(SUBSTITUTE(SUBSTITUTE(SUBSTITUTE(SUBSTITUTE(SUBSTITUTE(SUBSTITUTE(SUBSTITUTE(NOTA[NAMA BARANG]," ",),".",""),"-",""),"(",""),")",""),",",""),"/",""),"""",""),"+",""))</f>
        <v>bnltaliaa032113a780balloon</v>
      </c>
      <c r="AM2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bnltaliaa032113a780balloon2592000</v>
      </c>
      <c r="AN2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bnltaliaa032113a780balloon2592000</v>
      </c>
      <c r="AO2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9" t="str">
        <f>IF(NOTA[[#This Row],[CONCAT4]]="","",_xlfn.IFNA(MATCH(NOTA[[#This Row],[CONCAT4]],[2]!RAW[CONCAT_H],0),FALSE))</f>
        <v/>
      </c>
      <c r="AQ231" s="39">
        <f>IF(NOTA[[#This Row],[CONCAT1]]="","",MATCH(NOTA[[#This Row],[CONCAT1]],[3]!db[NB NOTA_C],0))</f>
        <v>385</v>
      </c>
      <c r="AR231" s="39" t="b">
        <f>IF(NOTA[[#This Row],[QTY/ CTN]]="","",TRUE)</f>
        <v>1</v>
      </c>
      <c r="AS231" s="39" t="str">
        <f ca="1">IF(NOTA[[#This Row],[ID_H]]="","",IF(NOTA[[#This Row],[Column3]]=TRUE,NOTA[[#This Row],[QTY/ CTN]],INDEX([3]!db[QTY/ CTN],NOTA[[#This Row],[//DB]])))</f>
        <v>384 PCS</v>
      </c>
      <c r="AT2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bnltaliaa032113a780balloon384pcsuntana</v>
      </c>
      <c r="AU231" s="39" t="e">
        <f ca="1">IF(NOTA[[#This Row],[ID_H]]="","",MATCH(NOTA[[#This Row],[NB NOTA_C_QTY]],[4]!db[NB NOTA_C_QTY+F],0))</f>
        <v>#REF!</v>
      </c>
      <c r="AV231" s="55">
        <f ca="1">IF(NOTA[[#This Row],[NB NOTA_C_QTY]]="","",ROW()-2)</f>
        <v>229</v>
      </c>
    </row>
    <row r="232" spans="1:48" ht="20.100000000000001" customHeight="1" x14ac:dyDescent="0.25">
      <c r="A2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51</v>
      </c>
      <c r="E232" s="47"/>
      <c r="H232" s="48"/>
      <c r="L232" s="38" t="s">
        <v>363</v>
      </c>
      <c r="M232" s="41">
        <v>2</v>
      </c>
      <c r="N232" s="39">
        <v>768</v>
      </c>
      <c r="O232" s="38" t="s">
        <v>117</v>
      </c>
      <c r="P232" s="42">
        <v>6750</v>
      </c>
      <c r="Q232" s="43"/>
      <c r="R232" s="49" t="s">
        <v>360</v>
      </c>
      <c r="S232" s="50"/>
      <c r="U232" s="51"/>
      <c r="V232" s="46"/>
      <c r="W232" s="51">
        <f>IF(NOTA[[#This Row],[HARGA/ CTN]]="",NOTA[[#This Row],[JUMLAH_H]],NOTA[[#This Row],[HARGA/ CTN]]*IF(NOTA[[#This Row],[C]]="",0,NOTA[[#This Row],[C]]))</f>
        <v>5184000</v>
      </c>
      <c r="X232" s="51">
        <f>IF(NOTA[[#This Row],[JUMLAH]]="","",NOTA[[#This Row],[JUMLAH]]*NOTA[[#This Row],[DISC 1]])</f>
        <v>0</v>
      </c>
      <c r="Y232" s="51">
        <f>IF(NOTA[[#This Row],[JUMLAH]]="","",(NOTA[[#This Row],[JUMLAH]]-NOTA[[#This Row],[DISC 1-]])*NOTA[[#This Row],[DISC 2]])</f>
        <v>0</v>
      </c>
      <c r="Z232" s="51">
        <f>IF(NOTA[[#This Row],[JUMLAH]]="","",NOTA[[#This Row],[DISC 1-]]+NOTA[[#This Row],[DISC 2-]])</f>
        <v>0</v>
      </c>
      <c r="AA232" s="51">
        <f>IF(NOTA[[#This Row],[JUMLAH]]="","",NOTA[[#This Row],[JUMLAH]]-NOTA[[#This Row],[DISC]])</f>
        <v>5184000</v>
      </c>
      <c r="AB232" s="51"/>
      <c r="AC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2" s="51">
        <f>IF(OR(NOTA[[#This Row],[QTY]]="",NOTA[[#This Row],[HARGA SATUAN]]="",),"",NOTA[[#This Row],[QTY]]*NOTA[[#This Row],[HARGA SATUAN]])</f>
        <v>5184000</v>
      </c>
      <c r="AG232" s="40">
        <f ca="1">IF(NOTA[ID_H]="","",INDEX(NOTA[TANGGAL],MATCH(,INDIRECT(ADDRESS(ROW(NOTA[TANGGAL]),COLUMN(NOTA[TANGGAL]))&amp;":"&amp;ADDRESS(ROW(),COLUMN(NOTA[TANGGAL]))),-1)))</f>
        <v>45117</v>
      </c>
      <c r="AH232" s="42" t="str">
        <f ca="1">IF(NOTA[[#This Row],[NAMA BARANG]]="","",INDEX(NOTA[SUPPLIER],MATCH(,INDIRECT(ADDRESS(ROW(NOTA[ID]),COLUMN(NOTA[ID]))&amp;":"&amp;ADDRESS(ROW(),COLUMN(NOTA[ID]))),-1)))</f>
        <v>SBS</v>
      </c>
      <c r="AI232" s="42" t="str">
        <f ca="1">IF(NOTA[[#This Row],[ID_H]]="","",IF(NOTA[[#This Row],[FAKTUR]]="",INDIRECT(ADDRESS(ROW()-1,COLUMN())),NOTA[[#This Row],[FAKTUR]]))</f>
        <v>UNTANA</v>
      </c>
      <c r="AJ232" s="39" t="str">
        <f ca="1">IF(NOTA[[#This Row],[ID]]="","",COUNTIF(NOTA[ID_H],NOTA[[#This Row],[ID_H]]))</f>
        <v/>
      </c>
      <c r="AK232" s="39">
        <f ca="1">IF(NOTA[[#This Row],[TGL.NOTA]]="",IF(NOTA[[#This Row],[SUPPLIER_H]]="","",AK231),MONTH(NOTA[[#This Row],[TGL.NOTA]]))</f>
        <v>7</v>
      </c>
      <c r="AL232" s="39" t="str">
        <f>LOWER(SUBSTITUTE(SUBSTITUTE(SUBSTITUTE(SUBSTITUTE(SUBSTITUTE(SUBSTITUTE(SUBSTITUTE(SUBSTITUTE(SUBSTITUTE(NOTA[NAMA BARANG]," ",),".",""),"-",""),"(",""),")",""),",",""),"/",""),"""",""),"+",""))</f>
        <v>bnltaliaa032118a780lucu</v>
      </c>
      <c r="AM2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bnltaliaa032118a780lucu2592000</v>
      </c>
      <c r="AN2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bnltaliaa032118a780lucu2592000</v>
      </c>
      <c r="AO2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9" t="str">
        <f>IF(NOTA[[#This Row],[CONCAT4]]="","",_xlfn.IFNA(MATCH(NOTA[[#This Row],[CONCAT4]],[2]!RAW[CONCAT_H],0),FALSE))</f>
        <v/>
      </c>
      <c r="AQ232" s="39">
        <f>IF(NOTA[[#This Row],[CONCAT1]]="","",MATCH(NOTA[[#This Row],[CONCAT1]],[3]!db[NB NOTA_C],0))</f>
        <v>386</v>
      </c>
      <c r="AR232" s="39" t="b">
        <f>IF(NOTA[[#This Row],[QTY/ CTN]]="","",TRUE)</f>
        <v>1</v>
      </c>
      <c r="AS232" s="39" t="str">
        <f ca="1">IF(NOTA[[#This Row],[ID_H]]="","",IF(NOTA[[#This Row],[Column3]]=TRUE,NOTA[[#This Row],[QTY/ CTN]],INDEX([3]!db[QTY/ CTN],NOTA[[#This Row],[//DB]])))</f>
        <v>384 PCS</v>
      </c>
      <c r="AT2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bnltaliaa032118a780lucu384pcsuntana</v>
      </c>
      <c r="AU232" s="39" t="e">
        <f ca="1">IF(NOTA[[#This Row],[ID_H]]="","",MATCH(NOTA[[#This Row],[NB NOTA_C_QTY]],[4]!db[NB NOTA_C_QTY+F],0))</f>
        <v>#REF!</v>
      </c>
      <c r="AV232" s="55">
        <f ca="1">IF(NOTA[[#This Row],[NB NOTA_C_QTY]]="","",ROW()-2)</f>
        <v>230</v>
      </c>
    </row>
    <row r="233" spans="1:48" ht="20.100000000000001" customHeight="1" x14ac:dyDescent="0.25">
      <c r="A2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51</v>
      </c>
      <c r="E233" s="47"/>
      <c r="H233" s="48"/>
      <c r="L233" s="38" t="s">
        <v>472</v>
      </c>
      <c r="M233" s="41">
        <v>2</v>
      </c>
      <c r="N233" s="39">
        <v>768</v>
      </c>
      <c r="O233" s="38" t="s">
        <v>117</v>
      </c>
      <c r="P233" s="42">
        <v>6750</v>
      </c>
      <c r="Q233" s="43"/>
      <c r="R233" s="49" t="s">
        <v>360</v>
      </c>
      <c r="S233" s="50"/>
      <c r="U233" s="51"/>
      <c r="V233" s="46"/>
      <c r="W233" s="51">
        <f>IF(NOTA[[#This Row],[HARGA/ CTN]]="",NOTA[[#This Row],[JUMLAH_H]],NOTA[[#This Row],[HARGA/ CTN]]*IF(NOTA[[#This Row],[C]]="",0,NOTA[[#This Row],[C]]))</f>
        <v>5184000</v>
      </c>
      <c r="X233" s="51">
        <f>IF(NOTA[[#This Row],[JUMLAH]]="","",NOTA[[#This Row],[JUMLAH]]*NOTA[[#This Row],[DISC 1]])</f>
        <v>0</v>
      </c>
      <c r="Y233" s="51">
        <f>IF(NOTA[[#This Row],[JUMLAH]]="","",(NOTA[[#This Row],[JUMLAH]]-NOTA[[#This Row],[DISC 1-]])*NOTA[[#This Row],[DISC 2]])</f>
        <v>0</v>
      </c>
      <c r="Z233" s="51">
        <f>IF(NOTA[[#This Row],[JUMLAH]]="","",NOTA[[#This Row],[DISC 1-]]+NOTA[[#This Row],[DISC 2-]])</f>
        <v>0</v>
      </c>
      <c r="AA233" s="51">
        <f>IF(NOTA[[#This Row],[JUMLAH]]="","",NOTA[[#This Row],[JUMLAH]]-NOTA[[#This Row],[DISC]])</f>
        <v>5184000</v>
      </c>
      <c r="AB233" s="51"/>
      <c r="AC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3" s="51">
        <f>IF(OR(NOTA[[#This Row],[QTY]]="",NOTA[[#This Row],[HARGA SATUAN]]="",),"",NOTA[[#This Row],[QTY]]*NOTA[[#This Row],[HARGA SATUAN]])</f>
        <v>5184000</v>
      </c>
      <c r="AG233" s="40">
        <f ca="1">IF(NOTA[ID_H]="","",INDEX(NOTA[TANGGAL],MATCH(,INDIRECT(ADDRESS(ROW(NOTA[TANGGAL]),COLUMN(NOTA[TANGGAL]))&amp;":"&amp;ADDRESS(ROW(),COLUMN(NOTA[TANGGAL]))),-1)))</f>
        <v>45117</v>
      </c>
      <c r="AH233" s="42" t="str">
        <f ca="1">IF(NOTA[[#This Row],[NAMA BARANG]]="","",INDEX(NOTA[SUPPLIER],MATCH(,INDIRECT(ADDRESS(ROW(NOTA[ID]),COLUMN(NOTA[ID]))&amp;":"&amp;ADDRESS(ROW(),COLUMN(NOTA[ID]))),-1)))</f>
        <v>SBS</v>
      </c>
      <c r="AI233" s="42" t="str">
        <f ca="1">IF(NOTA[[#This Row],[ID_H]]="","",IF(NOTA[[#This Row],[FAKTUR]]="",INDIRECT(ADDRESS(ROW()-1,COLUMN())),NOTA[[#This Row],[FAKTUR]]))</f>
        <v>UNTANA</v>
      </c>
      <c r="AJ233" s="39" t="str">
        <f ca="1">IF(NOTA[[#This Row],[ID]]="","",COUNTIF(NOTA[ID_H],NOTA[[#This Row],[ID_H]]))</f>
        <v/>
      </c>
      <c r="AK233" s="39">
        <f ca="1">IF(NOTA[[#This Row],[TGL.NOTA]]="",IF(NOTA[[#This Row],[SUPPLIER_H]]="","",AK232),MONTH(NOTA[[#This Row],[TGL.NOTA]]))</f>
        <v>7</v>
      </c>
      <c r="AL233" s="39" t="str">
        <f>LOWER(SUBSTITUTE(SUBSTITUTE(SUBSTITUTE(SUBSTITUTE(SUBSTITUTE(SUBSTITUTE(SUBSTITUTE(SUBSTITUTE(SUBSTITUTE(NOTA[NAMA BARANG]," ",),".",""),"-",""),"(",""),")",""),",",""),"/",""),"""",""),"+",""))</f>
        <v>bnltaliaa032119a780universe</v>
      </c>
      <c r="AM2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bnltaliaa032119a780universe2592000</v>
      </c>
      <c r="AN2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bnltaliaa032119a780universe2592000</v>
      </c>
      <c r="AO2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9" t="str">
        <f>IF(NOTA[[#This Row],[CONCAT4]]="","",_xlfn.IFNA(MATCH(NOTA[[#This Row],[CONCAT4]],[2]!RAW[CONCAT_H],0),FALSE))</f>
        <v/>
      </c>
      <c r="AQ233" s="39">
        <f>IF(NOTA[[#This Row],[CONCAT1]]="","",MATCH(NOTA[[#This Row],[CONCAT1]],[3]!db[NB NOTA_C],0))</f>
        <v>387</v>
      </c>
      <c r="AR233" s="39" t="b">
        <f>IF(NOTA[[#This Row],[QTY/ CTN]]="","",TRUE)</f>
        <v>1</v>
      </c>
      <c r="AS233" s="39" t="str">
        <f ca="1">IF(NOTA[[#This Row],[ID_H]]="","",IF(NOTA[[#This Row],[Column3]]=TRUE,NOTA[[#This Row],[QTY/ CTN]],INDEX([3]!db[QTY/ CTN],NOTA[[#This Row],[//DB]])))</f>
        <v>384 PCS</v>
      </c>
      <c r="AT2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bnltaliaa032119a780universe384pcsuntana</v>
      </c>
      <c r="AU233" s="39" t="e">
        <f ca="1">IF(NOTA[[#This Row],[ID_H]]="","",MATCH(NOTA[[#This Row],[NB NOTA_C_QTY]],[4]!db[NB NOTA_C_QTY+F],0))</f>
        <v>#REF!</v>
      </c>
      <c r="AV233" s="55">
        <f ca="1">IF(NOTA[[#This Row],[NB NOTA_C_QTY]]="","",ROW()-2)</f>
        <v>231</v>
      </c>
    </row>
    <row r="234" spans="1:48" ht="20.100000000000001" customHeight="1" x14ac:dyDescent="0.25">
      <c r="A2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51</v>
      </c>
      <c r="E234" s="47"/>
      <c r="H234" s="48"/>
      <c r="L234" s="38" t="s">
        <v>368</v>
      </c>
      <c r="M234" s="41">
        <v>2</v>
      </c>
      <c r="N234" s="39">
        <v>768</v>
      </c>
      <c r="O234" s="38" t="s">
        <v>117</v>
      </c>
      <c r="P234" s="42">
        <v>6750</v>
      </c>
      <c r="Q234" s="43"/>
      <c r="R234" s="49" t="s">
        <v>360</v>
      </c>
      <c r="S234" s="50"/>
      <c r="U234" s="51"/>
      <c r="V234" s="46"/>
      <c r="W234" s="51">
        <f>IF(NOTA[[#This Row],[HARGA/ CTN]]="",NOTA[[#This Row],[JUMLAH_H]],NOTA[[#This Row],[HARGA/ CTN]]*IF(NOTA[[#This Row],[C]]="",0,NOTA[[#This Row],[C]]))</f>
        <v>5184000</v>
      </c>
      <c r="X234" s="51">
        <f>IF(NOTA[[#This Row],[JUMLAH]]="","",NOTA[[#This Row],[JUMLAH]]*NOTA[[#This Row],[DISC 1]])</f>
        <v>0</v>
      </c>
      <c r="Y234" s="51">
        <f>IF(NOTA[[#This Row],[JUMLAH]]="","",(NOTA[[#This Row],[JUMLAH]]-NOTA[[#This Row],[DISC 1-]])*NOTA[[#This Row],[DISC 2]])</f>
        <v>0</v>
      </c>
      <c r="Z234" s="51">
        <f>IF(NOTA[[#This Row],[JUMLAH]]="","",NOTA[[#This Row],[DISC 1-]]+NOTA[[#This Row],[DISC 2-]])</f>
        <v>0</v>
      </c>
      <c r="AA234" s="51">
        <f>IF(NOTA[[#This Row],[JUMLAH]]="","",NOTA[[#This Row],[JUMLAH]]-NOTA[[#This Row],[DISC]])</f>
        <v>5184000</v>
      </c>
      <c r="AB234" s="51"/>
      <c r="AC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31104000</v>
      </c>
      <c r="AE23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4" s="51">
        <f>IF(OR(NOTA[[#This Row],[QTY]]="",NOTA[[#This Row],[HARGA SATUAN]]="",),"",NOTA[[#This Row],[QTY]]*NOTA[[#This Row],[HARGA SATUAN]])</f>
        <v>5184000</v>
      </c>
      <c r="AG234" s="40">
        <f ca="1">IF(NOTA[ID_H]="","",INDEX(NOTA[TANGGAL],MATCH(,INDIRECT(ADDRESS(ROW(NOTA[TANGGAL]),COLUMN(NOTA[TANGGAL]))&amp;":"&amp;ADDRESS(ROW(),COLUMN(NOTA[TANGGAL]))),-1)))</f>
        <v>45117</v>
      </c>
      <c r="AH234" s="42" t="str">
        <f ca="1">IF(NOTA[[#This Row],[NAMA BARANG]]="","",INDEX(NOTA[SUPPLIER],MATCH(,INDIRECT(ADDRESS(ROW(NOTA[ID]),COLUMN(NOTA[ID]))&amp;":"&amp;ADDRESS(ROW(),COLUMN(NOTA[ID]))),-1)))</f>
        <v>SBS</v>
      </c>
      <c r="AI234" s="42" t="str">
        <f ca="1">IF(NOTA[[#This Row],[ID_H]]="","",IF(NOTA[[#This Row],[FAKTUR]]="",INDIRECT(ADDRESS(ROW()-1,COLUMN())),NOTA[[#This Row],[FAKTUR]]))</f>
        <v>UNTANA</v>
      </c>
      <c r="AJ234" s="39" t="str">
        <f ca="1">IF(NOTA[[#This Row],[ID]]="","",COUNTIF(NOTA[ID_H],NOTA[[#This Row],[ID_H]]))</f>
        <v/>
      </c>
      <c r="AK234" s="39">
        <f ca="1">IF(NOTA[[#This Row],[TGL.NOTA]]="",IF(NOTA[[#This Row],[SUPPLIER_H]]="","",AK233),MONTH(NOTA[[#This Row],[TGL.NOTA]]))</f>
        <v>7</v>
      </c>
      <c r="AL234" s="39" t="str">
        <f>LOWER(SUBSTITUTE(SUBSTITUTE(SUBSTITUTE(SUBSTITUTE(SUBSTITUTE(SUBSTITUTE(SUBSTITUTE(SUBSTITUTE(SUBSTITUTE(NOTA[NAMA BARANG]," ",),".",""),"-",""),"(",""),")",""),",",""),"/",""),"""",""),"+",""))</f>
        <v>bnltaliaa032120a780sr</v>
      </c>
      <c r="AM2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bnltaliaa032120a780sr2592000</v>
      </c>
      <c r="AN2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bnltaliaa032120a780sr2592000</v>
      </c>
      <c r="AO2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9" t="str">
        <f>IF(NOTA[[#This Row],[CONCAT4]]="","",_xlfn.IFNA(MATCH(NOTA[[#This Row],[CONCAT4]],[2]!RAW[CONCAT_H],0),FALSE))</f>
        <v/>
      </c>
      <c r="AQ234" s="39">
        <f>IF(NOTA[[#This Row],[CONCAT1]]="","",MATCH(NOTA[[#This Row],[CONCAT1]],[3]!db[NB NOTA_C],0))</f>
        <v>388</v>
      </c>
      <c r="AR234" s="39" t="b">
        <f>IF(NOTA[[#This Row],[QTY/ CTN]]="","",TRUE)</f>
        <v>1</v>
      </c>
      <c r="AS234" s="39" t="str">
        <f ca="1">IF(NOTA[[#This Row],[ID_H]]="","",IF(NOTA[[#This Row],[Column3]]=TRUE,NOTA[[#This Row],[QTY/ CTN]],INDEX([3]!db[QTY/ CTN],NOTA[[#This Row],[//DB]])))</f>
        <v>384 PCS</v>
      </c>
      <c r="AT2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bnltaliaa032120a780sr384pcsuntana</v>
      </c>
      <c r="AU234" s="39" t="e">
        <f ca="1">IF(NOTA[[#This Row],[ID_H]]="","",MATCH(NOTA[[#This Row],[NB NOTA_C_QTY]],[4]!db[NB NOTA_C_QTY+F],0))</f>
        <v>#REF!</v>
      </c>
      <c r="AV234" s="55">
        <f ca="1">IF(NOTA[[#This Row],[NB NOTA_C_QTY]]="","",ROW()-2)</f>
        <v>232</v>
      </c>
    </row>
    <row r="235" spans="1:48" ht="20.100000000000001" customHeight="1" x14ac:dyDescent="0.25">
      <c r="A2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47"/>
      <c r="H235" s="48"/>
      <c r="N235" s="39"/>
      <c r="Q235" s="43"/>
      <c r="R235" s="49"/>
      <c r="S235" s="50"/>
      <c r="U235" s="51"/>
      <c r="V235" s="46"/>
      <c r="W235" s="51" t="str">
        <f>IF(NOTA[[#This Row],[HARGA/ CTN]]="",NOTA[[#This Row],[JUMLAH_H]],NOTA[[#This Row],[HARGA/ CTN]]*IF(NOTA[[#This Row],[C]]="",0,NOTA[[#This Row],[C]]))</f>
        <v/>
      </c>
      <c r="X235" s="51" t="str">
        <f>IF(NOTA[[#This Row],[JUMLAH]]="","",NOTA[[#This Row],[JUMLAH]]*NOTA[[#This Row],[DISC 1]])</f>
        <v/>
      </c>
      <c r="Y235" s="51" t="str">
        <f>IF(NOTA[[#This Row],[JUMLAH]]="","",(NOTA[[#This Row],[JUMLAH]]-NOTA[[#This Row],[DISC 1-]])*NOTA[[#This Row],[DISC 2]])</f>
        <v/>
      </c>
      <c r="Z235" s="51" t="str">
        <f>IF(NOTA[[#This Row],[JUMLAH]]="","",NOTA[[#This Row],[DISC 1-]]+NOTA[[#This Row],[DISC 2-]])</f>
        <v/>
      </c>
      <c r="AA235" s="51" t="str">
        <f>IF(NOTA[[#This Row],[JUMLAH]]="","",NOTA[[#This Row],[JUMLAH]]-NOTA[[#This Row],[DISC]])</f>
        <v/>
      </c>
      <c r="AB235" s="51"/>
      <c r="AC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1" t="str">
        <f>IF(OR(NOTA[[#This Row],[QTY]]="",NOTA[[#This Row],[HARGA SATUAN]]="",),"",NOTA[[#This Row],[QTY]]*NOTA[[#This Row],[HARGA SATUAN]])</f>
        <v/>
      </c>
      <c r="AG235" s="40" t="str">
        <f ca="1">IF(NOTA[ID_H]="","",INDEX(NOTA[TANGGAL],MATCH(,INDIRECT(ADDRESS(ROW(NOTA[TANGGAL]),COLUMN(NOTA[TANGGAL]))&amp;":"&amp;ADDRESS(ROW(),COLUMN(NOTA[TANGGAL]))),-1)))</f>
        <v/>
      </c>
      <c r="AH235" s="42" t="str">
        <f ca="1">IF(NOTA[[#This Row],[NAMA BARANG]]="","",INDEX(NOTA[SUPPLIER],MATCH(,INDIRECT(ADDRESS(ROW(NOTA[ID]),COLUMN(NOTA[ID]))&amp;":"&amp;ADDRESS(ROW(),COLUMN(NOTA[ID]))),-1)))</f>
        <v/>
      </c>
      <c r="AI235" s="42" t="str">
        <f ca="1">IF(NOTA[[#This Row],[ID_H]]="","",IF(NOTA[[#This Row],[FAKTUR]]="",INDIRECT(ADDRESS(ROW()-1,COLUMN())),NOTA[[#This Row],[FAKTUR]]))</f>
        <v/>
      </c>
      <c r="AJ235" s="39" t="str">
        <f ca="1">IF(NOTA[[#This Row],[ID]]="","",COUNTIF(NOTA[ID_H],NOTA[[#This Row],[ID_H]]))</f>
        <v/>
      </c>
      <c r="AK235" s="39" t="str">
        <f ca="1">IF(NOTA[[#This Row],[TGL.NOTA]]="",IF(NOTA[[#This Row],[SUPPLIER_H]]="","",AK234),MONTH(NOTA[[#This Row],[TGL.NOTA]]))</f>
        <v/>
      </c>
      <c r="AL235" s="39" t="str">
        <f>LOWER(SUBSTITUTE(SUBSTITUTE(SUBSTITUTE(SUBSTITUTE(SUBSTITUTE(SUBSTITUTE(SUBSTITUTE(SUBSTITUTE(SUBSTITUTE(NOTA[NAMA BARANG]," ",),".",""),"-",""),"(",""),")",""),",",""),"/",""),"""",""),"+",""))</f>
        <v/>
      </c>
      <c r="AM2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9" t="str">
        <f>IF(NOTA[[#This Row],[CONCAT4]]="","",_xlfn.IFNA(MATCH(NOTA[[#This Row],[CONCAT4]],[2]!RAW[CONCAT_H],0),FALSE))</f>
        <v/>
      </c>
      <c r="AQ235" s="39" t="str">
        <f>IF(NOTA[[#This Row],[CONCAT1]]="","",MATCH(NOTA[[#This Row],[CONCAT1]],[3]!db[NB NOTA_C],0))</f>
        <v/>
      </c>
      <c r="AR235" s="39" t="str">
        <f>IF(NOTA[[#This Row],[QTY/ CTN]]="","",TRUE)</f>
        <v/>
      </c>
      <c r="AS235" s="39" t="str">
        <f ca="1">IF(NOTA[[#This Row],[ID_H]]="","",IF(NOTA[[#This Row],[Column3]]=TRUE,NOTA[[#This Row],[QTY/ CTN]],INDEX([3]!db[QTY/ CTN],NOTA[[#This Row],[//DB]])))</f>
        <v/>
      </c>
      <c r="AT2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9" t="str">
        <f ca="1">IF(NOTA[[#This Row],[ID_H]]="","",MATCH(NOTA[[#This Row],[NB NOTA_C_QTY]],[4]!db[NB NOTA_C_QTY+F],0))</f>
        <v/>
      </c>
      <c r="AV235" s="55" t="str">
        <f ca="1">IF(NOTA[[#This Row],[NB NOTA_C_QTY]]="","",ROW()-2)</f>
        <v/>
      </c>
    </row>
    <row r="236" spans="1:48" ht="20.100000000000001" customHeight="1" x14ac:dyDescent="0.25">
      <c r="A236" s="42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KEN_1007_535-7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52</v>
      </c>
      <c r="E236" s="47"/>
      <c r="F236" s="38" t="s">
        <v>22</v>
      </c>
      <c r="G236" s="38" t="s">
        <v>23</v>
      </c>
      <c r="H236" s="48" t="s">
        <v>369</v>
      </c>
      <c r="J236" s="40">
        <v>45114</v>
      </c>
      <c r="L236" s="38" t="s">
        <v>290</v>
      </c>
      <c r="M236" s="41">
        <v>18</v>
      </c>
      <c r="N236" s="39"/>
      <c r="Q236" s="43">
        <v>1954800</v>
      </c>
      <c r="R236" s="49"/>
      <c r="S236" s="50">
        <v>0.17</v>
      </c>
      <c r="U236" s="51"/>
      <c r="V236" s="46"/>
      <c r="W236" s="51">
        <f>IF(NOTA[[#This Row],[HARGA/ CTN]]="",NOTA[[#This Row],[JUMLAH_H]],NOTA[[#This Row],[HARGA/ CTN]]*IF(NOTA[[#This Row],[C]]="",0,NOTA[[#This Row],[C]]))</f>
        <v>35186400</v>
      </c>
      <c r="X236" s="51">
        <f>IF(NOTA[[#This Row],[JUMLAH]]="","",NOTA[[#This Row],[JUMLAH]]*NOTA[[#This Row],[DISC 1]])</f>
        <v>5981688</v>
      </c>
      <c r="Y236" s="51">
        <f>IF(NOTA[[#This Row],[JUMLAH]]="","",(NOTA[[#This Row],[JUMLAH]]-NOTA[[#This Row],[DISC 1-]])*NOTA[[#This Row],[DISC 2]])</f>
        <v>0</v>
      </c>
      <c r="Z236" s="51">
        <f>IF(NOTA[[#This Row],[JUMLAH]]="","",NOTA[[#This Row],[DISC 1-]]+NOTA[[#This Row],[DISC 2-]])</f>
        <v>5981688</v>
      </c>
      <c r="AA236" s="51">
        <f>IF(NOTA[[#This Row],[JUMLAH]]="","",NOTA[[#This Row],[JUMLAH]]-NOTA[[#This Row],[DISC]])</f>
        <v>29204712</v>
      </c>
      <c r="AB236" s="51"/>
      <c r="AC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6" s="51" t="str">
        <f>IF(OR(NOTA[[#This Row],[QTY]]="",NOTA[[#This Row],[HARGA SATUAN]]="",),"",NOTA[[#This Row],[QTY]]*NOTA[[#This Row],[HARGA SATUAN]])</f>
        <v/>
      </c>
      <c r="AG236" s="40">
        <f ca="1">IF(NOTA[ID_H]="","",INDEX(NOTA[TANGGAL],MATCH(,INDIRECT(ADDRESS(ROW(NOTA[TANGGAL]),COLUMN(NOTA[TANGGAL]))&amp;":"&amp;ADDRESS(ROW(),COLUMN(NOTA[TANGGAL]))),-1)))</f>
        <v>45117</v>
      </c>
      <c r="AH236" s="42" t="str">
        <f ca="1">IF(NOTA[[#This Row],[NAMA BARANG]]="","",INDEX(NOTA[SUPPLIER],MATCH(,INDIRECT(ADDRESS(ROW(NOTA[ID]),COLUMN(NOTA[ID]))&amp;":"&amp;ADDRESS(ROW(),COLUMN(NOTA[ID]))),-1)))</f>
        <v>KENKO SINAR INDONESIA</v>
      </c>
      <c r="AI236" s="42" t="str">
        <f ca="1">IF(NOTA[[#This Row],[ID_H]]="","",IF(NOTA[[#This Row],[FAKTUR]]="",INDIRECT(ADDRESS(ROW()-1,COLUMN())),NOTA[[#This Row],[FAKTUR]]))</f>
        <v>ARTO MORO</v>
      </c>
      <c r="AJ236" s="39">
        <f ca="1">IF(NOTA[[#This Row],[ID]]="","",COUNTIF(NOTA[ID_H],NOTA[[#This Row],[ID_H]]))</f>
        <v>7</v>
      </c>
      <c r="AK236" s="39">
        <f>IF(NOTA[[#This Row],[TGL.NOTA]]="",IF(NOTA[[#This Row],[SUPPLIER_H]]="","",AK235),MONTH(NOTA[[#This Row],[TGL.NOTA]]))</f>
        <v>7</v>
      </c>
      <c r="AL23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MORO2307053545114kenkocorrectionfluidke01</v>
      </c>
      <c r="AP236" s="39" t="e">
        <f>IF(NOTA[[#This Row],[CONCAT4]]="","",_xlfn.IFNA(MATCH(NOTA[[#This Row],[CONCAT4]],[2]!RAW[CONCAT_H],0),FALSE))</f>
        <v>#REF!</v>
      </c>
      <c r="AQ236" s="39">
        <f>IF(NOTA[[#This Row],[CONCAT1]]="","",MATCH(NOTA[[#This Row],[CONCAT1]],[3]!db[NB NOTA_C],0))</f>
        <v>2678</v>
      </c>
      <c r="AR236" s="39" t="str">
        <f>IF(NOTA[[#This Row],[QTY/ CTN]]="","",TRUE)</f>
        <v/>
      </c>
      <c r="AS236" s="39" t="str">
        <f ca="1">IF(NOTA[[#This Row],[ID_H]]="","",IF(NOTA[[#This Row],[Column3]]=TRUE,NOTA[[#This Row],[QTY/ CTN]],INDEX([3]!db[QTY/ CTN],NOTA[[#This Row],[//DB]])))</f>
        <v>36 LSN</v>
      </c>
      <c r="AT2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6" s="39" t="e">
        <f ca="1">IF(NOTA[[#This Row],[ID_H]]="","",MATCH(NOTA[[#This Row],[NB NOTA_C_QTY]],[4]!db[NB NOTA_C_QTY+F],0))</f>
        <v>#REF!</v>
      </c>
      <c r="AV236" s="55">
        <f ca="1">IF(NOTA[[#This Row],[NB NOTA_C_QTY]]="","",ROW()-2)</f>
        <v>234</v>
      </c>
    </row>
    <row r="237" spans="1:48" ht="20.100000000000001" customHeight="1" x14ac:dyDescent="0.25">
      <c r="A2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52</v>
      </c>
      <c r="E237" s="47"/>
      <c r="H237" s="48"/>
      <c r="L237" s="38" t="s">
        <v>370</v>
      </c>
      <c r="M237" s="41">
        <v>1</v>
      </c>
      <c r="N237" s="39"/>
      <c r="Q237" s="43">
        <v>2112000</v>
      </c>
      <c r="R237" s="49"/>
      <c r="S237" s="50">
        <v>0.17</v>
      </c>
      <c r="U237" s="51"/>
      <c r="V237" s="46"/>
      <c r="W237" s="51">
        <f>IF(NOTA[[#This Row],[HARGA/ CTN]]="",NOTA[[#This Row],[JUMLAH_H]],NOTA[[#This Row],[HARGA/ CTN]]*IF(NOTA[[#This Row],[C]]="",0,NOTA[[#This Row],[C]]))</f>
        <v>2112000</v>
      </c>
      <c r="X237" s="51">
        <f>IF(NOTA[[#This Row],[JUMLAH]]="","",NOTA[[#This Row],[JUMLAH]]*NOTA[[#This Row],[DISC 1]])</f>
        <v>359040</v>
      </c>
      <c r="Y237" s="51">
        <f>IF(NOTA[[#This Row],[JUMLAH]]="","",(NOTA[[#This Row],[JUMLAH]]-NOTA[[#This Row],[DISC 1-]])*NOTA[[#This Row],[DISC 2]])</f>
        <v>0</v>
      </c>
      <c r="Z237" s="51">
        <f>IF(NOTA[[#This Row],[JUMLAH]]="","",NOTA[[#This Row],[DISC 1-]]+NOTA[[#This Row],[DISC 2-]])</f>
        <v>359040</v>
      </c>
      <c r="AA237" s="51">
        <f>IF(NOTA[[#This Row],[JUMLAH]]="","",NOTA[[#This Row],[JUMLAH]]-NOTA[[#This Row],[DISC]])</f>
        <v>1752960</v>
      </c>
      <c r="AB237" s="51"/>
      <c r="AC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37" s="51" t="str">
        <f>IF(OR(NOTA[[#This Row],[QTY]]="",NOTA[[#This Row],[HARGA SATUAN]]="",),"",NOTA[[#This Row],[QTY]]*NOTA[[#This Row],[HARGA SATUAN]])</f>
        <v/>
      </c>
      <c r="AG237" s="40">
        <f ca="1">IF(NOTA[ID_H]="","",INDEX(NOTA[TANGGAL],MATCH(,INDIRECT(ADDRESS(ROW(NOTA[TANGGAL]),COLUMN(NOTA[TANGGAL]))&amp;":"&amp;ADDRESS(ROW(),COLUMN(NOTA[TANGGAL]))),-1)))</f>
        <v>45117</v>
      </c>
      <c r="AH237" s="42" t="str">
        <f ca="1">IF(NOTA[[#This Row],[NAMA BARANG]]="","",INDEX(NOTA[SUPPLIER],MATCH(,INDIRECT(ADDRESS(ROW(NOTA[ID]),COLUMN(NOTA[ID]))&amp;":"&amp;ADDRESS(ROW(),COLUMN(NOTA[ID]))),-1)))</f>
        <v>KENKO SINAR INDONESIA</v>
      </c>
      <c r="AI237" s="42" t="str">
        <f ca="1">IF(NOTA[[#This Row],[ID_H]]="","",IF(NOTA[[#This Row],[FAKTUR]]="",INDIRECT(ADDRESS(ROW()-1,COLUMN())),NOTA[[#This Row],[FAKTUR]]))</f>
        <v>ARTO MORO</v>
      </c>
      <c r="AJ237" s="39" t="str">
        <f ca="1">IF(NOTA[[#This Row],[ID]]="","",COUNTIF(NOTA[ID_H],NOTA[[#This Row],[ID_H]]))</f>
        <v/>
      </c>
      <c r="AK237" s="39">
        <f ca="1">IF(NOTA[[#This Row],[TGL.NOTA]]="",IF(NOTA[[#This Row],[SUPPLIER_H]]="","",AK236),MONTH(NOTA[[#This Row],[TGL.NOTA]]))</f>
        <v>7</v>
      </c>
      <c r="AL237" s="39" t="str">
        <f>LOWER(SUBSTITUTE(SUBSTITUTE(SUBSTITUTE(SUBSTITUTE(SUBSTITUTE(SUBSTITUTE(SUBSTITUTE(SUBSTITUTE(SUBSTITUTE(NOTA[NAMA BARANG]," ",),".",""),"-",""),"(",""),")",""),",",""),"/",""),"""",""),"+",""))</f>
        <v>kenkohandytapedispensertdb2besi</v>
      </c>
      <c r="AM2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N2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O2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9" t="str">
        <f>IF(NOTA[[#This Row],[CONCAT4]]="","",_xlfn.IFNA(MATCH(NOTA[[#This Row],[CONCAT4]],[2]!RAW[CONCAT_H],0),FALSE))</f>
        <v/>
      </c>
      <c r="AQ237" s="39">
        <f>IF(NOTA[[#This Row],[CONCAT1]]="","",MATCH(NOTA[[#This Row],[CONCAT1]],[3]!db[NB NOTA_C],0))</f>
        <v>998</v>
      </c>
      <c r="AR237" s="39" t="str">
        <f>IF(NOTA[[#This Row],[QTY/ CTN]]="","",TRUE)</f>
        <v/>
      </c>
      <c r="AS237" s="39" t="str">
        <f ca="1">IF(NOTA[[#This Row],[ID_H]]="","",IF(NOTA[[#This Row],[Column3]]=TRUE,NOTA[[#This Row],[QTY/ CTN]],INDEX([3]!db[QTY/ CTN],NOTA[[#This Row],[//DB]])))</f>
        <v>8 LSN</v>
      </c>
      <c r="AT2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kenkohandytapedispensertdb2besi8lsnartomoro</v>
      </c>
      <c r="AU237" s="39" t="e">
        <f ca="1">IF(NOTA[[#This Row],[ID_H]]="","",MATCH(NOTA[[#This Row],[NB NOTA_C_QTY]],[4]!db[NB NOTA_C_QTY+F],0))</f>
        <v>#REF!</v>
      </c>
      <c r="AV237" s="55">
        <f ca="1">IF(NOTA[[#This Row],[NB NOTA_C_QTY]]="","",ROW()-2)</f>
        <v>235</v>
      </c>
    </row>
    <row r="238" spans="1:48" ht="20.100000000000001" customHeight="1" x14ac:dyDescent="0.25">
      <c r="A2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52</v>
      </c>
      <c r="E238" s="47"/>
      <c r="H238" s="48"/>
      <c r="L238" s="38" t="s">
        <v>131</v>
      </c>
      <c r="M238" s="41">
        <v>2</v>
      </c>
      <c r="N238" s="39"/>
      <c r="Q238" s="43">
        <v>1497600</v>
      </c>
      <c r="R238" s="49"/>
      <c r="S238" s="50">
        <v>0.17</v>
      </c>
      <c r="U238" s="51"/>
      <c r="V238" s="46"/>
      <c r="W238" s="51">
        <f>IF(NOTA[[#This Row],[HARGA/ CTN]]="",NOTA[[#This Row],[JUMLAH_H]],NOTA[[#This Row],[HARGA/ CTN]]*IF(NOTA[[#This Row],[C]]="",0,NOTA[[#This Row],[C]]))</f>
        <v>2995200</v>
      </c>
      <c r="X238" s="51">
        <f>IF(NOTA[[#This Row],[JUMLAH]]="","",NOTA[[#This Row],[JUMLAH]]*NOTA[[#This Row],[DISC 1]])</f>
        <v>509184.00000000006</v>
      </c>
      <c r="Y238" s="51">
        <f>IF(NOTA[[#This Row],[JUMLAH]]="","",(NOTA[[#This Row],[JUMLAH]]-NOTA[[#This Row],[DISC 1-]])*NOTA[[#This Row],[DISC 2]])</f>
        <v>0</v>
      </c>
      <c r="Z238" s="51">
        <f>IF(NOTA[[#This Row],[JUMLAH]]="","",NOTA[[#This Row],[DISC 1-]]+NOTA[[#This Row],[DISC 2-]])</f>
        <v>509184.00000000006</v>
      </c>
      <c r="AA238" s="51">
        <f>IF(NOTA[[#This Row],[JUMLAH]]="","",NOTA[[#This Row],[JUMLAH]]-NOTA[[#This Row],[DISC]])</f>
        <v>2486016</v>
      </c>
      <c r="AB238" s="51"/>
      <c r="AC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38" s="51" t="str">
        <f>IF(OR(NOTA[[#This Row],[QTY]]="",NOTA[[#This Row],[HARGA SATUAN]]="",),"",NOTA[[#This Row],[QTY]]*NOTA[[#This Row],[HARGA SATUAN]])</f>
        <v/>
      </c>
      <c r="AG238" s="40">
        <f ca="1">IF(NOTA[ID_H]="","",INDEX(NOTA[TANGGAL],MATCH(,INDIRECT(ADDRESS(ROW(NOTA[TANGGAL]),COLUMN(NOTA[TANGGAL]))&amp;":"&amp;ADDRESS(ROW(),COLUMN(NOTA[TANGGAL]))),-1)))</f>
        <v>45117</v>
      </c>
      <c r="AH238" s="42" t="str">
        <f ca="1">IF(NOTA[[#This Row],[NAMA BARANG]]="","",INDEX(NOTA[SUPPLIER],MATCH(,INDIRECT(ADDRESS(ROW(NOTA[ID]),COLUMN(NOTA[ID]))&amp;":"&amp;ADDRESS(ROW(),COLUMN(NOTA[ID]))),-1)))</f>
        <v>KENKO SINAR INDONESIA</v>
      </c>
      <c r="AI238" s="42" t="str">
        <f ca="1">IF(NOTA[[#This Row],[ID_H]]="","",IF(NOTA[[#This Row],[FAKTUR]]="",INDIRECT(ADDRESS(ROW()-1,COLUMN())),NOTA[[#This Row],[FAKTUR]]))</f>
        <v>ARTO MORO</v>
      </c>
      <c r="AJ238" s="39" t="str">
        <f ca="1">IF(NOTA[[#This Row],[ID]]="","",COUNTIF(NOTA[ID_H],NOTA[[#This Row],[ID_H]]))</f>
        <v/>
      </c>
      <c r="AK238" s="39">
        <f ca="1">IF(NOTA[[#This Row],[TGL.NOTA]]="",IF(NOTA[[#This Row],[SUPPLIER_H]]="","",AK237),MONTH(NOTA[[#This Row],[TGL.NOTA]]))</f>
        <v>7</v>
      </c>
      <c r="AL238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9" t="str">
        <f>IF(NOTA[[#This Row],[CONCAT4]]="","",_xlfn.IFNA(MATCH(NOTA[[#This Row],[CONCAT4]],[2]!RAW[CONCAT_H],0),FALSE))</f>
        <v/>
      </c>
      <c r="AQ238" s="39">
        <f>IF(NOTA[[#This Row],[CONCAT1]]="","",MATCH(NOTA[[#This Row],[CONCAT1]],[3]!db[NB NOTA_C],0))</f>
        <v>1916</v>
      </c>
      <c r="AR238" s="39" t="str">
        <f>IF(NOTA[[#This Row],[QTY/ CTN]]="","",TRUE)</f>
        <v/>
      </c>
      <c r="AS238" s="39" t="str">
        <f ca="1">IF(NOTA[[#This Row],[ID_H]]="","",IF(NOTA[[#This Row],[Column3]]=TRUE,NOTA[[#This Row],[QTY/ CTN]],INDEX([3]!db[QTY/ CTN],NOTA[[#This Row],[//DB]])))</f>
        <v>24 LSN</v>
      </c>
      <c r="AT2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38" s="39" t="e">
        <f ca="1">IF(NOTA[[#This Row],[ID_H]]="","",MATCH(NOTA[[#This Row],[NB NOTA_C_QTY]],[4]!db[NB NOTA_C_QTY+F],0))</f>
        <v>#REF!</v>
      </c>
      <c r="AV238" s="55">
        <f ca="1">IF(NOTA[[#This Row],[NB NOTA_C_QTY]]="","",ROW()-2)</f>
        <v>236</v>
      </c>
    </row>
    <row r="239" spans="1:48" ht="20.100000000000001" customHeight="1" x14ac:dyDescent="0.25">
      <c r="A2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52</v>
      </c>
      <c r="E239" s="47"/>
      <c r="H239" s="48"/>
      <c r="L239" s="38" t="s">
        <v>374</v>
      </c>
      <c r="M239" s="41">
        <v>3</v>
      </c>
      <c r="N239" s="39"/>
      <c r="Q239" s="43">
        <v>2880000</v>
      </c>
      <c r="R239" s="49"/>
      <c r="S239" s="50">
        <v>0.17</v>
      </c>
      <c r="U239" s="51"/>
      <c r="V239" s="46"/>
      <c r="W239" s="51">
        <f>IF(NOTA[[#This Row],[HARGA/ CTN]]="",NOTA[[#This Row],[JUMLAH_H]],NOTA[[#This Row],[HARGA/ CTN]]*IF(NOTA[[#This Row],[C]]="",0,NOTA[[#This Row],[C]]))</f>
        <v>8640000</v>
      </c>
      <c r="X239" s="51">
        <f>IF(NOTA[[#This Row],[JUMLAH]]="","",NOTA[[#This Row],[JUMLAH]]*NOTA[[#This Row],[DISC 1]])</f>
        <v>1468800</v>
      </c>
      <c r="Y239" s="51">
        <f>IF(NOTA[[#This Row],[JUMLAH]]="","",(NOTA[[#This Row],[JUMLAH]]-NOTA[[#This Row],[DISC 1-]])*NOTA[[#This Row],[DISC 2]])</f>
        <v>0</v>
      </c>
      <c r="Z239" s="51">
        <f>IF(NOTA[[#This Row],[JUMLAH]]="","",NOTA[[#This Row],[DISC 1-]]+NOTA[[#This Row],[DISC 2-]])</f>
        <v>1468800</v>
      </c>
      <c r="AA239" s="51">
        <f>IF(NOTA[[#This Row],[JUMLAH]]="","",NOTA[[#This Row],[JUMLAH]]-NOTA[[#This Row],[DISC]])</f>
        <v>7171200</v>
      </c>
      <c r="AB239" s="51"/>
      <c r="AC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9" s="51" t="str">
        <f>IF(OR(NOTA[[#This Row],[QTY]]="",NOTA[[#This Row],[HARGA SATUAN]]="",),"",NOTA[[#This Row],[QTY]]*NOTA[[#This Row],[HARGA SATUAN]])</f>
        <v/>
      </c>
      <c r="AG239" s="40">
        <f ca="1">IF(NOTA[ID_H]="","",INDEX(NOTA[TANGGAL],MATCH(,INDIRECT(ADDRESS(ROW(NOTA[TANGGAL]),COLUMN(NOTA[TANGGAL]))&amp;":"&amp;ADDRESS(ROW(),COLUMN(NOTA[TANGGAL]))),-1)))</f>
        <v>45117</v>
      </c>
      <c r="AH239" s="42" t="str">
        <f ca="1">IF(NOTA[[#This Row],[NAMA BARANG]]="","",INDEX(NOTA[SUPPLIER],MATCH(,INDIRECT(ADDRESS(ROW(NOTA[ID]),COLUMN(NOTA[ID]))&amp;":"&amp;ADDRESS(ROW(),COLUMN(NOTA[ID]))),-1)))</f>
        <v>KENKO SINAR INDONESIA</v>
      </c>
      <c r="AI239" s="42" t="str">
        <f ca="1">IF(NOTA[[#This Row],[ID_H]]="","",IF(NOTA[[#This Row],[FAKTUR]]="",INDIRECT(ADDRESS(ROW()-1,COLUMN())),NOTA[[#This Row],[FAKTUR]]))</f>
        <v>ARTO MORO</v>
      </c>
      <c r="AJ239" s="39" t="str">
        <f ca="1">IF(NOTA[[#This Row],[ID]]="","",COUNTIF(NOTA[ID_H],NOTA[[#This Row],[ID_H]]))</f>
        <v/>
      </c>
      <c r="AK239" s="39">
        <f ca="1">IF(NOTA[[#This Row],[TGL.NOTA]]="",IF(NOTA[[#This Row],[SUPPLIER_H]]="","",AK238),MONTH(NOTA[[#This Row],[TGL.NOTA]]))</f>
        <v>7</v>
      </c>
      <c r="AL239" s="39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M2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2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O2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9" t="str">
        <f>IF(NOTA[[#This Row],[CONCAT4]]="","",_xlfn.IFNA(MATCH(NOTA[[#This Row],[CONCAT4]],[2]!RAW[CONCAT_H],0),FALSE))</f>
        <v/>
      </c>
      <c r="AQ239" s="39">
        <f>IF(NOTA[[#This Row],[CONCAT1]]="","",MATCH(NOTA[[#This Row],[CONCAT1]],[3]!db[NB NOTA_C],0))</f>
        <v>2668</v>
      </c>
      <c r="AR239" s="39" t="str">
        <f>IF(NOTA[[#This Row],[QTY/ CTN]]="","",TRUE)</f>
        <v/>
      </c>
      <c r="AS239" s="39" t="str">
        <f ca="1">IF(NOTA[[#This Row],[ID_H]]="","",IF(NOTA[[#This Row],[Column3]]=TRUE,NOTA[[#This Row],[QTY/ CTN]],INDEX([3]!db[QTY/ CTN],NOTA[[#This Row],[//DB]])))</f>
        <v>48 LSN</v>
      </c>
      <c r="AT2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U239" s="39" t="e">
        <f ca="1">IF(NOTA[[#This Row],[ID_H]]="","",MATCH(NOTA[[#This Row],[NB NOTA_C_QTY]],[4]!db[NB NOTA_C_QTY+F],0))</f>
        <v>#REF!</v>
      </c>
      <c r="AV239" s="55">
        <f ca="1">IF(NOTA[[#This Row],[NB NOTA_C_QTY]]="","",ROW()-2)</f>
        <v>237</v>
      </c>
    </row>
    <row r="240" spans="1:48" ht="20.100000000000001" customHeight="1" x14ac:dyDescent="0.25">
      <c r="A2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52</v>
      </c>
      <c r="E240" s="47"/>
      <c r="H240" s="48"/>
      <c r="L240" s="38" t="s">
        <v>371</v>
      </c>
      <c r="M240" s="41">
        <v>1</v>
      </c>
      <c r="N240" s="39"/>
      <c r="Q240" s="43">
        <v>2008800</v>
      </c>
      <c r="R240" s="49"/>
      <c r="S240" s="50">
        <v>0.17</v>
      </c>
      <c r="U240" s="51"/>
      <c r="V240" s="46"/>
      <c r="W240" s="51">
        <f>IF(NOTA[[#This Row],[HARGA/ CTN]]="",NOTA[[#This Row],[JUMLAH_H]],NOTA[[#This Row],[HARGA/ CTN]]*IF(NOTA[[#This Row],[C]]="",0,NOTA[[#This Row],[C]]))</f>
        <v>2008800</v>
      </c>
      <c r="X240" s="51">
        <f>IF(NOTA[[#This Row],[JUMLAH]]="","",NOTA[[#This Row],[JUMLAH]]*NOTA[[#This Row],[DISC 1]])</f>
        <v>341496</v>
      </c>
      <c r="Y240" s="51">
        <f>IF(NOTA[[#This Row],[JUMLAH]]="","",(NOTA[[#This Row],[JUMLAH]]-NOTA[[#This Row],[DISC 1-]])*NOTA[[#This Row],[DISC 2]])</f>
        <v>0</v>
      </c>
      <c r="Z240" s="51">
        <f>IF(NOTA[[#This Row],[JUMLAH]]="","",NOTA[[#This Row],[DISC 1-]]+NOTA[[#This Row],[DISC 2-]])</f>
        <v>341496</v>
      </c>
      <c r="AA240" s="51">
        <f>IF(NOTA[[#This Row],[JUMLAH]]="","",NOTA[[#This Row],[JUMLAH]]-NOTA[[#This Row],[DISC]])</f>
        <v>1667304</v>
      </c>
      <c r="AB240" s="51"/>
      <c r="AC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40" s="51" t="str">
        <f>IF(OR(NOTA[[#This Row],[QTY]]="",NOTA[[#This Row],[HARGA SATUAN]]="",),"",NOTA[[#This Row],[QTY]]*NOTA[[#This Row],[HARGA SATUAN]])</f>
        <v/>
      </c>
      <c r="AG240" s="40">
        <f ca="1">IF(NOTA[ID_H]="","",INDEX(NOTA[TANGGAL],MATCH(,INDIRECT(ADDRESS(ROW(NOTA[TANGGAL]),COLUMN(NOTA[TANGGAL]))&amp;":"&amp;ADDRESS(ROW(),COLUMN(NOTA[TANGGAL]))),-1)))</f>
        <v>45117</v>
      </c>
      <c r="AH240" s="42" t="str">
        <f ca="1">IF(NOTA[[#This Row],[NAMA BARANG]]="","",INDEX(NOTA[SUPPLIER],MATCH(,INDIRECT(ADDRESS(ROW(NOTA[ID]),COLUMN(NOTA[ID]))&amp;":"&amp;ADDRESS(ROW(),COLUMN(NOTA[ID]))),-1)))</f>
        <v>KENKO SINAR INDONESIA</v>
      </c>
      <c r="AI240" s="42" t="str">
        <f ca="1">IF(NOTA[[#This Row],[ID_H]]="","",IF(NOTA[[#This Row],[FAKTUR]]="",INDIRECT(ADDRESS(ROW()-1,COLUMN())),NOTA[[#This Row],[FAKTUR]]))</f>
        <v>ARTO MORO</v>
      </c>
      <c r="AJ240" s="39" t="str">
        <f ca="1">IF(NOTA[[#This Row],[ID]]="","",COUNTIF(NOTA[ID_H],NOTA[[#This Row],[ID_H]]))</f>
        <v/>
      </c>
      <c r="AK240" s="39">
        <f ca="1">IF(NOTA[[#This Row],[TGL.NOTA]]="",IF(NOTA[[#This Row],[SUPPLIER_H]]="","",AK239),MONTH(NOTA[[#This Row],[TGL.NOTA]]))</f>
        <v>7</v>
      </c>
      <c r="AL240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9" t="str">
        <f>IF(NOTA[[#This Row],[CONCAT4]]="","",_xlfn.IFNA(MATCH(NOTA[[#This Row],[CONCAT4]],[2]!RAW[CONCAT_H],0),FALSE))</f>
        <v/>
      </c>
      <c r="AQ240" s="39">
        <f>IF(NOTA[[#This Row],[CONCAT1]]="","",MATCH(NOTA[[#This Row],[CONCAT1]],[3]!db[NB NOTA_C],0))</f>
        <v>2679</v>
      </c>
      <c r="AR240" s="39" t="str">
        <f>IF(NOTA[[#This Row],[QTY/ CTN]]="","",TRUE)</f>
        <v/>
      </c>
      <c r="AS240" s="39" t="str">
        <f ca="1">IF(NOTA[[#This Row],[ID_H]]="","",IF(NOTA[[#This Row],[Column3]]=TRUE,NOTA[[#This Row],[QTY/ CTN]],INDEX([3]!db[QTY/ CTN],NOTA[[#This Row],[//DB]])))</f>
        <v>36 LSN</v>
      </c>
      <c r="AT2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240" s="39" t="e">
        <f ca="1">IF(NOTA[[#This Row],[ID_H]]="","",MATCH(NOTA[[#This Row],[NB NOTA_C_QTY]],[4]!db[NB NOTA_C_QTY+F],0))</f>
        <v>#REF!</v>
      </c>
      <c r="AV240" s="55">
        <f ca="1">IF(NOTA[[#This Row],[NB NOTA_C_QTY]]="","",ROW()-2)</f>
        <v>238</v>
      </c>
    </row>
    <row r="241" spans="1:48" ht="20.100000000000001" customHeight="1" x14ac:dyDescent="0.25">
      <c r="A2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52</v>
      </c>
      <c r="E241" s="47"/>
      <c r="H241" s="48"/>
      <c r="L241" s="38" t="s">
        <v>372</v>
      </c>
      <c r="M241" s="41">
        <v>2</v>
      </c>
      <c r="N241" s="39"/>
      <c r="Q241" s="43">
        <v>2352000</v>
      </c>
      <c r="R241" s="49"/>
      <c r="S241" s="50">
        <v>0.17</v>
      </c>
      <c r="U241" s="51"/>
      <c r="V241" s="46"/>
      <c r="W241" s="51">
        <f>IF(NOTA[[#This Row],[HARGA/ CTN]]="",NOTA[[#This Row],[JUMLAH_H]],NOTA[[#This Row],[HARGA/ CTN]]*IF(NOTA[[#This Row],[C]]="",0,NOTA[[#This Row],[C]]))</f>
        <v>4704000</v>
      </c>
      <c r="X241" s="51">
        <f>IF(NOTA[[#This Row],[JUMLAH]]="","",NOTA[[#This Row],[JUMLAH]]*NOTA[[#This Row],[DISC 1]])</f>
        <v>799680</v>
      </c>
      <c r="Y241" s="51">
        <f>IF(NOTA[[#This Row],[JUMLAH]]="","",(NOTA[[#This Row],[JUMLAH]]-NOTA[[#This Row],[DISC 1-]])*NOTA[[#This Row],[DISC 2]])</f>
        <v>0</v>
      </c>
      <c r="Z241" s="51">
        <f>IF(NOTA[[#This Row],[JUMLAH]]="","",NOTA[[#This Row],[DISC 1-]]+NOTA[[#This Row],[DISC 2-]])</f>
        <v>799680</v>
      </c>
      <c r="AA241" s="51">
        <f>IF(NOTA[[#This Row],[JUMLAH]]="","",NOTA[[#This Row],[JUMLAH]]-NOTA[[#This Row],[DISC]])</f>
        <v>3904320</v>
      </c>
      <c r="AB241" s="51"/>
      <c r="AC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41" s="51" t="str">
        <f>IF(OR(NOTA[[#This Row],[QTY]]="",NOTA[[#This Row],[HARGA SATUAN]]="",),"",NOTA[[#This Row],[QTY]]*NOTA[[#This Row],[HARGA SATUAN]])</f>
        <v/>
      </c>
      <c r="AG241" s="40">
        <f ca="1">IF(NOTA[ID_H]="","",INDEX(NOTA[TANGGAL],MATCH(,INDIRECT(ADDRESS(ROW(NOTA[TANGGAL]),COLUMN(NOTA[TANGGAL]))&amp;":"&amp;ADDRESS(ROW(),COLUMN(NOTA[TANGGAL]))),-1)))</f>
        <v>45117</v>
      </c>
      <c r="AH241" s="42" t="str">
        <f ca="1">IF(NOTA[[#This Row],[NAMA BARANG]]="","",INDEX(NOTA[SUPPLIER],MATCH(,INDIRECT(ADDRESS(ROW(NOTA[ID]),COLUMN(NOTA[ID]))&amp;":"&amp;ADDRESS(ROW(),COLUMN(NOTA[ID]))),-1)))</f>
        <v>KENKO SINAR INDONESIA</v>
      </c>
      <c r="AI241" s="42" t="str">
        <f ca="1">IF(NOTA[[#This Row],[ID_H]]="","",IF(NOTA[[#This Row],[FAKTUR]]="",INDIRECT(ADDRESS(ROW()-1,COLUMN())),NOTA[[#This Row],[FAKTUR]]))</f>
        <v>ARTO MORO</v>
      </c>
      <c r="AJ241" s="39" t="str">
        <f ca="1">IF(NOTA[[#This Row],[ID]]="","",COUNTIF(NOTA[ID_H],NOTA[[#This Row],[ID_H]]))</f>
        <v/>
      </c>
      <c r="AK241" s="39">
        <f ca="1">IF(NOTA[[#This Row],[TGL.NOTA]]="",IF(NOTA[[#This Row],[SUPPLIER_H]]="","",AK240),MONTH(NOTA[[#This Row],[TGL.NOTA]]))</f>
        <v>7</v>
      </c>
      <c r="AL241" s="39" t="str">
        <f>LOWER(SUBSTITUTE(SUBSTITUTE(SUBSTITUTE(SUBSTITUTE(SUBSTITUTE(SUBSTITUTE(SUBSTITUTE(SUBSTITUTE(SUBSTITUTE(NOTA[NAMA BARANG]," ",),".",""),"-",""),"(",""),")",""),",",""),"/",""),"""",""),"+",""))</f>
        <v>kenkostaplerhd10dpastelcolor</v>
      </c>
      <c r="AM2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kenkostaplerhd10dpastelcolor23520000.17</v>
      </c>
      <c r="AN2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kenkostaplerhd10dpastelcolor23520000.17</v>
      </c>
      <c r="AO2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9" t="str">
        <f>IF(NOTA[[#This Row],[CONCAT4]]="","",_xlfn.IFNA(MATCH(NOTA[[#This Row],[CONCAT4]],[2]!RAW[CONCAT_H],0),FALSE))</f>
        <v/>
      </c>
      <c r="AQ241" s="39">
        <f>IF(NOTA[[#This Row],[CONCAT1]]="","",MATCH(NOTA[[#This Row],[CONCAT1]],[3]!db[NB NOTA_C],0))</f>
        <v>2463</v>
      </c>
      <c r="AR241" s="39" t="str">
        <f>IF(NOTA[[#This Row],[QTY/ CTN]]="","",TRUE)</f>
        <v/>
      </c>
      <c r="AS241" s="39" t="str">
        <f ca="1">IF(NOTA[[#This Row],[ID_H]]="","",IF(NOTA[[#This Row],[Column3]]=TRUE,NOTA[[#This Row],[QTY/ CTN]],INDEX([3]!db[QTY/ CTN],NOTA[[#This Row],[//DB]])))</f>
        <v>20 LSN</v>
      </c>
      <c r="AT2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kenkostaplerhd10dpastelcolor20lsnartomoro</v>
      </c>
      <c r="AU241" s="39" t="e">
        <f ca="1">IF(NOTA[[#This Row],[ID_H]]="","",MATCH(NOTA[[#This Row],[NB NOTA_C_QTY]],[4]!db[NB NOTA_C_QTY+F],0))</f>
        <v>#REF!</v>
      </c>
      <c r="AV241" s="55">
        <f ca="1">IF(NOTA[[#This Row],[NB NOTA_C_QTY]]="","",ROW()-2)</f>
        <v>239</v>
      </c>
    </row>
    <row r="242" spans="1:48" ht="20.100000000000001" customHeight="1" x14ac:dyDescent="0.25">
      <c r="A2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52</v>
      </c>
      <c r="E242" s="47"/>
      <c r="H242" s="48"/>
      <c r="L242" s="38" t="s">
        <v>373</v>
      </c>
      <c r="M242" s="41">
        <v>2</v>
      </c>
      <c r="N242" s="39"/>
      <c r="Q242" s="43">
        <v>2280000</v>
      </c>
      <c r="R242" s="49"/>
      <c r="S242" s="50">
        <v>0.17</v>
      </c>
      <c r="U242" s="51"/>
      <c r="V242" s="46"/>
      <c r="W242" s="51">
        <f>IF(NOTA[[#This Row],[HARGA/ CTN]]="",NOTA[[#This Row],[JUMLAH_H]],NOTA[[#This Row],[HARGA/ CTN]]*IF(NOTA[[#This Row],[C]]="",0,NOTA[[#This Row],[C]]))</f>
        <v>4560000</v>
      </c>
      <c r="X242" s="51">
        <f>IF(NOTA[[#This Row],[JUMLAH]]="","",NOTA[[#This Row],[JUMLAH]]*NOTA[[#This Row],[DISC 1]])</f>
        <v>775200</v>
      </c>
      <c r="Y242" s="51">
        <f>IF(NOTA[[#This Row],[JUMLAH]]="","",(NOTA[[#This Row],[JUMLAH]]-NOTA[[#This Row],[DISC 1-]])*NOTA[[#This Row],[DISC 2]])</f>
        <v>0</v>
      </c>
      <c r="Z242" s="51">
        <f>IF(NOTA[[#This Row],[JUMLAH]]="","",NOTA[[#This Row],[DISC 1-]]+NOTA[[#This Row],[DISC 2-]])</f>
        <v>775200</v>
      </c>
      <c r="AA242" s="51">
        <f>IF(NOTA[[#This Row],[JUMLAH]]="","",NOTA[[#This Row],[JUMLAH]]-NOTA[[#This Row],[DISC]])</f>
        <v>3784800</v>
      </c>
      <c r="AB242" s="51"/>
      <c r="AC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10235088</v>
      </c>
      <c r="AD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49971312</v>
      </c>
      <c r="AE2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42" s="51" t="str">
        <f>IF(OR(NOTA[[#This Row],[QTY]]="",NOTA[[#This Row],[HARGA SATUAN]]="",),"",NOTA[[#This Row],[QTY]]*NOTA[[#This Row],[HARGA SATUAN]])</f>
        <v/>
      </c>
      <c r="AG242" s="40">
        <f ca="1">IF(NOTA[ID_H]="","",INDEX(NOTA[TANGGAL],MATCH(,INDIRECT(ADDRESS(ROW(NOTA[TANGGAL]),COLUMN(NOTA[TANGGAL]))&amp;":"&amp;ADDRESS(ROW(),COLUMN(NOTA[TANGGAL]))),-1)))</f>
        <v>45117</v>
      </c>
      <c r="AH242" s="42" t="str">
        <f ca="1">IF(NOTA[[#This Row],[NAMA BARANG]]="","",INDEX(NOTA[SUPPLIER],MATCH(,INDIRECT(ADDRESS(ROW(NOTA[ID]),COLUMN(NOTA[ID]))&amp;":"&amp;ADDRESS(ROW(),COLUMN(NOTA[ID]))),-1)))</f>
        <v>KENKO SINAR INDONESIA</v>
      </c>
      <c r="AI242" s="42" t="str">
        <f ca="1">IF(NOTA[[#This Row],[ID_H]]="","",IF(NOTA[[#This Row],[FAKTUR]]="",INDIRECT(ADDRESS(ROW()-1,COLUMN())),NOTA[[#This Row],[FAKTUR]]))</f>
        <v>ARTO MORO</v>
      </c>
      <c r="AJ242" s="39" t="str">
        <f ca="1">IF(NOTA[[#This Row],[ID]]="","",COUNTIF(NOTA[ID_H],NOTA[[#This Row],[ID_H]]))</f>
        <v/>
      </c>
      <c r="AK242" s="39">
        <f ca="1">IF(NOTA[[#This Row],[TGL.NOTA]]="",IF(NOTA[[#This Row],[SUPPLIER_H]]="","",AK241),MONTH(NOTA[[#This Row],[TGL.NOTA]]))</f>
        <v>7</v>
      </c>
      <c r="AL242" s="39" t="str">
        <f>LOWER(SUBSTITUTE(SUBSTITUTE(SUBSTITUTE(SUBSTITUTE(SUBSTITUTE(SUBSTITUTE(SUBSTITUTE(SUBSTITUTE(SUBSTITUTE(NOTA[NAMA BARANG]," ",),".",""),"-",""),"(",""),")",""),",",""),"/",""),"""",""),"+",""))</f>
        <v>kenkostaplerhd50pastelcolor</v>
      </c>
      <c r="AM2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kenkostaplerhd50pastelcolor22800000.17</v>
      </c>
      <c r="AN2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kenkostaplerhd50pastelcolor22800000.17</v>
      </c>
      <c r="AO2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9" t="str">
        <f>IF(NOTA[[#This Row],[CONCAT4]]="","",_xlfn.IFNA(MATCH(NOTA[[#This Row],[CONCAT4]],[2]!RAW[CONCAT_H],0),FALSE))</f>
        <v/>
      </c>
      <c r="AQ242" s="39">
        <f>IF(NOTA[[#This Row],[CONCAT1]]="","",MATCH(NOTA[[#This Row],[CONCAT1]],[3]!db[NB NOTA_C],0))</f>
        <v>2475</v>
      </c>
      <c r="AR242" s="39" t="str">
        <f>IF(NOTA[[#This Row],[QTY/ CTN]]="","",TRUE)</f>
        <v/>
      </c>
      <c r="AS242" s="39" t="str">
        <f ca="1">IF(NOTA[[#This Row],[ID_H]]="","",IF(NOTA[[#This Row],[Column3]]=TRUE,NOTA[[#This Row],[QTY/ CTN]],INDEX([3]!db[QTY/ CTN],NOTA[[#This Row],[//DB]])))</f>
        <v>10 LSN</v>
      </c>
      <c r="AT2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kenkostaplerhd50pastelcolor10lsnartomoro</v>
      </c>
      <c r="AU242" s="39" t="e">
        <f ca="1">IF(NOTA[[#This Row],[ID_H]]="","",MATCH(NOTA[[#This Row],[NB NOTA_C_QTY]],[4]!db[NB NOTA_C_QTY+F],0))</f>
        <v>#REF!</v>
      </c>
      <c r="AV242" s="55">
        <f ca="1">IF(NOTA[[#This Row],[NB NOTA_C_QTY]]="","",ROW()-2)</f>
        <v>240</v>
      </c>
    </row>
    <row r="243" spans="1:48" ht="20.100000000000001" customHeight="1" x14ac:dyDescent="0.25">
      <c r="A2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47"/>
      <c r="H243" s="48"/>
      <c r="N243" s="39"/>
      <c r="Q243" s="43"/>
      <c r="R243" s="49"/>
      <c r="S243" s="50"/>
      <c r="U243" s="51"/>
      <c r="V243" s="46"/>
      <c r="W243" s="51" t="str">
        <f>IF(NOTA[[#This Row],[HARGA/ CTN]]="",NOTA[[#This Row],[JUMLAH_H]],NOTA[[#This Row],[HARGA/ CTN]]*IF(NOTA[[#This Row],[C]]="",0,NOTA[[#This Row],[C]]))</f>
        <v/>
      </c>
      <c r="X243" s="51" t="str">
        <f>IF(NOTA[[#This Row],[JUMLAH]]="","",NOTA[[#This Row],[JUMLAH]]*NOTA[[#This Row],[DISC 1]])</f>
        <v/>
      </c>
      <c r="Y243" s="51" t="str">
        <f>IF(NOTA[[#This Row],[JUMLAH]]="","",(NOTA[[#This Row],[JUMLAH]]-NOTA[[#This Row],[DISC 1-]])*NOTA[[#This Row],[DISC 2]])</f>
        <v/>
      </c>
      <c r="Z243" s="51" t="str">
        <f>IF(NOTA[[#This Row],[JUMLAH]]="","",NOTA[[#This Row],[DISC 1-]]+NOTA[[#This Row],[DISC 2-]])</f>
        <v/>
      </c>
      <c r="AA243" s="51" t="str">
        <f>IF(NOTA[[#This Row],[JUMLAH]]="","",NOTA[[#This Row],[JUMLAH]]-NOTA[[#This Row],[DISC]])</f>
        <v/>
      </c>
      <c r="AB243" s="51"/>
      <c r="AC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1" t="str">
        <f>IF(OR(NOTA[[#This Row],[QTY]]="",NOTA[[#This Row],[HARGA SATUAN]]="",),"",NOTA[[#This Row],[QTY]]*NOTA[[#This Row],[HARGA SATUAN]])</f>
        <v/>
      </c>
      <c r="AG243" s="40" t="str">
        <f ca="1">IF(NOTA[ID_H]="","",INDEX(NOTA[TANGGAL],MATCH(,INDIRECT(ADDRESS(ROW(NOTA[TANGGAL]),COLUMN(NOTA[TANGGAL]))&amp;":"&amp;ADDRESS(ROW(),COLUMN(NOTA[TANGGAL]))),-1)))</f>
        <v/>
      </c>
      <c r="AH243" s="42" t="str">
        <f ca="1">IF(NOTA[[#This Row],[NAMA BARANG]]="","",INDEX(NOTA[SUPPLIER],MATCH(,INDIRECT(ADDRESS(ROW(NOTA[ID]),COLUMN(NOTA[ID]))&amp;":"&amp;ADDRESS(ROW(),COLUMN(NOTA[ID]))),-1)))</f>
        <v/>
      </c>
      <c r="AI243" s="42" t="str">
        <f ca="1">IF(NOTA[[#This Row],[ID_H]]="","",IF(NOTA[[#This Row],[FAKTUR]]="",INDIRECT(ADDRESS(ROW()-1,COLUMN())),NOTA[[#This Row],[FAKTUR]]))</f>
        <v/>
      </c>
      <c r="AJ243" s="39" t="str">
        <f ca="1">IF(NOTA[[#This Row],[ID]]="","",COUNTIF(NOTA[ID_H],NOTA[[#This Row],[ID_H]]))</f>
        <v/>
      </c>
      <c r="AK243" s="39" t="str">
        <f ca="1">IF(NOTA[[#This Row],[TGL.NOTA]]="",IF(NOTA[[#This Row],[SUPPLIER_H]]="","",AK242),MONTH(NOTA[[#This Row],[TGL.NOTA]]))</f>
        <v/>
      </c>
      <c r="AL243" s="39" t="str">
        <f>LOWER(SUBSTITUTE(SUBSTITUTE(SUBSTITUTE(SUBSTITUTE(SUBSTITUTE(SUBSTITUTE(SUBSTITUTE(SUBSTITUTE(SUBSTITUTE(NOTA[NAMA BARANG]," ",),".",""),"-",""),"(",""),")",""),",",""),"/",""),"""",""),"+",""))</f>
        <v/>
      </c>
      <c r="AM2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9" t="str">
        <f>IF(NOTA[[#This Row],[CONCAT4]]="","",_xlfn.IFNA(MATCH(NOTA[[#This Row],[CONCAT4]],[2]!RAW[CONCAT_H],0),FALSE))</f>
        <v/>
      </c>
      <c r="AQ243" s="39" t="str">
        <f>IF(NOTA[[#This Row],[CONCAT1]]="","",MATCH(NOTA[[#This Row],[CONCAT1]],[3]!db[NB NOTA_C],0))</f>
        <v/>
      </c>
      <c r="AR243" s="39" t="str">
        <f>IF(NOTA[[#This Row],[QTY/ CTN]]="","",TRUE)</f>
        <v/>
      </c>
      <c r="AS243" s="39" t="str">
        <f ca="1">IF(NOTA[[#This Row],[ID_H]]="","",IF(NOTA[[#This Row],[Column3]]=TRUE,NOTA[[#This Row],[QTY/ CTN]],INDEX([3]!db[QTY/ CTN],NOTA[[#This Row],[//DB]])))</f>
        <v/>
      </c>
      <c r="AT2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9" t="str">
        <f ca="1">IF(NOTA[[#This Row],[ID_H]]="","",MATCH(NOTA[[#This Row],[NB NOTA_C_QTY]],[4]!db[NB NOTA_C_QTY+F],0))</f>
        <v/>
      </c>
      <c r="AV243" s="55" t="str">
        <f ca="1">IF(NOTA[[#This Row],[NB NOTA_C_QTY]]="","",ROW()-2)</f>
        <v/>
      </c>
    </row>
    <row r="244" spans="1:48" ht="20.100000000000001" customHeight="1" x14ac:dyDescent="0.25">
      <c r="A244" s="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KEN_1007_709-2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53</v>
      </c>
      <c r="E244" s="47"/>
      <c r="F244" s="38" t="s">
        <v>22</v>
      </c>
      <c r="G244" s="38" t="s">
        <v>23</v>
      </c>
      <c r="H244" s="48" t="s">
        <v>375</v>
      </c>
      <c r="J244" s="40">
        <v>45115</v>
      </c>
      <c r="L244" s="38" t="s">
        <v>376</v>
      </c>
      <c r="M244" s="41">
        <v>2</v>
      </c>
      <c r="N244" s="39"/>
      <c r="Q244" s="43">
        <v>3888000</v>
      </c>
      <c r="R244" s="49"/>
      <c r="S244" s="50">
        <v>0.17</v>
      </c>
      <c r="U244" s="51"/>
      <c r="V244" s="46"/>
      <c r="W244" s="51">
        <f>IF(NOTA[[#This Row],[HARGA/ CTN]]="",NOTA[[#This Row],[JUMLAH_H]],NOTA[[#This Row],[HARGA/ CTN]]*IF(NOTA[[#This Row],[C]]="",0,NOTA[[#This Row],[C]]))</f>
        <v>7776000</v>
      </c>
      <c r="X244" s="51">
        <f>IF(NOTA[[#This Row],[JUMLAH]]="","",NOTA[[#This Row],[JUMLAH]]*NOTA[[#This Row],[DISC 1]])</f>
        <v>1321920</v>
      </c>
      <c r="Y244" s="51">
        <f>IF(NOTA[[#This Row],[JUMLAH]]="","",(NOTA[[#This Row],[JUMLAH]]-NOTA[[#This Row],[DISC 1-]])*NOTA[[#This Row],[DISC 2]])</f>
        <v>0</v>
      </c>
      <c r="Z244" s="51">
        <f>IF(NOTA[[#This Row],[JUMLAH]]="","",NOTA[[#This Row],[DISC 1-]]+NOTA[[#This Row],[DISC 2-]])</f>
        <v>1321920</v>
      </c>
      <c r="AA244" s="51">
        <f>IF(NOTA[[#This Row],[JUMLAH]]="","",NOTA[[#This Row],[JUMLAH]]-NOTA[[#This Row],[DISC]])</f>
        <v>6454080</v>
      </c>
      <c r="AB244" s="51"/>
      <c r="AC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4" s="51" t="str">
        <f>IF(OR(NOTA[[#This Row],[QTY]]="",NOTA[[#This Row],[HARGA SATUAN]]="",),"",NOTA[[#This Row],[QTY]]*NOTA[[#This Row],[HARGA SATUAN]])</f>
        <v/>
      </c>
      <c r="AG244" s="40">
        <f ca="1">IF(NOTA[ID_H]="","",INDEX(NOTA[TANGGAL],MATCH(,INDIRECT(ADDRESS(ROW(NOTA[TANGGAL]),COLUMN(NOTA[TANGGAL]))&amp;":"&amp;ADDRESS(ROW(),COLUMN(NOTA[TANGGAL]))),-1)))</f>
        <v>45117</v>
      </c>
      <c r="AH244" s="42" t="str">
        <f ca="1">IF(NOTA[[#This Row],[NAMA BARANG]]="","",INDEX(NOTA[SUPPLIER],MATCH(,INDIRECT(ADDRESS(ROW(NOTA[ID]),COLUMN(NOTA[ID]))&amp;":"&amp;ADDRESS(ROW(),COLUMN(NOTA[ID]))),-1)))</f>
        <v>KENKO SINAR INDONESIA</v>
      </c>
      <c r="AI244" s="42" t="str">
        <f ca="1">IF(NOTA[[#This Row],[ID_H]]="","",IF(NOTA[[#This Row],[FAKTUR]]="",INDIRECT(ADDRESS(ROW()-1,COLUMN())),NOTA[[#This Row],[FAKTUR]]))</f>
        <v>ARTO MORO</v>
      </c>
      <c r="AJ244" s="39">
        <f ca="1">IF(NOTA[[#This Row],[ID]]="","",COUNTIF(NOTA[ID_H],NOTA[[#This Row],[ID_H]]))</f>
        <v>2</v>
      </c>
      <c r="AK244" s="39">
        <f>IF(NOTA[[#This Row],[TGL.NOTA]]="",IF(NOTA[[#This Row],[SUPPLIER_H]]="","",AK243),MONTH(NOTA[[#This Row],[TGL.NOTA]]))</f>
        <v>7</v>
      </c>
      <c r="AL244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4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MORO2307070945115kenkocutterbladea1009mm</v>
      </c>
      <c r="AP244" s="39" t="e">
        <f>IF(NOTA[[#This Row],[CONCAT4]]="","",_xlfn.IFNA(MATCH(NOTA[[#This Row],[CONCAT4]],[2]!RAW[CONCAT_H],0),FALSE))</f>
        <v>#REF!</v>
      </c>
      <c r="AQ244" s="39">
        <f>IF(NOTA[[#This Row],[CONCAT1]]="","",MATCH(NOTA[[#This Row],[CONCAT1]],[3]!db[NB NOTA_C],0))</f>
        <v>1302</v>
      </c>
      <c r="AR244" s="39" t="str">
        <f>IF(NOTA[[#This Row],[QTY/ CTN]]="","",TRUE)</f>
        <v/>
      </c>
      <c r="AS244" s="39" t="str">
        <f ca="1">IF(NOTA[[#This Row],[ID_H]]="","",IF(NOTA[[#This Row],[Column3]]=TRUE,NOTA[[#This Row],[QTY/ CTN]],INDEX([3]!db[QTY/ CTN],NOTA[[#This Row],[//DB]])))</f>
        <v>120 LSN</v>
      </c>
      <c r="AT2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44" s="39" t="e">
        <f ca="1">IF(NOTA[[#This Row],[ID_H]]="","",MATCH(NOTA[[#This Row],[NB NOTA_C_QTY]],[4]!db[NB NOTA_C_QTY+F],0))</f>
        <v>#REF!</v>
      </c>
      <c r="AV244" s="55">
        <f ca="1">IF(NOTA[[#This Row],[NB NOTA_C_QTY]]="","",ROW()-2)</f>
        <v>242</v>
      </c>
    </row>
    <row r="245" spans="1:48" ht="20.100000000000001" customHeight="1" x14ac:dyDescent="0.25">
      <c r="A2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53</v>
      </c>
      <c r="E245" s="47"/>
      <c r="H245" s="48"/>
      <c r="L245" s="38" t="s">
        <v>377</v>
      </c>
      <c r="M245" s="41">
        <v>5</v>
      </c>
      <c r="N245" s="39"/>
      <c r="Q245" s="43">
        <v>3888000</v>
      </c>
      <c r="R245" s="49"/>
      <c r="S245" s="50">
        <v>0.17</v>
      </c>
      <c r="U245" s="51"/>
      <c r="V245" s="46"/>
      <c r="W245" s="51">
        <f>IF(NOTA[[#This Row],[HARGA/ CTN]]="",NOTA[[#This Row],[JUMLAH_H]],NOTA[[#This Row],[HARGA/ CTN]]*IF(NOTA[[#This Row],[C]]="",0,NOTA[[#This Row],[C]]))</f>
        <v>19440000</v>
      </c>
      <c r="X245" s="51">
        <f>IF(NOTA[[#This Row],[JUMLAH]]="","",NOTA[[#This Row],[JUMLAH]]*NOTA[[#This Row],[DISC 1]])</f>
        <v>3304800.0000000005</v>
      </c>
      <c r="Y245" s="51">
        <f>IF(NOTA[[#This Row],[JUMLAH]]="","",(NOTA[[#This Row],[JUMLAH]]-NOTA[[#This Row],[DISC 1-]])*NOTA[[#This Row],[DISC 2]])</f>
        <v>0</v>
      </c>
      <c r="Z245" s="51">
        <f>IF(NOTA[[#This Row],[JUMLAH]]="","",NOTA[[#This Row],[DISC 1-]]+NOTA[[#This Row],[DISC 2-]])</f>
        <v>3304800.0000000005</v>
      </c>
      <c r="AA245" s="51">
        <f>IF(NOTA[[#This Row],[JUMLAH]]="","",NOTA[[#This Row],[JUMLAH]]-NOTA[[#This Row],[DISC]])</f>
        <v>16135200</v>
      </c>
      <c r="AB245" s="51"/>
      <c r="AC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4626720</v>
      </c>
      <c r="AD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22589280</v>
      </c>
      <c r="AE24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5" s="51" t="str">
        <f>IF(OR(NOTA[[#This Row],[QTY]]="",NOTA[[#This Row],[HARGA SATUAN]]="",),"",NOTA[[#This Row],[QTY]]*NOTA[[#This Row],[HARGA SATUAN]])</f>
        <v/>
      </c>
      <c r="AG245" s="40">
        <f ca="1">IF(NOTA[ID_H]="","",INDEX(NOTA[TANGGAL],MATCH(,INDIRECT(ADDRESS(ROW(NOTA[TANGGAL]),COLUMN(NOTA[TANGGAL]))&amp;":"&amp;ADDRESS(ROW(),COLUMN(NOTA[TANGGAL]))),-1)))</f>
        <v>45117</v>
      </c>
      <c r="AH245" s="42" t="str">
        <f ca="1">IF(NOTA[[#This Row],[NAMA BARANG]]="","",INDEX(NOTA[SUPPLIER],MATCH(,INDIRECT(ADDRESS(ROW(NOTA[ID]),COLUMN(NOTA[ID]))&amp;":"&amp;ADDRESS(ROW(),COLUMN(NOTA[ID]))),-1)))</f>
        <v>KENKO SINAR INDONESIA</v>
      </c>
      <c r="AI245" s="42" t="str">
        <f ca="1">IF(NOTA[[#This Row],[ID_H]]="","",IF(NOTA[[#This Row],[FAKTUR]]="",INDIRECT(ADDRESS(ROW()-1,COLUMN())),NOTA[[#This Row],[FAKTUR]]))</f>
        <v>ARTO MORO</v>
      </c>
      <c r="AJ245" s="39" t="str">
        <f ca="1">IF(NOTA[[#This Row],[ID]]="","",COUNTIF(NOTA[ID_H],NOTA[[#This Row],[ID_H]]))</f>
        <v/>
      </c>
      <c r="AK245" s="39">
        <f ca="1">IF(NOTA[[#This Row],[TGL.NOTA]]="",IF(NOTA[[#This Row],[SUPPLIER_H]]="","",AK244),MONTH(NOTA[[#This Row],[TGL.NOTA]]))</f>
        <v>7</v>
      </c>
      <c r="AL245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9" t="str">
        <f>IF(NOTA[[#This Row],[CONCAT4]]="","",_xlfn.IFNA(MATCH(NOTA[[#This Row],[CONCAT4]],[2]!RAW[CONCAT_H],0),FALSE))</f>
        <v/>
      </c>
      <c r="AQ245" s="39">
        <f>IF(NOTA[[#This Row],[CONCAT1]]="","",MATCH(NOTA[[#This Row],[CONCAT1]],[3]!db[NB NOTA_C],0))</f>
        <v>1303</v>
      </c>
      <c r="AR245" s="39" t="str">
        <f>IF(NOTA[[#This Row],[QTY/ CTN]]="","",TRUE)</f>
        <v/>
      </c>
      <c r="AS245" s="39" t="str">
        <f ca="1">IF(NOTA[[#This Row],[ID_H]]="","",IF(NOTA[[#This Row],[Column3]]=TRUE,NOTA[[#This Row],[QTY/ CTN]],INDEX([3]!db[QTY/ CTN],NOTA[[#This Row],[//DB]])))</f>
        <v>60 LSN</v>
      </c>
      <c r="AT2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245" s="39" t="e">
        <f ca="1">IF(NOTA[[#This Row],[ID_H]]="","",MATCH(NOTA[[#This Row],[NB NOTA_C_QTY]],[4]!db[NB NOTA_C_QTY+F],0))</f>
        <v>#REF!</v>
      </c>
      <c r="AV245" s="55">
        <f ca="1">IF(NOTA[[#This Row],[NB NOTA_C_QTY]]="","",ROW()-2)</f>
        <v>243</v>
      </c>
    </row>
    <row r="246" spans="1:48" ht="20.100000000000001" customHeight="1" x14ac:dyDescent="0.25">
      <c r="A2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 t="str">
        <f ca="1">IF(NOTA[[#This Row],[NAMA BARANG]]="","",INDEX(NOTA[ID],MATCH(,INDIRECT(ADDRESS(ROW(NOTA[ID]),COLUMN(NOTA[ID]))&amp;":"&amp;ADDRESS(ROW(),COLUMN(NOTA[ID]))),-1)))</f>
        <v/>
      </c>
      <c r="E246" s="47"/>
      <c r="H246" s="48"/>
      <c r="N246" s="39"/>
      <c r="Q246" s="43"/>
      <c r="R246" s="49"/>
      <c r="S246" s="50"/>
      <c r="U246" s="51"/>
      <c r="V246" s="46"/>
      <c r="W246" s="51" t="str">
        <f>IF(NOTA[[#This Row],[HARGA/ CTN]]="",NOTA[[#This Row],[JUMLAH_H]],NOTA[[#This Row],[HARGA/ CTN]]*IF(NOTA[[#This Row],[C]]="",0,NOTA[[#This Row],[C]]))</f>
        <v/>
      </c>
      <c r="X246" s="51" t="str">
        <f>IF(NOTA[[#This Row],[JUMLAH]]="","",NOTA[[#This Row],[JUMLAH]]*NOTA[[#This Row],[DISC 1]])</f>
        <v/>
      </c>
      <c r="Y246" s="51" t="str">
        <f>IF(NOTA[[#This Row],[JUMLAH]]="","",(NOTA[[#This Row],[JUMLAH]]-NOTA[[#This Row],[DISC 1-]])*NOTA[[#This Row],[DISC 2]])</f>
        <v/>
      </c>
      <c r="Z246" s="51" t="str">
        <f>IF(NOTA[[#This Row],[JUMLAH]]="","",NOTA[[#This Row],[DISC 1-]]+NOTA[[#This Row],[DISC 2-]])</f>
        <v/>
      </c>
      <c r="AA246" s="51" t="str">
        <f>IF(NOTA[[#This Row],[JUMLAH]]="","",NOTA[[#This Row],[JUMLAH]]-NOTA[[#This Row],[DISC]])</f>
        <v/>
      </c>
      <c r="AB246" s="51"/>
      <c r="AC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1" t="str">
        <f>IF(OR(NOTA[[#This Row],[QTY]]="",NOTA[[#This Row],[HARGA SATUAN]]="",),"",NOTA[[#This Row],[QTY]]*NOTA[[#This Row],[HARGA SATUAN]])</f>
        <v/>
      </c>
      <c r="AG246" s="40" t="str">
        <f ca="1">IF(NOTA[ID_H]="","",INDEX(NOTA[TANGGAL],MATCH(,INDIRECT(ADDRESS(ROW(NOTA[TANGGAL]),COLUMN(NOTA[TANGGAL]))&amp;":"&amp;ADDRESS(ROW(),COLUMN(NOTA[TANGGAL]))),-1)))</f>
        <v/>
      </c>
      <c r="AH246" s="42" t="str">
        <f ca="1">IF(NOTA[[#This Row],[NAMA BARANG]]="","",INDEX(NOTA[SUPPLIER],MATCH(,INDIRECT(ADDRESS(ROW(NOTA[ID]),COLUMN(NOTA[ID]))&amp;":"&amp;ADDRESS(ROW(),COLUMN(NOTA[ID]))),-1)))</f>
        <v/>
      </c>
      <c r="AI246" s="42" t="str">
        <f ca="1">IF(NOTA[[#This Row],[ID_H]]="","",IF(NOTA[[#This Row],[FAKTUR]]="",INDIRECT(ADDRESS(ROW()-1,COLUMN())),NOTA[[#This Row],[FAKTUR]]))</f>
        <v/>
      </c>
      <c r="AJ246" s="39" t="str">
        <f ca="1">IF(NOTA[[#This Row],[ID]]="","",COUNTIF(NOTA[ID_H],NOTA[[#This Row],[ID_H]]))</f>
        <v/>
      </c>
      <c r="AK246" s="39" t="str">
        <f ca="1">IF(NOTA[[#This Row],[TGL.NOTA]]="",IF(NOTA[[#This Row],[SUPPLIER_H]]="","",AK245),MONTH(NOTA[[#This Row],[TGL.NOTA]]))</f>
        <v/>
      </c>
      <c r="AL246" s="39" t="str">
        <f>LOWER(SUBSTITUTE(SUBSTITUTE(SUBSTITUTE(SUBSTITUTE(SUBSTITUTE(SUBSTITUTE(SUBSTITUTE(SUBSTITUTE(SUBSTITUTE(NOTA[NAMA BARANG]," ",),".",""),"-",""),"(",""),")",""),",",""),"/",""),"""",""),"+",""))</f>
        <v/>
      </c>
      <c r="AM2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9" t="str">
        <f>IF(NOTA[[#This Row],[CONCAT4]]="","",_xlfn.IFNA(MATCH(NOTA[[#This Row],[CONCAT4]],[2]!RAW[CONCAT_H],0),FALSE))</f>
        <v/>
      </c>
      <c r="AQ246" s="39" t="str">
        <f>IF(NOTA[[#This Row],[CONCAT1]]="","",MATCH(NOTA[[#This Row],[CONCAT1]],[3]!db[NB NOTA_C],0))</f>
        <v/>
      </c>
      <c r="AR246" s="39" t="str">
        <f>IF(NOTA[[#This Row],[QTY/ CTN]]="","",TRUE)</f>
        <v/>
      </c>
      <c r="AS246" s="39" t="str">
        <f ca="1">IF(NOTA[[#This Row],[ID_H]]="","",IF(NOTA[[#This Row],[Column3]]=TRUE,NOTA[[#This Row],[QTY/ CTN]],INDEX([3]!db[QTY/ CTN],NOTA[[#This Row],[//DB]])))</f>
        <v/>
      </c>
      <c r="AT2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9" t="str">
        <f ca="1">IF(NOTA[[#This Row],[ID_H]]="","",MATCH(NOTA[[#This Row],[NB NOTA_C_QTY]],[4]!db[NB NOTA_C_QTY+F],0))</f>
        <v/>
      </c>
      <c r="AV246" s="55" t="str">
        <f ca="1">IF(NOTA[[#This Row],[NB NOTA_C_QTY]]="","",ROW()-2)</f>
        <v/>
      </c>
    </row>
    <row r="247" spans="1:48" ht="20.100000000000001" customHeight="1" x14ac:dyDescent="0.25">
      <c r="A247" s="42">
        <f ca="1">IF(INDIRECT(ADDRESS(ROW()-1,COLUMN(NOTA[[#Headers],[ID]])))="ID",1,IF(NOTA[[#This Row],[FAKTUR]]="","",COUNT(INDIRECT(ADDRESS(ROW(NOTA[ID]),COLUMN(NOTA[ID]))&amp;":"&amp;ADDRESS(ROW()-1,COLUMN(NOTA[ID]))))+1))</f>
        <v>54</v>
      </c>
      <c r="B2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ATA_1007_590-7</v>
      </c>
      <c r="C247" s="39" t="e">
        <f ca="1">IF(NOTA[[#This Row],[ID_P]]="","",MATCH(NOTA[[#This Row],[ID_P]],[1]!B_MSK[N_ID],0))</f>
        <v>#REF!</v>
      </c>
      <c r="D247" s="39">
        <f ca="1">IF(NOTA[[#This Row],[NAMA BARANG]]="","",INDEX(NOTA[ID],MATCH(,INDIRECT(ADDRESS(ROW(NOTA[ID]),COLUMN(NOTA[ID]))&amp;":"&amp;ADDRESS(ROW(),COLUMN(NOTA[ID]))),-1)))</f>
        <v>54</v>
      </c>
      <c r="E247" s="47"/>
      <c r="F247" s="38" t="s">
        <v>24</v>
      </c>
      <c r="G247" s="38" t="s">
        <v>23</v>
      </c>
      <c r="H247" s="38" t="s">
        <v>378</v>
      </c>
      <c r="J247" s="40">
        <v>45114</v>
      </c>
      <c r="L247" s="38" t="s">
        <v>314</v>
      </c>
      <c r="M247" s="41">
        <v>5</v>
      </c>
      <c r="N247" s="39">
        <v>150</v>
      </c>
      <c r="O247" s="38" t="s">
        <v>305</v>
      </c>
      <c r="P247" s="42">
        <v>104400</v>
      </c>
      <c r="Q247" s="43"/>
      <c r="R247" s="49" t="s">
        <v>306</v>
      </c>
      <c r="S247" s="50">
        <v>0.125</v>
      </c>
      <c r="T247" s="45">
        <v>0.05</v>
      </c>
      <c r="U247" s="51"/>
      <c r="V247" s="46"/>
      <c r="W247" s="51">
        <f>IF(NOTA[[#This Row],[HARGA/ CTN]]="",NOTA[[#This Row],[JUMLAH_H]],NOTA[[#This Row],[HARGA/ CTN]]*IF(NOTA[[#This Row],[C]]="",0,NOTA[[#This Row],[C]]))</f>
        <v>15660000</v>
      </c>
      <c r="X247" s="51">
        <f>IF(NOTA[[#This Row],[JUMLAH]]="","",NOTA[[#This Row],[JUMLAH]]*NOTA[[#This Row],[DISC 1]])</f>
        <v>1957500</v>
      </c>
      <c r="Y247" s="51">
        <f>IF(NOTA[[#This Row],[JUMLAH]]="","",(NOTA[[#This Row],[JUMLAH]]-NOTA[[#This Row],[DISC 1-]])*NOTA[[#This Row],[DISC 2]])</f>
        <v>685125</v>
      </c>
      <c r="Z247" s="51">
        <f>IF(NOTA[[#This Row],[JUMLAH]]="","",NOTA[[#This Row],[DISC 1-]]+NOTA[[#This Row],[DISC 2-]])</f>
        <v>2642625</v>
      </c>
      <c r="AA247" s="51">
        <f>IF(NOTA[[#This Row],[JUMLAH]]="","",NOTA[[#This Row],[JUMLAH]]-NOTA[[#This Row],[DISC]])</f>
        <v>13017375</v>
      </c>
      <c r="AB247" s="51"/>
      <c r="AC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47" s="51">
        <f>IF(OR(NOTA[[#This Row],[QTY]]="",NOTA[[#This Row],[HARGA SATUAN]]="",),"",NOTA[[#This Row],[QTY]]*NOTA[[#This Row],[HARGA SATUAN]])</f>
        <v>15660000</v>
      </c>
      <c r="AG247" s="40">
        <f ca="1">IF(NOTA[ID_H]="","",INDEX(NOTA[TANGGAL],MATCH(,INDIRECT(ADDRESS(ROW(NOTA[TANGGAL]),COLUMN(NOTA[TANGGAL]))&amp;":"&amp;ADDRESS(ROW(),COLUMN(NOTA[TANGGAL]))),-1)))</f>
        <v>45117</v>
      </c>
      <c r="AH247" s="42" t="str">
        <f ca="1">IF(NOTA[[#This Row],[NAMA BARANG]]="","",INDEX(NOTA[SUPPLIER],MATCH(,INDIRECT(ADDRESS(ROW(NOTA[ID]),COLUMN(NOTA[ID]))&amp;":"&amp;ADDRESS(ROW(),COLUMN(NOTA[ID]))),-1)))</f>
        <v>ATALI MAKMUR</v>
      </c>
      <c r="AI247" s="42" t="str">
        <f ca="1">IF(NOTA[[#This Row],[ID_H]]="","",IF(NOTA[[#This Row],[FAKTUR]]="",INDIRECT(ADDRESS(ROW()-1,COLUMN())),NOTA[[#This Row],[FAKTUR]]))</f>
        <v>ARTO MORO</v>
      </c>
      <c r="AJ247" s="39">
        <f ca="1">IF(NOTA[[#This Row],[ID]]="","",COUNTIF(NOTA[ID_H],NOTA[[#This Row],[ID_H]]))</f>
        <v>7</v>
      </c>
      <c r="AK247" s="39">
        <f>IF(NOTA[[#This Row],[TGL.NOTA]]="",IF(NOTA[[#This Row],[SUPPLIER_H]]="","",AK246),MONTH(NOTA[[#This Row],[TGL.NOTA]]))</f>
        <v>7</v>
      </c>
      <c r="AL24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4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MOROSA23071159045114pencilp882bjk</v>
      </c>
      <c r="AP247" s="39" t="e">
        <f>IF(NOTA[[#This Row],[CONCAT4]]="","",_xlfn.IFNA(MATCH(NOTA[[#This Row],[CONCAT4]],[2]!RAW[CONCAT_H],0),FALSE))</f>
        <v>#REF!</v>
      </c>
      <c r="AQ247" s="39">
        <f>IF(NOTA[[#This Row],[CONCAT1]]="","",MATCH(NOTA[[#This Row],[CONCAT1]],[3]!db[NB NOTA_C],0))</f>
        <v>2194</v>
      </c>
      <c r="AR247" s="39" t="b">
        <f>IF(NOTA[[#This Row],[QTY/ CTN]]="","",TRUE)</f>
        <v>1</v>
      </c>
      <c r="AS247" s="39" t="str">
        <f ca="1">IF(NOTA[[#This Row],[ID_H]]="","",IF(NOTA[[#This Row],[Column3]]=TRUE,NOTA[[#This Row],[QTY/ CTN]],INDEX([3]!db[QTY/ CTN],NOTA[[#This Row],[//DB]])))</f>
        <v>30 GRS</v>
      </c>
      <c r="AT2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47" s="39" t="e">
        <f ca="1">IF(NOTA[[#This Row],[ID_H]]="","",MATCH(NOTA[[#This Row],[NB NOTA_C_QTY]],[4]!db[NB NOTA_C_QTY+F],0))</f>
        <v>#REF!</v>
      </c>
      <c r="AV247" s="55">
        <f ca="1">IF(NOTA[[#This Row],[NB NOTA_C_QTY]]="","",ROW()-2)</f>
        <v>245</v>
      </c>
    </row>
    <row r="248" spans="1:48" ht="20.100000000000001" customHeight="1" x14ac:dyDescent="0.25">
      <c r="A2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54</v>
      </c>
      <c r="E248" s="47"/>
      <c r="H248" s="48"/>
      <c r="L248" s="38" t="s">
        <v>318</v>
      </c>
      <c r="M248" s="41">
        <v>5</v>
      </c>
      <c r="N248" s="39">
        <v>250</v>
      </c>
      <c r="O248" s="38" t="s">
        <v>319</v>
      </c>
      <c r="P248" s="42">
        <v>28300</v>
      </c>
      <c r="Q248" s="43"/>
      <c r="R248" s="49"/>
      <c r="S248" s="50">
        <v>0.125</v>
      </c>
      <c r="T248" s="45">
        <v>0.05</v>
      </c>
      <c r="U248" s="51"/>
      <c r="V248" s="46"/>
      <c r="W248" s="51">
        <f>IF(NOTA[[#This Row],[HARGA/ CTN]]="",NOTA[[#This Row],[JUMLAH_H]],NOTA[[#This Row],[HARGA/ CTN]]*IF(NOTA[[#This Row],[C]]="",0,NOTA[[#This Row],[C]]))</f>
        <v>7075000</v>
      </c>
      <c r="X248" s="51">
        <f>IF(NOTA[[#This Row],[JUMLAH]]="","",NOTA[[#This Row],[JUMLAH]]*NOTA[[#This Row],[DISC 1]])</f>
        <v>884375</v>
      </c>
      <c r="Y248" s="51">
        <f>IF(NOTA[[#This Row],[JUMLAH]]="","",(NOTA[[#This Row],[JUMLAH]]-NOTA[[#This Row],[DISC 1-]])*NOTA[[#This Row],[DISC 2]])</f>
        <v>309531.25</v>
      </c>
      <c r="Z248" s="51">
        <f>IF(NOTA[[#This Row],[JUMLAH]]="","",NOTA[[#This Row],[DISC 1-]]+NOTA[[#This Row],[DISC 2-]])</f>
        <v>1193906.25</v>
      </c>
      <c r="AA248" s="51">
        <f>IF(NOTA[[#This Row],[JUMLAH]]="","",NOTA[[#This Row],[JUMLAH]]-NOTA[[#This Row],[DISC]])</f>
        <v>5881093.75</v>
      </c>
      <c r="AB248" s="51"/>
      <c r="AC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8" s="51">
        <f>IF(OR(NOTA[[#This Row],[QTY]]="",NOTA[[#This Row],[HARGA SATUAN]]="",),"",NOTA[[#This Row],[QTY]]*NOTA[[#This Row],[HARGA SATUAN]])</f>
        <v>7075000</v>
      </c>
      <c r="AG248" s="40">
        <f ca="1">IF(NOTA[ID_H]="","",INDEX(NOTA[TANGGAL],MATCH(,INDIRECT(ADDRESS(ROW(NOTA[TANGGAL]),COLUMN(NOTA[TANGGAL]))&amp;":"&amp;ADDRESS(ROW(),COLUMN(NOTA[TANGGAL]))),-1)))</f>
        <v>45117</v>
      </c>
      <c r="AH248" s="42" t="str">
        <f ca="1">IF(NOTA[[#This Row],[NAMA BARANG]]="","",INDEX(NOTA[SUPPLIER],MATCH(,INDIRECT(ADDRESS(ROW(NOTA[ID]),COLUMN(NOTA[ID]))&amp;":"&amp;ADDRESS(ROW(),COLUMN(NOTA[ID]))),-1)))</f>
        <v>ATALI MAKMUR</v>
      </c>
      <c r="AI248" s="42" t="str">
        <f ca="1">IF(NOTA[[#This Row],[ID_H]]="","",IF(NOTA[[#This Row],[FAKTUR]]="",INDIRECT(ADDRESS(ROW()-1,COLUMN())),NOTA[[#This Row],[FAKTUR]]))</f>
        <v>ARTO MORO</v>
      </c>
      <c r="AJ248" s="39" t="str">
        <f ca="1">IF(NOTA[[#This Row],[ID]]="","",COUNTIF(NOTA[ID_H],NOTA[[#This Row],[ID_H]]))</f>
        <v/>
      </c>
      <c r="AK248" s="39">
        <f ca="1">IF(NOTA[[#This Row],[TGL.NOTA]]="",IF(NOTA[[#This Row],[SUPPLIER_H]]="","",AK247),MONTH(NOTA[[#This Row],[TGL.NOTA]]))</f>
        <v>7</v>
      </c>
      <c r="AL248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9" t="str">
        <f>IF(NOTA[[#This Row],[CONCAT4]]="","",_xlfn.IFNA(MATCH(NOTA[[#This Row],[CONCAT4]],[2]!RAW[CONCAT_H],0),FALSE))</f>
        <v/>
      </c>
      <c r="AQ248" s="39">
        <f>IF(NOTA[[#This Row],[CONCAT1]]="","",MATCH(NOTA[[#This Row],[CONCAT1]],[3]!db[NB NOTA_C],0))</f>
        <v>2499</v>
      </c>
      <c r="AR248" s="39" t="str">
        <f>IF(NOTA[[#This Row],[QTY/ CTN]]="","",TRUE)</f>
        <v/>
      </c>
      <c r="AS248" s="39" t="str">
        <f ca="1">IF(NOTA[[#This Row],[ID_H]]="","",IF(NOTA[[#This Row],[Column3]]=TRUE,NOTA[[#This Row],[QTY/ CTN]],INDEX([3]!db[QTY/ CTN],NOTA[[#This Row],[//DB]])))</f>
        <v>50 BOX (40 PCS)</v>
      </c>
      <c r="AT2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48" s="39" t="e">
        <f ca="1">IF(NOTA[[#This Row],[ID_H]]="","",MATCH(NOTA[[#This Row],[NB NOTA_C_QTY]],[4]!db[NB NOTA_C_QTY+F],0))</f>
        <v>#REF!</v>
      </c>
      <c r="AV248" s="55">
        <f ca="1">IF(NOTA[[#This Row],[NB NOTA_C_QTY]]="","",ROW()-2)</f>
        <v>246</v>
      </c>
    </row>
    <row r="249" spans="1:48" ht="20.100000000000001" customHeight="1" x14ac:dyDescent="0.25">
      <c r="A2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54</v>
      </c>
      <c r="E249" s="47"/>
      <c r="H249" s="48"/>
      <c r="L249" s="38" t="s">
        <v>379</v>
      </c>
      <c r="M249" s="41">
        <v>2</v>
      </c>
      <c r="N249" s="39">
        <v>100</v>
      </c>
      <c r="O249" s="38" t="s">
        <v>319</v>
      </c>
      <c r="P249" s="42">
        <v>28300</v>
      </c>
      <c r="Q249" s="43"/>
      <c r="R249" s="49"/>
      <c r="S249" s="50">
        <v>0.125</v>
      </c>
      <c r="T249" s="45">
        <v>0.05</v>
      </c>
      <c r="U249" s="51"/>
      <c r="V249" s="46"/>
      <c r="W249" s="51">
        <f>IF(NOTA[[#This Row],[HARGA/ CTN]]="",NOTA[[#This Row],[JUMLAH_H]],NOTA[[#This Row],[HARGA/ CTN]]*IF(NOTA[[#This Row],[C]]="",0,NOTA[[#This Row],[C]]))</f>
        <v>2830000</v>
      </c>
      <c r="X249" s="51">
        <f>IF(NOTA[[#This Row],[JUMLAH]]="","",NOTA[[#This Row],[JUMLAH]]*NOTA[[#This Row],[DISC 1]])</f>
        <v>353750</v>
      </c>
      <c r="Y249" s="51">
        <f>IF(NOTA[[#This Row],[JUMLAH]]="","",(NOTA[[#This Row],[JUMLAH]]-NOTA[[#This Row],[DISC 1-]])*NOTA[[#This Row],[DISC 2]])</f>
        <v>123812.5</v>
      </c>
      <c r="Z249" s="51">
        <f>IF(NOTA[[#This Row],[JUMLAH]]="","",NOTA[[#This Row],[DISC 1-]]+NOTA[[#This Row],[DISC 2-]])</f>
        <v>477562.5</v>
      </c>
      <c r="AA249" s="51">
        <f>IF(NOTA[[#This Row],[JUMLAH]]="","",NOTA[[#This Row],[JUMLAH]]-NOTA[[#This Row],[DISC]])</f>
        <v>2352437.5</v>
      </c>
      <c r="AB249" s="51"/>
      <c r="AC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9" s="51">
        <f>IF(OR(NOTA[[#This Row],[QTY]]="",NOTA[[#This Row],[HARGA SATUAN]]="",),"",NOTA[[#This Row],[QTY]]*NOTA[[#This Row],[HARGA SATUAN]])</f>
        <v>2830000</v>
      </c>
      <c r="AG249" s="40">
        <f ca="1">IF(NOTA[ID_H]="","",INDEX(NOTA[TANGGAL],MATCH(,INDIRECT(ADDRESS(ROW(NOTA[TANGGAL]),COLUMN(NOTA[TANGGAL]))&amp;":"&amp;ADDRESS(ROW(),COLUMN(NOTA[TANGGAL]))),-1)))</f>
        <v>45117</v>
      </c>
      <c r="AH249" s="42" t="str">
        <f ca="1">IF(NOTA[[#This Row],[NAMA BARANG]]="","",INDEX(NOTA[SUPPLIER],MATCH(,INDIRECT(ADDRESS(ROW(NOTA[ID]),COLUMN(NOTA[ID]))&amp;":"&amp;ADDRESS(ROW(),COLUMN(NOTA[ID]))),-1)))</f>
        <v>ATALI MAKMUR</v>
      </c>
      <c r="AI249" s="42" t="str">
        <f ca="1">IF(NOTA[[#This Row],[ID_H]]="","",IF(NOTA[[#This Row],[FAKTUR]]="",INDIRECT(ADDRESS(ROW()-1,COLUMN())),NOTA[[#This Row],[FAKTUR]]))</f>
        <v>ARTO MORO</v>
      </c>
      <c r="AJ249" s="39" t="str">
        <f ca="1">IF(NOTA[[#This Row],[ID]]="","",COUNTIF(NOTA[ID_H],NOTA[[#This Row],[ID_H]]))</f>
        <v/>
      </c>
      <c r="AK249" s="39">
        <f ca="1">IF(NOTA[[#This Row],[TGL.NOTA]]="",IF(NOTA[[#This Row],[SUPPLIER_H]]="","",AK248),MONTH(NOTA[[#This Row],[TGL.NOTA]]))</f>
        <v>7</v>
      </c>
      <c r="AL249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2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9" t="str">
        <f>IF(NOTA[[#This Row],[CONCAT4]]="","",_xlfn.IFNA(MATCH(NOTA[[#This Row],[CONCAT4]],[2]!RAW[CONCAT_H],0),FALSE))</f>
        <v/>
      </c>
      <c r="AQ249" s="39">
        <f>IF(NOTA[[#This Row],[CONCAT1]]="","",MATCH(NOTA[[#This Row],[CONCAT1]],[3]!db[NB NOTA_C],0))</f>
        <v>2498</v>
      </c>
      <c r="AR249" s="39" t="str">
        <f>IF(NOTA[[#This Row],[QTY/ CTN]]="","",TRUE)</f>
        <v/>
      </c>
      <c r="AS249" s="39" t="str">
        <f ca="1">IF(NOTA[[#This Row],[ID_H]]="","",IF(NOTA[[#This Row],[Column3]]=TRUE,NOTA[[#This Row],[QTY/ CTN]],INDEX([3]!db[QTY/ CTN],NOTA[[#This Row],[//DB]])))</f>
        <v>50 BOX (40 PCS)</v>
      </c>
      <c r="AT2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249" s="39" t="e">
        <f ca="1">IF(NOTA[[#This Row],[ID_H]]="","",MATCH(NOTA[[#This Row],[NB NOTA_C_QTY]],[4]!db[NB NOTA_C_QTY+F],0))</f>
        <v>#REF!</v>
      </c>
      <c r="AV249" s="55">
        <f ca="1">IF(NOTA[[#This Row],[NB NOTA_C_QTY]]="","",ROW()-2)</f>
        <v>247</v>
      </c>
    </row>
    <row r="250" spans="1:48" ht="20.100000000000001" customHeight="1" x14ac:dyDescent="0.25">
      <c r="A2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54</v>
      </c>
      <c r="E250" s="47"/>
      <c r="H250" s="48"/>
      <c r="L250" s="38" t="s">
        <v>105</v>
      </c>
      <c r="M250" s="41">
        <v>2</v>
      </c>
      <c r="N250" s="39">
        <v>100</v>
      </c>
      <c r="O250" s="38" t="s">
        <v>319</v>
      </c>
      <c r="P250" s="42">
        <v>32000</v>
      </c>
      <c r="Q250" s="43"/>
      <c r="R250" s="49"/>
      <c r="S250" s="50">
        <v>0.125</v>
      </c>
      <c r="T250" s="45">
        <v>0.05</v>
      </c>
      <c r="U250" s="51"/>
      <c r="V250" s="46"/>
      <c r="W250" s="51">
        <f>IF(NOTA[[#This Row],[HARGA/ CTN]]="",NOTA[[#This Row],[JUMLAH_H]],NOTA[[#This Row],[HARGA/ CTN]]*IF(NOTA[[#This Row],[C]]="",0,NOTA[[#This Row],[C]]))</f>
        <v>3200000</v>
      </c>
      <c r="X250" s="51">
        <f>IF(NOTA[[#This Row],[JUMLAH]]="","",NOTA[[#This Row],[JUMLAH]]*NOTA[[#This Row],[DISC 1]])</f>
        <v>400000</v>
      </c>
      <c r="Y250" s="51">
        <f>IF(NOTA[[#This Row],[JUMLAH]]="","",(NOTA[[#This Row],[JUMLAH]]-NOTA[[#This Row],[DISC 1-]])*NOTA[[#This Row],[DISC 2]])</f>
        <v>140000</v>
      </c>
      <c r="Z250" s="51">
        <f>IF(NOTA[[#This Row],[JUMLAH]]="","",NOTA[[#This Row],[DISC 1-]]+NOTA[[#This Row],[DISC 2-]])</f>
        <v>540000</v>
      </c>
      <c r="AA250" s="51">
        <f>IF(NOTA[[#This Row],[JUMLAH]]="","",NOTA[[#This Row],[JUMLAH]]-NOTA[[#This Row],[DISC]])</f>
        <v>2660000</v>
      </c>
      <c r="AB250" s="51"/>
      <c r="AC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0" s="51">
        <f>IF(OR(NOTA[[#This Row],[QTY]]="",NOTA[[#This Row],[HARGA SATUAN]]="",),"",NOTA[[#This Row],[QTY]]*NOTA[[#This Row],[HARGA SATUAN]])</f>
        <v>3200000</v>
      </c>
      <c r="AG250" s="40">
        <f ca="1">IF(NOTA[ID_H]="","",INDEX(NOTA[TANGGAL],MATCH(,INDIRECT(ADDRESS(ROW(NOTA[TANGGAL]),COLUMN(NOTA[TANGGAL]))&amp;":"&amp;ADDRESS(ROW(),COLUMN(NOTA[TANGGAL]))),-1)))</f>
        <v>45117</v>
      </c>
      <c r="AH250" s="42" t="str">
        <f ca="1">IF(NOTA[[#This Row],[NAMA BARANG]]="","",INDEX(NOTA[SUPPLIER],MATCH(,INDIRECT(ADDRESS(ROW(NOTA[ID]),COLUMN(NOTA[ID]))&amp;":"&amp;ADDRESS(ROW(),COLUMN(NOTA[ID]))),-1)))</f>
        <v>ATALI MAKMUR</v>
      </c>
      <c r="AI250" s="42" t="str">
        <f ca="1">IF(NOTA[[#This Row],[ID_H]]="","",IF(NOTA[[#This Row],[FAKTUR]]="",INDIRECT(ADDRESS(ROW()-1,COLUMN())),NOTA[[#This Row],[FAKTUR]]))</f>
        <v>ARTO MORO</v>
      </c>
      <c r="AJ250" s="39" t="str">
        <f ca="1">IF(NOTA[[#This Row],[ID]]="","",COUNTIF(NOTA[ID_H],NOTA[[#This Row],[ID_H]]))</f>
        <v/>
      </c>
      <c r="AK250" s="39">
        <f ca="1">IF(NOTA[[#This Row],[TGL.NOTA]]="",IF(NOTA[[#This Row],[SUPPLIER_H]]="","",AK249),MONTH(NOTA[[#This Row],[TGL.NOTA]]))</f>
        <v>7</v>
      </c>
      <c r="AL250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9" t="str">
        <f>IF(NOTA[[#This Row],[CONCAT4]]="","",_xlfn.IFNA(MATCH(NOTA[[#This Row],[CONCAT4]],[2]!RAW[CONCAT_H],0),FALSE))</f>
        <v/>
      </c>
      <c r="AQ250" s="39">
        <f>IF(NOTA[[#This Row],[CONCAT1]]="","",MATCH(NOTA[[#This Row],[CONCAT1]],[3]!db[NB NOTA_C],0))</f>
        <v>2496</v>
      </c>
      <c r="AR250" s="39" t="str">
        <f>IF(NOTA[[#This Row],[QTY/ CTN]]="","",TRUE)</f>
        <v/>
      </c>
      <c r="AS250" s="39" t="str">
        <f ca="1">IF(NOTA[[#This Row],[ID_H]]="","",IF(NOTA[[#This Row],[Column3]]=TRUE,NOTA[[#This Row],[QTY/ CTN]],INDEX([3]!db[QTY/ CTN],NOTA[[#This Row],[//DB]])))</f>
        <v>50 BOX (30 PCS)</v>
      </c>
      <c r="AT2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50" s="39" t="e">
        <f ca="1">IF(NOTA[[#This Row],[ID_H]]="","",MATCH(NOTA[[#This Row],[NB NOTA_C_QTY]],[4]!db[NB NOTA_C_QTY+F],0))</f>
        <v>#REF!</v>
      </c>
      <c r="AV250" s="55">
        <f ca="1">IF(NOTA[[#This Row],[NB NOTA_C_QTY]]="","",ROW()-2)</f>
        <v>248</v>
      </c>
    </row>
    <row r="251" spans="1:48" ht="20.100000000000001" customHeight="1" x14ac:dyDescent="0.25">
      <c r="A2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54</v>
      </c>
      <c r="E251" s="47"/>
      <c r="H251" s="48"/>
      <c r="L251" s="38" t="s">
        <v>380</v>
      </c>
      <c r="M251" s="41">
        <v>5</v>
      </c>
      <c r="N251" s="39">
        <v>250</v>
      </c>
      <c r="O251" s="38" t="s">
        <v>319</v>
      </c>
      <c r="P251" s="42">
        <v>32000</v>
      </c>
      <c r="Q251" s="43"/>
      <c r="R251" s="49"/>
      <c r="S251" s="50">
        <v>0.125</v>
      </c>
      <c r="T251" s="45">
        <v>0.05</v>
      </c>
      <c r="U251" s="51"/>
      <c r="V251" s="46"/>
      <c r="W251" s="51">
        <f>IF(NOTA[[#This Row],[HARGA/ CTN]]="",NOTA[[#This Row],[JUMLAH_H]],NOTA[[#This Row],[HARGA/ CTN]]*IF(NOTA[[#This Row],[C]]="",0,NOTA[[#This Row],[C]]))</f>
        <v>8000000</v>
      </c>
      <c r="X251" s="51">
        <f>IF(NOTA[[#This Row],[JUMLAH]]="","",NOTA[[#This Row],[JUMLAH]]*NOTA[[#This Row],[DISC 1]])</f>
        <v>1000000</v>
      </c>
      <c r="Y251" s="51">
        <f>IF(NOTA[[#This Row],[JUMLAH]]="","",(NOTA[[#This Row],[JUMLAH]]-NOTA[[#This Row],[DISC 1-]])*NOTA[[#This Row],[DISC 2]])</f>
        <v>350000</v>
      </c>
      <c r="Z251" s="51">
        <f>IF(NOTA[[#This Row],[JUMLAH]]="","",NOTA[[#This Row],[DISC 1-]]+NOTA[[#This Row],[DISC 2-]])</f>
        <v>1350000</v>
      </c>
      <c r="AA251" s="51">
        <f>IF(NOTA[[#This Row],[JUMLAH]]="","",NOTA[[#This Row],[JUMLAH]]-NOTA[[#This Row],[DISC]])</f>
        <v>6650000</v>
      </c>
      <c r="AB251" s="51"/>
      <c r="AC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1" s="51">
        <f>IF(OR(NOTA[[#This Row],[QTY]]="",NOTA[[#This Row],[HARGA SATUAN]]="",),"",NOTA[[#This Row],[QTY]]*NOTA[[#This Row],[HARGA SATUAN]])</f>
        <v>8000000</v>
      </c>
      <c r="AG251" s="40">
        <f ca="1">IF(NOTA[ID_H]="","",INDEX(NOTA[TANGGAL],MATCH(,INDIRECT(ADDRESS(ROW(NOTA[TANGGAL]),COLUMN(NOTA[TANGGAL]))&amp;":"&amp;ADDRESS(ROW(),COLUMN(NOTA[TANGGAL]))),-1)))</f>
        <v>45117</v>
      </c>
      <c r="AH251" s="42" t="str">
        <f ca="1">IF(NOTA[[#This Row],[NAMA BARANG]]="","",INDEX(NOTA[SUPPLIER],MATCH(,INDIRECT(ADDRESS(ROW(NOTA[ID]),COLUMN(NOTA[ID]))&amp;":"&amp;ADDRESS(ROW(),COLUMN(NOTA[ID]))),-1)))</f>
        <v>ATALI MAKMUR</v>
      </c>
      <c r="AI251" s="42" t="str">
        <f ca="1">IF(NOTA[[#This Row],[ID_H]]="","",IF(NOTA[[#This Row],[FAKTUR]]="",INDIRECT(ADDRESS(ROW()-1,COLUMN())),NOTA[[#This Row],[FAKTUR]]))</f>
        <v>ARTO MORO</v>
      </c>
      <c r="AJ251" s="39" t="str">
        <f ca="1">IF(NOTA[[#This Row],[ID]]="","",COUNTIF(NOTA[ID_H],NOTA[[#This Row],[ID_H]]))</f>
        <v/>
      </c>
      <c r="AK251" s="39">
        <f ca="1">IF(NOTA[[#This Row],[TGL.NOTA]]="",IF(NOTA[[#This Row],[SUPPLIER_H]]="","",AK250),MONTH(NOTA[[#This Row],[TGL.NOTA]]))</f>
        <v>7</v>
      </c>
      <c r="AL25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9" t="str">
        <f>IF(NOTA[[#This Row],[CONCAT4]]="","",_xlfn.IFNA(MATCH(NOTA[[#This Row],[CONCAT4]],[2]!RAW[CONCAT_H],0),FALSE))</f>
        <v/>
      </c>
      <c r="AQ251" s="39">
        <f>IF(NOTA[[#This Row],[CONCAT1]]="","",MATCH(NOTA[[#This Row],[CONCAT1]],[3]!db[NB NOTA_C],0))</f>
        <v>2497</v>
      </c>
      <c r="AR251" s="39" t="str">
        <f>IF(NOTA[[#This Row],[QTY/ CTN]]="","",TRUE)</f>
        <v/>
      </c>
      <c r="AS251" s="39" t="str">
        <f ca="1">IF(NOTA[[#This Row],[ID_H]]="","",IF(NOTA[[#This Row],[Column3]]=TRUE,NOTA[[#This Row],[QTY/ CTN]],INDEX([3]!db[QTY/ CTN],NOTA[[#This Row],[//DB]])))</f>
        <v>50 BOX (30 PCS)</v>
      </c>
      <c r="AT2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51" s="39" t="e">
        <f ca="1">IF(NOTA[[#This Row],[ID_H]]="","",MATCH(NOTA[[#This Row],[NB NOTA_C_QTY]],[4]!db[NB NOTA_C_QTY+F],0))</f>
        <v>#REF!</v>
      </c>
      <c r="AV251" s="55">
        <f ca="1">IF(NOTA[[#This Row],[NB NOTA_C_QTY]]="","",ROW()-2)</f>
        <v>249</v>
      </c>
    </row>
    <row r="252" spans="1:48" ht="20.100000000000001" customHeight="1" x14ac:dyDescent="0.25">
      <c r="A2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>
        <f ca="1">IF(NOTA[[#This Row],[NAMA BARANG]]="","",INDEX(NOTA[ID],MATCH(,INDIRECT(ADDRESS(ROW(NOTA[ID]),COLUMN(NOTA[ID]))&amp;":"&amp;ADDRESS(ROW(),COLUMN(NOTA[ID]))),-1)))</f>
        <v>54</v>
      </c>
      <c r="E252" s="47"/>
      <c r="H252" s="48"/>
      <c r="L252" s="38" t="s">
        <v>381</v>
      </c>
      <c r="M252" s="41">
        <v>5</v>
      </c>
      <c r="N252" s="39">
        <v>250</v>
      </c>
      <c r="O252" s="38" t="s">
        <v>319</v>
      </c>
      <c r="P252" s="42">
        <v>34100</v>
      </c>
      <c r="Q252" s="43"/>
      <c r="R252" s="49"/>
      <c r="S252" s="50">
        <v>0.125</v>
      </c>
      <c r="T252" s="45">
        <v>0.05</v>
      </c>
      <c r="U252" s="51"/>
      <c r="V252" s="46"/>
      <c r="W252" s="51">
        <f>IF(NOTA[[#This Row],[HARGA/ CTN]]="",NOTA[[#This Row],[JUMLAH_H]],NOTA[[#This Row],[HARGA/ CTN]]*IF(NOTA[[#This Row],[C]]="",0,NOTA[[#This Row],[C]]))</f>
        <v>8525000</v>
      </c>
      <c r="X252" s="51">
        <f>IF(NOTA[[#This Row],[JUMLAH]]="","",NOTA[[#This Row],[JUMLAH]]*NOTA[[#This Row],[DISC 1]])</f>
        <v>1065625</v>
      </c>
      <c r="Y252" s="51">
        <f>IF(NOTA[[#This Row],[JUMLAH]]="","",(NOTA[[#This Row],[JUMLAH]]-NOTA[[#This Row],[DISC 1-]])*NOTA[[#This Row],[DISC 2]])</f>
        <v>372968.75</v>
      </c>
      <c r="Z252" s="51">
        <f>IF(NOTA[[#This Row],[JUMLAH]]="","",NOTA[[#This Row],[DISC 1-]]+NOTA[[#This Row],[DISC 2-]])</f>
        <v>1438593.75</v>
      </c>
      <c r="AA252" s="51">
        <f>IF(NOTA[[#This Row],[JUMLAH]]="","",NOTA[[#This Row],[JUMLAH]]-NOTA[[#This Row],[DISC]])</f>
        <v>7086406.25</v>
      </c>
      <c r="AB252" s="51"/>
      <c r="AC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2" s="51">
        <f>IF(OR(NOTA[[#This Row],[QTY]]="",NOTA[[#This Row],[HARGA SATUAN]]="",),"",NOTA[[#This Row],[QTY]]*NOTA[[#This Row],[HARGA SATUAN]])</f>
        <v>8525000</v>
      </c>
      <c r="AG252" s="40">
        <f ca="1">IF(NOTA[ID_H]="","",INDEX(NOTA[TANGGAL],MATCH(,INDIRECT(ADDRESS(ROW(NOTA[TANGGAL]),COLUMN(NOTA[TANGGAL]))&amp;":"&amp;ADDRESS(ROW(),COLUMN(NOTA[TANGGAL]))),-1)))</f>
        <v>45117</v>
      </c>
      <c r="AH252" s="42" t="str">
        <f ca="1">IF(NOTA[[#This Row],[NAMA BARANG]]="","",INDEX(NOTA[SUPPLIER],MATCH(,INDIRECT(ADDRESS(ROW(NOTA[ID]),COLUMN(NOTA[ID]))&amp;":"&amp;ADDRESS(ROW(),COLUMN(NOTA[ID]))),-1)))</f>
        <v>ATALI MAKMUR</v>
      </c>
      <c r="AI252" s="42" t="str">
        <f ca="1">IF(NOTA[[#This Row],[ID_H]]="","",IF(NOTA[[#This Row],[FAKTUR]]="",INDIRECT(ADDRESS(ROW()-1,COLUMN())),NOTA[[#This Row],[FAKTUR]]))</f>
        <v>ARTO MORO</v>
      </c>
      <c r="AJ252" s="39" t="str">
        <f ca="1">IF(NOTA[[#This Row],[ID]]="","",COUNTIF(NOTA[ID_H],NOTA[[#This Row],[ID_H]]))</f>
        <v/>
      </c>
      <c r="AK252" s="39">
        <f ca="1">IF(NOTA[[#This Row],[TGL.NOTA]]="",IF(NOTA[[#This Row],[SUPPLIER_H]]="","",AK251),MONTH(NOTA[[#This Row],[TGL.NOTA]]))</f>
        <v>7</v>
      </c>
      <c r="AL252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9" t="str">
        <f>IF(NOTA[[#This Row],[CONCAT4]]="","",_xlfn.IFNA(MATCH(NOTA[[#This Row],[CONCAT4]],[2]!RAW[CONCAT_H],0),FALSE))</f>
        <v/>
      </c>
      <c r="AQ252" s="39">
        <f>IF(NOTA[[#This Row],[CONCAT1]]="","",MATCH(NOTA[[#This Row],[CONCAT1]],[3]!db[NB NOTA_C],0))</f>
        <v>2495</v>
      </c>
      <c r="AR252" s="39" t="str">
        <f>IF(NOTA[[#This Row],[QTY/ CTN]]="","",TRUE)</f>
        <v/>
      </c>
      <c r="AS252" s="39" t="str">
        <f ca="1">IF(NOTA[[#This Row],[ID_H]]="","",IF(NOTA[[#This Row],[Column3]]=TRUE,NOTA[[#This Row],[QTY/ CTN]],INDEX([3]!db[QTY/ CTN],NOTA[[#This Row],[//DB]])))</f>
        <v>50 BOX (20 PCS)</v>
      </c>
      <c r="AT2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52" s="39" t="e">
        <f ca="1">IF(NOTA[[#This Row],[ID_H]]="","",MATCH(NOTA[[#This Row],[NB NOTA_C_QTY]],[4]!db[NB NOTA_C_QTY+F],0))</f>
        <v>#REF!</v>
      </c>
      <c r="AV252" s="55">
        <f ca="1">IF(NOTA[[#This Row],[NB NOTA_C_QTY]]="","",ROW()-2)</f>
        <v>250</v>
      </c>
    </row>
    <row r="253" spans="1:48" ht="20.100000000000001" customHeight="1" x14ac:dyDescent="0.25">
      <c r="A2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9" t="str">
        <f>IF(NOTA[[#This Row],[ID_P]]="","",MATCH(NOTA[[#This Row],[ID_P]],[1]!B_MSK[N_ID],0))</f>
        <v/>
      </c>
      <c r="D253" s="39">
        <f ca="1">IF(NOTA[[#This Row],[NAMA BARANG]]="","",INDEX(NOTA[ID],MATCH(,INDIRECT(ADDRESS(ROW(NOTA[ID]),COLUMN(NOTA[ID]))&amp;":"&amp;ADDRESS(ROW(),COLUMN(NOTA[ID]))),-1)))</f>
        <v>54</v>
      </c>
      <c r="E253" s="47"/>
      <c r="H253" s="48"/>
      <c r="L253" s="38" t="s">
        <v>382</v>
      </c>
      <c r="M253" s="41">
        <v>2</v>
      </c>
      <c r="N253" s="39">
        <v>100</v>
      </c>
      <c r="O253" s="38" t="s">
        <v>319</v>
      </c>
      <c r="P253" s="42">
        <v>34100</v>
      </c>
      <c r="Q253" s="43"/>
      <c r="R253" s="49"/>
      <c r="S253" s="50">
        <v>0.125</v>
      </c>
      <c r="T253" s="45">
        <v>0.05</v>
      </c>
      <c r="U253" s="51"/>
      <c r="V253" s="46"/>
      <c r="W253" s="51">
        <f>IF(NOTA[[#This Row],[HARGA/ CTN]]="",NOTA[[#This Row],[JUMLAH_H]],NOTA[[#This Row],[HARGA/ CTN]]*IF(NOTA[[#This Row],[C]]="",0,NOTA[[#This Row],[C]]))</f>
        <v>3410000</v>
      </c>
      <c r="X253" s="51">
        <f>IF(NOTA[[#This Row],[JUMLAH]]="","",NOTA[[#This Row],[JUMLAH]]*NOTA[[#This Row],[DISC 1]])</f>
        <v>426250</v>
      </c>
      <c r="Y253" s="51">
        <f>IF(NOTA[[#This Row],[JUMLAH]]="","",(NOTA[[#This Row],[JUMLAH]]-NOTA[[#This Row],[DISC 1-]])*NOTA[[#This Row],[DISC 2]])</f>
        <v>149187.5</v>
      </c>
      <c r="Z253" s="51">
        <f>IF(NOTA[[#This Row],[JUMLAH]]="","",NOTA[[#This Row],[DISC 1-]]+NOTA[[#This Row],[DISC 2-]])</f>
        <v>575437.5</v>
      </c>
      <c r="AA253" s="51">
        <f>IF(NOTA[[#This Row],[JUMLAH]]="","",NOTA[[#This Row],[JUMLAH]]-NOTA[[#This Row],[DISC]])</f>
        <v>2834562.5</v>
      </c>
      <c r="AB253" s="51"/>
      <c r="AC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8218125</v>
      </c>
      <c r="AD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40481875</v>
      </c>
      <c r="AE25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3" s="51">
        <f>IF(OR(NOTA[[#This Row],[QTY]]="",NOTA[[#This Row],[HARGA SATUAN]]="",),"",NOTA[[#This Row],[QTY]]*NOTA[[#This Row],[HARGA SATUAN]])</f>
        <v>3410000</v>
      </c>
      <c r="AG253" s="40">
        <f ca="1">IF(NOTA[ID_H]="","",INDEX(NOTA[TANGGAL],MATCH(,INDIRECT(ADDRESS(ROW(NOTA[TANGGAL]),COLUMN(NOTA[TANGGAL]))&amp;":"&amp;ADDRESS(ROW(),COLUMN(NOTA[TANGGAL]))),-1)))</f>
        <v>45117</v>
      </c>
      <c r="AH253" s="42" t="str">
        <f ca="1">IF(NOTA[[#This Row],[NAMA BARANG]]="","",INDEX(NOTA[SUPPLIER],MATCH(,INDIRECT(ADDRESS(ROW(NOTA[ID]),COLUMN(NOTA[ID]))&amp;":"&amp;ADDRESS(ROW(),COLUMN(NOTA[ID]))),-1)))</f>
        <v>ATALI MAKMUR</v>
      </c>
      <c r="AI253" s="42" t="str">
        <f ca="1">IF(NOTA[[#This Row],[ID_H]]="","",IF(NOTA[[#This Row],[FAKTUR]]="",INDIRECT(ADDRESS(ROW()-1,COLUMN())),NOTA[[#This Row],[FAKTUR]]))</f>
        <v>ARTO MORO</v>
      </c>
      <c r="AJ253" s="39" t="str">
        <f ca="1">IF(NOTA[[#This Row],[ID]]="","",COUNTIF(NOTA[ID_H],NOTA[[#This Row],[ID_H]]))</f>
        <v/>
      </c>
      <c r="AK253" s="39">
        <f ca="1">IF(NOTA[[#This Row],[TGL.NOTA]]="",IF(NOTA[[#This Row],[SUPPLIER_H]]="","",AK252),MONTH(NOTA[[#This Row],[TGL.NOTA]]))</f>
        <v>7</v>
      </c>
      <c r="AL253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2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9" t="str">
        <f>IF(NOTA[[#This Row],[CONCAT4]]="","",_xlfn.IFNA(MATCH(NOTA[[#This Row],[CONCAT4]],[2]!RAW[CONCAT_H],0),FALSE))</f>
        <v/>
      </c>
      <c r="AQ253" s="39">
        <f>IF(NOTA[[#This Row],[CONCAT1]]="","",MATCH(NOTA[[#This Row],[CONCAT1]],[3]!db[NB NOTA_C],0))</f>
        <v>2505</v>
      </c>
      <c r="AR253" s="39" t="str">
        <f>IF(NOTA[[#This Row],[QTY/ CTN]]="","",TRUE)</f>
        <v/>
      </c>
      <c r="AS253" s="39" t="str">
        <f ca="1">IF(NOTA[[#This Row],[ID_H]]="","",IF(NOTA[[#This Row],[Column3]]=TRUE,NOTA[[#This Row],[QTY/ CTN]],INDEX([3]!db[QTY/ CTN],NOTA[[#This Row],[//DB]])))</f>
        <v>50 BOX (20 PCS)</v>
      </c>
      <c r="AT2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253" s="39" t="e">
        <f ca="1">IF(NOTA[[#This Row],[ID_H]]="","",MATCH(NOTA[[#This Row],[NB NOTA_C_QTY]],[4]!db[NB NOTA_C_QTY+F],0))</f>
        <v>#REF!</v>
      </c>
      <c r="AV253" s="55">
        <f ca="1">IF(NOTA[[#This Row],[NB NOTA_C_QTY]]="","",ROW()-2)</f>
        <v>251</v>
      </c>
    </row>
    <row r="254" spans="1:48" ht="20.100000000000001" customHeight="1" x14ac:dyDescent="0.25">
      <c r="A2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 t="str">
        <f ca="1">IF(NOTA[[#This Row],[NAMA BARANG]]="","",INDEX(NOTA[ID],MATCH(,INDIRECT(ADDRESS(ROW(NOTA[ID]),COLUMN(NOTA[ID]))&amp;":"&amp;ADDRESS(ROW(),COLUMN(NOTA[ID]))),-1)))</f>
        <v/>
      </c>
      <c r="E254" s="47"/>
      <c r="H254" s="48"/>
      <c r="N254" s="39"/>
      <c r="Q254" s="43"/>
      <c r="R254" s="49"/>
      <c r="S254" s="50"/>
      <c r="U254" s="51"/>
      <c r="V254" s="46"/>
      <c r="W254" s="51" t="str">
        <f>IF(NOTA[[#This Row],[HARGA/ CTN]]="",NOTA[[#This Row],[JUMLAH_H]],NOTA[[#This Row],[HARGA/ CTN]]*IF(NOTA[[#This Row],[C]]="",0,NOTA[[#This Row],[C]]))</f>
        <v/>
      </c>
      <c r="X254" s="51" t="str">
        <f>IF(NOTA[[#This Row],[JUMLAH]]="","",NOTA[[#This Row],[JUMLAH]]*NOTA[[#This Row],[DISC 1]])</f>
        <v/>
      </c>
      <c r="Y254" s="51" t="str">
        <f>IF(NOTA[[#This Row],[JUMLAH]]="","",(NOTA[[#This Row],[JUMLAH]]-NOTA[[#This Row],[DISC 1-]])*NOTA[[#This Row],[DISC 2]])</f>
        <v/>
      </c>
      <c r="Z254" s="51" t="str">
        <f>IF(NOTA[[#This Row],[JUMLAH]]="","",NOTA[[#This Row],[DISC 1-]]+NOTA[[#This Row],[DISC 2-]])</f>
        <v/>
      </c>
      <c r="AA254" s="51" t="str">
        <f>IF(NOTA[[#This Row],[JUMLAH]]="","",NOTA[[#This Row],[JUMLAH]]-NOTA[[#This Row],[DISC]])</f>
        <v/>
      </c>
      <c r="AB254" s="51"/>
      <c r="AC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1" t="str">
        <f>IF(OR(NOTA[[#This Row],[QTY]]="",NOTA[[#This Row],[HARGA SATUAN]]="",),"",NOTA[[#This Row],[QTY]]*NOTA[[#This Row],[HARGA SATUAN]])</f>
        <v/>
      </c>
      <c r="AG254" s="40" t="str">
        <f ca="1">IF(NOTA[ID_H]="","",INDEX(NOTA[TANGGAL],MATCH(,INDIRECT(ADDRESS(ROW(NOTA[TANGGAL]),COLUMN(NOTA[TANGGAL]))&amp;":"&amp;ADDRESS(ROW(),COLUMN(NOTA[TANGGAL]))),-1)))</f>
        <v/>
      </c>
      <c r="AH254" s="42" t="str">
        <f ca="1">IF(NOTA[[#This Row],[NAMA BARANG]]="","",INDEX(NOTA[SUPPLIER],MATCH(,INDIRECT(ADDRESS(ROW(NOTA[ID]),COLUMN(NOTA[ID]))&amp;":"&amp;ADDRESS(ROW(),COLUMN(NOTA[ID]))),-1)))</f>
        <v/>
      </c>
      <c r="AI254" s="42" t="str">
        <f ca="1">IF(NOTA[[#This Row],[ID_H]]="","",IF(NOTA[[#This Row],[FAKTUR]]="",INDIRECT(ADDRESS(ROW()-1,COLUMN())),NOTA[[#This Row],[FAKTUR]]))</f>
        <v/>
      </c>
      <c r="AJ254" s="39" t="str">
        <f ca="1">IF(NOTA[[#This Row],[ID]]="","",COUNTIF(NOTA[ID_H],NOTA[[#This Row],[ID_H]]))</f>
        <v/>
      </c>
      <c r="AK254" s="39" t="str">
        <f ca="1">IF(NOTA[[#This Row],[TGL.NOTA]]="",IF(NOTA[[#This Row],[SUPPLIER_H]]="","",AK253),MONTH(NOTA[[#This Row],[TGL.NOTA]]))</f>
        <v/>
      </c>
      <c r="AL254" s="39" t="str">
        <f>LOWER(SUBSTITUTE(SUBSTITUTE(SUBSTITUTE(SUBSTITUTE(SUBSTITUTE(SUBSTITUTE(SUBSTITUTE(SUBSTITUTE(SUBSTITUTE(NOTA[NAMA BARANG]," ",),".",""),"-",""),"(",""),")",""),",",""),"/",""),"""",""),"+",""))</f>
        <v/>
      </c>
      <c r="AM2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9" t="str">
        <f>IF(NOTA[[#This Row],[CONCAT4]]="","",_xlfn.IFNA(MATCH(NOTA[[#This Row],[CONCAT4]],[2]!RAW[CONCAT_H],0),FALSE))</f>
        <v/>
      </c>
      <c r="AQ254" s="39" t="str">
        <f>IF(NOTA[[#This Row],[CONCAT1]]="","",MATCH(NOTA[[#This Row],[CONCAT1]],[3]!db[NB NOTA_C],0))</f>
        <v/>
      </c>
      <c r="AR254" s="39" t="str">
        <f>IF(NOTA[[#This Row],[QTY/ CTN]]="","",TRUE)</f>
        <v/>
      </c>
      <c r="AS254" s="39" t="str">
        <f ca="1">IF(NOTA[[#This Row],[ID_H]]="","",IF(NOTA[[#This Row],[Column3]]=TRUE,NOTA[[#This Row],[QTY/ CTN]],INDEX([3]!db[QTY/ CTN],NOTA[[#This Row],[//DB]])))</f>
        <v/>
      </c>
      <c r="AT2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9" t="str">
        <f ca="1">IF(NOTA[[#This Row],[ID_H]]="","",MATCH(NOTA[[#This Row],[NB NOTA_C_QTY]],[4]!db[NB NOTA_C_QTY+F],0))</f>
        <v/>
      </c>
      <c r="AV254" s="55" t="str">
        <f ca="1">IF(NOTA[[#This Row],[NB NOTA_C_QTY]]="","",ROW()-2)</f>
        <v/>
      </c>
    </row>
    <row r="255" spans="1:48" ht="20.100000000000001" customHeight="1" x14ac:dyDescent="0.25">
      <c r="A255" s="42">
        <f ca="1">IF(INDIRECT(ADDRESS(ROW()-1,COLUMN(NOTA[[#Headers],[ID]])))="ID",1,IF(NOTA[[#This Row],[FAKTUR]]="","",COUNT(INDIRECT(ADDRESS(ROW(NOTA[ID]),COLUMN(NOTA[ID]))&amp;":"&amp;ADDRESS(ROW()-1,COLUMN(NOTA[ID]))))+1))</f>
        <v>55</v>
      </c>
      <c r="B2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ATA_1007_611-12</v>
      </c>
      <c r="C255" s="39" t="e">
        <f ca="1">IF(NOTA[[#This Row],[ID_P]]="","",MATCH(NOTA[[#This Row],[ID_P]],[1]!B_MSK[N_ID],0))</f>
        <v>#REF!</v>
      </c>
      <c r="D255" s="39">
        <f ca="1">IF(NOTA[[#This Row],[NAMA BARANG]]="","",INDEX(NOTA[ID],MATCH(,INDIRECT(ADDRESS(ROW(NOTA[ID]),COLUMN(NOTA[ID]))&amp;":"&amp;ADDRESS(ROW(),COLUMN(NOTA[ID]))),-1)))</f>
        <v>55</v>
      </c>
      <c r="E255" s="47"/>
      <c r="F255" s="38" t="s">
        <v>24</v>
      </c>
      <c r="G255" s="38" t="s">
        <v>23</v>
      </c>
      <c r="H255" s="48" t="s">
        <v>383</v>
      </c>
      <c r="J255" s="40">
        <v>45114</v>
      </c>
      <c r="L255" s="38" t="s">
        <v>389</v>
      </c>
      <c r="M255" s="41">
        <v>7</v>
      </c>
      <c r="N255" s="39">
        <v>1008</v>
      </c>
      <c r="O255" s="38" t="s">
        <v>263</v>
      </c>
      <c r="P255" s="42">
        <v>11900</v>
      </c>
      <c r="Q255" s="43"/>
      <c r="R255" s="49"/>
      <c r="S255" s="50">
        <v>0.125</v>
      </c>
      <c r="T255" s="45">
        <v>0.05</v>
      </c>
      <c r="U255" s="51"/>
      <c r="V255" s="46"/>
      <c r="W255" s="51">
        <f>IF(NOTA[[#This Row],[HARGA/ CTN]]="",NOTA[[#This Row],[JUMLAH_H]],NOTA[[#This Row],[HARGA/ CTN]]*IF(NOTA[[#This Row],[C]]="",0,NOTA[[#This Row],[C]]))</f>
        <v>11995200</v>
      </c>
      <c r="X255" s="51">
        <f>IF(NOTA[[#This Row],[JUMLAH]]="","",NOTA[[#This Row],[JUMLAH]]*NOTA[[#This Row],[DISC 1]])</f>
        <v>1499400</v>
      </c>
      <c r="Y255" s="51">
        <f>IF(NOTA[[#This Row],[JUMLAH]]="","",(NOTA[[#This Row],[JUMLAH]]-NOTA[[#This Row],[DISC 1-]])*NOTA[[#This Row],[DISC 2]])</f>
        <v>524790</v>
      </c>
      <c r="Z255" s="51">
        <f>IF(NOTA[[#This Row],[JUMLAH]]="","",NOTA[[#This Row],[DISC 1-]]+NOTA[[#This Row],[DISC 2-]])</f>
        <v>2024190</v>
      </c>
      <c r="AA255" s="51">
        <f>IF(NOTA[[#This Row],[JUMLAH]]="","",NOTA[[#This Row],[JUMLAH]]-NOTA[[#This Row],[DISC]])</f>
        <v>9971010</v>
      </c>
      <c r="AB255" s="51"/>
      <c r="AC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55" s="51">
        <f>IF(OR(NOTA[[#This Row],[QTY]]="",NOTA[[#This Row],[HARGA SATUAN]]="",),"",NOTA[[#This Row],[QTY]]*NOTA[[#This Row],[HARGA SATUAN]])</f>
        <v>11995200</v>
      </c>
      <c r="AG255" s="40">
        <f ca="1">IF(NOTA[ID_H]="","",INDEX(NOTA[TANGGAL],MATCH(,INDIRECT(ADDRESS(ROW(NOTA[TANGGAL]),COLUMN(NOTA[TANGGAL]))&amp;":"&amp;ADDRESS(ROW(),COLUMN(NOTA[TANGGAL]))),-1)))</f>
        <v>45117</v>
      </c>
      <c r="AH255" s="42" t="str">
        <f ca="1">IF(NOTA[[#This Row],[NAMA BARANG]]="","",INDEX(NOTA[SUPPLIER],MATCH(,INDIRECT(ADDRESS(ROW(NOTA[ID]),COLUMN(NOTA[ID]))&amp;":"&amp;ADDRESS(ROW(),COLUMN(NOTA[ID]))),-1)))</f>
        <v>ATALI MAKMUR</v>
      </c>
      <c r="AI255" s="42" t="str">
        <f ca="1">IF(NOTA[[#This Row],[ID_H]]="","",IF(NOTA[[#This Row],[FAKTUR]]="",INDIRECT(ADDRESS(ROW()-1,COLUMN())),NOTA[[#This Row],[FAKTUR]]))</f>
        <v>ARTO MORO</v>
      </c>
      <c r="AJ255" s="39">
        <f ca="1">IF(NOTA[[#This Row],[ID]]="","",COUNTIF(NOTA[ID_H],NOTA[[#This Row],[ID_H]]))</f>
        <v>12</v>
      </c>
      <c r="AK255" s="39">
        <f>IF(NOTA[[#This Row],[TGL.NOTA]]="",IF(NOTA[[#This Row],[SUPPLIER_H]]="","",AK254),MONTH(NOTA[[#This Row],[TGL.NOTA]]))</f>
        <v>7</v>
      </c>
      <c r="AL255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5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MOROSA23071161145114oilpastelop12sppcaseseaworldjk</v>
      </c>
      <c r="AP255" s="39" t="e">
        <f>IF(NOTA[[#This Row],[CONCAT4]]="","",_xlfn.IFNA(MATCH(NOTA[[#This Row],[CONCAT4]],[2]!RAW[CONCAT_H],0),FALSE))</f>
        <v>#REF!</v>
      </c>
      <c r="AQ255" s="39">
        <f>IF(NOTA[[#This Row],[CONCAT1]]="","",MATCH(NOTA[[#This Row],[CONCAT1]],[3]!db[NB NOTA_C],0))</f>
        <v>1775</v>
      </c>
      <c r="AR255" s="39" t="str">
        <f>IF(NOTA[[#This Row],[QTY/ CTN]]="","",TRUE)</f>
        <v/>
      </c>
      <c r="AS255" s="39" t="str">
        <f ca="1">IF(NOTA[[#This Row],[ID_H]]="","",IF(NOTA[[#This Row],[Column3]]=TRUE,NOTA[[#This Row],[QTY/ CTN]],INDEX([3]!db[QTY/ CTN],NOTA[[#This Row],[//DB]])))</f>
        <v>12 LSN</v>
      </c>
      <c r="AT2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55" s="39" t="e">
        <f ca="1">IF(NOTA[[#This Row],[ID_H]]="","",MATCH(NOTA[[#This Row],[NB NOTA_C_QTY]],[4]!db[NB NOTA_C_QTY+F],0))</f>
        <v>#REF!</v>
      </c>
      <c r="AV255" s="55">
        <f ca="1">IF(NOTA[[#This Row],[NB NOTA_C_QTY]]="","",ROW()-2)</f>
        <v>253</v>
      </c>
    </row>
    <row r="256" spans="1:48" ht="20.100000000000001" customHeight="1" x14ac:dyDescent="0.25">
      <c r="A2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55</v>
      </c>
      <c r="E256" s="47"/>
      <c r="H256" s="48"/>
      <c r="L256" s="38" t="s">
        <v>264</v>
      </c>
      <c r="M256" s="41">
        <v>1</v>
      </c>
      <c r="N256" s="39">
        <v>72</v>
      </c>
      <c r="O256" s="38" t="s">
        <v>263</v>
      </c>
      <c r="P256" s="42">
        <v>23000</v>
      </c>
      <c r="Q256" s="43"/>
      <c r="R256" s="49"/>
      <c r="S256" s="50">
        <v>0.125</v>
      </c>
      <c r="T256" s="45">
        <v>0.05</v>
      </c>
      <c r="U256" s="51"/>
      <c r="V256" s="46"/>
      <c r="W256" s="51">
        <f>IF(NOTA[[#This Row],[HARGA/ CTN]]="",NOTA[[#This Row],[JUMLAH_H]],NOTA[[#This Row],[HARGA/ CTN]]*IF(NOTA[[#This Row],[C]]="",0,NOTA[[#This Row],[C]]))</f>
        <v>1656000</v>
      </c>
      <c r="X256" s="51">
        <f>IF(NOTA[[#This Row],[JUMLAH]]="","",NOTA[[#This Row],[JUMLAH]]*NOTA[[#This Row],[DISC 1]])</f>
        <v>207000</v>
      </c>
      <c r="Y256" s="51">
        <f>IF(NOTA[[#This Row],[JUMLAH]]="","",(NOTA[[#This Row],[JUMLAH]]-NOTA[[#This Row],[DISC 1-]])*NOTA[[#This Row],[DISC 2]])</f>
        <v>72450</v>
      </c>
      <c r="Z256" s="51">
        <f>IF(NOTA[[#This Row],[JUMLAH]]="","",NOTA[[#This Row],[DISC 1-]]+NOTA[[#This Row],[DISC 2-]])</f>
        <v>279450</v>
      </c>
      <c r="AA256" s="51">
        <f>IF(NOTA[[#This Row],[JUMLAH]]="","",NOTA[[#This Row],[JUMLAH]]-NOTA[[#This Row],[DISC]])</f>
        <v>1376550</v>
      </c>
      <c r="AB256" s="51"/>
      <c r="AC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6" s="51">
        <f>IF(OR(NOTA[[#This Row],[QTY]]="",NOTA[[#This Row],[HARGA SATUAN]]="",),"",NOTA[[#This Row],[QTY]]*NOTA[[#This Row],[HARGA SATUAN]])</f>
        <v>1656000</v>
      </c>
      <c r="AG256" s="40">
        <f ca="1">IF(NOTA[ID_H]="","",INDEX(NOTA[TANGGAL],MATCH(,INDIRECT(ADDRESS(ROW(NOTA[TANGGAL]),COLUMN(NOTA[TANGGAL]))&amp;":"&amp;ADDRESS(ROW(),COLUMN(NOTA[TANGGAL]))),-1)))</f>
        <v>45117</v>
      </c>
      <c r="AH256" s="42" t="str">
        <f ca="1">IF(NOTA[[#This Row],[NAMA BARANG]]="","",INDEX(NOTA[SUPPLIER],MATCH(,INDIRECT(ADDRESS(ROW(NOTA[ID]),COLUMN(NOTA[ID]))&amp;":"&amp;ADDRESS(ROW(),COLUMN(NOTA[ID]))),-1)))</f>
        <v>ATALI MAKMUR</v>
      </c>
      <c r="AI256" s="42" t="str">
        <f ca="1">IF(NOTA[[#This Row],[ID_H]]="","",IF(NOTA[[#This Row],[FAKTUR]]="",INDIRECT(ADDRESS(ROW()-1,COLUMN())),NOTA[[#This Row],[FAKTUR]]))</f>
        <v>ARTO MORO</v>
      </c>
      <c r="AJ256" s="39" t="str">
        <f ca="1">IF(NOTA[[#This Row],[ID]]="","",COUNTIF(NOTA[ID_H],NOTA[[#This Row],[ID_H]]))</f>
        <v/>
      </c>
      <c r="AK256" s="39">
        <f ca="1">IF(NOTA[[#This Row],[TGL.NOTA]]="",IF(NOTA[[#This Row],[SUPPLIER_H]]="","",AK255),MONTH(NOTA[[#This Row],[TGL.NOTA]]))</f>
        <v>7</v>
      </c>
      <c r="AL256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9" t="str">
        <f>IF(NOTA[[#This Row],[CONCAT4]]="","",_xlfn.IFNA(MATCH(NOTA[[#This Row],[CONCAT4]],[2]!RAW[CONCAT_H],0),FALSE))</f>
        <v/>
      </c>
      <c r="AQ256" s="39">
        <f>IF(NOTA[[#This Row],[CONCAT1]]="","",MATCH(NOTA[[#This Row],[CONCAT1]],[3]!db[NB NOTA_C],0))</f>
        <v>1777</v>
      </c>
      <c r="AR256" s="39" t="str">
        <f>IF(NOTA[[#This Row],[QTY/ CTN]]="","",TRUE)</f>
        <v/>
      </c>
      <c r="AS256" s="39" t="str">
        <f ca="1">IF(NOTA[[#This Row],[ID_H]]="","",IF(NOTA[[#This Row],[Column3]]=TRUE,NOTA[[#This Row],[QTY/ CTN]],INDEX([3]!db[QTY/ CTN],NOTA[[#This Row],[//DB]])))</f>
        <v>6 LSN</v>
      </c>
      <c r="AT2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56" s="39" t="e">
        <f ca="1">IF(NOTA[[#This Row],[ID_H]]="","",MATCH(NOTA[[#This Row],[NB NOTA_C_QTY]],[4]!db[NB NOTA_C_QTY+F],0))</f>
        <v>#REF!</v>
      </c>
      <c r="AV256" s="55">
        <f ca="1">IF(NOTA[[#This Row],[NB NOTA_C_QTY]]="","",ROW()-2)</f>
        <v>254</v>
      </c>
    </row>
    <row r="257" spans="1:48" ht="20.100000000000001" customHeight="1" x14ac:dyDescent="0.25">
      <c r="A2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55</v>
      </c>
      <c r="E257" s="47"/>
      <c r="H257" s="48"/>
      <c r="L257" s="38" t="s">
        <v>265</v>
      </c>
      <c r="M257" s="41">
        <v>5</v>
      </c>
      <c r="N257" s="39">
        <v>240</v>
      </c>
      <c r="O257" s="38" t="s">
        <v>263</v>
      </c>
      <c r="P257" s="42">
        <v>29600</v>
      </c>
      <c r="Q257" s="43"/>
      <c r="R257" s="49"/>
      <c r="S257" s="50">
        <v>0.125</v>
      </c>
      <c r="T257" s="45">
        <v>0.05</v>
      </c>
      <c r="U257" s="51"/>
      <c r="V257" s="46"/>
      <c r="W257" s="51">
        <f>IF(NOTA[[#This Row],[HARGA/ CTN]]="",NOTA[[#This Row],[JUMLAH_H]],NOTA[[#This Row],[HARGA/ CTN]]*IF(NOTA[[#This Row],[C]]="",0,NOTA[[#This Row],[C]]))</f>
        <v>7104000</v>
      </c>
      <c r="X257" s="51">
        <f>IF(NOTA[[#This Row],[JUMLAH]]="","",NOTA[[#This Row],[JUMLAH]]*NOTA[[#This Row],[DISC 1]])</f>
        <v>888000</v>
      </c>
      <c r="Y257" s="51">
        <f>IF(NOTA[[#This Row],[JUMLAH]]="","",(NOTA[[#This Row],[JUMLAH]]-NOTA[[#This Row],[DISC 1-]])*NOTA[[#This Row],[DISC 2]])</f>
        <v>310800</v>
      </c>
      <c r="Z257" s="51">
        <f>IF(NOTA[[#This Row],[JUMLAH]]="","",NOTA[[#This Row],[DISC 1-]]+NOTA[[#This Row],[DISC 2-]])</f>
        <v>1198800</v>
      </c>
      <c r="AA257" s="51">
        <f>IF(NOTA[[#This Row],[JUMLAH]]="","",NOTA[[#This Row],[JUMLAH]]-NOTA[[#This Row],[DISC]])</f>
        <v>5905200</v>
      </c>
      <c r="AB257" s="51"/>
      <c r="AC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57" s="51">
        <f>IF(OR(NOTA[[#This Row],[QTY]]="",NOTA[[#This Row],[HARGA SATUAN]]="",),"",NOTA[[#This Row],[QTY]]*NOTA[[#This Row],[HARGA SATUAN]])</f>
        <v>7104000</v>
      </c>
      <c r="AG257" s="40">
        <f ca="1">IF(NOTA[ID_H]="","",INDEX(NOTA[TANGGAL],MATCH(,INDIRECT(ADDRESS(ROW(NOTA[TANGGAL]),COLUMN(NOTA[TANGGAL]))&amp;":"&amp;ADDRESS(ROW(),COLUMN(NOTA[TANGGAL]))),-1)))</f>
        <v>45117</v>
      </c>
      <c r="AH257" s="42" t="str">
        <f ca="1">IF(NOTA[[#This Row],[NAMA BARANG]]="","",INDEX(NOTA[SUPPLIER],MATCH(,INDIRECT(ADDRESS(ROW(NOTA[ID]),COLUMN(NOTA[ID]))&amp;":"&amp;ADDRESS(ROW(),COLUMN(NOTA[ID]))),-1)))</f>
        <v>ATALI MAKMUR</v>
      </c>
      <c r="AI257" s="42" t="str">
        <f ca="1">IF(NOTA[[#This Row],[ID_H]]="","",IF(NOTA[[#This Row],[FAKTUR]]="",INDIRECT(ADDRESS(ROW()-1,COLUMN())),NOTA[[#This Row],[FAKTUR]]))</f>
        <v>ARTO MORO</v>
      </c>
      <c r="AJ257" s="39" t="str">
        <f ca="1">IF(NOTA[[#This Row],[ID]]="","",COUNTIF(NOTA[ID_H],NOTA[[#This Row],[ID_H]]))</f>
        <v/>
      </c>
      <c r="AK257" s="39">
        <f ca="1">IF(NOTA[[#This Row],[TGL.NOTA]]="",IF(NOTA[[#This Row],[SUPPLIER_H]]="","",AK256),MONTH(NOTA[[#This Row],[TGL.NOTA]]))</f>
        <v>7</v>
      </c>
      <c r="AL25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9" t="str">
        <f>IF(NOTA[[#This Row],[CONCAT4]]="","",_xlfn.IFNA(MATCH(NOTA[[#This Row],[CONCAT4]],[2]!RAW[CONCAT_H],0),FALSE))</f>
        <v/>
      </c>
      <c r="AQ257" s="39">
        <f>IF(NOTA[[#This Row],[CONCAT1]]="","",MATCH(NOTA[[#This Row],[CONCAT1]],[3]!db[NB NOTA_C],0))</f>
        <v>1778</v>
      </c>
      <c r="AR257" s="39" t="str">
        <f>IF(NOTA[[#This Row],[QTY/ CTN]]="","",TRUE)</f>
        <v/>
      </c>
      <c r="AS257" s="39" t="str">
        <f ca="1">IF(NOTA[[#This Row],[ID_H]]="","",IF(NOTA[[#This Row],[Column3]]=TRUE,NOTA[[#This Row],[QTY/ CTN]],INDEX([3]!db[QTY/ CTN],NOTA[[#This Row],[//DB]])))</f>
        <v>8 BOX (6 SET)</v>
      </c>
      <c r="AT2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57" s="39" t="e">
        <f ca="1">IF(NOTA[[#This Row],[ID_H]]="","",MATCH(NOTA[[#This Row],[NB NOTA_C_QTY]],[4]!db[NB NOTA_C_QTY+F],0))</f>
        <v>#REF!</v>
      </c>
      <c r="AV257" s="55">
        <f ca="1">IF(NOTA[[#This Row],[NB NOTA_C_QTY]]="","",ROW()-2)</f>
        <v>255</v>
      </c>
    </row>
    <row r="258" spans="1:48" ht="20.100000000000001" customHeight="1" x14ac:dyDescent="0.25">
      <c r="A2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55</v>
      </c>
      <c r="E258" s="47"/>
      <c r="H258" s="48"/>
      <c r="L258" s="38" t="s">
        <v>266</v>
      </c>
      <c r="M258" s="41">
        <v>1</v>
      </c>
      <c r="N258" s="39">
        <v>36</v>
      </c>
      <c r="O258" s="38" t="s">
        <v>263</v>
      </c>
      <c r="P258" s="42">
        <v>41500</v>
      </c>
      <c r="Q258" s="43"/>
      <c r="R258" s="49"/>
      <c r="S258" s="50">
        <v>0.125</v>
      </c>
      <c r="T258" s="45">
        <v>0.05</v>
      </c>
      <c r="U258" s="51"/>
      <c r="V258" s="46"/>
      <c r="W258" s="51">
        <f>IF(NOTA[[#This Row],[HARGA/ CTN]]="",NOTA[[#This Row],[JUMLAH_H]],NOTA[[#This Row],[HARGA/ CTN]]*IF(NOTA[[#This Row],[C]]="",0,NOTA[[#This Row],[C]]))</f>
        <v>1494000</v>
      </c>
      <c r="X258" s="51">
        <f>IF(NOTA[[#This Row],[JUMLAH]]="","",NOTA[[#This Row],[JUMLAH]]*NOTA[[#This Row],[DISC 1]])</f>
        <v>186750</v>
      </c>
      <c r="Y258" s="51">
        <f>IF(NOTA[[#This Row],[JUMLAH]]="","",(NOTA[[#This Row],[JUMLAH]]-NOTA[[#This Row],[DISC 1-]])*NOTA[[#This Row],[DISC 2]])</f>
        <v>65362.5</v>
      </c>
      <c r="Z258" s="51">
        <f>IF(NOTA[[#This Row],[JUMLAH]]="","",NOTA[[#This Row],[DISC 1-]]+NOTA[[#This Row],[DISC 2-]])</f>
        <v>252112.5</v>
      </c>
      <c r="AA258" s="51">
        <f>IF(NOTA[[#This Row],[JUMLAH]]="","",NOTA[[#This Row],[JUMLAH]]-NOTA[[#This Row],[DISC]])</f>
        <v>1241887.5</v>
      </c>
      <c r="AB258" s="51"/>
      <c r="AC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58" s="51">
        <f>IF(OR(NOTA[[#This Row],[QTY]]="",NOTA[[#This Row],[HARGA SATUAN]]="",),"",NOTA[[#This Row],[QTY]]*NOTA[[#This Row],[HARGA SATUAN]])</f>
        <v>1494000</v>
      </c>
      <c r="AG258" s="40">
        <f ca="1">IF(NOTA[ID_H]="","",INDEX(NOTA[TANGGAL],MATCH(,INDIRECT(ADDRESS(ROW(NOTA[TANGGAL]),COLUMN(NOTA[TANGGAL]))&amp;":"&amp;ADDRESS(ROW(),COLUMN(NOTA[TANGGAL]))),-1)))</f>
        <v>45117</v>
      </c>
      <c r="AH258" s="42" t="str">
        <f ca="1">IF(NOTA[[#This Row],[NAMA BARANG]]="","",INDEX(NOTA[SUPPLIER],MATCH(,INDIRECT(ADDRESS(ROW(NOTA[ID]),COLUMN(NOTA[ID]))&amp;":"&amp;ADDRESS(ROW(),COLUMN(NOTA[ID]))),-1)))</f>
        <v>ATALI MAKMUR</v>
      </c>
      <c r="AI258" s="42" t="str">
        <f ca="1">IF(NOTA[[#This Row],[ID_H]]="","",IF(NOTA[[#This Row],[FAKTUR]]="",INDIRECT(ADDRESS(ROW()-1,COLUMN())),NOTA[[#This Row],[FAKTUR]]))</f>
        <v>ARTO MORO</v>
      </c>
      <c r="AJ258" s="39" t="str">
        <f ca="1">IF(NOTA[[#This Row],[ID]]="","",COUNTIF(NOTA[ID_H],NOTA[[#This Row],[ID_H]]))</f>
        <v/>
      </c>
      <c r="AK258" s="39">
        <f ca="1">IF(NOTA[[#This Row],[TGL.NOTA]]="",IF(NOTA[[#This Row],[SUPPLIER_H]]="","",AK257),MONTH(NOTA[[#This Row],[TGL.NOTA]]))</f>
        <v>7</v>
      </c>
      <c r="AL258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2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9" t="str">
        <f>IF(NOTA[[#This Row],[CONCAT4]]="","",_xlfn.IFNA(MATCH(NOTA[[#This Row],[CONCAT4]],[2]!RAW[CONCAT_H],0),FALSE))</f>
        <v/>
      </c>
      <c r="AQ258" s="39">
        <f>IF(NOTA[[#This Row],[CONCAT1]]="","",MATCH(NOTA[[#This Row],[CONCAT1]],[3]!db[NB NOTA_C],0))</f>
        <v>1779</v>
      </c>
      <c r="AR258" s="39" t="str">
        <f>IF(NOTA[[#This Row],[QTY/ CTN]]="","",TRUE)</f>
        <v/>
      </c>
      <c r="AS258" s="39" t="str">
        <f ca="1">IF(NOTA[[#This Row],[ID_H]]="","",IF(NOTA[[#This Row],[Column3]]=TRUE,NOTA[[#This Row],[QTY/ CTN]],INDEX([3]!db[QTY/ CTN],NOTA[[#This Row],[//DB]])))</f>
        <v>6 BOX (6 SET)</v>
      </c>
      <c r="AT2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258" s="39" t="e">
        <f ca="1">IF(NOTA[[#This Row],[ID_H]]="","",MATCH(NOTA[[#This Row],[NB NOTA_C_QTY]],[4]!db[NB NOTA_C_QTY+F],0))</f>
        <v>#REF!</v>
      </c>
      <c r="AV258" s="55">
        <f ca="1">IF(NOTA[[#This Row],[NB NOTA_C_QTY]]="","",ROW()-2)</f>
        <v>256</v>
      </c>
    </row>
    <row r="259" spans="1:48" ht="20.100000000000001" customHeight="1" x14ac:dyDescent="0.25">
      <c r="A2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55</v>
      </c>
      <c r="E259" s="47"/>
      <c r="H259" s="48"/>
      <c r="L259" s="38" t="s">
        <v>268</v>
      </c>
      <c r="M259" s="41">
        <v>1</v>
      </c>
      <c r="N259" s="39">
        <v>24</v>
      </c>
      <c r="O259" s="38" t="s">
        <v>263</v>
      </c>
      <c r="P259" s="42">
        <v>66900</v>
      </c>
      <c r="Q259" s="43"/>
      <c r="R259" s="49"/>
      <c r="S259" s="50">
        <v>0.125</v>
      </c>
      <c r="T259" s="45">
        <v>0.05</v>
      </c>
      <c r="U259" s="51"/>
      <c r="V259" s="46"/>
      <c r="W259" s="51">
        <f>IF(NOTA[[#This Row],[HARGA/ CTN]]="",NOTA[[#This Row],[JUMLAH_H]],NOTA[[#This Row],[HARGA/ CTN]]*IF(NOTA[[#This Row],[C]]="",0,NOTA[[#This Row],[C]]))</f>
        <v>1605600</v>
      </c>
      <c r="X259" s="51">
        <f>IF(NOTA[[#This Row],[JUMLAH]]="","",NOTA[[#This Row],[JUMLAH]]*NOTA[[#This Row],[DISC 1]])</f>
        <v>200700</v>
      </c>
      <c r="Y259" s="51">
        <f>IF(NOTA[[#This Row],[JUMLAH]]="","",(NOTA[[#This Row],[JUMLAH]]-NOTA[[#This Row],[DISC 1-]])*NOTA[[#This Row],[DISC 2]])</f>
        <v>70245</v>
      </c>
      <c r="Z259" s="51">
        <f>IF(NOTA[[#This Row],[JUMLAH]]="","",NOTA[[#This Row],[DISC 1-]]+NOTA[[#This Row],[DISC 2-]])</f>
        <v>270945</v>
      </c>
      <c r="AA259" s="51">
        <f>IF(NOTA[[#This Row],[JUMLAH]]="","",NOTA[[#This Row],[JUMLAH]]-NOTA[[#This Row],[DISC]])</f>
        <v>1334655</v>
      </c>
      <c r="AB259" s="51"/>
      <c r="AC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59" s="51">
        <f>IF(OR(NOTA[[#This Row],[QTY]]="",NOTA[[#This Row],[HARGA SATUAN]]="",),"",NOTA[[#This Row],[QTY]]*NOTA[[#This Row],[HARGA SATUAN]])</f>
        <v>1605600</v>
      </c>
      <c r="AG259" s="40">
        <f ca="1">IF(NOTA[ID_H]="","",INDEX(NOTA[TANGGAL],MATCH(,INDIRECT(ADDRESS(ROW(NOTA[TANGGAL]),COLUMN(NOTA[TANGGAL]))&amp;":"&amp;ADDRESS(ROW(),COLUMN(NOTA[TANGGAL]))),-1)))</f>
        <v>45117</v>
      </c>
      <c r="AH259" s="42" t="str">
        <f ca="1">IF(NOTA[[#This Row],[NAMA BARANG]]="","",INDEX(NOTA[SUPPLIER],MATCH(,INDIRECT(ADDRESS(ROW(NOTA[ID]),COLUMN(NOTA[ID]))&amp;":"&amp;ADDRESS(ROW(),COLUMN(NOTA[ID]))),-1)))</f>
        <v>ATALI MAKMUR</v>
      </c>
      <c r="AI259" s="42" t="str">
        <f ca="1">IF(NOTA[[#This Row],[ID_H]]="","",IF(NOTA[[#This Row],[FAKTUR]]="",INDIRECT(ADDRESS(ROW()-1,COLUMN())),NOTA[[#This Row],[FAKTUR]]))</f>
        <v>ARTO MORO</v>
      </c>
      <c r="AJ259" s="39" t="str">
        <f ca="1">IF(NOTA[[#This Row],[ID]]="","",COUNTIF(NOTA[ID_H],NOTA[[#This Row],[ID_H]]))</f>
        <v/>
      </c>
      <c r="AK259" s="39">
        <f ca="1">IF(NOTA[[#This Row],[TGL.NOTA]]="",IF(NOTA[[#This Row],[SUPPLIER_H]]="","",AK258),MONTH(NOTA[[#This Row],[TGL.NOTA]]))</f>
        <v>7</v>
      </c>
      <c r="AL259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2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2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9" t="str">
        <f>IF(NOTA[[#This Row],[CONCAT4]]="","",_xlfn.IFNA(MATCH(NOTA[[#This Row],[CONCAT4]],[2]!RAW[CONCAT_H],0),FALSE))</f>
        <v/>
      </c>
      <c r="AQ259" s="39">
        <f>IF(NOTA[[#This Row],[CONCAT1]]="","",MATCH(NOTA[[#This Row],[CONCAT1]],[3]!db[NB NOTA_C],0))</f>
        <v>1781</v>
      </c>
      <c r="AR259" s="39" t="str">
        <f>IF(NOTA[[#This Row],[QTY/ CTN]]="","",TRUE)</f>
        <v/>
      </c>
      <c r="AS259" s="39" t="str">
        <f ca="1">IF(NOTA[[#This Row],[ID_H]]="","",IF(NOTA[[#This Row],[Column3]]=TRUE,NOTA[[#This Row],[QTY/ CTN]],INDEX([3]!db[QTY/ CTN],NOTA[[#This Row],[//DB]])))</f>
        <v>4 BOX (6 SET)</v>
      </c>
      <c r="AT2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259" s="39" t="e">
        <f ca="1">IF(NOTA[[#This Row],[ID_H]]="","",MATCH(NOTA[[#This Row],[NB NOTA_C_QTY]],[4]!db[NB NOTA_C_QTY+F],0))</f>
        <v>#REF!</v>
      </c>
      <c r="AV259" s="55">
        <f ca="1">IF(NOTA[[#This Row],[NB NOTA_C_QTY]]="","",ROW()-2)</f>
        <v>257</v>
      </c>
    </row>
    <row r="260" spans="1:48" ht="20.100000000000001" customHeight="1" x14ac:dyDescent="0.25">
      <c r="A2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55</v>
      </c>
      <c r="E260" s="47"/>
      <c r="H260" s="48"/>
      <c r="L260" s="38" t="s">
        <v>384</v>
      </c>
      <c r="M260" s="41">
        <v>2</v>
      </c>
      <c r="N260" s="39">
        <v>288</v>
      </c>
      <c r="O260" s="38" t="s">
        <v>263</v>
      </c>
      <c r="P260" s="42">
        <v>23900</v>
      </c>
      <c r="Q260" s="43"/>
      <c r="R260" s="49"/>
      <c r="S260" s="50">
        <v>0.125</v>
      </c>
      <c r="T260" s="45">
        <v>0.05</v>
      </c>
      <c r="U260" s="51"/>
      <c r="V260" s="46"/>
      <c r="W260" s="51">
        <f>IF(NOTA[[#This Row],[HARGA/ CTN]]="",NOTA[[#This Row],[JUMLAH_H]],NOTA[[#This Row],[HARGA/ CTN]]*IF(NOTA[[#This Row],[C]]="",0,NOTA[[#This Row],[C]]))</f>
        <v>6883200</v>
      </c>
      <c r="X260" s="51">
        <f>IF(NOTA[[#This Row],[JUMLAH]]="","",NOTA[[#This Row],[JUMLAH]]*NOTA[[#This Row],[DISC 1]])</f>
        <v>860400</v>
      </c>
      <c r="Y260" s="51">
        <f>IF(NOTA[[#This Row],[JUMLAH]]="","",(NOTA[[#This Row],[JUMLAH]]-NOTA[[#This Row],[DISC 1-]])*NOTA[[#This Row],[DISC 2]])</f>
        <v>301140</v>
      </c>
      <c r="Z260" s="51">
        <f>IF(NOTA[[#This Row],[JUMLAH]]="","",NOTA[[#This Row],[DISC 1-]]+NOTA[[#This Row],[DISC 2-]])</f>
        <v>1161540</v>
      </c>
      <c r="AA260" s="51">
        <f>IF(NOTA[[#This Row],[JUMLAH]]="","",NOTA[[#This Row],[JUMLAH]]-NOTA[[#This Row],[DISC]])</f>
        <v>5721660</v>
      </c>
      <c r="AB260" s="51"/>
      <c r="AC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60" s="51">
        <f>IF(OR(NOTA[[#This Row],[QTY]]="",NOTA[[#This Row],[HARGA SATUAN]]="",),"",NOTA[[#This Row],[QTY]]*NOTA[[#This Row],[HARGA SATUAN]])</f>
        <v>6883200</v>
      </c>
      <c r="AG260" s="40">
        <f ca="1">IF(NOTA[ID_H]="","",INDEX(NOTA[TANGGAL],MATCH(,INDIRECT(ADDRESS(ROW(NOTA[TANGGAL]),COLUMN(NOTA[TANGGAL]))&amp;":"&amp;ADDRESS(ROW(),COLUMN(NOTA[TANGGAL]))),-1)))</f>
        <v>45117</v>
      </c>
      <c r="AH260" s="42" t="str">
        <f ca="1">IF(NOTA[[#This Row],[NAMA BARANG]]="","",INDEX(NOTA[SUPPLIER],MATCH(,INDIRECT(ADDRESS(ROW(NOTA[ID]),COLUMN(NOTA[ID]))&amp;":"&amp;ADDRESS(ROW(),COLUMN(NOTA[ID]))),-1)))</f>
        <v>ATALI MAKMUR</v>
      </c>
      <c r="AI260" s="42" t="str">
        <f ca="1">IF(NOTA[[#This Row],[ID_H]]="","",IF(NOTA[[#This Row],[FAKTUR]]="",INDIRECT(ADDRESS(ROW()-1,COLUMN())),NOTA[[#This Row],[FAKTUR]]))</f>
        <v>ARTO MORO</v>
      </c>
      <c r="AJ260" s="39" t="str">
        <f ca="1">IF(NOTA[[#This Row],[ID]]="","",COUNTIF(NOTA[ID_H],NOTA[[#This Row],[ID_H]]))</f>
        <v/>
      </c>
      <c r="AK260" s="39">
        <f ca="1">IF(NOTA[[#This Row],[TGL.NOTA]]="",IF(NOTA[[#This Row],[SUPPLIER_H]]="","",AK259),MONTH(NOTA[[#This Row],[TGL.NOTA]]))</f>
        <v>7</v>
      </c>
      <c r="AL260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2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2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9" t="str">
        <f>IF(NOTA[[#This Row],[CONCAT4]]="","",_xlfn.IFNA(MATCH(NOTA[[#This Row],[CONCAT4]],[2]!RAW[CONCAT_H],0),FALSE))</f>
        <v/>
      </c>
      <c r="AQ260" s="39">
        <f>IF(NOTA[[#This Row],[CONCAT1]]="","",MATCH(NOTA[[#This Row],[CONCAT1]],[3]!db[NB NOTA_C],0))</f>
        <v>920</v>
      </c>
      <c r="AR260" s="39" t="str">
        <f>IF(NOTA[[#This Row],[QTY/ CTN]]="","",TRUE)</f>
        <v/>
      </c>
      <c r="AS260" s="39" t="str">
        <f ca="1">IF(NOTA[[#This Row],[ID_H]]="","",IF(NOTA[[#This Row],[Column3]]=TRUE,NOTA[[#This Row],[QTY/ CTN]],INDEX([3]!db[QTY/ CTN],NOTA[[#This Row],[//DB]])))</f>
        <v>12 LSN</v>
      </c>
      <c r="AT2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260" s="39" t="e">
        <f ca="1">IF(NOTA[[#This Row],[ID_H]]="","",MATCH(NOTA[[#This Row],[NB NOTA_C_QTY]],[4]!db[NB NOTA_C_QTY+F],0))</f>
        <v>#REF!</v>
      </c>
      <c r="AV260" s="55">
        <f ca="1">IF(NOTA[[#This Row],[NB NOTA_C_QTY]]="","",ROW()-2)</f>
        <v>258</v>
      </c>
    </row>
    <row r="261" spans="1:48" ht="20.100000000000001" customHeight="1" x14ac:dyDescent="0.25">
      <c r="A2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55</v>
      </c>
      <c r="E261" s="47"/>
      <c r="H261" s="48"/>
      <c r="L261" s="38" t="s">
        <v>385</v>
      </c>
      <c r="M261" s="41">
        <v>2</v>
      </c>
      <c r="N261" s="39">
        <v>288</v>
      </c>
      <c r="O261" s="38" t="s">
        <v>263</v>
      </c>
      <c r="P261" s="42">
        <v>18600</v>
      </c>
      <c r="Q261" s="43"/>
      <c r="R261" s="49"/>
      <c r="S261" s="50">
        <v>0.125</v>
      </c>
      <c r="T261" s="45">
        <v>0.05</v>
      </c>
      <c r="U261" s="51"/>
      <c r="V261" s="46"/>
      <c r="W261" s="51">
        <f>IF(NOTA[[#This Row],[HARGA/ CTN]]="",NOTA[[#This Row],[JUMLAH_H]],NOTA[[#This Row],[HARGA/ CTN]]*IF(NOTA[[#This Row],[C]]="",0,NOTA[[#This Row],[C]]))</f>
        <v>5356800</v>
      </c>
      <c r="X261" s="51">
        <f>IF(NOTA[[#This Row],[JUMLAH]]="","",NOTA[[#This Row],[JUMLAH]]*NOTA[[#This Row],[DISC 1]])</f>
        <v>669600</v>
      </c>
      <c r="Y261" s="51">
        <f>IF(NOTA[[#This Row],[JUMLAH]]="","",(NOTA[[#This Row],[JUMLAH]]-NOTA[[#This Row],[DISC 1-]])*NOTA[[#This Row],[DISC 2]])</f>
        <v>234360</v>
      </c>
      <c r="Z261" s="51">
        <f>IF(NOTA[[#This Row],[JUMLAH]]="","",NOTA[[#This Row],[DISC 1-]]+NOTA[[#This Row],[DISC 2-]])</f>
        <v>903960</v>
      </c>
      <c r="AA261" s="51">
        <f>IF(NOTA[[#This Row],[JUMLAH]]="","",NOTA[[#This Row],[JUMLAH]]-NOTA[[#This Row],[DISC]])</f>
        <v>4452840</v>
      </c>
      <c r="AB261" s="51"/>
      <c r="AC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1" s="51">
        <f>IF(OR(NOTA[[#This Row],[QTY]]="",NOTA[[#This Row],[HARGA SATUAN]]="",),"",NOTA[[#This Row],[QTY]]*NOTA[[#This Row],[HARGA SATUAN]])</f>
        <v>5356800</v>
      </c>
      <c r="AG261" s="40">
        <f ca="1">IF(NOTA[ID_H]="","",INDEX(NOTA[TANGGAL],MATCH(,INDIRECT(ADDRESS(ROW(NOTA[TANGGAL]),COLUMN(NOTA[TANGGAL]))&amp;":"&amp;ADDRESS(ROW(),COLUMN(NOTA[TANGGAL]))),-1)))</f>
        <v>45117</v>
      </c>
      <c r="AH261" s="42" t="str">
        <f ca="1">IF(NOTA[[#This Row],[NAMA BARANG]]="","",INDEX(NOTA[SUPPLIER],MATCH(,INDIRECT(ADDRESS(ROW(NOTA[ID]),COLUMN(NOTA[ID]))&amp;":"&amp;ADDRESS(ROW(),COLUMN(NOTA[ID]))),-1)))</f>
        <v>ATALI MAKMUR</v>
      </c>
      <c r="AI261" s="42" t="str">
        <f ca="1">IF(NOTA[[#This Row],[ID_H]]="","",IF(NOTA[[#This Row],[FAKTUR]]="",INDIRECT(ADDRESS(ROW()-1,COLUMN())),NOTA[[#This Row],[FAKTUR]]))</f>
        <v>ARTO MORO</v>
      </c>
      <c r="AJ261" s="39" t="str">
        <f ca="1">IF(NOTA[[#This Row],[ID]]="","",COUNTIF(NOTA[ID_H],NOTA[[#This Row],[ID_H]]))</f>
        <v/>
      </c>
      <c r="AK261" s="39">
        <f ca="1">IF(NOTA[[#This Row],[TGL.NOTA]]="",IF(NOTA[[#This Row],[SUPPLIER_H]]="","",AK260),MONTH(NOTA[[#This Row],[TGL.NOTA]]))</f>
        <v>7</v>
      </c>
      <c r="AL261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2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2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9" t="str">
        <f>IF(NOTA[[#This Row],[CONCAT4]]="","",_xlfn.IFNA(MATCH(NOTA[[#This Row],[CONCAT4]],[2]!RAW[CONCAT_H],0),FALSE))</f>
        <v/>
      </c>
      <c r="AQ261" s="39">
        <f>IF(NOTA[[#This Row],[CONCAT1]]="","",MATCH(NOTA[[#This Row],[CONCAT1]],[3]!db[NB NOTA_C],0))</f>
        <v>921</v>
      </c>
      <c r="AR261" s="39" t="str">
        <f>IF(NOTA[[#This Row],[QTY/ CTN]]="","",TRUE)</f>
        <v/>
      </c>
      <c r="AS261" s="39" t="str">
        <f ca="1">IF(NOTA[[#This Row],[ID_H]]="","",IF(NOTA[[#This Row],[Column3]]=TRUE,NOTA[[#This Row],[QTY/ CTN]],INDEX([3]!db[QTY/ CTN],NOTA[[#This Row],[//DB]])))</f>
        <v>12 LSN</v>
      </c>
      <c r="AT2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261" s="39" t="e">
        <f ca="1">IF(NOTA[[#This Row],[ID_H]]="","",MATCH(NOTA[[#This Row],[NB NOTA_C_QTY]],[4]!db[NB NOTA_C_QTY+F],0))</f>
        <v>#REF!</v>
      </c>
      <c r="AV261" s="55">
        <f ca="1">IF(NOTA[[#This Row],[NB NOTA_C_QTY]]="","",ROW()-2)</f>
        <v>259</v>
      </c>
    </row>
    <row r="262" spans="1:48" ht="20.100000000000001" customHeight="1" x14ac:dyDescent="0.25">
      <c r="A2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55</v>
      </c>
      <c r="E262" s="47"/>
      <c r="H262" s="48"/>
      <c r="L262" s="38" t="s">
        <v>318</v>
      </c>
      <c r="M262" s="41">
        <v>2</v>
      </c>
      <c r="N262" s="39">
        <v>100</v>
      </c>
      <c r="O262" s="38" t="s">
        <v>319</v>
      </c>
      <c r="P262" s="42">
        <v>28300</v>
      </c>
      <c r="Q262" s="43"/>
      <c r="R262" s="49"/>
      <c r="S262" s="50">
        <v>0.125</v>
      </c>
      <c r="T262" s="45">
        <v>0.05</v>
      </c>
      <c r="U262" s="51"/>
      <c r="V262" s="46"/>
      <c r="W262" s="51">
        <f>IF(NOTA[[#This Row],[HARGA/ CTN]]="",NOTA[[#This Row],[JUMLAH_H]],NOTA[[#This Row],[HARGA/ CTN]]*IF(NOTA[[#This Row],[C]]="",0,NOTA[[#This Row],[C]]))</f>
        <v>2830000</v>
      </c>
      <c r="X262" s="51">
        <f>IF(NOTA[[#This Row],[JUMLAH]]="","",NOTA[[#This Row],[JUMLAH]]*NOTA[[#This Row],[DISC 1]])</f>
        <v>353750</v>
      </c>
      <c r="Y262" s="51">
        <f>IF(NOTA[[#This Row],[JUMLAH]]="","",(NOTA[[#This Row],[JUMLAH]]-NOTA[[#This Row],[DISC 1-]])*NOTA[[#This Row],[DISC 2]])</f>
        <v>123812.5</v>
      </c>
      <c r="Z262" s="51">
        <f>IF(NOTA[[#This Row],[JUMLAH]]="","",NOTA[[#This Row],[DISC 1-]]+NOTA[[#This Row],[DISC 2-]])</f>
        <v>477562.5</v>
      </c>
      <c r="AA262" s="51">
        <f>IF(NOTA[[#This Row],[JUMLAH]]="","",NOTA[[#This Row],[JUMLAH]]-NOTA[[#This Row],[DISC]])</f>
        <v>2352437.5</v>
      </c>
      <c r="AB262" s="51"/>
      <c r="AC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2" s="51">
        <f>IF(OR(NOTA[[#This Row],[QTY]]="",NOTA[[#This Row],[HARGA SATUAN]]="",),"",NOTA[[#This Row],[QTY]]*NOTA[[#This Row],[HARGA SATUAN]])</f>
        <v>2830000</v>
      </c>
      <c r="AG262" s="40">
        <f ca="1">IF(NOTA[ID_H]="","",INDEX(NOTA[TANGGAL],MATCH(,INDIRECT(ADDRESS(ROW(NOTA[TANGGAL]),COLUMN(NOTA[TANGGAL]))&amp;":"&amp;ADDRESS(ROW(),COLUMN(NOTA[TANGGAL]))),-1)))</f>
        <v>45117</v>
      </c>
      <c r="AH262" s="42" t="str">
        <f ca="1">IF(NOTA[[#This Row],[NAMA BARANG]]="","",INDEX(NOTA[SUPPLIER],MATCH(,INDIRECT(ADDRESS(ROW(NOTA[ID]),COLUMN(NOTA[ID]))&amp;":"&amp;ADDRESS(ROW(),COLUMN(NOTA[ID]))),-1)))</f>
        <v>ATALI MAKMUR</v>
      </c>
      <c r="AI262" s="42" t="str">
        <f ca="1">IF(NOTA[[#This Row],[ID_H]]="","",IF(NOTA[[#This Row],[FAKTUR]]="",INDIRECT(ADDRESS(ROW()-1,COLUMN())),NOTA[[#This Row],[FAKTUR]]))</f>
        <v>ARTO MORO</v>
      </c>
      <c r="AJ262" s="39" t="str">
        <f ca="1">IF(NOTA[[#This Row],[ID]]="","",COUNTIF(NOTA[ID_H],NOTA[[#This Row],[ID_H]]))</f>
        <v/>
      </c>
      <c r="AK262" s="39">
        <f ca="1">IF(NOTA[[#This Row],[TGL.NOTA]]="",IF(NOTA[[#This Row],[SUPPLIER_H]]="","",AK261),MONTH(NOTA[[#This Row],[TGL.NOTA]]))</f>
        <v>7</v>
      </c>
      <c r="AL26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9" t="str">
        <f>IF(NOTA[[#This Row],[CONCAT4]]="","",_xlfn.IFNA(MATCH(NOTA[[#This Row],[CONCAT4]],[2]!RAW[CONCAT_H],0),FALSE))</f>
        <v/>
      </c>
      <c r="AQ262" s="39">
        <f>IF(NOTA[[#This Row],[CONCAT1]]="","",MATCH(NOTA[[#This Row],[CONCAT1]],[3]!db[NB NOTA_C],0))</f>
        <v>2499</v>
      </c>
      <c r="AR262" s="39" t="str">
        <f>IF(NOTA[[#This Row],[QTY/ CTN]]="","",TRUE)</f>
        <v/>
      </c>
      <c r="AS262" s="39" t="str">
        <f ca="1">IF(NOTA[[#This Row],[ID_H]]="","",IF(NOTA[[#This Row],[Column3]]=TRUE,NOTA[[#This Row],[QTY/ CTN]],INDEX([3]!db[QTY/ CTN],NOTA[[#This Row],[//DB]])))</f>
        <v>50 BOX (40 PCS)</v>
      </c>
      <c r="AT2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62" s="39" t="e">
        <f ca="1">IF(NOTA[[#This Row],[ID_H]]="","",MATCH(NOTA[[#This Row],[NB NOTA_C_QTY]],[4]!db[NB NOTA_C_QTY+F],0))</f>
        <v>#REF!</v>
      </c>
      <c r="AV262" s="55">
        <f ca="1">IF(NOTA[[#This Row],[NB NOTA_C_QTY]]="","",ROW()-2)</f>
        <v>260</v>
      </c>
    </row>
    <row r="263" spans="1:48" ht="20.100000000000001" customHeight="1" x14ac:dyDescent="0.25">
      <c r="A2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>
        <f ca="1">IF(NOTA[[#This Row],[NAMA BARANG]]="","",INDEX(NOTA[ID],MATCH(,INDIRECT(ADDRESS(ROW(NOTA[ID]),COLUMN(NOTA[ID]))&amp;":"&amp;ADDRESS(ROW(),COLUMN(NOTA[ID]))),-1)))</f>
        <v>55</v>
      </c>
      <c r="E263" s="47"/>
      <c r="H263" s="48"/>
      <c r="L263" s="38" t="s">
        <v>386</v>
      </c>
      <c r="M263" s="41">
        <v>2</v>
      </c>
      <c r="N263" s="39">
        <v>100</v>
      </c>
      <c r="O263" s="38" t="s">
        <v>319</v>
      </c>
      <c r="P263" s="42">
        <v>34100</v>
      </c>
      <c r="Q263" s="43"/>
      <c r="R263" s="49"/>
      <c r="S263" s="50">
        <v>0.125</v>
      </c>
      <c r="T263" s="45">
        <v>0.05</v>
      </c>
      <c r="U263" s="51"/>
      <c r="V263" s="46"/>
      <c r="W263" s="51">
        <f>IF(NOTA[[#This Row],[HARGA/ CTN]]="",NOTA[[#This Row],[JUMLAH_H]],NOTA[[#This Row],[HARGA/ CTN]]*IF(NOTA[[#This Row],[C]]="",0,NOTA[[#This Row],[C]]))</f>
        <v>3410000</v>
      </c>
      <c r="X263" s="51">
        <f>IF(NOTA[[#This Row],[JUMLAH]]="","",NOTA[[#This Row],[JUMLAH]]*NOTA[[#This Row],[DISC 1]])</f>
        <v>426250</v>
      </c>
      <c r="Y263" s="51">
        <f>IF(NOTA[[#This Row],[JUMLAH]]="","",(NOTA[[#This Row],[JUMLAH]]-NOTA[[#This Row],[DISC 1-]])*NOTA[[#This Row],[DISC 2]])</f>
        <v>149187.5</v>
      </c>
      <c r="Z263" s="51">
        <f>IF(NOTA[[#This Row],[JUMLAH]]="","",NOTA[[#This Row],[DISC 1-]]+NOTA[[#This Row],[DISC 2-]])</f>
        <v>575437.5</v>
      </c>
      <c r="AA263" s="51">
        <f>IF(NOTA[[#This Row],[JUMLAH]]="","",NOTA[[#This Row],[JUMLAH]]-NOTA[[#This Row],[DISC]])</f>
        <v>2834562.5</v>
      </c>
      <c r="AB263" s="51"/>
      <c r="AC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3" s="51">
        <f>IF(OR(NOTA[[#This Row],[QTY]]="",NOTA[[#This Row],[HARGA SATUAN]]="",),"",NOTA[[#This Row],[QTY]]*NOTA[[#This Row],[HARGA SATUAN]])</f>
        <v>3410000</v>
      </c>
      <c r="AG263" s="40">
        <f ca="1">IF(NOTA[ID_H]="","",INDEX(NOTA[TANGGAL],MATCH(,INDIRECT(ADDRESS(ROW(NOTA[TANGGAL]),COLUMN(NOTA[TANGGAL]))&amp;":"&amp;ADDRESS(ROW(),COLUMN(NOTA[TANGGAL]))),-1)))</f>
        <v>45117</v>
      </c>
      <c r="AH263" s="42" t="str">
        <f ca="1">IF(NOTA[[#This Row],[NAMA BARANG]]="","",INDEX(NOTA[SUPPLIER],MATCH(,INDIRECT(ADDRESS(ROW(NOTA[ID]),COLUMN(NOTA[ID]))&amp;":"&amp;ADDRESS(ROW(),COLUMN(NOTA[ID]))),-1)))</f>
        <v>ATALI MAKMUR</v>
      </c>
      <c r="AI263" s="42" t="str">
        <f ca="1">IF(NOTA[[#This Row],[ID_H]]="","",IF(NOTA[[#This Row],[FAKTUR]]="",INDIRECT(ADDRESS(ROW()-1,COLUMN())),NOTA[[#This Row],[FAKTUR]]))</f>
        <v>ARTO MORO</v>
      </c>
      <c r="AJ263" s="39" t="str">
        <f ca="1">IF(NOTA[[#This Row],[ID]]="","",COUNTIF(NOTA[ID_H],NOTA[[#This Row],[ID_H]]))</f>
        <v/>
      </c>
      <c r="AK263" s="39">
        <f ca="1">IF(NOTA[[#This Row],[TGL.NOTA]]="",IF(NOTA[[#This Row],[SUPPLIER_H]]="","",AK262),MONTH(NOTA[[#This Row],[TGL.NOTA]]))</f>
        <v>7</v>
      </c>
      <c r="AL2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9" t="str">
        <f>IF(NOTA[[#This Row],[CONCAT4]]="","",_xlfn.IFNA(MATCH(NOTA[[#This Row],[CONCAT4]],[2]!RAW[CONCAT_H],0),FALSE))</f>
        <v/>
      </c>
      <c r="AQ263" s="39">
        <f>IF(NOTA[[#This Row],[CONCAT1]]="","",MATCH(NOTA[[#This Row],[CONCAT1]],[3]!db[NB NOTA_C],0))</f>
        <v>2495</v>
      </c>
      <c r="AR263" s="39" t="str">
        <f>IF(NOTA[[#This Row],[QTY/ CTN]]="","",TRUE)</f>
        <v/>
      </c>
      <c r="AS263" s="39" t="str">
        <f ca="1">IF(NOTA[[#This Row],[ID_H]]="","",IF(NOTA[[#This Row],[Column3]]=TRUE,NOTA[[#This Row],[QTY/ CTN]],INDEX([3]!db[QTY/ CTN],NOTA[[#This Row],[//DB]])))</f>
        <v>50 BOX (20 PCS)</v>
      </c>
      <c r="AT2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63" s="39" t="e">
        <f ca="1">IF(NOTA[[#This Row],[ID_H]]="","",MATCH(NOTA[[#This Row],[NB NOTA_C_QTY]],[4]!db[NB NOTA_C_QTY+F],0))</f>
        <v>#REF!</v>
      </c>
      <c r="AV263" s="55">
        <f ca="1">IF(NOTA[[#This Row],[NB NOTA_C_QTY]]="","",ROW()-2)</f>
        <v>261</v>
      </c>
    </row>
    <row r="264" spans="1:48" ht="20.100000000000001" customHeight="1" x14ac:dyDescent="0.25">
      <c r="A2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55</v>
      </c>
      <c r="E264" s="47"/>
      <c r="H264" s="48"/>
      <c r="L264" s="38" t="s">
        <v>387</v>
      </c>
      <c r="M264" s="41">
        <v>2</v>
      </c>
      <c r="N264" s="39">
        <v>576</v>
      </c>
      <c r="O264" s="38" t="s">
        <v>117</v>
      </c>
      <c r="P264" s="42">
        <v>2150</v>
      </c>
      <c r="Q264" s="43"/>
      <c r="R264" s="49"/>
      <c r="S264" s="50">
        <v>0.125</v>
      </c>
      <c r="T264" s="45">
        <v>0.05</v>
      </c>
      <c r="U264" s="51"/>
      <c r="V264" s="46"/>
      <c r="W264" s="51">
        <f>IF(NOTA[[#This Row],[HARGA/ CTN]]="",NOTA[[#This Row],[JUMLAH_H]],NOTA[[#This Row],[HARGA/ CTN]]*IF(NOTA[[#This Row],[C]]="",0,NOTA[[#This Row],[C]]))</f>
        <v>1238400</v>
      </c>
      <c r="X264" s="51">
        <f>IF(NOTA[[#This Row],[JUMLAH]]="","",NOTA[[#This Row],[JUMLAH]]*NOTA[[#This Row],[DISC 1]])</f>
        <v>154800</v>
      </c>
      <c r="Y264" s="51">
        <f>IF(NOTA[[#This Row],[JUMLAH]]="","",(NOTA[[#This Row],[JUMLAH]]-NOTA[[#This Row],[DISC 1-]])*NOTA[[#This Row],[DISC 2]])</f>
        <v>54180</v>
      </c>
      <c r="Z264" s="51">
        <f>IF(NOTA[[#This Row],[JUMLAH]]="","",NOTA[[#This Row],[DISC 1-]]+NOTA[[#This Row],[DISC 2-]])</f>
        <v>208980</v>
      </c>
      <c r="AA264" s="51">
        <f>IF(NOTA[[#This Row],[JUMLAH]]="","",NOTA[[#This Row],[JUMLAH]]-NOTA[[#This Row],[DISC]])</f>
        <v>1029420</v>
      </c>
      <c r="AB264" s="51"/>
      <c r="AC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64" s="51">
        <f>IF(OR(NOTA[[#This Row],[QTY]]="",NOTA[[#This Row],[HARGA SATUAN]]="",),"",NOTA[[#This Row],[QTY]]*NOTA[[#This Row],[HARGA SATUAN]])</f>
        <v>1238400</v>
      </c>
      <c r="AG264" s="40">
        <f ca="1">IF(NOTA[ID_H]="","",INDEX(NOTA[TANGGAL],MATCH(,INDIRECT(ADDRESS(ROW(NOTA[TANGGAL]),COLUMN(NOTA[TANGGAL]))&amp;":"&amp;ADDRESS(ROW(),COLUMN(NOTA[TANGGAL]))),-1)))</f>
        <v>45117</v>
      </c>
      <c r="AH264" s="42" t="str">
        <f ca="1">IF(NOTA[[#This Row],[NAMA BARANG]]="","",INDEX(NOTA[SUPPLIER],MATCH(,INDIRECT(ADDRESS(ROW(NOTA[ID]),COLUMN(NOTA[ID]))&amp;":"&amp;ADDRESS(ROW(),COLUMN(NOTA[ID]))),-1)))</f>
        <v>ATALI MAKMUR</v>
      </c>
      <c r="AI264" s="42" t="str">
        <f ca="1">IF(NOTA[[#This Row],[ID_H]]="","",IF(NOTA[[#This Row],[FAKTUR]]="",INDIRECT(ADDRESS(ROW()-1,COLUMN())),NOTA[[#This Row],[FAKTUR]]))</f>
        <v>ARTO MORO</v>
      </c>
      <c r="AJ264" s="39" t="str">
        <f ca="1">IF(NOTA[[#This Row],[ID]]="","",COUNTIF(NOTA[ID_H],NOTA[[#This Row],[ID_H]]))</f>
        <v/>
      </c>
      <c r="AK264" s="39">
        <f ca="1">IF(NOTA[[#This Row],[TGL.NOTA]]="",IF(NOTA[[#This Row],[SUPPLIER_H]]="","",AK263),MONTH(NOTA[[#This Row],[TGL.NOTA]]))</f>
        <v>7</v>
      </c>
      <c r="AL264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9" t="str">
        <f>IF(NOTA[[#This Row],[CONCAT4]]="","",_xlfn.IFNA(MATCH(NOTA[[#This Row],[CONCAT4]],[2]!RAW[CONCAT_H],0),FALSE))</f>
        <v/>
      </c>
      <c r="AQ264" s="39">
        <f>IF(NOTA[[#This Row],[CONCAT1]]="","",MATCH(NOTA[[#This Row],[CONCAT1]],[3]!db[NB NOTA_C],0))</f>
        <v>1489</v>
      </c>
      <c r="AR264" s="39" t="str">
        <f>IF(NOTA[[#This Row],[QTY/ CTN]]="","",TRUE)</f>
        <v/>
      </c>
      <c r="AS264" s="39" t="str">
        <f ca="1">IF(NOTA[[#This Row],[ID_H]]="","",IF(NOTA[[#This Row],[Column3]]=TRUE,NOTA[[#This Row],[QTY/ CTN]],INDEX([3]!db[QTY/ CTN],NOTA[[#This Row],[//DB]])))</f>
        <v>24 LSN</v>
      </c>
      <c r="AT2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64" s="39" t="e">
        <f ca="1">IF(NOTA[[#This Row],[ID_H]]="","",MATCH(NOTA[[#This Row],[NB NOTA_C_QTY]],[4]!db[NB NOTA_C_QTY+F],0))</f>
        <v>#REF!</v>
      </c>
      <c r="AV264" s="55">
        <f ca="1">IF(NOTA[[#This Row],[NB NOTA_C_QTY]]="","",ROW()-2)</f>
        <v>262</v>
      </c>
    </row>
    <row r="265" spans="1:48" ht="20.100000000000001" customHeight="1" x14ac:dyDescent="0.25">
      <c r="A2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55</v>
      </c>
      <c r="E265" s="47"/>
      <c r="H265" s="48"/>
      <c r="L265" s="38" t="s">
        <v>110</v>
      </c>
      <c r="M265" s="41">
        <v>1</v>
      </c>
      <c r="N265" s="39">
        <v>1000</v>
      </c>
      <c r="O265" s="38" t="s">
        <v>308</v>
      </c>
      <c r="P265" s="42">
        <v>2050</v>
      </c>
      <c r="Q265" s="43"/>
      <c r="R265" s="49"/>
      <c r="S265" s="50">
        <v>0.125</v>
      </c>
      <c r="T265" s="45">
        <v>0.05</v>
      </c>
      <c r="U265" s="51"/>
      <c r="V265" s="46"/>
      <c r="W265" s="51">
        <f>IF(NOTA[[#This Row],[HARGA/ CTN]]="",NOTA[[#This Row],[JUMLAH_H]],NOTA[[#This Row],[HARGA/ CTN]]*IF(NOTA[[#This Row],[C]]="",0,NOTA[[#This Row],[C]]))</f>
        <v>2050000</v>
      </c>
      <c r="X265" s="51">
        <f>IF(NOTA[[#This Row],[JUMLAH]]="","",NOTA[[#This Row],[JUMLAH]]*NOTA[[#This Row],[DISC 1]])</f>
        <v>256250</v>
      </c>
      <c r="Y265" s="51">
        <f>IF(NOTA[[#This Row],[JUMLAH]]="","",(NOTA[[#This Row],[JUMLAH]]-NOTA[[#This Row],[DISC 1-]])*NOTA[[#This Row],[DISC 2]])</f>
        <v>89687.5</v>
      </c>
      <c r="Z265" s="51">
        <f>IF(NOTA[[#This Row],[JUMLAH]]="","",NOTA[[#This Row],[DISC 1-]]+NOTA[[#This Row],[DISC 2-]])</f>
        <v>345937.5</v>
      </c>
      <c r="AA265" s="51">
        <f>IF(NOTA[[#This Row],[JUMLAH]]="","",NOTA[[#This Row],[JUMLAH]]-NOTA[[#This Row],[DISC]])</f>
        <v>1704062.5</v>
      </c>
      <c r="AB265" s="51"/>
      <c r="AC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65" s="51">
        <f>IF(OR(NOTA[[#This Row],[QTY]]="",NOTA[[#This Row],[HARGA SATUAN]]="",),"",NOTA[[#This Row],[QTY]]*NOTA[[#This Row],[HARGA SATUAN]])</f>
        <v>2050000</v>
      </c>
      <c r="AG265" s="40">
        <f ca="1">IF(NOTA[ID_H]="","",INDEX(NOTA[TANGGAL],MATCH(,INDIRECT(ADDRESS(ROW(NOTA[TANGGAL]),COLUMN(NOTA[TANGGAL]))&amp;":"&amp;ADDRESS(ROW(),COLUMN(NOTA[TANGGAL]))),-1)))</f>
        <v>45117</v>
      </c>
      <c r="AH265" s="42" t="str">
        <f ca="1">IF(NOTA[[#This Row],[NAMA BARANG]]="","",INDEX(NOTA[SUPPLIER],MATCH(,INDIRECT(ADDRESS(ROW(NOTA[ID]),COLUMN(NOTA[ID]))&amp;":"&amp;ADDRESS(ROW(),COLUMN(NOTA[ID]))),-1)))</f>
        <v>ATALI MAKMUR</v>
      </c>
      <c r="AI265" s="42" t="str">
        <f ca="1">IF(NOTA[[#This Row],[ID_H]]="","",IF(NOTA[[#This Row],[FAKTUR]]="",INDIRECT(ADDRESS(ROW()-1,COLUMN())),NOTA[[#This Row],[FAKTUR]]))</f>
        <v>ARTO MORO</v>
      </c>
      <c r="AJ265" s="39" t="str">
        <f ca="1">IF(NOTA[[#This Row],[ID]]="","",COUNTIF(NOTA[ID_H],NOTA[[#This Row],[ID_H]]))</f>
        <v/>
      </c>
      <c r="AK265" s="39">
        <f ca="1">IF(NOTA[[#This Row],[TGL.NOTA]]="",IF(NOTA[[#This Row],[SUPPLIER_H]]="","",AK264),MONTH(NOTA[[#This Row],[TGL.NOTA]]))</f>
        <v>7</v>
      </c>
      <c r="AL26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2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2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9" t="str">
        <f>IF(NOTA[[#This Row],[CONCAT4]]="","",_xlfn.IFNA(MATCH(NOTA[[#This Row],[CONCAT4]],[2]!RAW[CONCAT_H],0),FALSE))</f>
        <v/>
      </c>
      <c r="AQ265" s="39">
        <f>IF(NOTA[[#This Row],[CONCAT1]]="","",MATCH(NOTA[[#This Row],[CONCAT1]],[3]!db[NB NOTA_C],0))</f>
        <v>1468</v>
      </c>
      <c r="AR265" s="39" t="str">
        <f>IF(NOTA[[#This Row],[QTY/ CTN]]="","",TRUE)</f>
        <v/>
      </c>
      <c r="AS265" s="39" t="str">
        <f ca="1">IF(NOTA[[#This Row],[ID_H]]="","",IF(NOTA[[#This Row],[Column3]]=TRUE,NOTA[[#This Row],[QTY/ CTN]],INDEX([3]!db[QTY/ CTN],NOTA[[#This Row],[//DB]])))</f>
        <v>100 PAK (10 ROL)</v>
      </c>
      <c r="AT2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265" s="39" t="e">
        <f ca="1">IF(NOTA[[#This Row],[ID_H]]="","",MATCH(NOTA[[#This Row],[NB NOTA_C_QTY]],[4]!db[NB NOTA_C_QTY+F],0))</f>
        <v>#REF!</v>
      </c>
      <c r="AV265" s="55">
        <f ca="1">IF(NOTA[[#This Row],[NB NOTA_C_QTY]]="","",ROW()-2)</f>
        <v>263</v>
      </c>
    </row>
    <row r="266" spans="1:48" ht="20.100000000000001" customHeight="1" x14ac:dyDescent="0.25">
      <c r="A2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55</v>
      </c>
      <c r="E266" s="47"/>
      <c r="H266" s="48"/>
      <c r="L266" s="38" t="s">
        <v>388</v>
      </c>
      <c r="M266" s="41">
        <v>1</v>
      </c>
      <c r="N266" s="39">
        <v>288</v>
      </c>
      <c r="O266" s="38" t="s">
        <v>263</v>
      </c>
      <c r="P266" s="42">
        <v>12000</v>
      </c>
      <c r="Q266" s="43"/>
      <c r="R266" s="49"/>
      <c r="S266" s="50">
        <v>0.125</v>
      </c>
      <c r="T266" s="45">
        <v>0.05</v>
      </c>
      <c r="U266" s="51"/>
      <c r="V266" s="46"/>
      <c r="W266" s="51">
        <f>IF(NOTA[[#This Row],[HARGA/ CTN]]="",NOTA[[#This Row],[JUMLAH_H]],NOTA[[#This Row],[HARGA/ CTN]]*IF(NOTA[[#This Row],[C]]="",0,NOTA[[#This Row],[C]]))</f>
        <v>3456000</v>
      </c>
      <c r="X266" s="51">
        <f>IF(NOTA[[#This Row],[JUMLAH]]="","",NOTA[[#This Row],[JUMLAH]]*NOTA[[#This Row],[DISC 1]])</f>
        <v>432000</v>
      </c>
      <c r="Y266" s="51">
        <f>IF(NOTA[[#This Row],[JUMLAH]]="","",(NOTA[[#This Row],[JUMLAH]]-NOTA[[#This Row],[DISC 1-]])*NOTA[[#This Row],[DISC 2]])</f>
        <v>151200</v>
      </c>
      <c r="Z266" s="51">
        <f>IF(NOTA[[#This Row],[JUMLAH]]="","",NOTA[[#This Row],[DISC 1-]]+NOTA[[#This Row],[DISC 2-]])</f>
        <v>583200</v>
      </c>
      <c r="AA266" s="51">
        <f>IF(NOTA[[#This Row],[JUMLAH]]="","",NOTA[[#This Row],[JUMLAH]]-NOTA[[#This Row],[DISC]])</f>
        <v>2872800</v>
      </c>
      <c r="AB266" s="51"/>
      <c r="AC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8282115</v>
      </c>
      <c r="AD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40797085</v>
      </c>
      <c r="AE26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6" s="51">
        <f>IF(OR(NOTA[[#This Row],[QTY]]="",NOTA[[#This Row],[HARGA SATUAN]]="",),"",NOTA[[#This Row],[QTY]]*NOTA[[#This Row],[HARGA SATUAN]])</f>
        <v>3456000</v>
      </c>
      <c r="AG266" s="40">
        <f ca="1">IF(NOTA[ID_H]="","",INDEX(NOTA[TANGGAL],MATCH(,INDIRECT(ADDRESS(ROW(NOTA[TANGGAL]),COLUMN(NOTA[TANGGAL]))&amp;":"&amp;ADDRESS(ROW(),COLUMN(NOTA[TANGGAL]))),-1)))</f>
        <v>45117</v>
      </c>
      <c r="AH266" s="42" t="str">
        <f ca="1">IF(NOTA[[#This Row],[NAMA BARANG]]="","",INDEX(NOTA[SUPPLIER],MATCH(,INDIRECT(ADDRESS(ROW(NOTA[ID]),COLUMN(NOTA[ID]))&amp;":"&amp;ADDRESS(ROW(),COLUMN(NOTA[ID]))),-1)))</f>
        <v>ATALI MAKMUR</v>
      </c>
      <c r="AI266" s="42" t="str">
        <f ca="1">IF(NOTA[[#This Row],[ID_H]]="","",IF(NOTA[[#This Row],[FAKTUR]]="",INDIRECT(ADDRESS(ROW()-1,COLUMN())),NOTA[[#This Row],[FAKTUR]]))</f>
        <v>ARTO MORO</v>
      </c>
      <c r="AJ266" s="39" t="str">
        <f ca="1">IF(NOTA[[#This Row],[ID]]="","",COUNTIF(NOTA[ID_H],NOTA[[#This Row],[ID_H]]))</f>
        <v/>
      </c>
      <c r="AK266" s="39">
        <f ca="1">IF(NOTA[[#This Row],[TGL.NOTA]]="",IF(NOTA[[#This Row],[SUPPLIER_H]]="","",AK265),MONTH(NOTA[[#This Row],[TGL.NOTA]]))</f>
        <v>7</v>
      </c>
      <c r="AL266" s="39" t="str">
        <f>LOWER(SUBSTITUTE(SUBSTITUTE(SUBSTITUTE(SUBSTITUTE(SUBSTITUTE(SUBSTITUTE(SUBSTITUTE(SUBSTITUTE(SUBSTITUTE(NOTA[NAMA BARANG]," ",),".",""),"-",""),"(",""),")",""),",",""),"/",""),"""",""),"+",""))</f>
        <v>mathsetms402jk</v>
      </c>
      <c r="AM2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2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2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9" t="str">
        <f>IF(NOTA[[#This Row],[CONCAT4]]="","",_xlfn.IFNA(MATCH(NOTA[[#This Row],[CONCAT4]],[2]!RAW[CONCAT_H],0),FALSE))</f>
        <v/>
      </c>
      <c r="AQ266" s="39">
        <f>IF(NOTA[[#This Row],[CONCAT1]]="","",MATCH(NOTA[[#This Row],[CONCAT1]],[3]!db[NB NOTA_C],0))</f>
        <v>1355</v>
      </c>
      <c r="AR266" s="39" t="str">
        <f>IF(NOTA[[#This Row],[QTY/ CTN]]="","",TRUE)</f>
        <v/>
      </c>
      <c r="AS266" s="39" t="str">
        <f ca="1">IF(NOTA[[#This Row],[ID_H]]="","",IF(NOTA[[#This Row],[Column3]]=TRUE,NOTA[[#This Row],[QTY/ CTN]],INDEX([3]!db[QTY/ CTN],NOTA[[#This Row],[//DB]])))</f>
        <v>24 LSN</v>
      </c>
      <c r="AT2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U266" s="39" t="e">
        <f ca="1">IF(NOTA[[#This Row],[ID_H]]="","",MATCH(NOTA[[#This Row],[NB NOTA_C_QTY]],[4]!db[NB NOTA_C_QTY+F],0))</f>
        <v>#REF!</v>
      </c>
      <c r="AV266" s="55">
        <f ca="1">IF(NOTA[[#This Row],[NB NOTA_C_QTY]]="","",ROW()-2)</f>
        <v>264</v>
      </c>
    </row>
    <row r="267" spans="1:48" ht="20.100000000000001" customHeight="1" x14ac:dyDescent="0.25">
      <c r="A2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47"/>
      <c r="H267" s="48"/>
      <c r="N267" s="39"/>
      <c r="Q267" s="43"/>
      <c r="R267" s="49"/>
      <c r="S267" s="50"/>
      <c r="U267" s="51"/>
      <c r="V267" s="46"/>
      <c r="W267" s="51" t="str">
        <f>IF(NOTA[[#This Row],[HARGA/ CTN]]="",NOTA[[#This Row],[JUMLAH_H]],NOTA[[#This Row],[HARGA/ CTN]]*IF(NOTA[[#This Row],[C]]="",0,NOTA[[#This Row],[C]]))</f>
        <v/>
      </c>
      <c r="X267" s="51" t="str">
        <f>IF(NOTA[[#This Row],[JUMLAH]]="","",NOTA[[#This Row],[JUMLAH]]*NOTA[[#This Row],[DISC 1]])</f>
        <v/>
      </c>
      <c r="Y267" s="51" t="str">
        <f>IF(NOTA[[#This Row],[JUMLAH]]="","",(NOTA[[#This Row],[JUMLAH]]-NOTA[[#This Row],[DISC 1-]])*NOTA[[#This Row],[DISC 2]])</f>
        <v/>
      </c>
      <c r="Z267" s="51" t="str">
        <f>IF(NOTA[[#This Row],[JUMLAH]]="","",NOTA[[#This Row],[DISC 1-]]+NOTA[[#This Row],[DISC 2-]])</f>
        <v/>
      </c>
      <c r="AA267" s="51" t="str">
        <f>IF(NOTA[[#This Row],[JUMLAH]]="","",NOTA[[#This Row],[JUMLAH]]-NOTA[[#This Row],[DISC]])</f>
        <v/>
      </c>
      <c r="AB267" s="51"/>
      <c r="AC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1" t="str">
        <f>IF(OR(NOTA[[#This Row],[QTY]]="",NOTA[[#This Row],[HARGA SATUAN]]="",),"",NOTA[[#This Row],[QTY]]*NOTA[[#This Row],[HARGA SATUAN]])</f>
        <v/>
      </c>
      <c r="AG267" s="40" t="str">
        <f ca="1">IF(NOTA[ID_H]="","",INDEX(NOTA[TANGGAL],MATCH(,INDIRECT(ADDRESS(ROW(NOTA[TANGGAL]),COLUMN(NOTA[TANGGAL]))&amp;":"&amp;ADDRESS(ROW(),COLUMN(NOTA[TANGGAL]))),-1)))</f>
        <v/>
      </c>
      <c r="AH267" s="42" t="str">
        <f ca="1">IF(NOTA[[#This Row],[NAMA BARANG]]="","",INDEX(NOTA[SUPPLIER],MATCH(,INDIRECT(ADDRESS(ROW(NOTA[ID]),COLUMN(NOTA[ID]))&amp;":"&amp;ADDRESS(ROW(),COLUMN(NOTA[ID]))),-1)))</f>
        <v/>
      </c>
      <c r="AI267" s="42" t="str">
        <f ca="1">IF(NOTA[[#This Row],[ID_H]]="","",IF(NOTA[[#This Row],[FAKTUR]]="",INDIRECT(ADDRESS(ROW()-1,COLUMN())),NOTA[[#This Row],[FAKTUR]]))</f>
        <v/>
      </c>
      <c r="AJ267" s="39" t="str">
        <f ca="1">IF(NOTA[[#This Row],[ID]]="","",COUNTIF(NOTA[ID_H],NOTA[[#This Row],[ID_H]]))</f>
        <v/>
      </c>
      <c r="AK267" s="39" t="str">
        <f ca="1">IF(NOTA[[#This Row],[TGL.NOTA]]="",IF(NOTA[[#This Row],[SUPPLIER_H]]="","",AK266),MONTH(NOTA[[#This Row],[TGL.NOTA]]))</f>
        <v/>
      </c>
      <c r="AL267" s="39" t="str">
        <f>LOWER(SUBSTITUTE(SUBSTITUTE(SUBSTITUTE(SUBSTITUTE(SUBSTITUTE(SUBSTITUTE(SUBSTITUTE(SUBSTITUTE(SUBSTITUTE(NOTA[NAMA BARANG]," ",),".",""),"-",""),"(",""),")",""),",",""),"/",""),"""",""),"+",""))</f>
        <v/>
      </c>
      <c r="AM2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9" t="str">
        <f>IF(NOTA[[#This Row],[CONCAT4]]="","",_xlfn.IFNA(MATCH(NOTA[[#This Row],[CONCAT4]],[2]!RAW[CONCAT_H],0),FALSE))</f>
        <v/>
      </c>
      <c r="AQ267" s="39" t="str">
        <f>IF(NOTA[[#This Row],[CONCAT1]]="","",MATCH(NOTA[[#This Row],[CONCAT1]],[3]!db[NB NOTA_C],0))</f>
        <v/>
      </c>
      <c r="AR267" s="39" t="str">
        <f>IF(NOTA[[#This Row],[QTY/ CTN]]="","",TRUE)</f>
        <v/>
      </c>
      <c r="AS267" s="39" t="str">
        <f ca="1">IF(NOTA[[#This Row],[ID_H]]="","",IF(NOTA[[#This Row],[Column3]]=TRUE,NOTA[[#This Row],[QTY/ CTN]],INDEX([3]!db[QTY/ CTN],NOTA[[#This Row],[//DB]])))</f>
        <v/>
      </c>
      <c r="AT2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9" t="str">
        <f ca="1">IF(NOTA[[#This Row],[ID_H]]="","",MATCH(NOTA[[#This Row],[NB NOTA_C_QTY]],[4]!db[NB NOTA_C_QTY+F],0))</f>
        <v/>
      </c>
      <c r="AV267" s="55" t="str">
        <f ca="1">IF(NOTA[[#This Row],[NB NOTA_C_QTY]]="","",ROW()-2)</f>
        <v/>
      </c>
    </row>
    <row r="268" spans="1:48" ht="20.100000000000001" customHeight="1" x14ac:dyDescent="0.25">
      <c r="A268" s="42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ATA_1007_537-9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56</v>
      </c>
      <c r="E268" s="47"/>
      <c r="F268" s="38" t="s">
        <v>24</v>
      </c>
      <c r="G268" s="38" t="s">
        <v>23</v>
      </c>
      <c r="H268" s="48" t="s">
        <v>390</v>
      </c>
      <c r="J268" s="40">
        <v>45114</v>
      </c>
      <c r="L268" s="38" t="s">
        <v>421</v>
      </c>
      <c r="M268" s="41">
        <v>1</v>
      </c>
      <c r="N268" s="39">
        <v>24</v>
      </c>
      <c r="O268" s="38" t="s">
        <v>117</v>
      </c>
      <c r="P268" s="42">
        <v>11100</v>
      </c>
      <c r="Q268" s="43"/>
      <c r="R268" s="49" t="s">
        <v>296</v>
      </c>
      <c r="S268" s="50">
        <v>0.125</v>
      </c>
      <c r="T268" s="45">
        <v>0.05</v>
      </c>
      <c r="U268" s="51"/>
      <c r="V268" s="46"/>
      <c r="W268" s="51">
        <f>IF(NOTA[[#This Row],[HARGA/ CTN]]="",NOTA[[#This Row],[JUMLAH_H]],NOTA[[#This Row],[HARGA/ CTN]]*IF(NOTA[[#This Row],[C]]="",0,NOTA[[#This Row],[C]]))</f>
        <v>266400</v>
      </c>
      <c r="X268" s="51">
        <f>IF(NOTA[[#This Row],[JUMLAH]]="","",NOTA[[#This Row],[JUMLAH]]*NOTA[[#This Row],[DISC 1]])</f>
        <v>33300</v>
      </c>
      <c r="Y268" s="51">
        <f>IF(NOTA[[#This Row],[JUMLAH]]="","",(NOTA[[#This Row],[JUMLAH]]-NOTA[[#This Row],[DISC 1-]])*NOTA[[#This Row],[DISC 2]])</f>
        <v>11655</v>
      </c>
      <c r="Z268" s="51">
        <f>IF(NOTA[[#This Row],[JUMLAH]]="","",NOTA[[#This Row],[DISC 1-]]+NOTA[[#This Row],[DISC 2-]])</f>
        <v>44955</v>
      </c>
      <c r="AA268" s="51">
        <f>IF(NOTA[[#This Row],[JUMLAH]]="","",NOTA[[#This Row],[JUMLAH]]-NOTA[[#This Row],[DISC]])</f>
        <v>221445</v>
      </c>
      <c r="AB268" s="51"/>
      <c r="AC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268" s="51">
        <f>IF(OR(NOTA[[#This Row],[QTY]]="",NOTA[[#This Row],[HARGA SATUAN]]="",),"",NOTA[[#This Row],[QTY]]*NOTA[[#This Row],[HARGA SATUAN]])</f>
        <v>266400</v>
      </c>
      <c r="AG268" s="40">
        <f ca="1">IF(NOTA[ID_H]="","",INDEX(NOTA[TANGGAL],MATCH(,INDIRECT(ADDRESS(ROW(NOTA[TANGGAL]),COLUMN(NOTA[TANGGAL]))&amp;":"&amp;ADDRESS(ROW(),COLUMN(NOTA[TANGGAL]))),-1)))</f>
        <v>45117</v>
      </c>
      <c r="AH268" s="42" t="str">
        <f ca="1">IF(NOTA[[#This Row],[NAMA BARANG]]="","",INDEX(NOTA[SUPPLIER],MATCH(,INDIRECT(ADDRESS(ROW(NOTA[ID]),COLUMN(NOTA[ID]))&amp;":"&amp;ADDRESS(ROW(),COLUMN(NOTA[ID]))),-1)))</f>
        <v>ATALI MAKMUR</v>
      </c>
      <c r="AI268" s="42" t="str">
        <f ca="1">IF(NOTA[[#This Row],[ID_H]]="","",IF(NOTA[[#This Row],[FAKTUR]]="",INDIRECT(ADDRESS(ROW()-1,COLUMN())),NOTA[[#This Row],[FAKTUR]]))</f>
        <v>ARTO MORO</v>
      </c>
      <c r="AJ268" s="39">
        <f ca="1">IF(NOTA[[#This Row],[ID]]="","",COUNTIF(NOTA[ID_H],NOTA[[#This Row],[ID_H]]))</f>
        <v>9</v>
      </c>
      <c r="AK268" s="39">
        <f>IF(NOTA[[#This Row],[TGL.NOTA]]="",IF(NOTA[[#This Row],[SUPPLIER_H]]="","",AK267),MONTH(NOTA[[#This Row],[TGL.NOTA]]))</f>
        <v>7</v>
      </c>
      <c r="AL268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2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2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26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MOROSA23071153745114tapecuttertd102jk</v>
      </c>
      <c r="AP268" s="39" t="e">
        <f>IF(NOTA[[#This Row],[CONCAT4]]="","",_xlfn.IFNA(MATCH(NOTA[[#This Row],[CONCAT4]],[2]!RAW[CONCAT_H],0),FALSE))</f>
        <v>#REF!</v>
      </c>
      <c r="AQ268" s="39">
        <f>IF(NOTA[[#This Row],[CONCAT1]]="","",MATCH(NOTA[[#This Row],[CONCAT1]],[3]!db[NB NOTA_C],0))</f>
        <v>982</v>
      </c>
      <c r="AR268" s="39" t="b">
        <f>IF(NOTA[[#This Row],[QTY/ CTN]]="","",TRUE)</f>
        <v>1</v>
      </c>
      <c r="AS268" s="39" t="str">
        <f ca="1">IF(NOTA[[#This Row],[ID_H]]="","",IF(NOTA[[#This Row],[Column3]]=TRUE,NOTA[[#This Row],[QTY/ CTN]],INDEX([3]!db[QTY/ CTN],NOTA[[#This Row],[//DB]])))</f>
        <v>24 PCS</v>
      </c>
      <c r="AT2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268" s="39" t="e">
        <f ca="1">IF(NOTA[[#This Row],[ID_H]]="","",MATCH(NOTA[[#This Row],[NB NOTA_C_QTY]],[4]!db[NB NOTA_C_QTY+F],0))</f>
        <v>#REF!</v>
      </c>
      <c r="AV268" s="55">
        <f ca="1">IF(NOTA[[#This Row],[NB NOTA_C_QTY]]="","",ROW()-2)</f>
        <v>266</v>
      </c>
    </row>
    <row r="269" spans="1:48" ht="20.100000000000001" customHeight="1" x14ac:dyDescent="0.25">
      <c r="A2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56</v>
      </c>
      <c r="E269" s="47"/>
      <c r="H269" s="48"/>
      <c r="L269" s="38" t="s">
        <v>304</v>
      </c>
      <c r="M269" s="41">
        <v>2</v>
      </c>
      <c r="N269" s="39">
        <v>60</v>
      </c>
      <c r="O269" s="38" t="s">
        <v>305</v>
      </c>
      <c r="P269" s="42">
        <v>99000</v>
      </c>
      <c r="Q269" s="43"/>
      <c r="R269" s="49" t="s">
        <v>306</v>
      </c>
      <c r="S269" s="50">
        <v>0.125</v>
      </c>
      <c r="T269" s="45">
        <v>0.05</v>
      </c>
      <c r="U269" s="51"/>
      <c r="V269" s="46"/>
      <c r="W269" s="51">
        <f>IF(NOTA[[#This Row],[HARGA/ CTN]]="",NOTA[[#This Row],[JUMLAH_H]],NOTA[[#This Row],[HARGA/ CTN]]*IF(NOTA[[#This Row],[C]]="",0,NOTA[[#This Row],[C]]))</f>
        <v>5940000</v>
      </c>
      <c r="X269" s="51">
        <f>IF(NOTA[[#This Row],[JUMLAH]]="","",NOTA[[#This Row],[JUMLAH]]*NOTA[[#This Row],[DISC 1]])</f>
        <v>742500</v>
      </c>
      <c r="Y269" s="51">
        <f>IF(NOTA[[#This Row],[JUMLAH]]="","",(NOTA[[#This Row],[JUMLAH]]-NOTA[[#This Row],[DISC 1-]])*NOTA[[#This Row],[DISC 2]])</f>
        <v>259875</v>
      </c>
      <c r="Z269" s="51">
        <f>IF(NOTA[[#This Row],[JUMLAH]]="","",NOTA[[#This Row],[DISC 1-]]+NOTA[[#This Row],[DISC 2-]])</f>
        <v>1002375</v>
      </c>
      <c r="AA269" s="51">
        <f>IF(NOTA[[#This Row],[JUMLAH]]="","",NOTA[[#This Row],[JUMLAH]]-NOTA[[#This Row],[DISC]])</f>
        <v>4937625</v>
      </c>
      <c r="AB269" s="51"/>
      <c r="AC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269" s="51">
        <f>IF(OR(NOTA[[#This Row],[QTY]]="",NOTA[[#This Row],[HARGA SATUAN]]="",),"",NOTA[[#This Row],[QTY]]*NOTA[[#This Row],[HARGA SATUAN]])</f>
        <v>5940000</v>
      </c>
      <c r="AG269" s="40">
        <f ca="1">IF(NOTA[ID_H]="","",INDEX(NOTA[TANGGAL],MATCH(,INDIRECT(ADDRESS(ROW(NOTA[TANGGAL]),COLUMN(NOTA[TANGGAL]))&amp;":"&amp;ADDRESS(ROW(),COLUMN(NOTA[TANGGAL]))),-1)))</f>
        <v>45117</v>
      </c>
      <c r="AH269" s="42" t="str">
        <f ca="1">IF(NOTA[[#This Row],[NAMA BARANG]]="","",INDEX(NOTA[SUPPLIER],MATCH(,INDIRECT(ADDRESS(ROW(NOTA[ID]),COLUMN(NOTA[ID]))&amp;":"&amp;ADDRESS(ROW(),COLUMN(NOTA[ID]))),-1)))</f>
        <v>ATALI MAKMUR</v>
      </c>
      <c r="AI269" s="42" t="str">
        <f ca="1">IF(NOTA[[#This Row],[ID_H]]="","",IF(NOTA[[#This Row],[FAKTUR]]="",INDIRECT(ADDRESS(ROW()-1,COLUMN())),NOTA[[#This Row],[FAKTUR]]))</f>
        <v>ARTO MORO</v>
      </c>
      <c r="AJ269" s="39" t="str">
        <f ca="1">IF(NOTA[[#This Row],[ID]]="","",COUNTIF(NOTA[ID_H],NOTA[[#This Row],[ID_H]]))</f>
        <v/>
      </c>
      <c r="AK269" s="39">
        <f ca="1">IF(NOTA[[#This Row],[TGL.NOTA]]="",IF(NOTA[[#This Row],[SUPPLIER_H]]="","",AK268),MONTH(NOTA[[#This Row],[TGL.NOTA]]))</f>
        <v>7</v>
      </c>
      <c r="AL269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2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2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2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9" t="str">
        <f>IF(NOTA[[#This Row],[CONCAT4]]="","",_xlfn.IFNA(MATCH(NOTA[[#This Row],[CONCAT4]],[2]!RAW[CONCAT_H],0),FALSE))</f>
        <v/>
      </c>
      <c r="AQ269" s="39">
        <f>IF(NOTA[[#This Row],[CONCAT1]]="","",MATCH(NOTA[[#This Row],[CONCAT1]],[3]!db[NB NOTA_C],0))</f>
        <v>2196</v>
      </c>
      <c r="AR269" s="39" t="b">
        <f>IF(NOTA[[#This Row],[QTY/ CTN]]="","",TRUE)</f>
        <v>1</v>
      </c>
      <c r="AS269" s="39" t="str">
        <f ca="1">IF(NOTA[[#This Row],[ID_H]]="","",IF(NOTA[[#This Row],[Column3]]=TRUE,NOTA[[#This Row],[QTY/ CTN]],INDEX([3]!db[QTY/ CTN],NOTA[[#This Row],[//DB]])))</f>
        <v>30 GRS</v>
      </c>
      <c r="AT2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269" s="39" t="e">
        <f ca="1">IF(NOTA[[#This Row],[ID_H]]="","",MATCH(NOTA[[#This Row],[NB NOTA_C_QTY]],[4]!db[NB NOTA_C_QTY+F],0))</f>
        <v>#REF!</v>
      </c>
      <c r="AV269" s="55">
        <f ca="1">IF(NOTA[[#This Row],[NB NOTA_C_QTY]]="","",ROW()-2)</f>
        <v>267</v>
      </c>
    </row>
    <row r="270" spans="1:48" ht="20.100000000000001" customHeight="1" x14ac:dyDescent="0.25">
      <c r="A2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56</v>
      </c>
      <c r="E270" s="47"/>
      <c r="H270" s="48"/>
      <c r="L270" s="38" t="s">
        <v>314</v>
      </c>
      <c r="M270" s="41">
        <v>2</v>
      </c>
      <c r="N270" s="39">
        <v>60</v>
      </c>
      <c r="O270" s="38" t="s">
        <v>305</v>
      </c>
      <c r="P270" s="42">
        <v>104400</v>
      </c>
      <c r="Q270" s="43"/>
      <c r="R270" s="49" t="s">
        <v>306</v>
      </c>
      <c r="S270" s="50">
        <v>0.125</v>
      </c>
      <c r="T270" s="45">
        <v>0.05</v>
      </c>
      <c r="U270" s="51"/>
      <c r="V270" s="46"/>
      <c r="W270" s="51">
        <f>IF(NOTA[[#This Row],[HARGA/ CTN]]="",NOTA[[#This Row],[JUMLAH_H]],NOTA[[#This Row],[HARGA/ CTN]]*IF(NOTA[[#This Row],[C]]="",0,NOTA[[#This Row],[C]]))</f>
        <v>6264000</v>
      </c>
      <c r="X270" s="51">
        <f>IF(NOTA[[#This Row],[JUMLAH]]="","",NOTA[[#This Row],[JUMLAH]]*NOTA[[#This Row],[DISC 1]])</f>
        <v>783000</v>
      </c>
      <c r="Y270" s="51">
        <f>IF(NOTA[[#This Row],[JUMLAH]]="","",(NOTA[[#This Row],[JUMLAH]]-NOTA[[#This Row],[DISC 1-]])*NOTA[[#This Row],[DISC 2]])</f>
        <v>274050</v>
      </c>
      <c r="Z270" s="51">
        <f>IF(NOTA[[#This Row],[JUMLAH]]="","",NOTA[[#This Row],[DISC 1-]]+NOTA[[#This Row],[DISC 2-]])</f>
        <v>1057050</v>
      </c>
      <c r="AA270" s="51">
        <f>IF(NOTA[[#This Row],[JUMLAH]]="","",NOTA[[#This Row],[JUMLAH]]-NOTA[[#This Row],[DISC]])</f>
        <v>5206950</v>
      </c>
      <c r="AB270" s="51"/>
      <c r="AC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70" s="51">
        <f>IF(OR(NOTA[[#This Row],[QTY]]="",NOTA[[#This Row],[HARGA SATUAN]]="",),"",NOTA[[#This Row],[QTY]]*NOTA[[#This Row],[HARGA SATUAN]])</f>
        <v>6264000</v>
      </c>
      <c r="AG270" s="40">
        <f ca="1">IF(NOTA[ID_H]="","",INDEX(NOTA[TANGGAL],MATCH(,INDIRECT(ADDRESS(ROW(NOTA[TANGGAL]),COLUMN(NOTA[TANGGAL]))&amp;":"&amp;ADDRESS(ROW(),COLUMN(NOTA[TANGGAL]))),-1)))</f>
        <v>45117</v>
      </c>
      <c r="AH270" s="42" t="str">
        <f ca="1">IF(NOTA[[#This Row],[NAMA BARANG]]="","",INDEX(NOTA[SUPPLIER],MATCH(,INDIRECT(ADDRESS(ROW(NOTA[ID]),COLUMN(NOTA[ID]))&amp;":"&amp;ADDRESS(ROW(),COLUMN(NOTA[ID]))),-1)))</f>
        <v>ATALI MAKMUR</v>
      </c>
      <c r="AI270" s="42" t="str">
        <f ca="1">IF(NOTA[[#This Row],[ID_H]]="","",IF(NOTA[[#This Row],[FAKTUR]]="",INDIRECT(ADDRESS(ROW()-1,COLUMN())),NOTA[[#This Row],[FAKTUR]]))</f>
        <v>ARTO MORO</v>
      </c>
      <c r="AJ270" s="39" t="str">
        <f ca="1">IF(NOTA[[#This Row],[ID]]="","",COUNTIF(NOTA[ID_H],NOTA[[#This Row],[ID_H]]))</f>
        <v/>
      </c>
      <c r="AK270" s="39">
        <f ca="1">IF(NOTA[[#This Row],[TGL.NOTA]]="",IF(NOTA[[#This Row],[SUPPLIER_H]]="","",AK269),MONTH(NOTA[[#This Row],[TGL.NOTA]]))</f>
        <v>7</v>
      </c>
      <c r="AL270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9" t="str">
        <f>IF(NOTA[[#This Row],[CONCAT4]]="","",_xlfn.IFNA(MATCH(NOTA[[#This Row],[CONCAT4]],[2]!RAW[CONCAT_H],0),FALSE))</f>
        <v/>
      </c>
      <c r="AQ270" s="39">
        <f>IF(NOTA[[#This Row],[CONCAT1]]="","",MATCH(NOTA[[#This Row],[CONCAT1]],[3]!db[NB NOTA_C],0))</f>
        <v>2194</v>
      </c>
      <c r="AR270" s="39" t="b">
        <f>IF(NOTA[[#This Row],[QTY/ CTN]]="","",TRUE)</f>
        <v>1</v>
      </c>
      <c r="AS270" s="39" t="str">
        <f ca="1">IF(NOTA[[#This Row],[ID_H]]="","",IF(NOTA[[#This Row],[Column3]]=TRUE,NOTA[[#This Row],[QTY/ CTN]],INDEX([3]!db[QTY/ CTN],NOTA[[#This Row],[//DB]])))</f>
        <v>30 GRS</v>
      </c>
      <c r="AT2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70" s="39" t="e">
        <f ca="1">IF(NOTA[[#This Row],[ID_H]]="","",MATCH(NOTA[[#This Row],[NB NOTA_C_QTY]],[4]!db[NB NOTA_C_QTY+F],0))</f>
        <v>#REF!</v>
      </c>
      <c r="AV270" s="55">
        <f ca="1">IF(NOTA[[#This Row],[NB NOTA_C_QTY]]="","",ROW()-2)</f>
        <v>268</v>
      </c>
    </row>
    <row r="271" spans="1:48" ht="20.100000000000001" customHeight="1" x14ac:dyDescent="0.25">
      <c r="A2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56</v>
      </c>
      <c r="E271" s="47"/>
      <c r="H271" s="48"/>
      <c r="L271" s="38" t="s">
        <v>321</v>
      </c>
      <c r="M271" s="41">
        <v>1</v>
      </c>
      <c r="N271" s="39">
        <v>50</v>
      </c>
      <c r="O271" s="38" t="s">
        <v>319</v>
      </c>
      <c r="P271" s="42">
        <v>32000</v>
      </c>
      <c r="Q271" s="43"/>
      <c r="R271" s="49"/>
      <c r="S271" s="50">
        <v>0.125</v>
      </c>
      <c r="T271" s="45">
        <v>0.05</v>
      </c>
      <c r="U271" s="51"/>
      <c r="V271" s="46"/>
      <c r="W271" s="51">
        <f>IF(NOTA[[#This Row],[HARGA/ CTN]]="",NOTA[[#This Row],[JUMLAH_H]],NOTA[[#This Row],[HARGA/ CTN]]*IF(NOTA[[#This Row],[C]]="",0,NOTA[[#This Row],[C]]))</f>
        <v>1600000</v>
      </c>
      <c r="X271" s="51">
        <f>IF(NOTA[[#This Row],[JUMLAH]]="","",NOTA[[#This Row],[JUMLAH]]*NOTA[[#This Row],[DISC 1]])</f>
        <v>200000</v>
      </c>
      <c r="Y271" s="51">
        <f>IF(NOTA[[#This Row],[JUMLAH]]="","",(NOTA[[#This Row],[JUMLAH]]-NOTA[[#This Row],[DISC 1-]])*NOTA[[#This Row],[DISC 2]])</f>
        <v>70000</v>
      </c>
      <c r="Z271" s="51">
        <f>IF(NOTA[[#This Row],[JUMLAH]]="","",NOTA[[#This Row],[DISC 1-]]+NOTA[[#This Row],[DISC 2-]])</f>
        <v>270000</v>
      </c>
      <c r="AA271" s="51">
        <f>IF(NOTA[[#This Row],[JUMLAH]]="","",NOTA[[#This Row],[JUMLAH]]-NOTA[[#This Row],[DISC]])</f>
        <v>1330000</v>
      </c>
      <c r="AB271" s="51"/>
      <c r="AC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1" s="51">
        <f>IF(OR(NOTA[[#This Row],[QTY]]="",NOTA[[#This Row],[HARGA SATUAN]]="",),"",NOTA[[#This Row],[QTY]]*NOTA[[#This Row],[HARGA SATUAN]])</f>
        <v>1600000</v>
      </c>
      <c r="AG271" s="40">
        <f ca="1">IF(NOTA[ID_H]="","",INDEX(NOTA[TANGGAL],MATCH(,INDIRECT(ADDRESS(ROW(NOTA[TANGGAL]),COLUMN(NOTA[TANGGAL]))&amp;":"&amp;ADDRESS(ROW(),COLUMN(NOTA[TANGGAL]))),-1)))</f>
        <v>45117</v>
      </c>
      <c r="AH271" s="42" t="str">
        <f ca="1">IF(NOTA[[#This Row],[NAMA BARANG]]="","",INDEX(NOTA[SUPPLIER],MATCH(,INDIRECT(ADDRESS(ROW(NOTA[ID]),COLUMN(NOTA[ID]))&amp;":"&amp;ADDRESS(ROW(),COLUMN(NOTA[ID]))),-1)))</f>
        <v>ATALI MAKMUR</v>
      </c>
      <c r="AI271" s="42" t="str">
        <f ca="1">IF(NOTA[[#This Row],[ID_H]]="","",IF(NOTA[[#This Row],[FAKTUR]]="",INDIRECT(ADDRESS(ROW()-1,COLUMN())),NOTA[[#This Row],[FAKTUR]]))</f>
        <v>ARTO MORO</v>
      </c>
      <c r="AJ271" s="39" t="str">
        <f ca="1">IF(NOTA[[#This Row],[ID]]="","",COUNTIF(NOTA[ID_H],NOTA[[#This Row],[ID_H]]))</f>
        <v/>
      </c>
      <c r="AK271" s="39">
        <f ca="1">IF(NOTA[[#This Row],[TGL.NOTA]]="",IF(NOTA[[#This Row],[SUPPLIER_H]]="","",AK270),MONTH(NOTA[[#This Row],[TGL.NOTA]]))</f>
        <v>7</v>
      </c>
      <c r="AL27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9" t="str">
        <f>IF(NOTA[[#This Row],[CONCAT4]]="","",_xlfn.IFNA(MATCH(NOTA[[#This Row],[CONCAT4]],[2]!RAW[CONCAT_H],0),FALSE))</f>
        <v/>
      </c>
      <c r="AQ271" s="39">
        <f>IF(NOTA[[#This Row],[CONCAT1]]="","",MATCH(NOTA[[#This Row],[CONCAT1]],[3]!db[NB NOTA_C],0))</f>
        <v>2497</v>
      </c>
      <c r="AR271" s="39" t="str">
        <f>IF(NOTA[[#This Row],[QTY/ CTN]]="","",TRUE)</f>
        <v/>
      </c>
      <c r="AS271" s="39" t="str">
        <f ca="1">IF(NOTA[[#This Row],[ID_H]]="","",IF(NOTA[[#This Row],[Column3]]=TRUE,NOTA[[#This Row],[QTY/ CTN]],INDEX([3]!db[QTY/ CTN],NOTA[[#This Row],[//DB]])))</f>
        <v>50 BOX (30 PCS)</v>
      </c>
      <c r="AT2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71" s="39" t="e">
        <f ca="1">IF(NOTA[[#This Row],[ID_H]]="","",MATCH(NOTA[[#This Row],[NB NOTA_C_QTY]],[4]!db[NB NOTA_C_QTY+F],0))</f>
        <v>#REF!</v>
      </c>
      <c r="AV271" s="55">
        <f ca="1">IF(NOTA[[#This Row],[NB NOTA_C_QTY]]="","",ROW()-2)</f>
        <v>269</v>
      </c>
    </row>
    <row r="272" spans="1:48" ht="20.100000000000001" customHeight="1" x14ac:dyDescent="0.25">
      <c r="A2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56</v>
      </c>
      <c r="E272" s="47"/>
      <c r="H272" s="48"/>
      <c r="L272" s="38" t="s">
        <v>322</v>
      </c>
      <c r="M272" s="41">
        <v>1</v>
      </c>
      <c r="N272" s="39">
        <v>50</v>
      </c>
      <c r="O272" s="38" t="s">
        <v>319</v>
      </c>
      <c r="P272" s="42">
        <v>32000</v>
      </c>
      <c r="Q272" s="43"/>
      <c r="R272" s="49"/>
      <c r="S272" s="50">
        <v>0.125</v>
      </c>
      <c r="T272" s="45">
        <v>0.05</v>
      </c>
      <c r="U272" s="51"/>
      <c r="V272" s="46"/>
      <c r="W272" s="51">
        <f>IF(NOTA[[#This Row],[HARGA/ CTN]]="",NOTA[[#This Row],[JUMLAH_H]],NOTA[[#This Row],[HARGA/ CTN]]*IF(NOTA[[#This Row],[C]]="",0,NOTA[[#This Row],[C]]))</f>
        <v>1600000</v>
      </c>
      <c r="X272" s="51">
        <f>IF(NOTA[[#This Row],[JUMLAH]]="","",NOTA[[#This Row],[JUMLAH]]*NOTA[[#This Row],[DISC 1]])</f>
        <v>200000</v>
      </c>
      <c r="Y272" s="51">
        <f>IF(NOTA[[#This Row],[JUMLAH]]="","",(NOTA[[#This Row],[JUMLAH]]-NOTA[[#This Row],[DISC 1-]])*NOTA[[#This Row],[DISC 2]])</f>
        <v>70000</v>
      </c>
      <c r="Z272" s="51">
        <f>IF(NOTA[[#This Row],[JUMLAH]]="","",NOTA[[#This Row],[DISC 1-]]+NOTA[[#This Row],[DISC 2-]])</f>
        <v>270000</v>
      </c>
      <c r="AA272" s="51">
        <f>IF(NOTA[[#This Row],[JUMLAH]]="","",NOTA[[#This Row],[JUMLAH]]-NOTA[[#This Row],[DISC]])</f>
        <v>1330000</v>
      </c>
      <c r="AB272" s="51"/>
      <c r="AC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2" s="51">
        <f>IF(OR(NOTA[[#This Row],[QTY]]="",NOTA[[#This Row],[HARGA SATUAN]]="",),"",NOTA[[#This Row],[QTY]]*NOTA[[#This Row],[HARGA SATUAN]])</f>
        <v>1600000</v>
      </c>
      <c r="AG272" s="40">
        <f ca="1">IF(NOTA[ID_H]="","",INDEX(NOTA[TANGGAL],MATCH(,INDIRECT(ADDRESS(ROW(NOTA[TANGGAL]),COLUMN(NOTA[TANGGAL]))&amp;":"&amp;ADDRESS(ROW(),COLUMN(NOTA[TANGGAL]))),-1)))</f>
        <v>45117</v>
      </c>
      <c r="AH272" s="42" t="str">
        <f ca="1">IF(NOTA[[#This Row],[NAMA BARANG]]="","",INDEX(NOTA[SUPPLIER],MATCH(,INDIRECT(ADDRESS(ROW(NOTA[ID]),COLUMN(NOTA[ID]))&amp;":"&amp;ADDRESS(ROW(),COLUMN(NOTA[ID]))),-1)))</f>
        <v>ATALI MAKMUR</v>
      </c>
      <c r="AI272" s="42" t="str">
        <f ca="1">IF(NOTA[[#This Row],[ID_H]]="","",IF(NOTA[[#This Row],[FAKTUR]]="",INDIRECT(ADDRESS(ROW()-1,COLUMN())),NOTA[[#This Row],[FAKTUR]]))</f>
        <v>ARTO MORO</v>
      </c>
      <c r="AJ272" s="39" t="str">
        <f ca="1">IF(NOTA[[#This Row],[ID]]="","",COUNTIF(NOTA[ID_H],NOTA[[#This Row],[ID_H]]))</f>
        <v/>
      </c>
      <c r="AK272" s="39">
        <f ca="1">IF(NOTA[[#This Row],[TGL.NOTA]]="",IF(NOTA[[#This Row],[SUPPLIER_H]]="","",AK271),MONTH(NOTA[[#This Row],[TGL.NOTA]]))</f>
        <v>7</v>
      </c>
      <c r="AL272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9" t="str">
        <f>IF(NOTA[[#This Row],[CONCAT4]]="","",_xlfn.IFNA(MATCH(NOTA[[#This Row],[CONCAT4]],[2]!RAW[CONCAT_H],0),FALSE))</f>
        <v/>
      </c>
      <c r="AQ272" s="39">
        <f>IF(NOTA[[#This Row],[CONCAT1]]="","",MATCH(NOTA[[#This Row],[CONCAT1]],[3]!db[NB NOTA_C],0))</f>
        <v>2496</v>
      </c>
      <c r="AR272" s="39" t="str">
        <f>IF(NOTA[[#This Row],[QTY/ CTN]]="","",TRUE)</f>
        <v/>
      </c>
      <c r="AS272" s="39" t="str">
        <f ca="1">IF(NOTA[[#This Row],[ID_H]]="","",IF(NOTA[[#This Row],[Column3]]=TRUE,NOTA[[#This Row],[QTY/ CTN]],INDEX([3]!db[QTY/ CTN],NOTA[[#This Row],[//DB]])))</f>
        <v>50 BOX (30 PCS)</v>
      </c>
      <c r="AT2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72" s="39" t="e">
        <f ca="1">IF(NOTA[[#This Row],[ID_H]]="","",MATCH(NOTA[[#This Row],[NB NOTA_C_QTY]],[4]!db[NB NOTA_C_QTY+F],0))</f>
        <v>#REF!</v>
      </c>
      <c r="AV272" s="55">
        <f ca="1">IF(NOTA[[#This Row],[NB NOTA_C_QTY]]="","",ROW()-2)</f>
        <v>270</v>
      </c>
    </row>
    <row r="273" spans="1:48" ht="20.100000000000001" customHeight="1" x14ac:dyDescent="0.25">
      <c r="A2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56</v>
      </c>
      <c r="E273" s="47"/>
      <c r="H273" s="48"/>
      <c r="L273" s="38" t="s">
        <v>387</v>
      </c>
      <c r="M273" s="41">
        <v>5</v>
      </c>
      <c r="N273" s="39">
        <v>1440</v>
      </c>
      <c r="O273" s="38" t="s">
        <v>117</v>
      </c>
      <c r="P273" s="42">
        <v>2150</v>
      </c>
      <c r="Q273" s="43"/>
      <c r="R273" s="49"/>
      <c r="S273" s="50">
        <v>0.125</v>
      </c>
      <c r="T273" s="45">
        <v>0.05</v>
      </c>
      <c r="U273" s="51"/>
      <c r="V273" s="46"/>
      <c r="W273" s="51">
        <f>IF(NOTA[[#This Row],[HARGA/ CTN]]="",NOTA[[#This Row],[JUMLAH_H]],NOTA[[#This Row],[HARGA/ CTN]]*IF(NOTA[[#This Row],[C]]="",0,NOTA[[#This Row],[C]]))</f>
        <v>3096000</v>
      </c>
      <c r="X273" s="51">
        <f>IF(NOTA[[#This Row],[JUMLAH]]="","",NOTA[[#This Row],[JUMLAH]]*NOTA[[#This Row],[DISC 1]])</f>
        <v>387000</v>
      </c>
      <c r="Y273" s="51">
        <f>IF(NOTA[[#This Row],[JUMLAH]]="","",(NOTA[[#This Row],[JUMLAH]]-NOTA[[#This Row],[DISC 1-]])*NOTA[[#This Row],[DISC 2]])</f>
        <v>135450</v>
      </c>
      <c r="Z273" s="51">
        <f>IF(NOTA[[#This Row],[JUMLAH]]="","",NOTA[[#This Row],[DISC 1-]]+NOTA[[#This Row],[DISC 2-]])</f>
        <v>522450</v>
      </c>
      <c r="AA273" s="51">
        <f>IF(NOTA[[#This Row],[JUMLAH]]="","",NOTA[[#This Row],[JUMLAH]]-NOTA[[#This Row],[DISC]])</f>
        <v>2573550</v>
      </c>
      <c r="AB273" s="51"/>
      <c r="AC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73" s="51">
        <f>IF(OR(NOTA[[#This Row],[QTY]]="",NOTA[[#This Row],[HARGA SATUAN]]="",),"",NOTA[[#This Row],[QTY]]*NOTA[[#This Row],[HARGA SATUAN]])</f>
        <v>3096000</v>
      </c>
      <c r="AG273" s="40">
        <f ca="1">IF(NOTA[ID_H]="","",INDEX(NOTA[TANGGAL],MATCH(,INDIRECT(ADDRESS(ROW(NOTA[TANGGAL]),COLUMN(NOTA[TANGGAL]))&amp;":"&amp;ADDRESS(ROW(),COLUMN(NOTA[TANGGAL]))),-1)))</f>
        <v>45117</v>
      </c>
      <c r="AH273" s="42" t="str">
        <f ca="1">IF(NOTA[[#This Row],[NAMA BARANG]]="","",INDEX(NOTA[SUPPLIER],MATCH(,INDIRECT(ADDRESS(ROW(NOTA[ID]),COLUMN(NOTA[ID]))&amp;":"&amp;ADDRESS(ROW(),COLUMN(NOTA[ID]))),-1)))</f>
        <v>ATALI MAKMUR</v>
      </c>
      <c r="AI273" s="42" t="str">
        <f ca="1">IF(NOTA[[#This Row],[ID_H]]="","",IF(NOTA[[#This Row],[FAKTUR]]="",INDIRECT(ADDRESS(ROW()-1,COLUMN())),NOTA[[#This Row],[FAKTUR]]))</f>
        <v>ARTO MORO</v>
      </c>
      <c r="AJ273" s="39" t="str">
        <f ca="1">IF(NOTA[[#This Row],[ID]]="","",COUNTIF(NOTA[ID_H],NOTA[[#This Row],[ID_H]]))</f>
        <v/>
      </c>
      <c r="AK273" s="39">
        <f ca="1">IF(NOTA[[#This Row],[TGL.NOTA]]="",IF(NOTA[[#This Row],[SUPPLIER_H]]="","",AK272),MONTH(NOTA[[#This Row],[TGL.NOTA]]))</f>
        <v>7</v>
      </c>
      <c r="AL273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9" t="str">
        <f>IF(NOTA[[#This Row],[CONCAT4]]="","",_xlfn.IFNA(MATCH(NOTA[[#This Row],[CONCAT4]],[2]!RAW[CONCAT_H],0),FALSE))</f>
        <v/>
      </c>
      <c r="AQ273" s="39">
        <f>IF(NOTA[[#This Row],[CONCAT1]]="","",MATCH(NOTA[[#This Row],[CONCAT1]],[3]!db[NB NOTA_C],0))</f>
        <v>1489</v>
      </c>
      <c r="AR273" s="39" t="str">
        <f>IF(NOTA[[#This Row],[QTY/ CTN]]="","",TRUE)</f>
        <v/>
      </c>
      <c r="AS273" s="39" t="str">
        <f ca="1">IF(NOTA[[#This Row],[ID_H]]="","",IF(NOTA[[#This Row],[Column3]]=TRUE,NOTA[[#This Row],[QTY/ CTN]],INDEX([3]!db[QTY/ CTN],NOTA[[#This Row],[//DB]])))</f>
        <v>24 LSN</v>
      </c>
      <c r="AT2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73" s="39" t="e">
        <f ca="1">IF(NOTA[[#This Row],[ID_H]]="","",MATCH(NOTA[[#This Row],[NB NOTA_C_QTY]],[4]!db[NB NOTA_C_QTY+F],0))</f>
        <v>#REF!</v>
      </c>
      <c r="AV273" s="55">
        <f ca="1">IF(NOTA[[#This Row],[NB NOTA_C_QTY]]="","",ROW()-2)</f>
        <v>271</v>
      </c>
    </row>
    <row r="274" spans="1:48" ht="20.100000000000001" customHeight="1" x14ac:dyDescent="0.25">
      <c r="A2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56</v>
      </c>
      <c r="E274" s="47"/>
      <c r="H274" s="48"/>
      <c r="L274" s="38" t="s">
        <v>262</v>
      </c>
      <c r="M274" s="41">
        <v>10</v>
      </c>
      <c r="N274" s="39">
        <v>1440</v>
      </c>
      <c r="O274" s="38" t="s">
        <v>263</v>
      </c>
      <c r="P274" s="42">
        <v>11900</v>
      </c>
      <c r="Q274" s="43"/>
      <c r="R274" s="49"/>
      <c r="S274" s="50">
        <v>0.125</v>
      </c>
      <c r="T274" s="45">
        <v>0.05</v>
      </c>
      <c r="U274" s="51"/>
      <c r="V274" s="46"/>
      <c r="W274" s="51">
        <f>IF(NOTA[[#This Row],[HARGA/ CTN]]="",NOTA[[#This Row],[JUMLAH_H]],NOTA[[#This Row],[HARGA/ CTN]]*IF(NOTA[[#This Row],[C]]="",0,NOTA[[#This Row],[C]]))</f>
        <v>17136000</v>
      </c>
      <c r="X274" s="51">
        <f>IF(NOTA[[#This Row],[JUMLAH]]="","",NOTA[[#This Row],[JUMLAH]]*NOTA[[#This Row],[DISC 1]])</f>
        <v>2142000</v>
      </c>
      <c r="Y274" s="51">
        <f>IF(NOTA[[#This Row],[JUMLAH]]="","",(NOTA[[#This Row],[JUMLAH]]-NOTA[[#This Row],[DISC 1-]])*NOTA[[#This Row],[DISC 2]])</f>
        <v>749700</v>
      </c>
      <c r="Z274" s="51">
        <f>IF(NOTA[[#This Row],[JUMLAH]]="","",NOTA[[#This Row],[DISC 1-]]+NOTA[[#This Row],[DISC 2-]])</f>
        <v>2891700</v>
      </c>
      <c r="AA274" s="51">
        <f>IF(NOTA[[#This Row],[JUMLAH]]="","",NOTA[[#This Row],[JUMLAH]]-NOTA[[#This Row],[DISC]])</f>
        <v>14244300</v>
      </c>
      <c r="AB274" s="51"/>
      <c r="AC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4" s="51">
        <f>IF(OR(NOTA[[#This Row],[QTY]]="",NOTA[[#This Row],[HARGA SATUAN]]="",),"",NOTA[[#This Row],[QTY]]*NOTA[[#This Row],[HARGA SATUAN]])</f>
        <v>17136000</v>
      </c>
      <c r="AG274" s="40">
        <f ca="1">IF(NOTA[ID_H]="","",INDEX(NOTA[TANGGAL],MATCH(,INDIRECT(ADDRESS(ROW(NOTA[TANGGAL]),COLUMN(NOTA[TANGGAL]))&amp;":"&amp;ADDRESS(ROW(),COLUMN(NOTA[TANGGAL]))),-1)))</f>
        <v>45117</v>
      </c>
      <c r="AH274" s="42" t="str">
        <f ca="1">IF(NOTA[[#This Row],[NAMA BARANG]]="","",INDEX(NOTA[SUPPLIER],MATCH(,INDIRECT(ADDRESS(ROW(NOTA[ID]),COLUMN(NOTA[ID]))&amp;":"&amp;ADDRESS(ROW(),COLUMN(NOTA[ID]))),-1)))</f>
        <v>ATALI MAKMUR</v>
      </c>
      <c r="AI274" s="42" t="str">
        <f ca="1">IF(NOTA[[#This Row],[ID_H]]="","",IF(NOTA[[#This Row],[FAKTUR]]="",INDIRECT(ADDRESS(ROW()-1,COLUMN())),NOTA[[#This Row],[FAKTUR]]))</f>
        <v>ARTO MORO</v>
      </c>
      <c r="AJ274" s="39" t="str">
        <f ca="1">IF(NOTA[[#This Row],[ID]]="","",COUNTIF(NOTA[ID_H],NOTA[[#This Row],[ID_H]]))</f>
        <v/>
      </c>
      <c r="AK274" s="39">
        <f ca="1">IF(NOTA[[#This Row],[TGL.NOTA]]="",IF(NOTA[[#This Row],[SUPPLIER_H]]="","",AK273),MONTH(NOTA[[#This Row],[TGL.NOTA]]))</f>
        <v>7</v>
      </c>
      <c r="AL27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9" t="str">
        <f>IF(NOTA[[#This Row],[CONCAT4]]="","",_xlfn.IFNA(MATCH(NOTA[[#This Row],[CONCAT4]],[2]!RAW[CONCAT_H],0),FALSE))</f>
        <v/>
      </c>
      <c r="AQ274" s="39">
        <f>IF(NOTA[[#This Row],[CONCAT1]]="","",MATCH(NOTA[[#This Row],[CONCAT1]],[3]!db[NB NOTA_C],0))</f>
        <v>1775</v>
      </c>
      <c r="AR274" s="39" t="str">
        <f>IF(NOTA[[#This Row],[QTY/ CTN]]="","",TRUE)</f>
        <v/>
      </c>
      <c r="AS274" s="39" t="str">
        <f ca="1">IF(NOTA[[#This Row],[ID_H]]="","",IF(NOTA[[#This Row],[Column3]]=TRUE,NOTA[[#This Row],[QTY/ CTN]],INDEX([3]!db[QTY/ CTN],NOTA[[#This Row],[//DB]])))</f>
        <v>12 LSN</v>
      </c>
      <c r="AT2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4" s="39" t="e">
        <f ca="1">IF(NOTA[[#This Row],[ID_H]]="","",MATCH(NOTA[[#This Row],[NB NOTA_C_QTY]],[4]!db[NB NOTA_C_QTY+F],0))</f>
        <v>#REF!</v>
      </c>
      <c r="AV274" s="55">
        <f ca="1">IF(NOTA[[#This Row],[NB NOTA_C_QTY]]="","",ROW()-2)</f>
        <v>272</v>
      </c>
    </row>
    <row r="275" spans="1:48" ht="20.100000000000001" customHeight="1" x14ac:dyDescent="0.25">
      <c r="A2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56</v>
      </c>
      <c r="E275" s="47"/>
      <c r="H275" s="48"/>
      <c r="L275" s="38" t="s">
        <v>264</v>
      </c>
      <c r="M275" s="41">
        <v>10</v>
      </c>
      <c r="N275" s="39">
        <v>720</v>
      </c>
      <c r="O275" s="38" t="s">
        <v>263</v>
      </c>
      <c r="P275" s="42">
        <v>23000</v>
      </c>
      <c r="Q275" s="43"/>
      <c r="R275" s="49"/>
      <c r="S275" s="50">
        <v>0.125</v>
      </c>
      <c r="T275" s="45">
        <v>0.05</v>
      </c>
      <c r="U275" s="51"/>
      <c r="V275" s="46"/>
      <c r="W275" s="51">
        <f>IF(NOTA[[#This Row],[HARGA/ CTN]]="",NOTA[[#This Row],[JUMLAH_H]],NOTA[[#This Row],[HARGA/ CTN]]*IF(NOTA[[#This Row],[C]]="",0,NOTA[[#This Row],[C]]))</f>
        <v>16560000</v>
      </c>
      <c r="X275" s="51">
        <f>IF(NOTA[[#This Row],[JUMLAH]]="","",NOTA[[#This Row],[JUMLAH]]*NOTA[[#This Row],[DISC 1]])</f>
        <v>2070000</v>
      </c>
      <c r="Y275" s="51">
        <f>IF(NOTA[[#This Row],[JUMLAH]]="","",(NOTA[[#This Row],[JUMLAH]]-NOTA[[#This Row],[DISC 1-]])*NOTA[[#This Row],[DISC 2]])</f>
        <v>724500</v>
      </c>
      <c r="Z275" s="51">
        <f>IF(NOTA[[#This Row],[JUMLAH]]="","",NOTA[[#This Row],[DISC 1-]]+NOTA[[#This Row],[DISC 2-]])</f>
        <v>2794500</v>
      </c>
      <c r="AA275" s="51">
        <f>IF(NOTA[[#This Row],[JUMLAH]]="","",NOTA[[#This Row],[JUMLAH]]-NOTA[[#This Row],[DISC]])</f>
        <v>13765500</v>
      </c>
      <c r="AB275" s="51"/>
      <c r="AC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5" s="51">
        <f>IF(OR(NOTA[[#This Row],[QTY]]="",NOTA[[#This Row],[HARGA SATUAN]]="",),"",NOTA[[#This Row],[QTY]]*NOTA[[#This Row],[HARGA SATUAN]])</f>
        <v>16560000</v>
      </c>
      <c r="AG275" s="40">
        <f ca="1">IF(NOTA[ID_H]="","",INDEX(NOTA[TANGGAL],MATCH(,INDIRECT(ADDRESS(ROW(NOTA[TANGGAL]),COLUMN(NOTA[TANGGAL]))&amp;":"&amp;ADDRESS(ROW(),COLUMN(NOTA[TANGGAL]))),-1)))</f>
        <v>45117</v>
      </c>
      <c r="AH275" s="42" t="str">
        <f ca="1">IF(NOTA[[#This Row],[NAMA BARANG]]="","",INDEX(NOTA[SUPPLIER],MATCH(,INDIRECT(ADDRESS(ROW(NOTA[ID]),COLUMN(NOTA[ID]))&amp;":"&amp;ADDRESS(ROW(),COLUMN(NOTA[ID]))),-1)))</f>
        <v>ATALI MAKMUR</v>
      </c>
      <c r="AI275" s="42" t="str">
        <f ca="1">IF(NOTA[[#This Row],[ID_H]]="","",IF(NOTA[[#This Row],[FAKTUR]]="",INDIRECT(ADDRESS(ROW()-1,COLUMN())),NOTA[[#This Row],[FAKTUR]]))</f>
        <v>ARTO MORO</v>
      </c>
      <c r="AJ275" s="39" t="str">
        <f ca="1">IF(NOTA[[#This Row],[ID]]="","",COUNTIF(NOTA[ID_H],NOTA[[#This Row],[ID_H]]))</f>
        <v/>
      </c>
      <c r="AK275" s="39">
        <f ca="1">IF(NOTA[[#This Row],[TGL.NOTA]]="",IF(NOTA[[#This Row],[SUPPLIER_H]]="","",AK274),MONTH(NOTA[[#This Row],[TGL.NOTA]]))</f>
        <v>7</v>
      </c>
      <c r="AL275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9" t="str">
        <f>IF(NOTA[[#This Row],[CONCAT4]]="","",_xlfn.IFNA(MATCH(NOTA[[#This Row],[CONCAT4]],[2]!RAW[CONCAT_H],0),FALSE))</f>
        <v/>
      </c>
      <c r="AQ275" s="39">
        <f>IF(NOTA[[#This Row],[CONCAT1]]="","",MATCH(NOTA[[#This Row],[CONCAT1]],[3]!db[NB NOTA_C],0))</f>
        <v>1777</v>
      </c>
      <c r="AR275" s="39" t="str">
        <f>IF(NOTA[[#This Row],[QTY/ CTN]]="","",TRUE)</f>
        <v/>
      </c>
      <c r="AS275" s="39" t="str">
        <f ca="1">IF(NOTA[[#This Row],[ID_H]]="","",IF(NOTA[[#This Row],[Column3]]=TRUE,NOTA[[#This Row],[QTY/ CTN]],INDEX([3]!db[QTY/ CTN],NOTA[[#This Row],[//DB]])))</f>
        <v>6 LSN</v>
      </c>
      <c r="AT2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5" s="39" t="e">
        <f ca="1">IF(NOTA[[#This Row],[ID_H]]="","",MATCH(NOTA[[#This Row],[NB NOTA_C_QTY]],[4]!db[NB NOTA_C_QTY+F],0))</f>
        <v>#REF!</v>
      </c>
      <c r="AV275" s="55">
        <f ca="1">IF(NOTA[[#This Row],[NB NOTA_C_QTY]]="","",ROW()-2)</f>
        <v>273</v>
      </c>
    </row>
    <row r="276" spans="1:48" ht="20.100000000000001" customHeight="1" x14ac:dyDescent="0.25">
      <c r="A2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56</v>
      </c>
      <c r="E276" s="47"/>
      <c r="H276" s="48"/>
      <c r="L276" s="38" t="s">
        <v>265</v>
      </c>
      <c r="M276" s="41">
        <v>10</v>
      </c>
      <c r="N276" s="39">
        <v>480</v>
      </c>
      <c r="O276" s="38" t="s">
        <v>263</v>
      </c>
      <c r="P276" s="42">
        <v>29600</v>
      </c>
      <c r="Q276" s="43"/>
      <c r="R276" s="49"/>
      <c r="S276" s="50">
        <v>0.125</v>
      </c>
      <c r="T276" s="45">
        <v>0.05</v>
      </c>
      <c r="U276" s="51"/>
      <c r="V276" s="46"/>
      <c r="W276" s="51">
        <f>IF(NOTA[[#This Row],[HARGA/ CTN]]="",NOTA[[#This Row],[JUMLAH_H]],NOTA[[#This Row],[HARGA/ CTN]]*IF(NOTA[[#This Row],[C]]="",0,NOTA[[#This Row],[C]]))</f>
        <v>14208000</v>
      </c>
      <c r="X276" s="51">
        <f>IF(NOTA[[#This Row],[JUMLAH]]="","",NOTA[[#This Row],[JUMLAH]]*NOTA[[#This Row],[DISC 1]])</f>
        <v>1776000</v>
      </c>
      <c r="Y276" s="51">
        <f>IF(NOTA[[#This Row],[JUMLAH]]="","",(NOTA[[#This Row],[JUMLAH]]-NOTA[[#This Row],[DISC 1-]])*NOTA[[#This Row],[DISC 2]])</f>
        <v>621600</v>
      </c>
      <c r="Z276" s="51">
        <f>IF(NOTA[[#This Row],[JUMLAH]]="","",NOTA[[#This Row],[DISC 1-]]+NOTA[[#This Row],[DISC 2-]])</f>
        <v>2397600</v>
      </c>
      <c r="AA276" s="51">
        <f>IF(NOTA[[#This Row],[JUMLAH]]="","",NOTA[[#This Row],[JUMLAH]]-NOTA[[#This Row],[DISC]])</f>
        <v>11810400</v>
      </c>
      <c r="AB276" s="51"/>
      <c r="AC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11250630</v>
      </c>
      <c r="AD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55419770</v>
      </c>
      <c r="AE276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6" s="51">
        <f>IF(OR(NOTA[[#This Row],[QTY]]="",NOTA[[#This Row],[HARGA SATUAN]]="",),"",NOTA[[#This Row],[QTY]]*NOTA[[#This Row],[HARGA SATUAN]])</f>
        <v>14208000</v>
      </c>
      <c r="AG276" s="40">
        <f ca="1">IF(NOTA[ID_H]="","",INDEX(NOTA[TANGGAL],MATCH(,INDIRECT(ADDRESS(ROW(NOTA[TANGGAL]),COLUMN(NOTA[TANGGAL]))&amp;":"&amp;ADDRESS(ROW(),COLUMN(NOTA[TANGGAL]))),-1)))</f>
        <v>45117</v>
      </c>
      <c r="AH276" s="42" t="str">
        <f ca="1">IF(NOTA[[#This Row],[NAMA BARANG]]="","",INDEX(NOTA[SUPPLIER],MATCH(,INDIRECT(ADDRESS(ROW(NOTA[ID]),COLUMN(NOTA[ID]))&amp;":"&amp;ADDRESS(ROW(),COLUMN(NOTA[ID]))),-1)))</f>
        <v>ATALI MAKMUR</v>
      </c>
      <c r="AI276" s="42" t="str">
        <f ca="1">IF(NOTA[[#This Row],[ID_H]]="","",IF(NOTA[[#This Row],[FAKTUR]]="",INDIRECT(ADDRESS(ROW()-1,COLUMN())),NOTA[[#This Row],[FAKTUR]]))</f>
        <v>ARTO MORO</v>
      </c>
      <c r="AJ276" s="39" t="str">
        <f ca="1">IF(NOTA[[#This Row],[ID]]="","",COUNTIF(NOTA[ID_H],NOTA[[#This Row],[ID_H]]))</f>
        <v/>
      </c>
      <c r="AK276" s="39">
        <f ca="1">IF(NOTA[[#This Row],[TGL.NOTA]]="",IF(NOTA[[#This Row],[SUPPLIER_H]]="","",AK275),MONTH(NOTA[[#This Row],[TGL.NOTA]]))</f>
        <v>7</v>
      </c>
      <c r="AL276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9" t="str">
        <f>IF(NOTA[[#This Row],[CONCAT4]]="","",_xlfn.IFNA(MATCH(NOTA[[#This Row],[CONCAT4]],[2]!RAW[CONCAT_H],0),FALSE))</f>
        <v/>
      </c>
      <c r="AQ276" s="39">
        <f>IF(NOTA[[#This Row],[CONCAT1]]="","",MATCH(NOTA[[#This Row],[CONCAT1]],[3]!db[NB NOTA_C],0))</f>
        <v>1778</v>
      </c>
      <c r="AR276" s="39" t="str">
        <f>IF(NOTA[[#This Row],[QTY/ CTN]]="","",TRUE)</f>
        <v/>
      </c>
      <c r="AS276" s="39" t="str">
        <f ca="1">IF(NOTA[[#This Row],[ID_H]]="","",IF(NOTA[[#This Row],[Column3]]=TRUE,NOTA[[#This Row],[QTY/ CTN]],INDEX([3]!db[QTY/ CTN],NOTA[[#This Row],[//DB]])))</f>
        <v>8 BOX (6 SET)</v>
      </c>
      <c r="AT2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76" s="39" t="e">
        <f ca="1">IF(NOTA[[#This Row],[ID_H]]="","",MATCH(NOTA[[#This Row],[NB NOTA_C_QTY]],[4]!db[NB NOTA_C_QTY+F],0))</f>
        <v>#REF!</v>
      </c>
      <c r="AV276" s="55">
        <f ca="1">IF(NOTA[[#This Row],[NB NOTA_C_QTY]]="","",ROW()-2)</f>
        <v>274</v>
      </c>
    </row>
    <row r="277" spans="1:48" ht="20.100000000000001" customHeight="1" x14ac:dyDescent="0.25">
      <c r="A2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 t="str">
        <f ca="1">IF(NOTA[[#This Row],[NAMA BARANG]]="","",INDEX(NOTA[ID],MATCH(,INDIRECT(ADDRESS(ROW(NOTA[ID]),COLUMN(NOTA[ID]))&amp;":"&amp;ADDRESS(ROW(),COLUMN(NOTA[ID]))),-1)))</f>
        <v/>
      </c>
      <c r="E277" s="47"/>
      <c r="H277" s="48"/>
      <c r="N277" s="39"/>
      <c r="Q277" s="43"/>
      <c r="R277" s="49"/>
      <c r="S277" s="50"/>
      <c r="U277" s="51"/>
      <c r="V277" s="46"/>
      <c r="W277" s="51" t="str">
        <f>IF(NOTA[[#This Row],[HARGA/ CTN]]="",NOTA[[#This Row],[JUMLAH_H]],NOTA[[#This Row],[HARGA/ CTN]]*IF(NOTA[[#This Row],[C]]="",0,NOTA[[#This Row],[C]]))</f>
        <v/>
      </c>
      <c r="X277" s="51" t="str">
        <f>IF(NOTA[[#This Row],[JUMLAH]]="","",NOTA[[#This Row],[JUMLAH]]*NOTA[[#This Row],[DISC 1]])</f>
        <v/>
      </c>
      <c r="Y277" s="51" t="str">
        <f>IF(NOTA[[#This Row],[JUMLAH]]="","",(NOTA[[#This Row],[JUMLAH]]-NOTA[[#This Row],[DISC 1-]])*NOTA[[#This Row],[DISC 2]])</f>
        <v/>
      </c>
      <c r="Z277" s="51" t="str">
        <f>IF(NOTA[[#This Row],[JUMLAH]]="","",NOTA[[#This Row],[DISC 1-]]+NOTA[[#This Row],[DISC 2-]])</f>
        <v/>
      </c>
      <c r="AA277" s="51" t="str">
        <f>IF(NOTA[[#This Row],[JUMLAH]]="","",NOTA[[#This Row],[JUMLAH]]-NOTA[[#This Row],[DISC]])</f>
        <v/>
      </c>
      <c r="AB277" s="51"/>
      <c r="AC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1" t="str">
        <f>IF(OR(NOTA[[#This Row],[QTY]]="",NOTA[[#This Row],[HARGA SATUAN]]="",),"",NOTA[[#This Row],[QTY]]*NOTA[[#This Row],[HARGA SATUAN]])</f>
        <v/>
      </c>
      <c r="AG277" s="40" t="str">
        <f ca="1">IF(NOTA[ID_H]="","",INDEX(NOTA[TANGGAL],MATCH(,INDIRECT(ADDRESS(ROW(NOTA[TANGGAL]),COLUMN(NOTA[TANGGAL]))&amp;":"&amp;ADDRESS(ROW(),COLUMN(NOTA[TANGGAL]))),-1)))</f>
        <v/>
      </c>
      <c r="AH277" s="42" t="str">
        <f ca="1">IF(NOTA[[#This Row],[NAMA BARANG]]="","",INDEX(NOTA[SUPPLIER],MATCH(,INDIRECT(ADDRESS(ROW(NOTA[ID]),COLUMN(NOTA[ID]))&amp;":"&amp;ADDRESS(ROW(),COLUMN(NOTA[ID]))),-1)))</f>
        <v/>
      </c>
      <c r="AI277" s="42" t="str">
        <f ca="1">IF(NOTA[[#This Row],[ID_H]]="","",IF(NOTA[[#This Row],[FAKTUR]]="",INDIRECT(ADDRESS(ROW()-1,COLUMN())),NOTA[[#This Row],[FAKTUR]]))</f>
        <v/>
      </c>
      <c r="AJ277" s="39" t="str">
        <f ca="1">IF(NOTA[[#This Row],[ID]]="","",COUNTIF(NOTA[ID_H],NOTA[[#This Row],[ID_H]]))</f>
        <v/>
      </c>
      <c r="AK277" s="39" t="str">
        <f ca="1">IF(NOTA[[#This Row],[TGL.NOTA]]="",IF(NOTA[[#This Row],[SUPPLIER_H]]="","",AK276),MONTH(NOTA[[#This Row],[TGL.NOTA]]))</f>
        <v/>
      </c>
      <c r="AL277" s="39" t="str">
        <f>LOWER(SUBSTITUTE(SUBSTITUTE(SUBSTITUTE(SUBSTITUTE(SUBSTITUTE(SUBSTITUTE(SUBSTITUTE(SUBSTITUTE(SUBSTITUTE(NOTA[NAMA BARANG]," ",),".",""),"-",""),"(",""),")",""),",",""),"/",""),"""",""),"+",""))</f>
        <v/>
      </c>
      <c r="AM2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9" t="str">
        <f>IF(NOTA[[#This Row],[CONCAT4]]="","",_xlfn.IFNA(MATCH(NOTA[[#This Row],[CONCAT4]],[2]!RAW[CONCAT_H],0),FALSE))</f>
        <v/>
      </c>
      <c r="AQ277" s="39" t="str">
        <f>IF(NOTA[[#This Row],[CONCAT1]]="","",MATCH(NOTA[[#This Row],[CONCAT1]],[3]!db[NB NOTA_C],0))</f>
        <v/>
      </c>
      <c r="AR277" s="39" t="str">
        <f>IF(NOTA[[#This Row],[QTY/ CTN]]="","",TRUE)</f>
        <v/>
      </c>
      <c r="AS277" s="39" t="str">
        <f ca="1">IF(NOTA[[#This Row],[ID_H]]="","",IF(NOTA[[#This Row],[Column3]]=TRUE,NOTA[[#This Row],[QTY/ CTN]],INDEX([3]!db[QTY/ CTN],NOTA[[#This Row],[//DB]])))</f>
        <v/>
      </c>
      <c r="AT2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9" t="str">
        <f ca="1">IF(NOTA[[#This Row],[ID_H]]="","",MATCH(NOTA[[#This Row],[NB NOTA_C_QTY]],[4]!db[NB NOTA_C_QTY+F],0))</f>
        <v/>
      </c>
      <c r="AV277" s="55" t="str">
        <f ca="1">IF(NOTA[[#This Row],[NB NOTA_C_QTY]]="","",ROW()-2)</f>
        <v/>
      </c>
    </row>
    <row r="278" spans="1:48" ht="20.100000000000001" customHeight="1" x14ac:dyDescent="0.25">
      <c r="A278" s="42">
        <f ca="1">IF(INDIRECT(ADDRESS(ROW()-1,COLUMN(NOTA[[#Headers],[ID]])))="ID",1,IF(NOTA[[#This Row],[FAKTUR]]="","",COUNT(INDIRECT(ADDRESS(ROW(NOTA[ID]),COLUMN(NOTA[ID]))&amp;":"&amp;ADDRESS(ROW()-1,COLUMN(NOTA[ID]))))+1))</f>
        <v>57</v>
      </c>
      <c r="B2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ATA_1007_402-11</v>
      </c>
      <c r="C278" s="39" t="e">
        <f ca="1">IF(NOTA[[#This Row],[ID_P]]="","",MATCH(NOTA[[#This Row],[ID_P]],[1]!B_MSK[N_ID],0))</f>
        <v>#REF!</v>
      </c>
      <c r="D278" s="39">
        <f ca="1">IF(NOTA[[#This Row],[NAMA BARANG]]="","",INDEX(NOTA[ID],MATCH(,INDIRECT(ADDRESS(ROW(NOTA[ID]),COLUMN(NOTA[ID]))&amp;":"&amp;ADDRESS(ROW(),COLUMN(NOTA[ID]))),-1)))</f>
        <v>57</v>
      </c>
      <c r="E278" s="47"/>
      <c r="F278" s="38" t="s">
        <v>24</v>
      </c>
      <c r="G278" s="38" t="s">
        <v>23</v>
      </c>
      <c r="H278" s="48" t="s">
        <v>391</v>
      </c>
      <c r="J278" s="40">
        <v>45113</v>
      </c>
      <c r="L278" s="38" t="s">
        <v>262</v>
      </c>
      <c r="M278" s="41">
        <v>14</v>
      </c>
      <c r="N278" s="39">
        <v>2016</v>
      </c>
      <c r="O278" s="38" t="s">
        <v>263</v>
      </c>
      <c r="P278" s="42">
        <v>11900</v>
      </c>
      <c r="Q278" s="43"/>
      <c r="R278" s="49"/>
      <c r="S278" s="50">
        <v>0.125</v>
      </c>
      <c r="T278" s="45">
        <v>0.05</v>
      </c>
      <c r="U278" s="51"/>
      <c r="V278" s="46"/>
      <c r="W278" s="51">
        <f>IF(NOTA[[#This Row],[HARGA/ CTN]]="",NOTA[[#This Row],[JUMLAH_H]],NOTA[[#This Row],[HARGA/ CTN]]*IF(NOTA[[#This Row],[C]]="",0,NOTA[[#This Row],[C]]))</f>
        <v>23990400</v>
      </c>
      <c r="X278" s="51">
        <f>IF(NOTA[[#This Row],[JUMLAH]]="","",NOTA[[#This Row],[JUMLAH]]*NOTA[[#This Row],[DISC 1]])</f>
        <v>2998800</v>
      </c>
      <c r="Y278" s="51">
        <f>IF(NOTA[[#This Row],[JUMLAH]]="","",(NOTA[[#This Row],[JUMLAH]]-NOTA[[#This Row],[DISC 1-]])*NOTA[[#This Row],[DISC 2]])</f>
        <v>1049580</v>
      </c>
      <c r="Z278" s="51">
        <f>IF(NOTA[[#This Row],[JUMLAH]]="","",NOTA[[#This Row],[DISC 1-]]+NOTA[[#This Row],[DISC 2-]])</f>
        <v>4048380</v>
      </c>
      <c r="AA278" s="51">
        <f>IF(NOTA[[#This Row],[JUMLAH]]="","",NOTA[[#This Row],[JUMLAH]]-NOTA[[#This Row],[DISC]])</f>
        <v>19942020</v>
      </c>
      <c r="AB278" s="51"/>
      <c r="AC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8" s="51">
        <f>IF(OR(NOTA[[#This Row],[QTY]]="",NOTA[[#This Row],[HARGA SATUAN]]="",),"",NOTA[[#This Row],[QTY]]*NOTA[[#This Row],[HARGA SATUAN]])</f>
        <v>23990400</v>
      </c>
      <c r="AG278" s="40">
        <f ca="1">IF(NOTA[ID_H]="","",INDEX(NOTA[TANGGAL],MATCH(,INDIRECT(ADDRESS(ROW(NOTA[TANGGAL]),COLUMN(NOTA[TANGGAL]))&amp;":"&amp;ADDRESS(ROW(),COLUMN(NOTA[TANGGAL]))),-1)))</f>
        <v>45117</v>
      </c>
      <c r="AH278" s="42" t="str">
        <f ca="1">IF(NOTA[[#This Row],[NAMA BARANG]]="","",INDEX(NOTA[SUPPLIER],MATCH(,INDIRECT(ADDRESS(ROW(NOTA[ID]),COLUMN(NOTA[ID]))&amp;":"&amp;ADDRESS(ROW(),COLUMN(NOTA[ID]))),-1)))</f>
        <v>ATALI MAKMUR</v>
      </c>
      <c r="AI278" s="42" t="str">
        <f ca="1">IF(NOTA[[#This Row],[ID_H]]="","",IF(NOTA[[#This Row],[FAKTUR]]="",INDIRECT(ADDRESS(ROW()-1,COLUMN())),NOTA[[#This Row],[FAKTUR]]))</f>
        <v>ARTO MORO</v>
      </c>
      <c r="AJ278" s="39">
        <f ca="1">IF(NOTA[[#This Row],[ID]]="","",COUNTIF(NOTA[ID_H],NOTA[[#This Row],[ID_H]]))</f>
        <v>11</v>
      </c>
      <c r="AK278" s="39">
        <f>IF(NOTA[[#This Row],[TGL.NOTA]]="",IF(NOTA[[#This Row],[SUPPLIER_H]]="","",AK277),MONTH(NOTA[[#This Row],[TGL.NOTA]]))</f>
        <v>7</v>
      </c>
      <c r="AL278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MOROSA23071140245113oilpastelop12sppcaseseaworldjk</v>
      </c>
      <c r="AP278" s="39" t="e">
        <f>IF(NOTA[[#This Row],[CONCAT4]]="","",_xlfn.IFNA(MATCH(NOTA[[#This Row],[CONCAT4]],[2]!RAW[CONCAT_H],0),FALSE))</f>
        <v>#REF!</v>
      </c>
      <c r="AQ278" s="39">
        <f>IF(NOTA[[#This Row],[CONCAT1]]="","",MATCH(NOTA[[#This Row],[CONCAT1]],[3]!db[NB NOTA_C],0))</f>
        <v>1775</v>
      </c>
      <c r="AR278" s="39" t="str">
        <f>IF(NOTA[[#This Row],[QTY/ CTN]]="","",TRUE)</f>
        <v/>
      </c>
      <c r="AS278" s="39" t="str">
        <f ca="1">IF(NOTA[[#This Row],[ID_H]]="","",IF(NOTA[[#This Row],[Column3]]=TRUE,NOTA[[#This Row],[QTY/ CTN]],INDEX([3]!db[QTY/ CTN],NOTA[[#This Row],[//DB]])))</f>
        <v>12 LSN</v>
      </c>
      <c r="AT2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8" s="39" t="e">
        <f ca="1">IF(NOTA[[#This Row],[ID_H]]="","",MATCH(NOTA[[#This Row],[NB NOTA_C_QTY]],[4]!db[NB NOTA_C_QTY+F],0))</f>
        <v>#REF!</v>
      </c>
      <c r="AV278" s="55">
        <f ca="1">IF(NOTA[[#This Row],[NB NOTA_C_QTY]]="","",ROW()-2)</f>
        <v>276</v>
      </c>
    </row>
    <row r="279" spans="1:48" ht="20.100000000000001" customHeight="1" x14ac:dyDescent="0.25">
      <c r="A2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57</v>
      </c>
      <c r="E279" s="47"/>
      <c r="H279" s="48"/>
      <c r="L279" s="38" t="s">
        <v>264</v>
      </c>
      <c r="M279" s="41">
        <v>5</v>
      </c>
      <c r="N279" s="39">
        <v>360</v>
      </c>
      <c r="O279" s="38" t="s">
        <v>263</v>
      </c>
      <c r="P279" s="42">
        <v>23000</v>
      </c>
      <c r="Q279" s="43"/>
      <c r="R279" s="49"/>
      <c r="S279" s="50">
        <v>0.125</v>
      </c>
      <c r="T279" s="45">
        <v>0.05</v>
      </c>
      <c r="U279" s="51"/>
      <c r="V279" s="46"/>
      <c r="W279" s="51">
        <f>IF(NOTA[[#This Row],[HARGA/ CTN]]="",NOTA[[#This Row],[JUMLAH_H]],NOTA[[#This Row],[HARGA/ CTN]]*IF(NOTA[[#This Row],[C]]="",0,NOTA[[#This Row],[C]]))</f>
        <v>8280000</v>
      </c>
      <c r="X279" s="51">
        <f>IF(NOTA[[#This Row],[JUMLAH]]="","",NOTA[[#This Row],[JUMLAH]]*NOTA[[#This Row],[DISC 1]])</f>
        <v>1035000</v>
      </c>
      <c r="Y279" s="51">
        <f>IF(NOTA[[#This Row],[JUMLAH]]="","",(NOTA[[#This Row],[JUMLAH]]-NOTA[[#This Row],[DISC 1-]])*NOTA[[#This Row],[DISC 2]])</f>
        <v>362250</v>
      </c>
      <c r="Z279" s="51">
        <f>IF(NOTA[[#This Row],[JUMLAH]]="","",NOTA[[#This Row],[DISC 1-]]+NOTA[[#This Row],[DISC 2-]])</f>
        <v>1397250</v>
      </c>
      <c r="AA279" s="51">
        <f>IF(NOTA[[#This Row],[JUMLAH]]="","",NOTA[[#This Row],[JUMLAH]]-NOTA[[#This Row],[DISC]])</f>
        <v>6882750</v>
      </c>
      <c r="AB279" s="51"/>
      <c r="AC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9" s="51">
        <f>IF(OR(NOTA[[#This Row],[QTY]]="",NOTA[[#This Row],[HARGA SATUAN]]="",),"",NOTA[[#This Row],[QTY]]*NOTA[[#This Row],[HARGA SATUAN]])</f>
        <v>8280000</v>
      </c>
      <c r="AG279" s="40">
        <f ca="1">IF(NOTA[ID_H]="","",INDEX(NOTA[TANGGAL],MATCH(,INDIRECT(ADDRESS(ROW(NOTA[TANGGAL]),COLUMN(NOTA[TANGGAL]))&amp;":"&amp;ADDRESS(ROW(),COLUMN(NOTA[TANGGAL]))),-1)))</f>
        <v>45117</v>
      </c>
      <c r="AH279" s="42" t="str">
        <f ca="1">IF(NOTA[[#This Row],[NAMA BARANG]]="","",INDEX(NOTA[SUPPLIER],MATCH(,INDIRECT(ADDRESS(ROW(NOTA[ID]),COLUMN(NOTA[ID]))&amp;":"&amp;ADDRESS(ROW(),COLUMN(NOTA[ID]))),-1)))</f>
        <v>ATALI MAKMUR</v>
      </c>
      <c r="AI279" s="42" t="str">
        <f ca="1">IF(NOTA[[#This Row],[ID_H]]="","",IF(NOTA[[#This Row],[FAKTUR]]="",INDIRECT(ADDRESS(ROW()-1,COLUMN())),NOTA[[#This Row],[FAKTUR]]))</f>
        <v>ARTO MORO</v>
      </c>
      <c r="AJ279" s="39" t="str">
        <f ca="1">IF(NOTA[[#This Row],[ID]]="","",COUNTIF(NOTA[ID_H],NOTA[[#This Row],[ID_H]]))</f>
        <v/>
      </c>
      <c r="AK279" s="39">
        <f ca="1">IF(NOTA[[#This Row],[TGL.NOTA]]="",IF(NOTA[[#This Row],[SUPPLIER_H]]="","",AK278),MONTH(NOTA[[#This Row],[TGL.NOTA]]))</f>
        <v>7</v>
      </c>
      <c r="AL279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9" t="str">
        <f>IF(NOTA[[#This Row],[CONCAT4]]="","",_xlfn.IFNA(MATCH(NOTA[[#This Row],[CONCAT4]],[2]!RAW[CONCAT_H],0),FALSE))</f>
        <v/>
      </c>
      <c r="AQ279" s="39">
        <f>IF(NOTA[[#This Row],[CONCAT1]]="","",MATCH(NOTA[[#This Row],[CONCAT1]],[3]!db[NB NOTA_C],0))</f>
        <v>1777</v>
      </c>
      <c r="AR279" s="39" t="str">
        <f>IF(NOTA[[#This Row],[QTY/ CTN]]="","",TRUE)</f>
        <v/>
      </c>
      <c r="AS279" s="39" t="str">
        <f ca="1">IF(NOTA[[#This Row],[ID_H]]="","",IF(NOTA[[#This Row],[Column3]]=TRUE,NOTA[[#This Row],[QTY/ CTN]],INDEX([3]!db[QTY/ CTN],NOTA[[#This Row],[//DB]])))</f>
        <v>6 LSN</v>
      </c>
      <c r="AT2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9" s="39" t="e">
        <f ca="1">IF(NOTA[[#This Row],[ID_H]]="","",MATCH(NOTA[[#This Row],[NB NOTA_C_QTY]],[4]!db[NB NOTA_C_QTY+F],0))</f>
        <v>#REF!</v>
      </c>
      <c r="AV279" s="55">
        <f ca="1">IF(NOTA[[#This Row],[NB NOTA_C_QTY]]="","",ROW()-2)</f>
        <v>277</v>
      </c>
    </row>
    <row r="280" spans="1:48" ht="20.100000000000001" customHeight="1" x14ac:dyDescent="0.25">
      <c r="A2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57</v>
      </c>
      <c r="E280" s="47"/>
      <c r="H280" s="48"/>
      <c r="L280" s="38" t="s">
        <v>265</v>
      </c>
      <c r="M280" s="41">
        <v>3</v>
      </c>
      <c r="N280" s="39">
        <v>144</v>
      </c>
      <c r="O280" s="38" t="s">
        <v>263</v>
      </c>
      <c r="P280" s="42">
        <v>29600</v>
      </c>
      <c r="Q280" s="43"/>
      <c r="R280" s="49"/>
      <c r="S280" s="50">
        <v>0.125</v>
      </c>
      <c r="T280" s="45">
        <v>0.05</v>
      </c>
      <c r="U280" s="51"/>
      <c r="V280" s="46"/>
      <c r="W280" s="51">
        <f>IF(NOTA[[#This Row],[HARGA/ CTN]]="",NOTA[[#This Row],[JUMLAH_H]],NOTA[[#This Row],[HARGA/ CTN]]*IF(NOTA[[#This Row],[C]]="",0,NOTA[[#This Row],[C]]))</f>
        <v>4262400</v>
      </c>
      <c r="X280" s="51">
        <f>IF(NOTA[[#This Row],[JUMLAH]]="","",NOTA[[#This Row],[JUMLAH]]*NOTA[[#This Row],[DISC 1]])</f>
        <v>532800</v>
      </c>
      <c r="Y280" s="51">
        <f>IF(NOTA[[#This Row],[JUMLAH]]="","",(NOTA[[#This Row],[JUMLAH]]-NOTA[[#This Row],[DISC 1-]])*NOTA[[#This Row],[DISC 2]])</f>
        <v>186480</v>
      </c>
      <c r="Z280" s="51">
        <f>IF(NOTA[[#This Row],[JUMLAH]]="","",NOTA[[#This Row],[DISC 1-]]+NOTA[[#This Row],[DISC 2-]])</f>
        <v>719280</v>
      </c>
      <c r="AA280" s="51">
        <f>IF(NOTA[[#This Row],[JUMLAH]]="","",NOTA[[#This Row],[JUMLAH]]-NOTA[[#This Row],[DISC]])</f>
        <v>3543120</v>
      </c>
      <c r="AB280" s="51"/>
      <c r="AC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80" s="51">
        <f>IF(OR(NOTA[[#This Row],[QTY]]="",NOTA[[#This Row],[HARGA SATUAN]]="",),"",NOTA[[#This Row],[QTY]]*NOTA[[#This Row],[HARGA SATUAN]])</f>
        <v>4262400</v>
      </c>
      <c r="AG280" s="40">
        <f ca="1">IF(NOTA[ID_H]="","",INDEX(NOTA[TANGGAL],MATCH(,INDIRECT(ADDRESS(ROW(NOTA[TANGGAL]),COLUMN(NOTA[TANGGAL]))&amp;":"&amp;ADDRESS(ROW(),COLUMN(NOTA[TANGGAL]))),-1)))</f>
        <v>45117</v>
      </c>
      <c r="AH280" s="42" t="str">
        <f ca="1">IF(NOTA[[#This Row],[NAMA BARANG]]="","",INDEX(NOTA[SUPPLIER],MATCH(,INDIRECT(ADDRESS(ROW(NOTA[ID]),COLUMN(NOTA[ID]))&amp;":"&amp;ADDRESS(ROW(),COLUMN(NOTA[ID]))),-1)))</f>
        <v>ATALI MAKMUR</v>
      </c>
      <c r="AI280" s="42" t="str">
        <f ca="1">IF(NOTA[[#This Row],[ID_H]]="","",IF(NOTA[[#This Row],[FAKTUR]]="",INDIRECT(ADDRESS(ROW()-1,COLUMN())),NOTA[[#This Row],[FAKTUR]]))</f>
        <v>ARTO MORO</v>
      </c>
      <c r="AJ280" s="39" t="str">
        <f ca="1">IF(NOTA[[#This Row],[ID]]="","",COUNTIF(NOTA[ID_H],NOTA[[#This Row],[ID_H]]))</f>
        <v/>
      </c>
      <c r="AK280" s="39">
        <f ca="1">IF(NOTA[[#This Row],[TGL.NOTA]]="",IF(NOTA[[#This Row],[SUPPLIER_H]]="","",AK279),MONTH(NOTA[[#This Row],[TGL.NOTA]]))</f>
        <v>7</v>
      </c>
      <c r="AL280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9" t="str">
        <f>IF(NOTA[[#This Row],[CONCAT4]]="","",_xlfn.IFNA(MATCH(NOTA[[#This Row],[CONCAT4]],[2]!RAW[CONCAT_H],0),FALSE))</f>
        <v/>
      </c>
      <c r="AQ280" s="39">
        <f>IF(NOTA[[#This Row],[CONCAT1]]="","",MATCH(NOTA[[#This Row],[CONCAT1]],[3]!db[NB NOTA_C],0))</f>
        <v>1778</v>
      </c>
      <c r="AR280" s="39" t="str">
        <f>IF(NOTA[[#This Row],[QTY/ CTN]]="","",TRUE)</f>
        <v/>
      </c>
      <c r="AS280" s="39" t="str">
        <f ca="1">IF(NOTA[[#This Row],[ID_H]]="","",IF(NOTA[[#This Row],[Column3]]=TRUE,NOTA[[#This Row],[QTY/ CTN]],INDEX([3]!db[QTY/ CTN],NOTA[[#This Row],[//DB]])))</f>
        <v>8 BOX (6 SET)</v>
      </c>
      <c r="AT2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80" s="39" t="e">
        <f ca="1">IF(NOTA[[#This Row],[ID_H]]="","",MATCH(NOTA[[#This Row],[NB NOTA_C_QTY]],[4]!db[NB NOTA_C_QTY+F],0))</f>
        <v>#REF!</v>
      </c>
      <c r="AV280" s="55">
        <f ca="1">IF(NOTA[[#This Row],[NB NOTA_C_QTY]]="","",ROW()-2)</f>
        <v>278</v>
      </c>
    </row>
    <row r="281" spans="1:48" ht="20.100000000000001" customHeight="1" x14ac:dyDescent="0.25">
      <c r="A2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57</v>
      </c>
      <c r="E281" s="47"/>
      <c r="H281" s="48"/>
      <c r="L281" s="38" t="s">
        <v>322</v>
      </c>
      <c r="M281" s="41">
        <v>1</v>
      </c>
      <c r="N281" s="39">
        <v>50</v>
      </c>
      <c r="O281" s="38" t="s">
        <v>319</v>
      </c>
      <c r="P281" s="42">
        <v>32000</v>
      </c>
      <c r="Q281" s="43"/>
      <c r="R281" s="49"/>
      <c r="S281" s="50">
        <v>0.125</v>
      </c>
      <c r="T281" s="45">
        <v>0.05</v>
      </c>
      <c r="U281" s="51"/>
      <c r="V281" s="46"/>
      <c r="W281" s="51">
        <f>IF(NOTA[[#This Row],[HARGA/ CTN]]="",NOTA[[#This Row],[JUMLAH_H]],NOTA[[#This Row],[HARGA/ CTN]]*IF(NOTA[[#This Row],[C]]="",0,NOTA[[#This Row],[C]]))</f>
        <v>1600000</v>
      </c>
      <c r="X281" s="51">
        <f>IF(NOTA[[#This Row],[JUMLAH]]="","",NOTA[[#This Row],[JUMLAH]]*NOTA[[#This Row],[DISC 1]])</f>
        <v>200000</v>
      </c>
      <c r="Y281" s="51">
        <f>IF(NOTA[[#This Row],[JUMLAH]]="","",(NOTA[[#This Row],[JUMLAH]]-NOTA[[#This Row],[DISC 1-]])*NOTA[[#This Row],[DISC 2]])</f>
        <v>70000</v>
      </c>
      <c r="Z281" s="51">
        <f>IF(NOTA[[#This Row],[JUMLAH]]="","",NOTA[[#This Row],[DISC 1-]]+NOTA[[#This Row],[DISC 2-]])</f>
        <v>270000</v>
      </c>
      <c r="AA281" s="51">
        <f>IF(NOTA[[#This Row],[JUMLAH]]="","",NOTA[[#This Row],[JUMLAH]]-NOTA[[#This Row],[DISC]])</f>
        <v>1330000</v>
      </c>
      <c r="AB281" s="51"/>
      <c r="AC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1" s="51">
        <f>IF(OR(NOTA[[#This Row],[QTY]]="",NOTA[[#This Row],[HARGA SATUAN]]="",),"",NOTA[[#This Row],[QTY]]*NOTA[[#This Row],[HARGA SATUAN]])</f>
        <v>1600000</v>
      </c>
      <c r="AG281" s="40">
        <f ca="1">IF(NOTA[ID_H]="","",INDEX(NOTA[TANGGAL],MATCH(,INDIRECT(ADDRESS(ROW(NOTA[TANGGAL]),COLUMN(NOTA[TANGGAL]))&amp;":"&amp;ADDRESS(ROW(),COLUMN(NOTA[TANGGAL]))),-1)))</f>
        <v>45117</v>
      </c>
      <c r="AH281" s="42" t="str">
        <f ca="1">IF(NOTA[[#This Row],[NAMA BARANG]]="","",INDEX(NOTA[SUPPLIER],MATCH(,INDIRECT(ADDRESS(ROW(NOTA[ID]),COLUMN(NOTA[ID]))&amp;":"&amp;ADDRESS(ROW(),COLUMN(NOTA[ID]))),-1)))</f>
        <v>ATALI MAKMUR</v>
      </c>
      <c r="AI281" s="42" t="str">
        <f ca="1">IF(NOTA[[#This Row],[ID_H]]="","",IF(NOTA[[#This Row],[FAKTUR]]="",INDIRECT(ADDRESS(ROW()-1,COLUMN())),NOTA[[#This Row],[FAKTUR]]))</f>
        <v>ARTO MORO</v>
      </c>
      <c r="AJ281" s="39" t="str">
        <f ca="1">IF(NOTA[[#This Row],[ID]]="","",COUNTIF(NOTA[ID_H],NOTA[[#This Row],[ID_H]]))</f>
        <v/>
      </c>
      <c r="AK281" s="39">
        <f ca="1">IF(NOTA[[#This Row],[TGL.NOTA]]="",IF(NOTA[[#This Row],[SUPPLIER_H]]="","",AK280),MONTH(NOTA[[#This Row],[TGL.NOTA]]))</f>
        <v>7</v>
      </c>
      <c r="AL281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9" t="str">
        <f>IF(NOTA[[#This Row],[CONCAT4]]="","",_xlfn.IFNA(MATCH(NOTA[[#This Row],[CONCAT4]],[2]!RAW[CONCAT_H],0),FALSE))</f>
        <v/>
      </c>
      <c r="AQ281" s="39">
        <f>IF(NOTA[[#This Row],[CONCAT1]]="","",MATCH(NOTA[[#This Row],[CONCAT1]],[3]!db[NB NOTA_C],0))</f>
        <v>2496</v>
      </c>
      <c r="AR281" s="39" t="str">
        <f>IF(NOTA[[#This Row],[QTY/ CTN]]="","",TRUE)</f>
        <v/>
      </c>
      <c r="AS281" s="39" t="str">
        <f ca="1">IF(NOTA[[#This Row],[ID_H]]="","",IF(NOTA[[#This Row],[Column3]]=TRUE,NOTA[[#This Row],[QTY/ CTN]],INDEX([3]!db[QTY/ CTN],NOTA[[#This Row],[//DB]])))</f>
        <v>50 BOX (30 PCS)</v>
      </c>
      <c r="AT2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81" s="39" t="e">
        <f ca="1">IF(NOTA[[#This Row],[ID_H]]="","",MATCH(NOTA[[#This Row],[NB NOTA_C_QTY]],[4]!db[NB NOTA_C_QTY+F],0))</f>
        <v>#REF!</v>
      </c>
      <c r="AV281" s="55">
        <f ca="1">IF(NOTA[[#This Row],[NB NOTA_C_QTY]]="","",ROW()-2)</f>
        <v>279</v>
      </c>
    </row>
    <row r="282" spans="1:48" ht="20.100000000000001" customHeight="1" x14ac:dyDescent="0.25">
      <c r="A2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57</v>
      </c>
      <c r="E282" s="47"/>
      <c r="H282" s="38"/>
      <c r="L282" s="38" t="s">
        <v>321</v>
      </c>
      <c r="M282" s="41">
        <v>2</v>
      </c>
      <c r="N282" s="39">
        <v>100</v>
      </c>
      <c r="O282" s="38" t="s">
        <v>319</v>
      </c>
      <c r="P282" s="42">
        <v>32000</v>
      </c>
      <c r="Q282" s="43"/>
      <c r="R282" s="49"/>
      <c r="S282" s="50">
        <v>0.125</v>
      </c>
      <c r="T282" s="45">
        <v>0.05</v>
      </c>
      <c r="U282" s="51"/>
      <c r="V282" s="46"/>
      <c r="W282" s="51">
        <f>IF(NOTA[[#This Row],[HARGA/ CTN]]="",NOTA[[#This Row],[JUMLAH_H]],NOTA[[#This Row],[HARGA/ CTN]]*IF(NOTA[[#This Row],[C]]="",0,NOTA[[#This Row],[C]]))</f>
        <v>3200000</v>
      </c>
      <c r="X282" s="51">
        <f>IF(NOTA[[#This Row],[JUMLAH]]="","",NOTA[[#This Row],[JUMLAH]]*NOTA[[#This Row],[DISC 1]])</f>
        <v>400000</v>
      </c>
      <c r="Y282" s="51">
        <f>IF(NOTA[[#This Row],[JUMLAH]]="","",(NOTA[[#This Row],[JUMLAH]]-NOTA[[#This Row],[DISC 1-]])*NOTA[[#This Row],[DISC 2]])</f>
        <v>140000</v>
      </c>
      <c r="Z282" s="51">
        <f>IF(NOTA[[#This Row],[JUMLAH]]="","",NOTA[[#This Row],[DISC 1-]]+NOTA[[#This Row],[DISC 2-]])</f>
        <v>540000</v>
      </c>
      <c r="AA282" s="51">
        <f>IF(NOTA[[#This Row],[JUMLAH]]="","",NOTA[[#This Row],[JUMLAH]]-NOTA[[#This Row],[DISC]])</f>
        <v>2660000</v>
      </c>
      <c r="AB282" s="51"/>
      <c r="AC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2" s="51">
        <f>IF(OR(NOTA[[#This Row],[QTY]]="",NOTA[[#This Row],[HARGA SATUAN]]="",),"",NOTA[[#This Row],[QTY]]*NOTA[[#This Row],[HARGA SATUAN]])</f>
        <v>3200000</v>
      </c>
      <c r="AG282" s="40">
        <f ca="1">IF(NOTA[ID_H]="","",INDEX(NOTA[TANGGAL],MATCH(,INDIRECT(ADDRESS(ROW(NOTA[TANGGAL]),COLUMN(NOTA[TANGGAL]))&amp;":"&amp;ADDRESS(ROW(),COLUMN(NOTA[TANGGAL]))),-1)))</f>
        <v>45117</v>
      </c>
      <c r="AH282" s="42" t="str">
        <f ca="1">IF(NOTA[[#This Row],[NAMA BARANG]]="","",INDEX(NOTA[SUPPLIER],MATCH(,INDIRECT(ADDRESS(ROW(NOTA[ID]),COLUMN(NOTA[ID]))&amp;":"&amp;ADDRESS(ROW(),COLUMN(NOTA[ID]))),-1)))</f>
        <v>ATALI MAKMUR</v>
      </c>
      <c r="AI282" s="42" t="str">
        <f ca="1">IF(NOTA[[#This Row],[ID_H]]="","",IF(NOTA[[#This Row],[FAKTUR]]="",INDIRECT(ADDRESS(ROW()-1,COLUMN())),NOTA[[#This Row],[FAKTUR]]))</f>
        <v>ARTO MORO</v>
      </c>
      <c r="AJ282" s="39" t="str">
        <f ca="1">IF(NOTA[[#This Row],[ID]]="","",COUNTIF(NOTA[ID_H],NOTA[[#This Row],[ID_H]]))</f>
        <v/>
      </c>
      <c r="AK282" s="39">
        <f ca="1">IF(NOTA[[#This Row],[TGL.NOTA]]="",IF(NOTA[[#This Row],[SUPPLIER_H]]="","",AK281),MONTH(NOTA[[#This Row],[TGL.NOTA]]))</f>
        <v>7</v>
      </c>
      <c r="AL282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9" t="str">
        <f>IF(NOTA[[#This Row],[CONCAT4]]="","",_xlfn.IFNA(MATCH(NOTA[[#This Row],[CONCAT4]],[2]!RAW[CONCAT_H],0),FALSE))</f>
        <v/>
      </c>
      <c r="AQ282" s="39">
        <f>IF(NOTA[[#This Row],[CONCAT1]]="","",MATCH(NOTA[[#This Row],[CONCAT1]],[3]!db[NB NOTA_C],0))</f>
        <v>2497</v>
      </c>
      <c r="AR282" s="39" t="str">
        <f>IF(NOTA[[#This Row],[QTY/ CTN]]="","",TRUE)</f>
        <v/>
      </c>
      <c r="AS282" s="39" t="str">
        <f ca="1">IF(NOTA[[#This Row],[ID_H]]="","",IF(NOTA[[#This Row],[Column3]]=TRUE,NOTA[[#This Row],[QTY/ CTN]],INDEX([3]!db[QTY/ CTN],NOTA[[#This Row],[//DB]])))</f>
        <v>50 BOX (30 PCS)</v>
      </c>
      <c r="AT2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82" s="39" t="e">
        <f ca="1">IF(NOTA[[#This Row],[ID_H]]="","",MATCH(NOTA[[#This Row],[NB NOTA_C_QTY]],[4]!db[NB NOTA_C_QTY+F],0))</f>
        <v>#REF!</v>
      </c>
      <c r="AV282" s="55">
        <f ca="1">IF(NOTA[[#This Row],[NB NOTA_C_QTY]]="","",ROW()-2)</f>
        <v>280</v>
      </c>
    </row>
    <row r="283" spans="1:48" ht="20.100000000000001" customHeight="1" x14ac:dyDescent="0.25">
      <c r="A2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>
        <f ca="1">IF(NOTA[[#This Row],[NAMA BARANG]]="","",INDEX(NOTA[ID],MATCH(,INDIRECT(ADDRESS(ROW(NOTA[ID]),COLUMN(NOTA[ID]))&amp;":"&amp;ADDRESS(ROW(),COLUMN(NOTA[ID]))),-1)))</f>
        <v>57</v>
      </c>
      <c r="E283" s="47"/>
      <c r="H283" s="48"/>
      <c r="L283" s="38" t="s">
        <v>318</v>
      </c>
      <c r="M283" s="41">
        <v>1</v>
      </c>
      <c r="N283" s="39">
        <v>50</v>
      </c>
      <c r="O283" s="38" t="s">
        <v>319</v>
      </c>
      <c r="P283" s="42">
        <v>28300</v>
      </c>
      <c r="Q283" s="43"/>
      <c r="R283" s="49"/>
      <c r="S283" s="50">
        <v>0.125</v>
      </c>
      <c r="T283" s="45">
        <v>0.05</v>
      </c>
      <c r="U283" s="51"/>
      <c r="V283" s="46"/>
      <c r="W283" s="51">
        <f>IF(NOTA[[#This Row],[HARGA/ CTN]]="",NOTA[[#This Row],[JUMLAH_H]],NOTA[[#This Row],[HARGA/ CTN]]*IF(NOTA[[#This Row],[C]]="",0,NOTA[[#This Row],[C]]))</f>
        <v>1415000</v>
      </c>
      <c r="X283" s="51">
        <f>IF(NOTA[[#This Row],[JUMLAH]]="","",NOTA[[#This Row],[JUMLAH]]*NOTA[[#This Row],[DISC 1]])</f>
        <v>176875</v>
      </c>
      <c r="Y283" s="51">
        <f>IF(NOTA[[#This Row],[JUMLAH]]="","",(NOTA[[#This Row],[JUMLAH]]-NOTA[[#This Row],[DISC 1-]])*NOTA[[#This Row],[DISC 2]])</f>
        <v>61906.25</v>
      </c>
      <c r="Z283" s="51">
        <f>IF(NOTA[[#This Row],[JUMLAH]]="","",NOTA[[#This Row],[DISC 1-]]+NOTA[[#This Row],[DISC 2-]])</f>
        <v>238781.25</v>
      </c>
      <c r="AA283" s="51">
        <f>IF(NOTA[[#This Row],[JUMLAH]]="","",NOTA[[#This Row],[JUMLAH]]-NOTA[[#This Row],[DISC]])</f>
        <v>1176218.75</v>
      </c>
      <c r="AB283" s="51"/>
      <c r="AC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3" s="51">
        <f>IF(OR(NOTA[[#This Row],[QTY]]="",NOTA[[#This Row],[HARGA SATUAN]]="",),"",NOTA[[#This Row],[QTY]]*NOTA[[#This Row],[HARGA SATUAN]])</f>
        <v>1415000</v>
      </c>
      <c r="AG283" s="40">
        <f ca="1">IF(NOTA[ID_H]="","",INDEX(NOTA[TANGGAL],MATCH(,INDIRECT(ADDRESS(ROW(NOTA[TANGGAL]),COLUMN(NOTA[TANGGAL]))&amp;":"&amp;ADDRESS(ROW(),COLUMN(NOTA[TANGGAL]))),-1)))</f>
        <v>45117</v>
      </c>
      <c r="AH283" s="42" t="str">
        <f ca="1">IF(NOTA[[#This Row],[NAMA BARANG]]="","",INDEX(NOTA[SUPPLIER],MATCH(,INDIRECT(ADDRESS(ROW(NOTA[ID]),COLUMN(NOTA[ID]))&amp;":"&amp;ADDRESS(ROW(),COLUMN(NOTA[ID]))),-1)))</f>
        <v>ATALI MAKMUR</v>
      </c>
      <c r="AI283" s="42" t="str">
        <f ca="1">IF(NOTA[[#This Row],[ID_H]]="","",IF(NOTA[[#This Row],[FAKTUR]]="",INDIRECT(ADDRESS(ROW()-1,COLUMN())),NOTA[[#This Row],[FAKTUR]]))</f>
        <v>ARTO MORO</v>
      </c>
      <c r="AJ283" s="39" t="str">
        <f ca="1">IF(NOTA[[#This Row],[ID]]="","",COUNTIF(NOTA[ID_H],NOTA[[#This Row],[ID_H]]))</f>
        <v/>
      </c>
      <c r="AK283" s="39">
        <f ca="1">IF(NOTA[[#This Row],[TGL.NOTA]]="",IF(NOTA[[#This Row],[SUPPLIER_H]]="","",AK282),MONTH(NOTA[[#This Row],[TGL.NOTA]]))</f>
        <v>7</v>
      </c>
      <c r="AL283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9" t="str">
        <f>IF(NOTA[[#This Row],[CONCAT4]]="","",_xlfn.IFNA(MATCH(NOTA[[#This Row],[CONCAT4]],[2]!RAW[CONCAT_H],0),FALSE))</f>
        <v/>
      </c>
      <c r="AQ283" s="39">
        <f>IF(NOTA[[#This Row],[CONCAT1]]="","",MATCH(NOTA[[#This Row],[CONCAT1]],[3]!db[NB NOTA_C],0))</f>
        <v>2499</v>
      </c>
      <c r="AR283" s="39" t="str">
        <f>IF(NOTA[[#This Row],[QTY/ CTN]]="","",TRUE)</f>
        <v/>
      </c>
      <c r="AS283" s="39" t="str">
        <f ca="1">IF(NOTA[[#This Row],[ID_H]]="","",IF(NOTA[[#This Row],[Column3]]=TRUE,NOTA[[#This Row],[QTY/ CTN]],INDEX([3]!db[QTY/ CTN],NOTA[[#This Row],[//DB]])))</f>
        <v>50 BOX (40 PCS)</v>
      </c>
      <c r="AT2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83" s="39" t="e">
        <f ca="1">IF(NOTA[[#This Row],[ID_H]]="","",MATCH(NOTA[[#This Row],[NB NOTA_C_QTY]],[4]!db[NB NOTA_C_QTY+F],0))</f>
        <v>#REF!</v>
      </c>
      <c r="AV283" s="55">
        <f ca="1">IF(NOTA[[#This Row],[NB NOTA_C_QTY]]="","",ROW()-2)</f>
        <v>281</v>
      </c>
    </row>
    <row r="284" spans="1:48" ht="20.100000000000001" customHeight="1" x14ac:dyDescent="0.25">
      <c r="A2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9" t="str">
        <f>IF(NOTA[[#This Row],[ID_P]]="","",MATCH(NOTA[[#This Row],[ID_P]],[1]!B_MSK[N_ID],0))</f>
        <v/>
      </c>
      <c r="D284" s="39">
        <f ca="1">IF(NOTA[[#This Row],[NAMA BARANG]]="","",INDEX(NOTA[ID],MATCH(,INDIRECT(ADDRESS(ROW(NOTA[ID]),COLUMN(NOTA[ID]))&amp;":"&amp;ADDRESS(ROW(),COLUMN(NOTA[ID]))),-1)))</f>
        <v>57</v>
      </c>
      <c r="E284" s="47"/>
      <c r="H284" s="48"/>
      <c r="L284" s="38" t="s">
        <v>320</v>
      </c>
      <c r="M284" s="41">
        <v>3</v>
      </c>
      <c r="N284" s="39">
        <v>150</v>
      </c>
      <c r="O284" s="38" t="s">
        <v>319</v>
      </c>
      <c r="P284" s="42">
        <v>34100</v>
      </c>
      <c r="Q284" s="43"/>
      <c r="R284" s="49"/>
      <c r="S284" s="50">
        <v>0.125</v>
      </c>
      <c r="T284" s="45">
        <v>0.05</v>
      </c>
      <c r="U284" s="51"/>
      <c r="V284" s="46"/>
      <c r="W284" s="51">
        <f>IF(NOTA[[#This Row],[HARGA/ CTN]]="",NOTA[[#This Row],[JUMLAH_H]],NOTA[[#This Row],[HARGA/ CTN]]*IF(NOTA[[#This Row],[C]]="",0,NOTA[[#This Row],[C]]))</f>
        <v>5115000</v>
      </c>
      <c r="X284" s="51">
        <f>IF(NOTA[[#This Row],[JUMLAH]]="","",NOTA[[#This Row],[JUMLAH]]*NOTA[[#This Row],[DISC 1]])</f>
        <v>639375</v>
      </c>
      <c r="Y284" s="51">
        <f>IF(NOTA[[#This Row],[JUMLAH]]="","",(NOTA[[#This Row],[JUMLAH]]-NOTA[[#This Row],[DISC 1-]])*NOTA[[#This Row],[DISC 2]])</f>
        <v>223781.25</v>
      </c>
      <c r="Z284" s="51">
        <f>IF(NOTA[[#This Row],[JUMLAH]]="","",NOTA[[#This Row],[DISC 1-]]+NOTA[[#This Row],[DISC 2-]])</f>
        <v>863156.25</v>
      </c>
      <c r="AA284" s="51">
        <f>IF(NOTA[[#This Row],[JUMLAH]]="","",NOTA[[#This Row],[JUMLAH]]-NOTA[[#This Row],[DISC]])</f>
        <v>4251843.75</v>
      </c>
      <c r="AB284" s="51"/>
      <c r="AC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84" s="51">
        <f>IF(OR(NOTA[[#This Row],[QTY]]="",NOTA[[#This Row],[HARGA SATUAN]]="",),"",NOTA[[#This Row],[QTY]]*NOTA[[#This Row],[HARGA SATUAN]])</f>
        <v>5115000</v>
      </c>
      <c r="AG284" s="40">
        <f ca="1">IF(NOTA[ID_H]="","",INDEX(NOTA[TANGGAL],MATCH(,INDIRECT(ADDRESS(ROW(NOTA[TANGGAL]),COLUMN(NOTA[TANGGAL]))&amp;":"&amp;ADDRESS(ROW(),COLUMN(NOTA[TANGGAL]))),-1)))</f>
        <v>45117</v>
      </c>
      <c r="AH284" s="42" t="str">
        <f ca="1">IF(NOTA[[#This Row],[NAMA BARANG]]="","",INDEX(NOTA[SUPPLIER],MATCH(,INDIRECT(ADDRESS(ROW(NOTA[ID]),COLUMN(NOTA[ID]))&amp;":"&amp;ADDRESS(ROW(),COLUMN(NOTA[ID]))),-1)))</f>
        <v>ATALI MAKMUR</v>
      </c>
      <c r="AI284" s="42" t="str">
        <f ca="1">IF(NOTA[[#This Row],[ID_H]]="","",IF(NOTA[[#This Row],[FAKTUR]]="",INDIRECT(ADDRESS(ROW()-1,COLUMN())),NOTA[[#This Row],[FAKTUR]]))</f>
        <v>ARTO MORO</v>
      </c>
      <c r="AJ284" s="39" t="str">
        <f ca="1">IF(NOTA[[#This Row],[ID]]="","",COUNTIF(NOTA[ID_H],NOTA[[#This Row],[ID_H]]))</f>
        <v/>
      </c>
      <c r="AK284" s="39">
        <f ca="1">IF(NOTA[[#This Row],[TGL.NOTA]]="",IF(NOTA[[#This Row],[SUPPLIER_H]]="","",AK283),MONTH(NOTA[[#This Row],[TGL.NOTA]]))</f>
        <v>7</v>
      </c>
      <c r="AL284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9" t="str">
        <f>IF(NOTA[[#This Row],[CONCAT4]]="","",_xlfn.IFNA(MATCH(NOTA[[#This Row],[CONCAT4]],[2]!RAW[CONCAT_H],0),FALSE))</f>
        <v/>
      </c>
      <c r="AQ284" s="39">
        <f>IF(NOTA[[#This Row],[CONCAT1]]="","",MATCH(NOTA[[#This Row],[CONCAT1]],[3]!db[NB NOTA_C],0))</f>
        <v>2495</v>
      </c>
      <c r="AR284" s="39" t="str">
        <f>IF(NOTA[[#This Row],[QTY/ CTN]]="","",TRUE)</f>
        <v/>
      </c>
      <c r="AS284" s="39" t="str">
        <f ca="1">IF(NOTA[[#This Row],[ID_H]]="","",IF(NOTA[[#This Row],[Column3]]=TRUE,NOTA[[#This Row],[QTY/ CTN]],INDEX([3]!db[QTY/ CTN],NOTA[[#This Row],[//DB]])))</f>
        <v>50 BOX (20 PCS)</v>
      </c>
      <c r="AT2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84" s="39" t="e">
        <f ca="1">IF(NOTA[[#This Row],[ID_H]]="","",MATCH(NOTA[[#This Row],[NB NOTA_C_QTY]],[4]!db[NB NOTA_C_QTY+F],0))</f>
        <v>#REF!</v>
      </c>
      <c r="AV284" s="55">
        <f ca="1">IF(NOTA[[#This Row],[NB NOTA_C_QTY]]="","",ROW()-2)</f>
        <v>282</v>
      </c>
    </row>
    <row r="285" spans="1:48" ht="20.100000000000001" customHeight="1" x14ac:dyDescent="0.25">
      <c r="A2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57</v>
      </c>
      <c r="E285" s="47"/>
      <c r="H285" s="48"/>
      <c r="L285" s="38" t="s">
        <v>392</v>
      </c>
      <c r="M285" s="41">
        <v>1</v>
      </c>
      <c r="N285" s="39">
        <v>288</v>
      </c>
      <c r="O285" s="38" t="s">
        <v>117</v>
      </c>
      <c r="P285" s="42">
        <v>4800</v>
      </c>
      <c r="Q285" s="43"/>
      <c r="R285" s="49" t="s">
        <v>313</v>
      </c>
      <c r="S285" s="50">
        <v>0.125</v>
      </c>
      <c r="T285" s="45">
        <v>0.05</v>
      </c>
      <c r="U285" s="51"/>
      <c r="V285" s="46"/>
      <c r="W285" s="51">
        <f>IF(NOTA[[#This Row],[HARGA/ CTN]]="",NOTA[[#This Row],[JUMLAH_H]],NOTA[[#This Row],[HARGA/ CTN]]*IF(NOTA[[#This Row],[C]]="",0,NOTA[[#This Row],[C]]))</f>
        <v>1382400</v>
      </c>
      <c r="X285" s="51">
        <f>IF(NOTA[[#This Row],[JUMLAH]]="","",NOTA[[#This Row],[JUMLAH]]*NOTA[[#This Row],[DISC 1]])</f>
        <v>172800</v>
      </c>
      <c r="Y285" s="51">
        <f>IF(NOTA[[#This Row],[JUMLAH]]="","",(NOTA[[#This Row],[JUMLAH]]-NOTA[[#This Row],[DISC 1-]])*NOTA[[#This Row],[DISC 2]])</f>
        <v>60480</v>
      </c>
      <c r="Z285" s="51">
        <f>IF(NOTA[[#This Row],[JUMLAH]]="","",NOTA[[#This Row],[DISC 1-]]+NOTA[[#This Row],[DISC 2-]])</f>
        <v>233280</v>
      </c>
      <c r="AA285" s="51">
        <f>IF(NOTA[[#This Row],[JUMLAH]]="","",NOTA[[#This Row],[JUMLAH]]-NOTA[[#This Row],[DISC]])</f>
        <v>1149120</v>
      </c>
      <c r="AB285" s="51"/>
      <c r="AC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5" s="51">
        <f>IF(OR(NOTA[[#This Row],[QTY]]="",NOTA[[#This Row],[HARGA SATUAN]]="",),"",NOTA[[#This Row],[QTY]]*NOTA[[#This Row],[HARGA SATUAN]])</f>
        <v>1382400</v>
      </c>
      <c r="AG285" s="40">
        <f ca="1">IF(NOTA[ID_H]="","",INDEX(NOTA[TANGGAL],MATCH(,INDIRECT(ADDRESS(ROW(NOTA[TANGGAL]),COLUMN(NOTA[TANGGAL]))&amp;":"&amp;ADDRESS(ROW(),COLUMN(NOTA[TANGGAL]))),-1)))</f>
        <v>45117</v>
      </c>
      <c r="AH285" s="42" t="str">
        <f ca="1">IF(NOTA[[#This Row],[NAMA BARANG]]="","",INDEX(NOTA[SUPPLIER],MATCH(,INDIRECT(ADDRESS(ROW(NOTA[ID]),COLUMN(NOTA[ID]))&amp;":"&amp;ADDRESS(ROW(),COLUMN(NOTA[ID]))),-1)))</f>
        <v>ATALI MAKMUR</v>
      </c>
      <c r="AI285" s="42" t="str">
        <f ca="1">IF(NOTA[[#This Row],[ID_H]]="","",IF(NOTA[[#This Row],[FAKTUR]]="",INDIRECT(ADDRESS(ROW()-1,COLUMN())),NOTA[[#This Row],[FAKTUR]]))</f>
        <v>ARTO MORO</v>
      </c>
      <c r="AJ285" s="39" t="str">
        <f ca="1">IF(NOTA[[#This Row],[ID]]="","",COUNTIF(NOTA[ID_H],NOTA[[#This Row],[ID_H]]))</f>
        <v/>
      </c>
      <c r="AK285" s="39">
        <f ca="1">IF(NOTA[[#This Row],[TGL.NOTA]]="",IF(NOTA[[#This Row],[SUPPLIER_H]]="","",AK284),MONTH(NOTA[[#This Row],[TGL.NOTA]]))</f>
        <v>7</v>
      </c>
      <c r="AL285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2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2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2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9" t="str">
        <f>IF(NOTA[[#This Row],[CONCAT4]]="","",_xlfn.IFNA(MATCH(NOTA[[#This Row],[CONCAT4]],[2]!RAW[CONCAT_H],0),FALSE))</f>
        <v/>
      </c>
      <c r="AQ285" s="39">
        <f>IF(NOTA[[#This Row],[CONCAT1]]="","",MATCH(NOTA[[#This Row],[CONCAT1]],[3]!db[NB NOTA_C],0))</f>
        <v>1905</v>
      </c>
      <c r="AR285" s="39" t="b">
        <f>IF(NOTA[[#This Row],[QTY/ CTN]]="","",TRUE)</f>
        <v>1</v>
      </c>
      <c r="AS285" s="39" t="str">
        <f ca="1">IF(NOTA[[#This Row],[ID_H]]="","",IF(NOTA[[#This Row],[Column3]]=TRUE,NOTA[[#This Row],[QTY/ CTN]],INDEX([3]!db[QTY/ CTN],NOTA[[#This Row],[//DB]])))</f>
        <v>288 PCS</v>
      </c>
      <c r="AT2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285" s="39" t="e">
        <f ca="1">IF(NOTA[[#This Row],[ID_H]]="","",MATCH(NOTA[[#This Row],[NB NOTA_C_QTY]],[4]!db[NB NOTA_C_QTY+F],0))</f>
        <v>#REF!</v>
      </c>
      <c r="AV285" s="55">
        <f ca="1">IF(NOTA[[#This Row],[NB NOTA_C_QTY]]="","",ROW()-2)</f>
        <v>283</v>
      </c>
    </row>
    <row r="286" spans="1:48" ht="20.100000000000001" customHeight="1" x14ac:dyDescent="0.25">
      <c r="A2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57</v>
      </c>
      <c r="E286" s="47"/>
      <c r="H286" s="48"/>
      <c r="L286" s="38" t="s">
        <v>325</v>
      </c>
      <c r="M286" s="41">
        <v>1</v>
      </c>
      <c r="N286" s="39">
        <v>288</v>
      </c>
      <c r="O286" s="38" t="s">
        <v>117</v>
      </c>
      <c r="P286" s="42">
        <v>4800</v>
      </c>
      <c r="Q286" s="43"/>
      <c r="R286" s="49"/>
      <c r="S286" s="50">
        <v>0.125</v>
      </c>
      <c r="T286" s="45">
        <v>0.05</v>
      </c>
      <c r="U286" s="51"/>
      <c r="V286" s="46"/>
      <c r="W286" s="51">
        <f>IF(NOTA[[#This Row],[HARGA/ CTN]]="",NOTA[[#This Row],[JUMLAH_H]],NOTA[[#This Row],[HARGA/ CTN]]*IF(NOTA[[#This Row],[C]]="",0,NOTA[[#This Row],[C]]))</f>
        <v>1382400</v>
      </c>
      <c r="X286" s="51">
        <f>IF(NOTA[[#This Row],[JUMLAH]]="","",NOTA[[#This Row],[JUMLAH]]*NOTA[[#This Row],[DISC 1]])</f>
        <v>172800</v>
      </c>
      <c r="Y286" s="51">
        <f>IF(NOTA[[#This Row],[JUMLAH]]="","",(NOTA[[#This Row],[JUMLAH]]-NOTA[[#This Row],[DISC 1-]])*NOTA[[#This Row],[DISC 2]])</f>
        <v>60480</v>
      </c>
      <c r="Z286" s="51">
        <f>IF(NOTA[[#This Row],[JUMLAH]]="","",NOTA[[#This Row],[DISC 1-]]+NOTA[[#This Row],[DISC 2-]])</f>
        <v>233280</v>
      </c>
      <c r="AA286" s="51">
        <f>IF(NOTA[[#This Row],[JUMLAH]]="","",NOTA[[#This Row],[JUMLAH]]-NOTA[[#This Row],[DISC]])</f>
        <v>1149120</v>
      </c>
      <c r="AB286" s="51"/>
      <c r="AC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6" s="51">
        <f>IF(OR(NOTA[[#This Row],[QTY]]="",NOTA[[#This Row],[HARGA SATUAN]]="",),"",NOTA[[#This Row],[QTY]]*NOTA[[#This Row],[HARGA SATUAN]])</f>
        <v>1382400</v>
      </c>
      <c r="AG286" s="40">
        <f ca="1">IF(NOTA[ID_H]="","",INDEX(NOTA[TANGGAL],MATCH(,INDIRECT(ADDRESS(ROW(NOTA[TANGGAL]),COLUMN(NOTA[TANGGAL]))&amp;":"&amp;ADDRESS(ROW(),COLUMN(NOTA[TANGGAL]))),-1)))</f>
        <v>45117</v>
      </c>
      <c r="AH286" s="42" t="str">
        <f ca="1">IF(NOTA[[#This Row],[NAMA BARANG]]="","",INDEX(NOTA[SUPPLIER],MATCH(,INDIRECT(ADDRESS(ROW(NOTA[ID]),COLUMN(NOTA[ID]))&amp;":"&amp;ADDRESS(ROW(),COLUMN(NOTA[ID]))),-1)))</f>
        <v>ATALI MAKMUR</v>
      </c>
      <c r="AI286" s="42" t="str">
        <f ca="1">IF(NOTA[[#This Row],[ID_H]]="","",IF(NOTA[[#This Row],[FAKTUR]]="",INDIRECT(ADDRESS(ROW()-1,COLUMN())),NOTA[[#This Row],[FAKTUR]]))</f>
        <v>ARTO MORO</v>
      </c>
      <c r="AJ286" s="39" t="str">
        <f ca="1">IF(NOTA[[#This Row],[ID]]="","",COUNTIF(NOTA[ID_H],NOTA[[#This Row],[ID_H]]))</f>
        <v/>
      </c>
      <c r="AK286" s="39">
        <f ca="1">IF(NOTA[[#This Row],[TGL.NOTA]]="",IF(NOTA[[#This Row],[SUPPLIER_H]]="","",AK285),MONTH(NOTA[[#This Row],[TGL.NOTA]]))</f>
        <v>7</v>
      </c>
      <c r="AL286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2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2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2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9" t="str">
        <f>IF(NOTA[[#This Row],[CONCAT4]]="","",_xlfn.IFNA(MATCH(NOTA[[#This Row],[CONCAT4]],[2]!RAW[CONCAT_H],0),FALSE))</f>
        <v/>
      </c>
      <c r="AQ286" s="39">
        <f>IF(NOTA[[#This Row],[CONCAT1]]="","",MATCH(NOTA[[#This Row],[CONCAT1]],[3]!db[NB NOTA_C],0))</f>
        <v>1893</v>
      </c>
      <c r="AR286" s="39" t="str">
        <f>IF(NOTA[[#This Row],[QTY/ CTN]]="","",TRUE)</f>
        <v/>
      </c>
      <c r="AS286" s="39" t="str">
        <f ca="1">IF(NOTA[[#This Row],[ID_H]]="","",IF(NOTA[[#This Row],[Column3]]=TRUE,NOTA[[#This Row],[QTY/ CTN]],INDEX([3]!db[QTY/ CTN],NOTA[[#This Row],[//DB]])))</f>
        <v>288 PCS</v>
      </c>
      <c r="AT2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286" s="39" t="e">
        <f ca="1">IF(NOTA[[#This Row],[ID_H]]="","",MATCH(NOTA[[#This Row],[NB NOTA_C_QTY]],[4]!db[NB NOTA_C_QTY+F],0))</f>
        <v>#REF!</v>
      </c>
      <c r="AV286" s="55">
        <f ca="1">IF(NOTA[[#This Row],[NB NOTA_C_QTY]]="","",ROW()-2)</f>
        <v>284</v>
      </c>
    </row>
    <row r="287" spans="1:48" ht="20.100000000000001" customHeight="1" x14ac:dyDescent="0.25">
      <c r="A2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57</v>
      </c>
      <c r="E287" s="47"/>
      <c r="H287" s="48"/>
      <c r="L287" s="38" t="s">
        <v>393</v>
      </c>
      <c r="M287" s="41">
        <v>2</v>
      </c>
      <c r="N287" s="39">
        <v>48</v>
      </c>
      <c r="O287" s="38" t="s">
        <v>117</v>
      </c>
      <c r="P287" s="42">
        <v>40000</v>
      </c>
      <c r="Q287" s="43"/>
      <c r="R287" s="49" t="s">
        <v>296</v>
      </c>
      <c r="S287" s="50">
        <v>0.125</v>
      </c>
      <c r="T287" s="45">
        <v>0.05</v>
      </c>
      <c r="U287" s="51"/>
      <c r="V287" s="46"/>
      <c r="W287" s="51">
        <f>IF(NOTA[[#This Row],[HARGA/ CTN]]="",NOTA[[#This Row],[JUMLAH_H]],NOTA[[#This Row],[HARGA/ CTN]]*IF(NOTA[[#This Row],[C]]="",0,NOTA[[#This Row],[C]]))</f>
        <v>1920000</v>
      </c>
      <c r="X287" s="51">
        <f>IF(NOTA[[#This Row],[JUMLAH]]="","",NOTA[[#This Row],[JUMLAH]]*NOTA[[#This Row],[DISC 1]])</f>
        <v>240000</v>
      </c>
      <c r="Y287" s="51">
        <f>IF(NOTA[[#This Row],[JUMLAH]]="","",(NOTA[[#This Row],[JUMLAH]]-NOTA[[#This Row],[DISC 1-]])*NOTA[[#This Row],[DISC 2]])</f>
        <v>84000</v>
      </c>
      <c r="Z287" s="51">
        <f>IF(NOTA[[#This Row],[JUMLAH]]="","",NOTA[[#This Row],[DISC 1-]]+NOTA[[#This Row],[DISC 2-]])</f>
        <v>324000</v>
      </c>
      <c r="AA287" s="51">
        <f>IF(NOTA[[#This Row],[JUMLAH]]="","",NOTA[[#This Row],[JUMLAH]]-NOTA[[#This Row],[DISC]])</f>
        <v>1596000</v>
      </c>
      <c r="AB287" s="51"/>
      <c r="AC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87" s="51">
        <f>IF(OR(NOTA[[#This Row],[QTY]]="",NOTA[[#This Row],[HARGA SATUAN]]="",),"",NOTA[[#This Row],[QTY]]*NOTA[[#This Row],[HARGA SATUAN]])</f>
        <v>1920000</v>
      </c>
      <c r="AG287" s="40">
        <f ca="1">IF(NOTA[ID_H]="","",INDEX(NOTA[TANGGAL],MATCH(,INDIRECT(ADDRESS(ROW(NOTA[TANGGAL]),COLUMN(NOTA[TANGGAL]))&amp;":"&amp;ADDRESS(ROW(),COLUMN(NOTA[TANGGAL]))),-1)))</f>
        <v>45117</v>
      </c>
      <c r="AH287" s="42" t="str">
        <f ca="1">IF(NOTA[[#This Row],[NAMA BARANG]]="","",INDEX(NOTA[SUPPLIER],MATCH(,INDIRECT(ADDRESS(ROW(NOTA[ID]),COLUMN(NOTA[ID]))&amp;":"&amp;ADDRESS(ROW(),COLUMN(NOTA[ID]))),-1)))</f>
        <v>ATALI MAKMUR</v>
      </c>
      <c r="AI287" s="42" t="str">
        <f ca="1">IF(NOTA[[#This Row],[ID_H]]="","",IF(NOTA[[#This Row],[FAKTUR]]="",INDIRECT(ADDRESS(ROW()-1,COLUMN())),NOTA[[#This Row],[FAKTUR]]))</f>
        <v>ARTO MORO</v>
      </c>
      <c r="AJ287" s="39" t="str">
        <f ca="1">IF(NOTA[[#This Row],[ID]]="","",COUNTIF(NOTA[ID_H],NOTA[[#This Row],[ID_H]]))</f>
        <v/>
      </c>
      <c r="AK287" s="39">
        <f ca="1">IF(NOTA[[#This Row],[TGL.NOTA]]="",IF(NOTA[[#This Row],[SUPPLIER_H]]="","",AK286),MONTH(NOTA[[#This Row],[TGL.NOTA]]))</f>
        <v>7</v>
      </c>
      <c r="AL287" s="39" t="str">
        <f>LOWER(SUBSTITUTE(SUBSTITUTE(SUBSTITUTE(SUBSTITUTE(SUBSTITUTE(SUBSTITUTE(SUBSTITUTE(SUBSTITUTE(SUBSTITUTE(NOTA[NAMA BARANG]," ",),".",""),"-",""),"(",""),")",""),",",""),"/",""),"""",""),"+",""))</f>
        <v>punchno85jk</v>
      </c>
      <c r="AM2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9" t="str">
        <f>IF(NOTA[[#This Row],[CONCAT4]]="","",_xlfn.IFNA(MATCH(NOTA[[#This Row],[CONCAT4]],[2]!RAW[CONCAT_H],0),FALSE))</f>
        <v/>
      </c>
      <c r="AQ287" s="39">
        <f>IF(NOTA[[#This Row],[CONCAT1]]="","",MATCH(NOTA[[#This Row],[CONCAT1]],[3]!db[NB NOTA_C],0))</f>
        <v>2294</v>
      </c>
      <c r="AR287" s="39" t="b">
        <f>IF(NOTA[[#This Row],[QTY/ CTN]]="","",TRUE)</f>
        <v>1</v>
      </c>
      <c r="AS287" s="39" t="str">
        <f ca="1">IF(NOTA[[#This Row],[ID_H]]="","",IF(NOTA[[#This Row],[Column3]]=TRUE,NOTA[[#This Row],[QTY/ CTN]],INDEX([3]!db[QTY/ CTN],NOTA[[#This Row],[//DB]])))</f>
        <v>24 PCS</v>
      </c>
      <c r="AT2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87" s="39" t="e">
        <f ca="1">IF(NOTA[[#This Row],[ID_H]]="","",MATCH(NOTA[[#This Row],[NB NOTA_C_QTY]],[4]!db[NB NOTA_C_QTY+F],0))</f>
        <v>#REF!</v>
      </c>
      <c r="AV287" s="55">
        <f ca="1">IF(NOTA[[#This Row],[NB NOTA_C_QTY]]="","",ROW()-2)</f>
        <v>285</v>
      </c>
    </row>
    <row r="288" spans="1:48" ht="20.100000000000001" customHeight="1" x14ac:dyDescent="0.25">
      <c r="A2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57</v>
      </c>
      <c r="E288" s="47"/>
      <c r="H288" s="48"/>
      <c r="L288" s="38" t="s">
        <v>387</v>
      </c>
      <c r="M288" s="41">
        <v>10</v>
      </c>
      <c r="N288" s="39">
        <v>2880</v>
      </c>
      <c r="O288" s="38" t="s">
        <v>117</v>
      </c>
      <c r="P288" s="42">
        <v>2150</v>
      </c>
      <c r="Q288" s="43"/>
      <c r="R288" s="49"/>
      <c r="S288" s="50">
        <v>0.125</v>
      </c>
      <c r="T288" s="45">
        <v>0.05</v>
      </c>
      <c r="U288" s="51"/>
      <c r="V288" s="46"/>
      <c r="W288" s="51">
        <f>IF(NOTA[[#This Row],[HARGA/ CTN]]="",NOTA[[#This Row],[JUMLAH_H]],NOTA[[#This Row],[HARGA/ CTN]]*IF(NOTA[[#This Row],[C]]="",0,NOTA[[#This Row],[C]]))</f>
        <v>6192000</v>
      </c>
      <c r="X288" s="51">
        <f>IF(NOTA[[#This Row],[JUMLAH]]="","",NOTA[[#This Row],[JUMLAH]]*NOTA[[#This Row],[DISC 1]])</f>
        <v>774000</v>
      </c>
      <c r="Y288" s="51">
        <f>IF(NOTA[[#This Row],[JUMLAH]]="","",(NOTA[[#This Row],[JUMLAH]]-NOTA[[#This Row],[DISC 1-]])*NOTA[[#This Row],[DISC 2]])</f>
        <v>270900</v>
      </c>
      <c r="Z288" s="51">
        <f>IF(NOTA[[#This Row],[JUMLAH]]="","",NOTA[[#This Row],[DISC 1-]]+NOTA[[#This Row],[DISC 2-]])</f>
        <v>1044900</v>
      </c>
      <c r="AA288" s="51">
        <f>IF(NOTA[[#This Row],[JUMLAH]]="","",NOTA[[#This Row],[JUMLAH]]-NOTA[[#This Row],[DISC]])</f>
        <v>5147100</v>
      </c>
      <c r="AB288" s="51"/>
      <c r="AC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9912307.5</v>
      </c>
      <c r="AD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48827292.5</v>
      </c>
      <c r="AE288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88" s="51">
        <f>IF(OR(NOTA[[#This Row],[QTY]]="",NOTA[[#This Row],[HARGA SATUAN]]="",),"",NOTA[[#This Row],[QTY]]*NOTA[[#This Row],[HARGA SATUAN]])</f>
        <v>6192000</v>
      </c>
      <c r="AG288" s="40">
        <f ca="1">IF(NOTA[ID_H]="","",INDEX(NOTA[TANGGAL],MATCH(,INDIRECT(ADDRESS(ROW(NOTA[TANGGAL]),COLUMN(NOTA[TANGGAL]))&amp;":"&amp;ADDRESS(ROW(),COLUMN(NOTA[TANGGAL]))),-1)))</f>
        <v>45117</v>
      </c>
      <c r="AH288" s="42" t="str">
        <f ca="1">IF(NOTA[[#This Row],[NAMA BARANG]]="","",INDEX(NOTA[SUPPLIER],MATCH(,INDIRECT(ADDRESS(ROW(NOTA[ID]),COLUMN(NOTA[ID]))&amp;":"&amp;ADDRESS(ROW(),COLUMN(NOTA[ID]))),-1)))</f>
        <v>ATALI MAKMUR</v>
      </c>
      <c r="AI288" s="42" t="str">
        <f ca="1">IF(NOTA[[#This Row],[ID_H]]="","",IF(NOTA[[#This Row],[FAKTUR]]="",INDIRECT(ADDRESS(ROW()-1,COLUMN())),NOTA[[#This Row],[FAKTUR]]))</f>
        <v>ARTO MORO</v>
      </c>
      <c r="AJ288" s="39" t="str">
        <f ca="1">IF(NOTA[[#This Row],[ID]]="","",COUNTIF(NOTA[ID_H],NOTA[[#This Row],[ID_H]]))</f>
        <v/>
      </c>
      <c r="AK288" s="39">
        <f ca="1">IF(NOTA[[#This Row],[TGL.NOTA]]="",IF(NOTA[[#This Row],[SUPPLIER_H]]="","",AK287),MONTH(NOTA[[#This Row],[TGL.NOTA]]))</f>
        <v>7</v>
      </c>
      <c r="AL288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9" t="str">
        <f>IF(NOTA[[#This Row],[CONCAT4]]="","",_xlfn.IFNA(MATCH(NOTA[[#This Row],[CONCAT4]],[2]!RAW[CONCAT_H],0),FALSE))</f>
        <v/>
      </c>
      <c r="AQ288" s="39">
        <f>IF(NOTA[[#This Row],[CONCAT1]]="","",MATCH(NOTA[[#This Row],[CONCAT1]],[3]!db[NB NOTA_C],0))</f>
        <v>1489</v>
      </c>
      <c r="AR288" s="39" t="str">
        <f>IF(NOTA[[#This Row],[QTY/ CTN]]="","",TRUE)</f>
        <v/>
      </c>
      <c r="AS288" s="39" t="str">
        <f ca="1">IF(NOTA[[#This Row],[ID_H]]="","",IF(NOTA[[#This Row],[Column3]]=TRUE,NOTA[[#This Row],[QTY/ CTN]],INDEX([3]!db[QTY/ CTN],NOTA[[#This Row],[//DB]])))</f>
        <v>24 LSN</v>
      </c>
      <c r="AT2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88" s="39" t="e">
        <f ca="1">IF(NOTA[[#This Row],[ID_H]]="","",MATCH(NOTA[[#This Row],[NB NOTA_C_QTY]],[4]!db[NB NOTA_C_QTY+F],0))</f>
        <v>#REF!</v>
      </c>
      <c r="AV288" s="55">
        <f ca="1">IF(NOTA[[#This Row],[NB NOTA_C_QTY]]="","",ROW()-2)</f>
        <v>286</v>
      </c>
    </row>
    <row r="289" spans="1:48" ht="20.100000000000001" customHeight="1" x14ac:dyDescent="0.25">
      <c r="A2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47"/>
      <c r="H289" s="48"/>
      <c r="N289" s="39"/>
      <c r="Q289" s="43"/>
      <c r="R289" s="49"/>
      <c r="S289" s="50"/>
      <c r="U289" s="51"/>
      <c r="V289" s="46"/>
      <c r="W289" s="51" t="str">
        <f>IF(NOTA[[#This Row],[HARGA/ CTN]]="",NOTA[[#This Row],[JUMLAH_H]],NOTA[[#This Row],[HARGA/ CTN]]*IF(NOTA[[#This Row],[C]]="",0,NOTA[[#This Row],[C]]))</f>
        <v/>
      </c>
      <c r="X289" s="51" t="str">
        <f>IF(NOTA[[#This Row],[JUMLAH]]="","",NOTA[[#This Row],[JUMLAH]]*NOTA[[#This Row],[DISC 1]])</f>
        <v/>
      </c>
      <c r="Y289" s="51" t="str">
        <f>IF(NOTA[[#This Row],[JUMLAH]]="","",(NOTA[[#This Row],[JUMLAH]]-NOTA[[#This Row],[DISC 1-]])*NOTA[[#This Row],[DISC 2]])</f>
        <v/>
      </c>
      <c r="Z289" s="51" t="str">
        <f>IF(NOTA[[#This Row],[JUMLAH]]="","",NOTA[[#This Row],[DISC 1-]]+NOTA[[#This Row],[DISC 2-]])</f>
        <v/>
      </c>
      <c r="AA289" s="51" t="str">
        <f>IF(NOTA[[#This Row],[JUMLAH]]="","",NOTA[[#This Row],[JUMLAH]]-NOTA[[#This Row],[DISC]])</f>
        <v/>
      </c>
      <c r="AB289" s="51"/>
      <c r="AC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1" t="str">
        <f>IF(OR(NOTA[[#This Row],[QTY]]="",NOTA[[#This Row],[HARGA SATUAN]]="",),"",NOTA[[#This Row],[QTY]]*NOTA[[#This Row],[HARGA SATUAN]])</f>
        <v/>
      </c>
      <c r="AG289" s="40" t="str">
        <f ca="1">IF(NOTA[ID_H]="","",INDEX(NOTA[TANGGAL],MATCH(,INDIRECT(ADDRESS(ROW(NOTA[TANGGAL]),COLUMN(NOTA[TANGGAL]))&amp;":"&amp;ADDRESS(ROW(),COLUMN(NOTA[TANGGAL]))),-1)))</f>
        <v/>
      </c>
      <c r="AH289" s="42" t="str">
        <f ca="1">IF(NOTA[[#This Row],[NAMA BARANG]]="","",INDEX(NOTA[SUPPLIER],MATCH(,INDIRECT(ADDRESS(ROW(NOTA[ID]),COLUMN(NOTA[ID]))&amp;":"&amp;ADDRESS(ROW(),COLUMN(NOTA[ID]))),-1)))</f>
        <v/>
      </c>
      <c r="AI289" s="42" t="str">
        <f ca="1">IF(NOTA[[#This Row],[ID_H]]="","",IF(NOTA[[#This Row],[FAKTUR]]="",INDIRECT(ADDRESS(ROW()-1,COLUMN())),NOTA[[#This Row],[FAKTUR]]))</f>
        <v/>
      </c>
      <c r="AJ289" s="39" t="str">
        <f ca="1">IF(NOTA[[#This Row],[ID]]="","",COUNTIF(NOTA[ID_H],NOTA[[#This Row],[ID_H]]))</f>
        <v/>
      </c>
      <c r="AK289" s="39" t="str">
        <f ca="1">IF(NOTA[[#This Row],[TGL.NOTA]]="",IF(NOTA[[#This Row],[SUPPLIER_H]]="","",AK288),MONTH(NOTA[[#This Row],[TGL.NOTA]]))</f>
        <v/>
      </c>
      <c r="AL289" s="39" t="str">
        <f>LOWER(SUBSTITUTE(SUBSTITUTE(SUBSTITUTE(SUBSTITUTE(SUBSTITUTE(SUBSTITUTE(SUBSTITUTE(SUBSTITUTE(SUBSTITUTE(NOTA[NAMA BARANG]," ",),".",""),"-",""),"(",""),")",""),",",""),"/",""),"""",""),"+",""))</f>
        <v/>
      </c>
      <c r="AM2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9" t="str">
        <f>IF(NOTA[[#This Row],[CONCAT4]]="","",_xlfn.IFNA(MATCH(NOTA[[#This Row],[CONCAT4]],[2]!RAW[CONCAT_H],0),FALSE))</f>
        <v/>
      </c>
      <c r="AQ289" s="39" t="str">
        <f>IF(NOTA[[#This Row],[CONCAT1]]="","",MATCH(NOTA[[#This Row],[CONCAT1]],[3]!db[NB NOTA_C],0))</f>
        <v/>
      </c>
      <c r="AR289" s="39" t="str">
        <f>IF(NOTA[[#This Row],[QTY/ CTN]]="","",TRUE)</f>
        <v/>
      </c>
      <c r="AS289" s="39" t="str">
        <f ca="1">IF(NOTA[[#This Row],[ID_H]]="","",IF(NOTA[[#This Row],[Column3]]=TRUE,NOTA[[#This Row],[QTY/ CTN]],INDEX([3]!db[QTY/ CTN],NOTA[[#This Row],[//DB]])))</f>
        <v/>
      </c>
      <c r="AT2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9" t="str">
        <f ca="1">IF(NOTA[[#This Row],[ID_H]]="","",MATCH(NOTA[[#This Row],[NB NOTA_C_QTY]],[4]!db[NB NOTA_C_QTY+F],0))</f>
        <v/>
      </c>
      <c r="AV289" s="55" t="str">
        <f ca="1">IF(NOTA[[#This Row],[NB NOTA_C_QTY]]="","",ROW()-2)</f>
        <v/>
      </c>
    </row>
    <row r="290" spans="1:48" ht="20.100000000000001" customHeight="1" x14ac:dyDescent="0.25">
      <c r="A290" s="4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ETJ_1307_-2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58</v>
      </c>
      <c r="E290" s="47">
        <v>45120</v>
      </c>
      <c r="F290" s="38" t="s">
        <v>151</v>
      </c>
      <c r="G290" s="38" t="s">
        <v>145</v>
      </c>
      <c r="H290" s="48"/>
      <c r="J290" s="40">
        <v>45115</v>
      </c>
      <c r="L290" s="38" t="s">
        <v>394</v>
      </c>
      <c r="M290" s="41">
        <v>60</v>
      </c>
      <c r="N290" s="39">
        <v>600</v>
      </c>
      <c r="O290" s="38" t="s">
        <v>117</v>
      </c>
      <c r="P290" s="42">
        <v>57000</v>
      </c>
      <c r="Q290" s="43"/>
      <c r="R290" s="49" t="s">
        <v>150</v>
      </c>
      <c r="S290" s="50"/>
      <c r="U290" s="51"/>
      <c r="V290" s="46"/>
      <c r="W290" s="51">
        <f>IF(NOTA[[#This Row],[HARGA/ CTN]]="",NOTA[[#This Row],[JUMLAH_H]],NOTA[[#This Row],[HARGA/ CTN]]*IF(NOTA[[#This Row],[C]]="",0,NOTA[[#This Row],[C]]))</f>
        <v>34200000</v>
      </c>
      <c r="X290" s="51">
        <f>IF(NOTA[[#This Row],[JUMLAH]]="","",NOTA[[#This Row],[JUMLAH]]*NOTA[[#This Row],[DISC 1]])</f>
        <v>0</v>
      </c>
      <c r="Y290" s="51">
        <f>IF(NOTA[[#This Row],[JUMLAH]]="","",(NOTA[[#This Row],[JUMLAH]]-NOTA[[#This Row],[DISC 1-]])*NOTA[[#This Row],[DISC 2]])</f>
        <v>0</v>
      </c>
      <c r="Z290" s="51">
        <f>IF(NOTA[[#This Row],[JUMLAH]]="","",NOTA[[#This Row],[DISC 1-]]+NOTA[[#This Row],[DISC 2-]])</f>
        <v>0</v>
      </c>
      <c r="AA290" s="51">
        <f>IF(NOTA[[#This Row],[JUMLAH]]="","",NOTA[[#This Row],[JUMLAH]]-NOTA[[#This Row],[DISC]])</f>
        <v>34200000</v>
      </c>
      <c r="AB290" s="51"/>
      <c r="AC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2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290" s="51">
        <f>IF(OR(NOTA[[#This Row],[QTY]]="",NOTA[[#This Row],[HARGA SATUAN]]="",),"",NOTA[[#This Row],[QTY]]*NOTA[[#This Row],[HARGA SATUAN]])</f>
        <v>34200000</v>
      </c>
      <c r="AG290" s="40">
        <f ca="1">IF(NOTA[ID_H]="","",INDEX(NOTA[TANGGAL],MATCH(,INDIRECT(ADDRESS(ROW(NOTA[TANGGAL]),COLUMN(NOTA[TANGGAL]))&amp;":"&amp;ADDRESS(ROW(),COLUMN(NOTA[TANGGAL]))),-1)))</f>
        <v>45120</v>
      </c>
      <c r="AH290" s="42" t="str">
        <f ca="1">IF(NOTA[[#This Row],[NAMA BARANG]]="","",INDEX(NOTA[SUPPLIER],MATCH(,INDIRECT(ADDRESS(ROW(NOTA[ID]),COLUMN(NOTA[ID]))&amp;":"&amp;ADDRESS(ROW(),COLUMN(NOTA[ID]))),-1)))</f>
        <v>ETJ</v>
      </c>
      <c r="AI290" s="42" t="str">
        <f ca="1">IF(NOTA[[#This Row],[ID_H]]="","",IF(NOTA[[#This Row],[FAKTUR]]="",INDIRECT(ADDRESS(ROW()-1,COLUMN())),NOTA[[#This Row],[FAKTUR]]))</f>
        <v>UNTANA</v>
      </c>
      <c r="AJ290" s="39">
        <f ca="1">IF(NOTA[[#This Row],[ID]]="","",COUNTIF(NOTA[ID_H],NOTA[[#This Row],[ID_H]]))</f>
        <v>2</v>
      </c>
      <c r="AK290" s="39">
        <f>IF(NOTA[[#This Row],[TGL.NOTA]]="",IF(NOTA[[#This Row],[SUPPLIER_H]]="","",AK289),MONTH(NOTA[[#This Row],[TGL.NOTA]]))</f>
        <v>7</v>
      </c>
      <c r="AL290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2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29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ETJUNTANA45115pelnalaptoptable</v>
      </c>
      <c r="AP290" s="39" t="e">
        <f>IF(NOTA[[#This Row],[CONCAT4]]="","",_xlfn.IFNA(MATCH(NOTA[[#This Row],[CONCAT4]],[2]!RAW[CONCAT_H],0),FALSE))</f>
        <v>#REF!</v>
      </c>
      <c r="AQ290" s="39">
        <f>IF(NOTA[[#This Row],[CONCAT1]]="","",MATCH(NOTA[[#This Row],[CONCAT1]],[3]!db[NB NOTA_C],0))</f>
        <v>1719</v>
      </c>
      <c r="AR290" s="39" t="b">
        <f>IF(NOTA[[#This Row],[QTY/ CTN]]="","",TRUE)</f>
        <v>1</v>
      </c>
      <c r="AS290" s="39" t="str">
        <f ca="1">IF(NOTA[[#This Row],[ID_H]]="","",IF(NOTA[[#This Row],[Column3]]=TRUE,NOTA[[#This Row],[QTY/ CTN]],INDEX([3]!db[QTY/ CTN],NOTA[[#This Row],[//DB]])))</f>
        <v>10 PCS</v>
      </c>
      <c r="AT2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0" s="39" t="e">
        <f ca="1">IF(NOTA[[#This Row],[ID_H]]="","",MATCH(NOTA[[#This Row],[NB NOTA_C_QTY]],[4]!db[NB NOTA_C_QTY+F],0))</f>
        <v>#REF!</v>
      </c>
      <c r="AV290" s="55">
        <f ca="1">IF(NOTA[[#This Row],[NB NOTA_C_QTY]]="","",ROW()-2)</f>
        <v>288</v>
      </c>
    </row>
    <row r="291" spans="1:48" ht="20.100000000000001" customHeight="1" x14ac:dyDescent="0.25">
      <c r="A2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58</v>
      </c>
      <c r="E291" s="47"/>
      <c r="H291" s="48"/>
      <c r="L291" s="38" t="s">
        <v>394</v>
      </c>
      <c r="M291" s="41">
        <v>3</v>
      </c>
      <c r="N291" s="39">
        <v>30</v>
      </c>
      <c r="O291" s="38" t="s">
        <v>117</v>
      </c>
      <c r="Q291" s="43"/>
      <c r="R291" s="49" t="s">
        <v>150</v>
      </c>
      <c r="S291" s="50"/>
      <c r="U291" s="51"/>
      <c r="V291" s="46" t="s">
        <v>395</v>
      </c>
      <c r="W291" s="51" t="str">
        <f>IF(NOTA[[#This Row],[HARGA/ CTN]]="",NOTA[[#This Row],[JUMLAH_H]],NOTA[[#This Row],[HARGA/ CTN]]*IF(NOTA[[#This Row],[C]]="",0,NOTA[[#This Row],[C]]))</f>
        <v/>
      </c>
      <c r="X291" s="51" t="str">
        <f>IF(NOTA[[#This Row],[JUMLAH]]="","",NOTA[[#This Row],[JUMLAH]]*NOTA[[#This Row],[DISC 1]])</f>
        <v/>
      </c>
      <c r="Y291" s="51" t="str">
        <f>IF(NOTA[[#This Row],[JUMLAH]]="","",(NOTA[[#This Row],[JUMLAH]]-NOTA[[#This Row],[DISC 1-]])*NOTA[[#This Row],[DISC 2]])</f>
        <v/>
      </c>
      <c r="Z291" s="51" t="str">
        <f>IF(NOTA[[#This Row],[JUMLAH]]="","",NOTA[[#This Row],[DISC 1-]]+NOTA[[#This Row],[DISC 2-]])</f>
        <v/>
      </c>
      <c r="AA291" s="51" t="str">
        <f>IF(NOTA[[#This Row],[JUMLAH]]="","",NOTA[[#This Row],[JUMLAH]]-NOTA[[#This Row],[DISC]])</f>
        <v/>
      </c>
      <c r="AB291" s="51"/>
      <c r="AC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34200000</v>
      </c>
      <c r="AE29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1" s="51" t="str">
        <f>IF(OR(NOTA[[#This Row],[QTY]]="",NOTA[[#This Row],[HARGA SATUAN]]="",),"",NOTA[[#This Row],[QTY]]*NOTA[[#This Row],[HARGA SATUAN]])</f>
        <v/>
      </c>
      <c r="AG291" s="40">
        <f ca="1">IF(NOTA[ID_H]="","",INDEX(NOTA[TANGGAL],MATCH(,INDIRECT(ADDRESS(ROW(NOTA[TANGGAL]),COLUMN(NOTA[TANGGAL]))&amp;":"&amp;ADDRESS(ROW(),COLUMN(NOTA[TANGGAL]))),-1)))</f>
        <v>45120</v>
      </c>
      <c r="AH291" s="42" t="str">
        <f ca="1">IF(NOTA[[#This Row],[NAMA BARANG]]="","",INDEX(NOTA[SUPPLIER],MATCH(,INDIRECT(ADDRESS(ROW(NOTA[ID]),COLUMN(NOTA[ID]))&amp;":"&amp;ADDRESS(ROW(),COLUMN(NOTA[ID]))),-1)))</f>
        <v>ETJ</v>
      </c>
      <c r="AI291" s="42" t="str">
        <f ca="1">IF(NOTA[[#This Row],[ID_H]]="","",IF(NOTA[[#This Row],[FAKTUR]]="",INDIRECT(ADDRESS(ROW()-1,COLUMN())),NOTA[[#This Row],[FAKTUR]]))</f>
        <v>UNTANA</v>
      </c>
      <c r="AJ291" s="39" t="str">
        <f ca="1">IF(NOTA[[#This Row],[ID]]="","",COUNTIF(NOTA[ID_H],NOTA[[#This Row],[ID_H]]))</f>
        <v/>
      </c>
      <c r="AK291" s="39">
        <f ca="1">IF(NOTA[[#This Row],[TGL.NOTA]]="",IF(NOTA[[#This Row],[SUPPLIER_H]]="","",AK290),MONTH(NOTA[[#This Row],[TGL.NOTA]]))</f>
        <v>7</v>
      </c>
      <c r="AL291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2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2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9" t="str">
        <f>IF(NOTA[[#This Row],[CONCAT4]]="","",_xlfn.IFNA(MATCH(NOTA[[#This Row],[CONCAT4]],[2]!RAW[CONCAT_H],0),FALSE))</f>
        <v/>
      </c>
      <c r="AQ291" s="39">
        <f>IF(NOTA[[#This Row],[CONCAT1]]="","",MATCH(NOTA[[#This Row],[CONCAT1]],[3]!db[NB NOTA_C],0))</f>
        <v>1719</v>
      </c>
      <c r="AR291" s="39" t="b">
        <f>IF(NOTA[[#This Row],[QTY/ CTN]]="","",TRUE)</f>
        <v>1</v>
      </c>
      <c r="AS291" s="39" t="str">
        <f ca="1">IF(NOTA[[#This Row],[ID_H]]="","",IF(NOTA[[#This Row],[Column3]]=TRUE,NOTA[[#This Row],[QTY/ CTN]],INDEX([3]!db[QTY/ CTN],NOTA[[#This Row],[//DB]])))</f>
        <v>10 PCS</v>
      </c>
      <c r="AT2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1" s="39" t="e">
        <f ca="1">IF(NOTA[[#This Row],[ID_H]]="","",MATCH(NOTA[[#This Row],[NB NOTA_C_QTY]],[4]!db[NB NOTA_C_QTY+F],0))</f>
        <v>#REF!</v>
      </c>
      <c r="AV291" s="55">
        <f ca="1">IF(NOTA[[#This Row],[NB NOTA_C_QTY]]="","",ROW()-2)</f>
        <v>289</v>
      </c>
    </row>
    <row r="292" spans="1:48" ht="20.100000000000001" customHeight="1" x14ac:dyDescent="0.25">
      <c r="A2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 t="str">
        <f ca="1">IF(NOTA[[#This Row],[NAMA BARANG]]="","",INDEX(NOTA[ID],MATCH(,INDIRECT(ADDRESS(ROW(NOTA[ID]),COLUMN(NOTA[ID]))&amp;":"&amp;ADDRESS(ROW(),COLUMN(NOTA[ID]))),-1)))</f>
        <v/>
      </c>
      <c r="E292" s="47"/>
      <c r="H292" s="48"/>
      <c r="N292" s="39"/>
      <c r="Q292" s="43"/>
      <c r="R292" s="49"/>
      <c r="S292" s="50"/>
      <c r="U292" s="51"/>
      <c r="V292" s="46"/>
      <c r="W292" s="51" t="str">
        <f>IF(NOTA[[#This Row],[HARGA/ CTN]]="",NOTA[[#This Row],[JUMLAH_H]],NOTA[[#This Row],[HARGA/ CTN]]*IF(NOTA[[#This Row],[C]]="",0,NOTA[[#This Row],[C]]))</f>
        <v/>
      </c>
      <c r="X292" s="51" t="str">
        <f>IF(NOTA[[#This Row],[JUMLAH]]="","",NOTA[[#This Row],[JUMLAH]]*NOTA[[#This Row],[DISC 1]])</f>
        <v/>
      </c>
      <c r="Y292" s="51" t="str">
        <f>IF(NOTA[[#This Row],[JUMLAH]]="","",(NOTA[[#This Row],[JUMLAH]]-NOTA[[#This Row],[DISC 1-]])*NOTA[[#This Row],[DISC 2]])</f>
        <v/>
      </c>
      <c r="Z292" s="51" t="str">
        <f>IF(NOTA[[#This Row],[JUMLAH]]="","",NOTA[[#This Row],[DISC 1-]]+NOTA[[#This Row],[DISC 2-]])</f>
        <v/>
      </c>
      <c r="AA292" s="51" t="str">
        <f>IF(NOTA[[#This Row],[JUMLAH]]="","",NOTA[[#This Row],[JUMLAH]]-NOTA[[#This Row],[DISC]])</f>
        <v/>
      </c>
      <c r="AB292" s="51"/>
      <c r="AC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1" t="str">
        <f>IF(OR(NOTA[[#This Row],[QTY]]="",NOTA[[#This Row],[HARGA SATUAN]]="",),"",NOTA[[#This Row],[QTY]]*NOTA[[#This Row],[HARGA SATUAN]])</f>
        <v/>
      </c>
      <c r="AG292" s="40" t="str">
        <f ca="1">IF(NOTA[ID_H]="","",INDEX(NOTA[TANGGAL],MATCH(,INDIRECT(ADDRESS(ROW(NOTA[TANGGAL]),COLUMN(NOTA[TANGGAL]))&amp;":"&amp;ADDRESS(ROW(),COLUMN(NOTA[TANGGAL]))),-1)))</f>
        <v/>
      </c>
      <c r="AH292" s="42" t="str">
        <f ca="1">IF(NOTA[[#This Row],[NAMA BARANG]]="","",INDEX(NOTA[SUPPLIER],MATCH(,INDIRECT(ADDRESS(ROW(NOTA[ID]),COLUMN(NOTA[ID]))&amp;":"&amp;ADDRESS(ROW(),COLUMN(NOTA[ID]))),-1)))</f>
        <v/>
      </c>
      <c r="AI292" s="42" t="str">
        <f ca="1">IF(NOTA[[#This Row],[ID_H]]="","",IF(NOTA[[#This Row],[FAKTUR]]="",INDIRECT(ADDRESS(ROW()-1,COLUMN())),NOTA[[#This Row],[FAKTUR]]))</f>
        <v/>
      </c>
      <c r="AJ292" s="39" t="str">
        <f ca="1">IF(NOTA[[#This Row],[ID]]="","",COUNTIF(NOTA[ID_H],NOTA[[#This Row],[ID_H]]))</f>
        <v/>
      </c>
      <c r="AK292" s="39" t="str">
        <f ca="1">IF(NOTA[[#This Row],[TGL.NOTA]]="",IF(NOTA[[#This Row],[SUPPLIER_H]]="","",AK291),MONTH(NOTA[[#This Row],[TGL.NOTA]]))</f>
        <v/>
      </c>
      <c r="AL292" s="39" t="str">
        <f>LOWER(SUBSTITUTE(SUBSTITUTE(SUBSTITUTE(SUBSTITUTE(SUBSTITUTE(SUBSTITUTE(SUBSTITUTE(SUBSTITUTE(SUBSTITUTE(NOTA[NAMA BARANG]," ",),".",""),"-",""),"(",""),")",""),",",""),"/",""),"""",""),"+",""))</f>
        <v/>
      </c>
      <c r="AM2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9" t="str">
        <f>IF(NOTA[[#This Row],[CONCAT4]]="","",_xlfn.IFNA(MATCH(NOTA[[#This Row],[CONCAT4]],[2]!RAW[CONCAT_H],0),FALSE))</f>
        <v/>
      </c>
      <c r="AQ292" s="39" t="str">
        <f>IF(NOTA[[#This Row],[CONCAT1]]="","",MATCH(NOTA[[#This Row],[CONCAT1]],[3]!db[NB NOTA_C],0))</f>
        <v/>
      </c>
      <c r="AR292" s="39" t="str">
        <f>IF(NOTA[[#This Row],[QTY/ CTN]]="","",TRUE)</f>
        <v/>
      </c>
      <c r="AS292" s="39" t="str">
        <f ca="1">IF(NOTA[[#This Row],[ID_H]]="","",IF(NOTA[[#This Row],[Column3]]=TRUE,NOTA[[#This Row],[QTY/ CTN]],INDEX([3]!db[QTY/ CTN],NOTA[[#This Row],[//DB]])))</f>
        <v/>
      </c>
      <c r="AT2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9" t="str">
        <f ca="1">IF(NOTA[[#This Row],[ID_H]]="","",MATCH(NOTA[[#This Row],[NB NOTA_C_QTY]],[4]!db[NB NOTA_C_QTY+F],0))</f>
        <v/>
      </c>
      <c r="AV292" s="55" t="str">
        <f ca="1">IF(NOTA[[#This Row],[NB NOTA_C_QTY]]="","",ROW()-2)</f>
        <v/>
      </c>
    </row>
    <row r="293" spans="1:48" ht="20.100000000000001" customHeight="1" x14ac:dyDescent="0.25">
      <c r="A293" s="4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KEN_1207_809-11</v>
      </c>
      <c r="C293" s="39" t="e">
        <f ca="1">IF(NOTA[[#This Row],[ID_P]]="","",MATCH(NOTA[[#This Row],[ID_P]],[1]!B_MSK[N_ID],0))</f>
        <v>#REF!</v>
      </c>
      <c r="D293" s="39">
        <f ca="1">IF(NOTA[[#This Row],[NAMA BARANG]]="","",INDEX(NOTA[ID],MATCH(,INDIRECT(ADDRESS(ROW(NOTA[ID]),COLUMN(NOTA[ID]))&amp;":"&amp;ADDRESS(ROW(),COLUMN(NOTA[ID]))),-1)))</f>
        <v>59</v>
      </c>
      <c r="E293" s="47">
        <v>45119</v>
      </c>
      <c r="F293" s="38" t="s">
        <v>22</v>
      </c>
      <c r="G293" s="38" t="s">
        <v>23</v>
      </c>
      <c r="H293" s="48" t="s">
        <v>396</v>
      </c>
      <c r="I293" s="38" t="s">
        <v>404</v>
      </c>
      <c r="J293" s="40">
        <v>45117</v>
      </c>
      <c r="L293" s="38" t="s">
        <v>397</v>
      </c>
      <c r="M293" s="41">
        <v>2</v>
      </c>
      <c r="N293" s="39"/>
      <c r="Q293" s="43">
        <v>1740000</v>
      </c>
      <c r="R293" s="49"/>
      <c r="S293" s="50">
        <v>0.17</v>
      </c>
      <c r="U293" s="51"/>
      <c r="V293" s="46"/>
      <c r="W293" s="51">
        <f>IF(NOTA[[#This Row],[HARGA/ CTN]]="",NOTA[[#This Row],[JUMLAH_H]],NOTA[[#This Row],[HARGA/ CTN]]*IF(NOTA[[#This Row],[C]]="",0,NOTA[[#This Row],[C]]))</f>
        <v>3480000</v>
      </c>
      <c r="X293" s="51">
        <f>IF(NOTA[[#This Row],[JUMLAH]]="","",NOTA[[#This Row],[JUMLAH]]*NOTA[[#This Row],[DISC 1]])</f>
        <v>591600</v>
      </c>
      <c r="Y293" s="51">
        <f>IF(NOTA[[#This Row],[JUMLAH]]="","",(NOTA[[#This Row],[JUMLAH]]-NOTA[[#This Row],[DISC 1-]])*NOTA[[#This Row],[DISC 2]])</f>
        <v>0</v>
      </c>
      <c r="Z293" s="51">
        <f>IF(NOTA[[#This Row],[JUMLAH]]="","",NOTA[[#This Row],[DISC 1-]]+NOTA[[#This Row],[DISC 2-]])</f>
        <v>591600</v>
      </c>
      <c r="AA293" s="51">
        <f>IF(NOTA[[#This Row],[JUMLAH]]="","",NOTA[[#This Row],[JUMLAH]]-NOTA[[#This Row],[DISC]])</f>
        <v>2888400</v>
      </c>
      <c r="AB293" s="51"/>
      <c r="AC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93" s="51" t="str">
        <f>IF(OR(NOTA[[#This Row],[QTY]]="",NOTA[[#This Row],[HARGA SATUAN]]="",),"",NOTA[[#This Row],[QTY]]*NOTA[[#This Row],[HARGA SATUAN]])</f>
        <v/>
      </c>
      <c r="AG293" s="40">
        <f ca="1">IF(NOTA[ID_H]="","",INDEX(NOTA[TANGGAL],MATCH(,INDIRECT(ADDRESS(ROW(NOTA[TANGGAL]),COLUMN(NOTA[TANGGAL]))&amp;":"&amp;ADDRESS(ROW(),COLUMN(NOTA[TANGGAL]))),-1)))</f>
        <v>45119</v>
      </c>
      <c r="AH293" s="42" t="str">
        <f ca="1">IF(NOTA[[#This Row],[NAMA BARANG]]="","",INDEX(NOTA[SUPPLIER],MATCH(,INDIRECT(ADDRESS(ROW(NOTA[ID]),COLUMN(NOTA[ID]))&amp;":"&amp;ADDRESS(ROW(),COLUMN(NOTA[ID]))),-1)))</f>
        <v>KENKO SINAR INDONESIA</v>
      </c>
      <c r="AI293" s="42" t="str">
        <f ca="1">IF(NOTA[[#This Row],[ID_H]]="","",IF(NOTA[[#This Row],[FAKTUR]]="",INDIRECT(ADDRESS(ROW()-1,COLUMN())),NOTA[[#This Row],[FAKTUR]]))</f>
        <v>ARTO MORO</v>
      </c>
      <c r="AJ293" s="39">
        <f ca="1">IF(NOTA[[#This Row],[ID]]="","",COUNTIF(NOTA[ID_H],NOTA[[#This Row],[ID_H]]))</f>
        <v>11</v>
      </c>
      <c r="AK293" s="39">
        <f>IF(NOTA[[#This Row],[TGL.NOTA]]="",IF(NOTA[[#This Row],[SUPPLIER_H]]="","",AK292),MONTH(NOTA[[#This Row],[TGL.NOTA]]))</f>
        <v>7</v>
      </c>
      <c r="AL293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2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N2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O29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MORO23070809SA 4290845117kenkostaplerhd10smini</v>
      </c>
      <c r="AP293" s="39" t="e">
        <f>IF(NOTA[[#This Row],[CONCAT4]]="","",_xlfn.IFNA(MATCH(NOTA[[#This Row],[CONCAT4]],[2]!RAW[CONCAT_H],0),FALSE))</f>
        <v>#REF!</v>
      </c>
      <c r="AQ293" s="39">
        <f>IF(NOTA[[#This Row],[CONCAT1]]="","",MATCH(NOTA[[#This Row],[CONCAT1]],[3]!db[NB NOTA_C],0))</f>
        <v>2467</v>
      </c>
      <c r="AR293" s="39" t="str">
        <f>IF(NOTA[[#This Row],[QTY/ CTN]]="","",TRUE)</f>
        <v/>
      </c>
      <c r="AS293" s="39" t="str">
        <f ca="1">IF(NOTA[[#This Row],[ID_H]]="","",IF(NOTA[[#This Row],[Column3]]=TRUE,NOTA[[#This Row],[QTY/ CTN]],INDEX([3]!db[QTY/ CTN],NOTA[[#This Row],[//DB]])))</f>
        <v>25 LSN</v>
      </c>
      <c r="AT2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293" s="39" t="e">
        <f ca="1">IF(NOTA[[#This Row],[ID_H]]="","",MATCH(NOTA[[#This Row],[NB NOTA_C_QTY]],[4]!db[NB NOTA_C_QTY+F],0))</f>
        <v>#REF!</v>
      </c>
      <c r="AV293" s="55">
        <f ca="1">IF(NOTA[[#This Row],[NB NOTA_C_QTY]]="","",ROW()-2)</f>
        <v>291</v>
      </c>
    </row>
    <row r="294" spans="1:48" ht="20.100000000000001" customHeight="1" x14ac:dyDescent="0.25">
      <c r="A2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59</v>
      </c>
      <c r="E294" s="47"/>
      <c r="H294" s="48"/>
      <c r="L294" s="38" t="s">
        <v>398</v>
      </c>
      <c r="M294" s="41">
        <v>3</v>
      </c>
      <c r="N294" s="39"/>
      <c r="Q294" s="43">
        <v>840000</v>
      </c>
      <c r="R294" s="49"/>
      <c r="S294" s="50">
        <v>0.17</v>
      </c>
      <c r="U294" s="51"/>
      <c r="V294" s="46"/>
      <c r="W294" s="51">
        <f>IF(NOTA[[#This Row],[HARGA/ CTN]]="",NOTA[[#This Row],[JUMLAH_H]],NOTA[[#This Row],[HARGA/ CTN]]*IF(NOTA[[#This Row],[C]]="",0,NOTA[[#This Row],[C]]))</f>
        <v>2520000</v>
      </c>
      <c r="X294" s="51">
        <f>IF(NOTA[[#This Row],[JUMLAH]]="","",NOTA[[#This Row],[JUMLAH]]*NOTA[[#This Row],[DISC 1]])</f>
        <v>428400.00000000006</v>
      </c>
      <c r="Y294" s="51">
        <f>IF(NOTA[[#This Row],[JUMLAH]]="","",(NOTA[[#This Row],[JUMLAH]]-NOTA[[#This Row],[DISC 1-]])*NOTA[[#This Row],[DISC 2]])</f>
        <v>0</v>
      </c>
      <c r="Z294" s="51">
        <f>IF(NOTA[[#This Row],[JUMLAH]]="","",NOTA[[#This Row],[DISC 1-]]+NOTA[[#This Row],[DISC 2-]])</f>
        <v>428400.00000000006</v>
      </c>
      <c r="AA294" s="51">
        <f>IF(NOTA[[#This Row],[JUMLAH]]="","",NOTA[[#This Row],[JUMLAH]]-NOTA[[#This Row],[DISC]])</f>
        <v>2091600</v>
      </c>
      <c r="AB294" s="51"/>
      <c r="AC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94" s="51" t="str">
        <f>IF(OR(NOTA[[#This Row],[QTY]]="",NOTA[[#This Row],[HARGA SATUAN]]="",),"",NOTA[[#This Row],[QTY]]*NOTA[[#This Row],[HARGA SATUAN]])</f>
        <v/>
      </c>
      <c r="AG294" s="40">
        <f ca="1">IF(NOTA[ID_H]="","",INDEX(NOTA[TANGGAL],MATCH(,INDIRECT(ADDRESS(ROW(NOTA[TANGGAL]),COLUMN(NOTA[TANGGAL]))&amp;":"&amp;ADDRESS(ROW(),COLUMN(NOTA[TANGGAL]))),-1)))</f>
        <v>45119</v>
      </c>
      <c r="AH294" s="42" t="str">
        <f ca="1">IF(NOTA[[#This Row],[NAMA BARANG]]="","",INDEX(NOTA[SUPPLIER],MATCH(,INDIRECT(ADDRESS(ROW(NOTA[ID]),COLUMN(NOTA[ID]))&amp;":"&amp;ADDRESS(ROW(),COLUMN(NOTA[ID]))),-1)))</f>
        <v>KENKO SINAR INDONESIA</v>
      </c>
      <c r="AI294" s="42" t="str">
        <f ca="1">IF(NOTA[[#This Row],[ID_H]]="","",IF(NOTA[[#This Row],[FAKTUR]]="",INDIRECT(ADDRESS(ROW()-1,COLUMN())),NOTA[[#This Row],[FAKTUR]]))</f>
        <v>ARTO MORO</v>
      </c>
      <c r="AJ294" s="39" t="str">
        <f ca="1">IF(NOTA[[#This Row],[ID]]="","",COUNTIF(NOTA[ID_H],NOTA[[#This Row],[ID_H]]))</f>
        <v/>
      </c>
      <c r="AK294" s="39">
        <f ca="1">IF(NOTA[[#This Row],[TGL.NOTA]]="",IF(NOTA[[#This Row],[SUPPLIER_H]]="","",AK293),MONTH(NOTA[[#This Row],[TGL.NOTA]]))</f>
        <v>7</v>
      </c>
      <c r="AL294" s="39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N2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O2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9" t="str">
        <f>IF(NOTA[[#This Row],[CONCAT4]]="","",_xlfn.IFNA(MATCH(NOTA[[#This Row],[CONCAT4]],[2]!RAW[CONCAT_H],0),FALSE))</f>
        <v/>
      </c>
      <c r="AQ294" s="39">
        <f>IF(NOTA[[#This Row],[CONCAT1]]="","",MATCH(NOTA[[#This Row],[CONCAT1]],[3]!db[NB NOTA_C],0))</f>
        <v>1335</v>
      </c>
      <c r="AR294" s="39" t="str">
        <f>IF(NOTA[[#This Row],[QTY/ CTN]]="","",TRUE)</f>
        <v/>
      </c>
      <c r="AS294" s="39" t="str">
        <f ca="1">IF(NOTA[[#This Row],[ID_H]]="","",IF(NOTA[[#This Row],[Column3]]=TRUE,NOTA[[#This Row],[QTY/ CTN]],INDEX([3]!db[QTY/ CTN],NOTA[[#This Row],[//DB]])))</f>
        <v>20 PAK (10 BOX)</v>
      </c>
      <c r="AT2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U294" s="39" t="e">
        <f ca="1">IF(NOTA[[#This Row],[ID_H]]="","",MATCH(NOTA[[#This Row],[NB NOTA_C_QTY]],[4]!db[NB NOTA_C_QTY+F],0))</f>
        <v>#REF!</v>
      </c>
      <c r="AV294" s="55">
        <f ca="1">IF(NOTA[[#This Row],[NB NOTA_C_QTY]]="","",ROW()-2)</f>
        <v>292</v>
      </c>
    </row>
    <row r="295" spans="1:48" ht="20.100000000000001" customHeight="1" x14ac:dyDescent="0.25">
      <c r="A2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59</v>
      </c>
      <c r="E295" s="47"/>
      <c r="H295" s="48"/>
      <c r="L295" s="38" t="s">
        <v>399</v>
      </c>
      <c r="M295" s="41">
        <v>1</v>
      </c>
      <c r="N295" s="39"/>
      <c r="Q295" s="43">
        <v>3888000</v>
      </c>
      <c r="R295" s="49"/>
      <c r="S295" s="50">
        <v>0.17</v>
      </c>
      <c r="U295" s="51"/>
      <c r="V295" s="46"/>
      <c r="W295" s="51">
        <f>IF(NOTA[[#This Row],[HARGA/ CTN]]="",NOTA[[#This Row],[JUMLAH_H]],NOTA[[#This Row],[HARGA/ CTN]]*IF(NOTA[[#This Row],[C]]="",0,NOTA[[#This Row],[C]]))</f>
        <v>3888000</v>
      </c>
      <c r="X295" s="51">
        <f>IF(NOTA[[#This Row],[JUMLAH]]="","",NOTA[[#This Row],[JUMLAH]]*NOTA[[#This Row],[DISC 1]])</f>
        <v>660960</v>
      </c>
      <c r="Y295" s="51">
        <f>IF(NOTA[[#This Row],[JUMLAH]]="","",(NOTA[[#This Row],[JUMLAH]]-NOTA[[#This Row],[DISC 1-]])*NOTA[[#This Row],[DISC 2]])</f>
        <v>0</v>
      </c>
      <c r="Z295" s="51">
        <f>IF(NOTA[[#This Row],[JUMLAH]]="","",NOTA[[#This Row],[DISC 1-]]+NOTA[[#This Row],[DISC 2-]])</f>
        <v>660960</v>
      </c>
      <c r="AA295" s="51">
        <f>IF(NOTA[[#This Row],[JUMLAH]]="","",NOTA[[#This Row],[JUMLAH]]-NOTA[[#This Row],[DISC]])</f>
        <v>3227040</v>
      </c>
      <c r="AB295" s="51"/>
      <c r="AC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5" s="51" t="str">
        <f>IF(OR(NOTA[[#This Row],[QTY]]="",NOTA[[#This Row],[HARGA SATUAN]]="",),"",NOTA[[#This Row],[QTY]]*NOTA[[#This Row],[HARGA SATUAN]])</f>
        <v/>
      </c>
      <c r="AG295" s="40">
        <f ca="1">IF(NOTA[ID_H]="","",INDEX(NOTA[TANGGAL],MATCH(,INDIRECT(ADDRESS(ROW(NOTA[TANGGAL]),COLUMN(NOTA[TANGGAL]))&amp;":"&amp;ADDRESS(ROW(),COLUMN(NOTA[TANGGAL]))),-1)))</f>
        <v>45119</v>
      </c>
      <c r="AH295" s="42" t="str">
        <f ca="1">IF(NOTA[[#This Row],[NAMA BARANG]]="","",INDEX(NOTA[SUPPLIER],MATCH(,INDIRECT(ADDRESS(ROW(NOTA[ID]),COLUMN(NOTA[ID]))&amp;":"&amp;ADDRESS(ROW(),COLUMN(NOTA[ID]))),-1)))</f>
        <v>KENKO SINAR INDONESIA</v>
      </c>
      <c r="AI295" s="42" t="str">
        <f ca="1">IF(NOTA[[#This Row],[ID_H]]="","",IF(NOTA[[#This Row],[FAKTUR]]="",INDIRECT(ADDRESS(ROW()-1,COLUMN())),NOTA[[#This Row],[FAKTUR]]))</f>
        <v>ARTO MORO</v>
      </c>
      <c r="AJ295" s="39" t="str">
        <f ca="1">IF(NOTA[[#This Row],[ID]]="","",COUNTIF(NOTA[ID_H],NOTA[[#This Row],[ID_H]]))</f>
        <v/>
      </c>
      <c r="AK295" s="39">
        <f ca="1">IF(NOTA[[#This Row],[TGL.NOTA]]="",IF(NOTA[[#This Row],[SUPPLIER_H]]="","",AK294),MONTH(NOTA[[#This Row],[TGL.NOTA]]))</f>
        <v>7</v>
      </c>
      <c r="AL295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9" t="str">
        <f>IF(NOTA[[#This Row],[CONCAT4]]="","",_xlfn.IFNA(MATCH(NOTA[[#This Row],[CONCAT4]],[2]!RAW[CONCAT_H],0),FALSE))</f>
        <v/>
      </c>
      <c r="AQ295" s="39">
        <f>IF(NOTA[[#This Row],[CONCAT1]]="","",MATCH(NOTA[[#This Row],[CONCAT1]],[3]!db[NB NOTA_C],0))</f>
        <v>1302</v>
      </c>
      <c r="AR295" s="39" t="str">
        <f>IF(NOTA[[#This Row],[QTY/ CTN]]="","",TRUE)</f>
        <v/>
      </c>
      <c r="AS295" s="39" t="str">
        <f ca="1">IF(NOTA[[#This Row],[ID_H]]="","",IF(NOTA[[#This Row],[Column3]]=TRUE,NOTA[[#This Row],[QTY/ CTN]],INDEX([3]!db[QTY/ CTN],NOTA[[#This Row],[//DB]])))</f>
        <v>120 LSN</v>
      </c>
      <c r="AT2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95" s="39" t="e">
        <f ca="1">IF(NOTA[[#This Row],[ID_H]]="","",MATCH(NOTA[[#This Row],[NB NOTA_C_QTY]],[4]!db[NB NOTA_C_QTY+F],0))</f>
        <v>#REF!</v>
      </c>
      <c r="AV295" s="55">
        <f ca="1">IF(NOTA[[#This Row],[NB NOTA_C_QTY]]="","",ROW()-2)</f>
        <v>293</v>
      </c>
    </row>
    <row r="296" spans="1:48" ht="20.100000000000001" customHeight="1" x14ac:dyDescent="0.25">
      <c r="A2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59</v>
      </c>
      <c r="E296" s="47"/>
      <c r="H296" s="48"/>
      <c r="L296" s="38" t="s">
        <v>400</v>
      </c>
      <c r="M296" s="41">
        <v>1</v>
      </c>
      <c r="N296" s="39"/>
      <c r="Q296" s="43">
        <v>1497600</v>
      </c>
      <c r="R296" s="49"/>
      <c r="S296" s="50">
        <v>0.17</v>
      </c>
      <c r="U296" s="51"/>
      <c r="V296" s="46"/>
      <c r="W296" s="51">
        <f>IF(NOTA[[#This Row],[HARGA/ CTN]]="",NOTA[[#This Row],[JUMLAH_H]],NOTA[[#This Row],[HARGA/ CTN]]*IF(NOTA[[#This Row],[C]]="",0,NOTA[[#This Row],[C]]))</f>
        <v>1497600</v>
      </c>
      <c r="X296" s="51">
        <f>IF(NOTA[[#This Row],[JUMLAH]]="","",NOTA[[#This Row],[JUMLAH]]*NOTA[[#This Row],[DISC 1]])</f>
        <v>254592.00000000003</v>
      </c>
      <c r="Y296" s="51">
        <f>IF(NOTA[[#This Row],[JUMLAH]]="","",(NOTA[[#This Row],[JUMLAH]]-NOTA[[#This Row],[DISC 1-]])*NOTA[[#This Row],[DISC 2]])</f>
        <v>0</v>
      </c>
      <c r="Z296" s="51">
        <f>IF(NOTA[[#This Row],[JUMLAH]]="","",NOTA[[#This Row],[DISC 1-]]+NOTA[[#This Row],[DISC 2-]])</f>
        <v>254592.00000000003</v>
      </c>
      <c r="AA296" s="51">
        <f>IF(NOTA[[#This Row],[JUMLAH]]="","",NOTA[[#This Row],[JUMLAH]]-NOTA[[#This Row],[DISC]])</f>
        <v>1243008</v>
      </c>
      <c r="AB296" s="51"/>
      <c r="AC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96" s="51" t="str">
        <f>IF(OR(NOTA[[#This Row],[QTY]]="",NOTA[[#This Row],[HARGA SATUAN]]="",),"",NOTA[[#This Row],[QTY]]*NOTA[[#This Row],[HARGA SATUAN]])</f>
        <v/>
      </c>
      <c r="AG296" s="40">
        <f ca="1">IF(NOTA[ID_H]="","",INDEX(NOTA[TANGGAL],MATCH(,INDIRECT(ADDRESS(ROW(NOTA[TANGGAL]),COLUMN(NOTA[TANGGAL]))&amp;":"&amp;ADDRESS(ROW(),COLUMN(NOTA[TANGGAL]))),-1)))</f>
        <v>45119</v>
      </c>
      <c r="AH296" s="42" t="str">
        <f ca="1">IF(NOTA[[#This Row],[NAMA BARANG]]="","",INDEX(NOTA[SUPPLIER],MATCH(,INDIRECT(ADDRESS(ROW(NOTA[ID]),COLUMN(NOTA[ID]))&amp;":"&amp;ADDRESS(ROW(),COLUMN(NOTA[ID]))),-1)))</f>
        <v>KENKO SINAR INDONESIA</v>
      </c>
      <c r="AI296" s="42" t="str">
        <f ca="1">IF(NOTA[[#This Row],[ID_H]]="","",IF(NOTA[[#This Row],[FAKTUR]]="",INDIRECT(ADDRESS(ROW()-1,COLUMN())),NOTA[[#This Row],[FAKTUR]]))</f>
        <v>ARTO MORO</v>
      </c>
      <c r="AJ296" s="39" t="str">
        <f ca="1">IF(NOTA[[#This Row],[ID]]="","",COUNTIF(NOTA[ID_H],NOTA[[#This Row],[ID_H]]))</f>
        <v/>
      </c>
      <c r="AK296" s="39">
        <f ca="1">IF(NOTA[[#This Row],[TGL.NOTA]]="",IF(NOTA[[#This Row],[SUPPLIER_H]]="","",AK295),MONTH(NOTA[[#This Row],[TGL.NOTA]]))</f>
        <v>7</v>
      </c>
      <c r="AL29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9" t="str">
        <f>IF(NOTA[[#This Row],[CONCAT4]]="","",_xlfn.IFNA(MATCH(NOTA[[#This Row],[CONCAT4]],[2]!RAW[CONCAT_H],0),FALSE))</f>
        <v/>
      </c>
      <c r="AQ296" s="39">
        <f>IF(NOTA[[#This Row],[CONCAT1]]="","",MATCH(NOTA[[#This Row],[CONCAT1]],[3]!db[NB NOTA_C],0))</f>
        <v>1916</v>
      </c>
      <c r="AR296" s="39" t="str">
        <f>IF(NOTA[[#This Row],[QTY/ CTN]]="","",TRUE)</f>
        <v/>
      </c>
      <c r="AS296" s="39" t="str">
        <f ca="1">IF(NOTA[[#This Row],[ID_H]]="","",IF(NOTA[[#This Row],[Column3]]=TRUE,NOTA[[#This Row],[QTY/ CTN]],INDEX([3]!db[QTY/ CTN],NOTA[[#This Row],[//DB]])))</f>
        <v>24 LSN</v>
      </c>
      <c r="AT2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96" s="39" t="e">
        <f ca="1">IF(NOTA[[#This Row],[ID_H]]="","",MATCH(NOTA[[#This Row],[NB NOTA_C_QTY]],[4]!db[NB NOTA_C_QTY+F],0))</f>
        <v>#REF!</v>
      </c>
      <c r="AV296" s="55">
        <f ca="1">IF(NOTA[[#This Row],[NB NOTA_C_QTY]]="","",ROW()-2)</f>
        <v>294</v>
      </c>
    </row>
    <row r="297" spans="1:48" ht="20.100000000000001" customHeight="1" x14ac:dyDescent="0.25">
      <c r="A2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59</v>
      </c>
      <c r="E297" s="47"/>
      <c r="H297" s="48"/>
      <c r="L297" s="38" t="s">
        <v>339</v>
      </c>
      <c r="M297" s="41">
        <v>1</v>
      </c>
      <c r="N297" s="39"/>
      <c r="Q297" s="43">
        <v>860000</v>
      </c>
      <c r="R297" s="49"/>
      <c r="S297" s="50">
        <v>0.17</v>
      </c>
      <c r="U297" s="51"/>
      <c r="V297" s="46"/>
      <c r="W297" s="51">
        <f>IF(NOTA[[#This Row],[HARGA/ CTN]]="",NOTA[[#This Row],[JUMLAH_H]],NOTA[[#This Row],[HARGA/ CTN]]*IF(NOTA[[#This Row],[C]]="",0,NOTA[[#This Row],[C]]))</f>
        <v>860000</v>
      </c>
      <c r="X297" s="51">
        <f>IF(NOTA[[#This Row],[JUMLAH]]="","",NOTA[[#This Row],[JUMLAH]]*NOTA[[#This Row],[DISC 1]])</f>
        <v>146200</v>
      </c>
      <c r="Y297" s="51">
        <f>IF(NOTA[[#This Row],[JUMLAH]]="","",(NOTA[[#This Row],[JUMLAH]]-NOTA[[#This Row],[DISC 1-]])*NOTA[[#This Row],[DISC 2]])</f>
        <v>0</v>
      </c>
      <c r="Z297" s="51">
        <f>IF(NOTA[[#This Row],[JUMLAH]]="","",NOTA[[#This Row],[DISC 1-]]+NOTA[[#This Row],[DISC 2-]])</f>
        <v>146200</v>
      </c>
      <c r="AA297" s="51">
        <f>IF(NOTA[[#This Row],[JUMLAH]]="","",NOTA[[#This Row],[JUMLAH]]-NOTA[[#This Row],[DISC]])</f>
        <v>713800</v>
      </c>
      <c r="AB297" s="51"/>
      <c r="AC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97" s="51" t="str">
        <f>IF(OR(NOTA[[#This Row],[QTY]]="",NOTA[[#This Row],[HARGA SATUAN]]="",),"",NOTA[[#This Row],[QTY]]*NOTA[[#This Row],[HARGA SATUAN]])</f>
        <v/>
      </c>
      <c r="AG297" s="40">
        <f ca="1">IF(NOTA[ID_H]="","",INDEX(NOTA[TANGGAL],MATCH(,INDIRECT(ADDRESS(ROW(NOTA[TANGGAL]),COLUMN(NOTA[TANGGAL]))&amp;":"&amp;ADDRESS(ROW(),COLUMN(NOTA[TANGGAL]))),-1)))</f>
        <v>45119</v>
      </c>
      <c r="AH297" s="42" t="str">
        <f ca="1">IF(NOTA[[#This Row],[NAMA BARANG]]="","",INDEX(NOTA[SUPPLIER],MATCH(,INDIRECT(ADDRESS(ROW(NOTA[ID]),COLUMN(NOTA[ID]))&amp;":"&amp;ADDRESS(ROW(),COLUMN(NOTA[ID]))),-1)))</f>
        <v>KENKO SINAR INDONESIA</v>
      </c>
      <c r="AI297" s="42" t="str">
        <f ca="1">IF(NOTA[[#This Row],[ID_H]]="","",IF(NOTA[[#This Row],[FAKTUR]]="",INDIRECT(ADDRESS(ROW()-1,COLUMN())),NOTA[[#This Row],[FAKTUR]]))</f>
        <v>ARTO MORO</v>
      </c>
      <c r="AJ297" s="39" t="str">
        <f ca="1">IF(NOTA[[#This Row],[ID]]="","",COUNTIF(NOTA[ID_H],NOTA[[#This Row],[ID_H]]))</f>
        <v/>
      </c>
      <c r="AK297" s="39">
        <f ca="1">IF(NOTA[[#This Row],[TGL.NOTA]]="",IF(NOTA[[#This Row],[SUPPLIER_H]]="","",AK296),MONTH(NOTA[[#This Row],[TGL.NOTA]]))</f>
        <v>7</v>
      </c>
      <c r="AL29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9" t="str">
        <f>IF(NOTA[[#This Row],[CONCAT4]]="","",_xlfn.IFNA(MATCH(NOTA[[#This Row],[CONCAT4]],[2]!RAW[CONCAT_H],0),FALSE))</f>
        <v/>
      </c>
      <c r="AQ297" s="39">
        <f>IF(NOTA[[#This Row],[CONCAT1]]="","",MATCH(NOTA[[#This Row],[CONCAT1]],[3]!db[NB NOTA_C],0))</f>
        <v>896</v>
      </c>
      <c r="AR297" s="39" t="str">
        <f>IF(NOTA[[#This Row],[QTY/ CTN]]="","",TRUE)</f>
        <v/>
      </c>
      <c r="AS297" s="39" t="str">
        <f ca="1">IF(NOTA[[#This Row],[ID_H]]="","",IF(NOTA[[#This Row],[Column3]]=TRUE,NOTA[[#This Row],[QTY/ CTN]],INDEX([3]!db[QTY/ CTN],NOTA[[#This Row],[//DB]])))</f>
        <v>200 BOX</v>
      </c>
      <c r="AT2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297" s="39" t="e">
        <f ca="1">IF(NOTA[[#This Row],[ID_H]]="","",MATCH(NOTA[[#This Row],[NB NOTA_C_QTY]],[4]!db[NB NOTA_C_QTY+F],0))</f>
        <v>#REF!</v>
      </c>
      <c r="AV297" s="55">
        <f ca="1">IF(NOTA[[#This Row],[NB NOTA_C_QTY]]="","",ROW()-2)</f>
        <v>295</v>
      </c>
    </row>
    <row r="298" spans="1:48" ht="20.100000000000001" customHeight="1" x14ac:dyDescent="0.25">
      <c r="A2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>
        <f ca="1">IF(NOTA[[#This Row],[NAMA BARANG]]="","",INDEX(NOTA[ID],MATCH(,INDIRECT(ADDRESS(ROW(NOTA[ID]),COLUMN(NOTA[ID]))&amp;":"&amp;ADDRESS(ROW(),COLUMN(NOTA[ID]))),-1)))</f>
        <v>59</v>
      </c>
      <c r="E298" s="47"/>
      <c r="H298" s="48"/>
      <c r="L298" s="38" t="s">
        <v>330</v>
      </c>
      <c r="M298" s="41">
        <v>1</v>
      </c>
      <c r="N298" s="39"/>
      <c r="Q298" s="43">
        <v>1590000</v>
      </c>
      <c r="R298" s="49"/>
      <c r="S298" s="50">
        <v>0.17</v>
      </c>
      <c r="U298" s="51"/>
      <c r="V298" s="46"/>
      <c r="W298" s="51">
        <f>IF(NOTA[[#This Row],[HARGA/ CTN]]="",NOTA[[#This Row],[JUMLAH_H]],NOTA[[#This Row],[HARGA/ CTN]]*IF(NOTA[[#This Row],[C]]="",0,NOTA[[#This Row],[C]]))</f>
        <v>1590000</v>
      </c>
      <c r="X298" s="51">
        <f>IF(NOTA[[#This Row],[JUMLAH]]="","",NOTA[[#This Row],[JUMLAH]]*NOTA[[#This Row],[DISC 1]])</f>
        <v>270300</v>
      </c>
      <c r="Y298" s="51">
        <f>IF(NOTA[[#This Row],[JUMLAH]]="","",(NOTA[[#This Row],[JUMLAH]]-NOTA[[#This Row],[DISC 1-]])*NOTA[[#This Row],[DISC 2]])</f>
        <v>0</v>
      </c>
      <c r="Z298" s="51">
        <f>IF(NOTA[[#This Row],[JUMLAH]]="","",NOTA[[#This Row],[DISC 1-]]+NOTA[[#This Row],[DISC 2-]])</f>
        <v>270300</v>
      </c>
      <c r="AA298" s="51">
        <f>IF(NOTA[[#This Row],[JUMLAH]]="","",NOTA[[#This Row],[JUMLAH]]-NOTA[[#This Row],[DISC]])</f>
        <v>1319700</v>
      </c>
      <c r="AB298" s="51"/>
      <c r="AC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98" s="51" t="str">
        <f>IF(OR(NOTA[[#This Row],[QTY]]="",NOTA[[#This Row],[HARGA SATUAN]]="",),"",NOTA[[#This Row],[QTY]]*NOTA[[#This Row],[HARGA SATUAN]])</f>
        <v/>
      </c>
      <c r="AG298" s="40">
        <f ca="1">IF(NOTA[ID_H]="","",INDEX(NOTA[TANGGAL],MATCH(,INDIRECT(ADDRESS(ROW(NOTA[TANGGAL]),COLUMN(NOTA[TANGGAL]))&amp;":"&amp;ADDRESS(ROW(),COLUMN(NOTA[TANGGAL]))),-1)))</f>
        <v>45119</v>
      </c>
      <c r="AH298" s="42" t="str">
        <f ca="1">IF(NOTA[[#This Row],[NAMA BARANG]]="","",INDEX(NOTA[SUPPLIER],MATCH(,INDIRECT(ADDRESS(ROW(NOTA[ID]),COLUMN(NOTA[ID]))&amp;":"&amp;ADDRESS(ROW(),COLUMN(NOTA[ID]))),-1)))</f>
        <v>KENKO SINAR INDONESIA</v>
      </c>
      <c r="AI298" s="42" t="str">
        <f ca="1">IF(NOTA[[#This Row],[ID_H]]="","",IF(NOTA[[#This Row],[FAKTUR]]="",INDIRECT(ADDRESS(ROW()-1,COLUMN())),NOTA[[#This Row],[FAKTUR]]))</f>
        <v>ARTO MORO</v>
      </c>
      <c r="AJ298" s="39" t="str">
        <f ca="1">IF(NOTA[[#This Row],[ID]]="","",COUNTIF(NOTA[ID_H],NOTA[[#This Row],[ID_H]]))</f>
        <v/>
      </c>
      <c r="AK298" s="39">
        <f ca="1">IF(NOTA[[#This Row],[TGL.NOTA]]="",IF(NOTA[[#This Row],[SUPPLIER_H]]="","",AK297),MONTH(NOTA[[#This Row],[TGL.NOTA]]))</f>
        <v>7</v>
      </c>
      <c r="AL29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9" t="str">
        <f>IF(NOTA[[#This Row],[CONCAT4]]="","",_xlfn.IFNA(MATCH(NOTA[[#This Row],[CONCAT4]],[2]!RAW[CONCAT_H],0),FALSE))</f>
        <v/>
      </c>
      <c r="AQ298" s="39">
        <f>IF(NOTA[[#This Row],[CONCAT1]]="","",MATCH(NOTA[[#This Row],[CONCAT1]],[3]!db[NB NOTA_C],0))</f>
        <v>227</v>
      </c>
      <c r="AR298" s="39" t="str">
        <f>IF(NOTA[[#This Row],[QTY/ CTN]]="","",TRUE)</f>
        <v/>
      </c>
      <c r="AS298" s="39" t="str">
        <f ca="1">IF(NOTA[[#This Row],[ID_H]]="","",IF(NOTA[[#This Row],[Column3]]=TRUE,NOTA[[#This Row],[QTY/ CTN]],INDEX([3]!db[QTY/ CTN],NOTA[[#This Row],[//DB]])))</f>
        <v>50 GRS</v>
      </c>
      <c r="AT2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98" s="39" t="e">
        <f ca="1">IF(NOTA[[#This Row],[ID_H]]="","",MATCH(NOTA[[#This Row],[NB NOTA_C_QTY]],[4]!db[NB NOTA_C_QTY+F],0))</f>
        <v>#REF!</v>
      </c>
      <c r="AV298" s="55">
        <f ca="1">IF(NOTA[[#This Row],[NB NOTA_C_QTY]]="","",ROW()-2)</f>
        <v>296</v>
      </c>
    </row>
    <row r="299" spans="1:48" ht="20.100000000000001" customHeight="1" x14ac:dyDescent="0.25">
      <c r="A2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59</v>
      </c>
      <c r="E299" s="47"/>
      <c r="H299" s="48"/>
      <c r="L299" s="38" t="s">
        <v>331</v>
      </c>
      <c r="M299" s="41">
        <v>1</v>
      </c>
      <c r="N299" s="39"/>
      <c r="Q299" s="43">
        <v>1476000</v>
      </c>
      <c r="R299" s="49"/>
      <c r="S299" s="50">
        <v>0.17</v>
      </c>
      <c r="U299" s="51"/>
      <c r="V299" s="46"/>
      <c r="W299" s="51">
        <f>IF(NOTA[[#This Row],[HARGA/ CTN]]="",NOTA[[#This Row],[JUMLAH_H]],NOTA[[#This Row],[HARGA/ CTN]]*IF(NOTA[[#This Row],[C]]="",0,NOTA[[#This Row],[C]]))</f>
        <v>1476000</v>
      </c>
      <c r="X299" s="51">
        <f>IF(NOTA[[#This Row],[JUMLAH]]="","",NOTA[[#This Row],[JUMLAH]]*NOTA[[#This Row],[DISC 1]])</f>
        <v>250920.00000000003</v>
      </c>
      <c r="Y299" s="51">
        <f>IF(NOTA[[#This Row],[JUMLAH]]="","",(NOTA[[#This Row],[JUMLAH]]-NOTA[[#This Row],[DISC 1-]])*NOTA[[#This Row],[DISC 2]])</f>
        <v>0</v>
      </c>
      <c r="Z299" s="51">
        <f>IF(NOTA[[#This Row],[JUMLAH]]="","",NOTA[[#This Row],[DISC 1-]]+NOTA[[#This Row],[DISC 2-]])</f>
        <v>250920.00000000003</v>
      </c>
      <c r="AA299" s="51">
        <f>IF(NOTA[[#This Row],[JUMLAH]]="","",NOTA[[#This Row],[JUMLAH]]-NOTA[[#This Row],[DISC]])</f>
        <v>1225080</v>
      </c>
      <c r="AB299" s="51"/>
      <c r="AC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99" s="51" t="str">
        <f>IF(OR(NOTA[[#This Row],[QTY]]="",NOTA[[#This Row],[HARGA SATUAN]]="",),"",NOTA[[#This Row],[QTY]]*NOTA[[#This Row],[HARGA SATUAN]])</f>
        <v/>
      </c>
      <c r="AG299" s="40">
        <f ca="1">IF(NOTA[ID_H]="","",INDEX(NOTA[TANGGAL],MATCH(,INDIRECT(ADDRESS(ROW(NOTA[TANGGAL]),COLUMN(NOTA[TANGGAL]))&amp;":"&amp;ADDRESS(ROW(),COLUMN(NOTA[TANGGAL]))),-1)))</f>
        <v>45119</v>
      </c>
      <c r="AH299" s="42" t="str">
        <f ca="1">IF(NOTA[[#This Row],[NAMA BARANG]]="","",INDEX(NOTA[SUPPLIER],MATCH(,INDIRECT(ADDRESS(ROW(NOTA[ID]),COLUMN(NOTA[ID]))&amp;":"&amp;ADDRESS(ROW(),COLUMN(NOTA[ID]))),-1)))</f>
        <v>KENKO SINAR INDONESIA</v>
      </c>
      <c r="AI299" s="42" t="str">
        <f ca="1">IF(NOTA[[#This Row],[ID_H]]="","",IF(NOTA[[#This Row],[FAKTUR]]="",INDIRECT(ADDRESS(ROW()-1,COLUMN())),NOTA[[#This Row],[FAKTUR]]))</f>
        <v>ARTO MORO</v>
      </c>
      <c r="AJ299" s="39" t="str">
        <f ca="1">IF(NOTA[[#This Row],[ID]]="","",COUNTIF(NOTA[ID_H],NOTA[[#This Row],[ID_H]]))</f>
        <v/>
      </c>
      <c r="AK299" s="39">
        <f ca="1">IF(NOTA[[#This Row],[TGL.NOTA]]="",IF(NOTA[[#This Row],[SUPPLIER_H]]="","",AK298),MONTH(NOTA[[#This Row],[TGL.NOTA]]))</f>
        <v>7</v>
      </c>
      <c r="AL299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9" t="str">
        <f>IF(NOTA[[#This Row],[CONCAT4]]="","",_xlfn.IFNA(MATCH(NOTA[[#This Row],[CONCAT4]],[2]!RAW[CONCAT_H],0),FALSE))</f>
        <v/>
      </c>
      <c r="AQ299" s="39">
        <f>IF(NOTA[[#This Row],[CONCAT1]]="","",MATCH(NOTA[[#This Row],[CONCAT1]],[3]!db[NB NOTA_C],0))</f>
        <v>228</v>
      </c>
      <c r="AR299" s="39" t="str">
        <f>IF(NOTA[[#This Row],[QTY/ CTN]]="","",TRUE)</f>
        <v/>
      </c>
      <c r="AS299" s="39" t="str">
        <f ca="1">IF(NOTA[[#This Row],[ID_H]]="","",IF(NOTA[[#This Row],[Column3]]=TRUE,NOTA[[#This Row],[QTY/ CTN]],INDEX([3]!db[QTY/ CTN],NOTA[[#This Row],[//DB]])))</f>
        <v>30 GRS</v>
      </c>
      <c r="AT2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99" s="39" t="e">
        <f ca="1">IF(NOTA[[#This Row],[ID_H]]="","",MATCH(NOTA[[#This Row],[NB NOTA_C_QTY]],[4]!db[NB NOTA_C_QTY+F],0))</f>
        <v>#REF!</v>
      </c>
      <c r="AV299" s="55">
        <f ca="1">IF(NOTA[[#This Row],[NB NOTA_C_QTY]]="","",ROW()-2)</f>
        <v>297</v>
      </c>
    </row>
    <row r="300" spans="1:48" ht="20.100000000000001" customHeight="1" x14ac:dyDescent="0.25">
      <c r="A3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59</v>
      </c>
      <c r="E300" s="47"/>
      <c r="H300" s="48"/>
      <c r="L300" s="38" t="s">
        <v>377</v>
      </c>
      <c r="M300" s="41">
        <v>5</v>
      </c>
      <c r="N300" s="39"/>
      <c r="Q300" s="43">
        <v>3888000</v>
      </c>
      <c r="R300" s="49"/>
      <c r="S300" s="50">
        <v>0.17</v>
      </c>
      <c r="U300" s="51"/>
      <c r="V300" s="46"/>
      <c r="W300" s="51">
        <f>IF(NOTA[[#This Row],[HARGA/ CTN]]="",NOTA[[#This Row],[JUMLAH_H]],NOTA[[#This Row],[HARGA/ CTN]]*IF(NOTA[[#This Row],[C]]="",0,NOTA[[#This Row],[C]]))</f>
        <v>19440000</v>
      </c>
      <c r="X300" s="51">
        <f>IF(NOTA[[#This Row],[JUMLAH]]="","",NOTA[[#This Row],[JUMLAH]]*NOTA[[#This Row],[DISC 1]])</f>
        <v>3304800.0000000005</v>
      </c>
      <c r="Y300" s="51">
        <f>IF(NOTA[[#This Row],[JUMLAH]]="","",(NOTA[[#This Row],[JUMLAH]]-NOTA[[#This Row],[DISC 1-]])*NOTA[[#This Row],[DISC 2]])</f>
        <v>0</v>
      </c>
      <c r="Z300" s="51">
        <f>IF(NOTA[[#This Row],[JUMLAH]]="","",NOTA[[#This Row],[DISC 1-]]+NOTA[[#This Row],[DISC 2-]])</f>
        <v>3304800.0000000005</v>
      </c>
      <c r="AA300" s="51">
        <f>IF(NOTA[[#This Row],[JUMLAH]]="","",NOTA[[#This Row],[JUMLAH]]-NOTA[[#This Row],[DISC]])</f>
        <v>16135200</v>
      </c>
      <c r="AB300" s="51"/>
      <c r="AC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00" s="51" t="str">
        <f>IF(OR(NOTA[[#This Row],[QTY]]="",NOTA[[#This Row],[HARGA SATUAN]]="",),"",NOTA[[#This Row],[QTY]]*NOTA[[#This Row],[HARGA SATUAN]])</f>
        <v/>
      </c>
      <c r="AG300" s="40">
        <f ca="1">IF(NOTA[ID_H]="","",INDEX(NOTA[TANGGAL],MATCH(,INDIRECT(ADDRESS(ROW(NOTA[TANGGAL]),COLUMN(NOTA[TANGGAL]))&amp;":"&amp;ADDRESS(ROW(),COLUMN(NOTA[TANGGAL]))),-1)))</f>
        <v>45119</v>
      </c>
      <c r="AH300" s="42" t="str">
        <f ca="1">IF(NOTA[[#This Row],[NAMA BARANG]]="","",INDEX(NOTA[SUPPLIER],MATCH(,INDIRECT(ADDRESS(ROW(NOTA[ID]),COLUMN(NOTA[ID]))&amp;":"&amp;ADDRESS(ROW(),COLUMN(NOTA[ID]))),-1)))</f>
        <v>KENKO SINAR INDONESIA</v>
      </c>
      <c r="AI300" s="42" t="str">
        <f ca="1">IF(NOTA[[#This Row],[ID_H]]="","",IF(NOTA[[#This Row],[FAKTUR]]="",INDIRECT(ADDRESS(ROW()-1,COLUMN())),NOTA[[#This Row],[FAKTUR]]))</f>
        <v>ARTO MORO</v>
      </c>
      <c r="AJ300" s="39" t="str">
        <f ca="1">IF(NOTA[[#This Row],[ID]]="","",COUNTIF(NOTA[ID_H],NOTA[[#This Row],[ID_H]]))</f>
        <v/>
      </c>
      <c r="AK300" s="39">
        <f ca="1">IF(NOTA[[#This Row],[TGL.NOTA]]="",IF(NOTA[[#This Row],[SUPPLIER_H]]="","",AK299),MONTH(NOTA[[#This Row],[TGL.NOTA]]))</f>
        <v>7</v>
      </c>
      <c r="AL30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9" t="str">
        <f>IF(NOTA[[#This Row],[CONCAT4]]="","",_xlfn.IFNA(MATCH(NOTA[[#This Row],[CONCAT4]],[2]!RAW[CONCAT_H],0),FALSE))</f>
        <v/>
      </c>
      <c r="AQ300" s="39">
        <f>IF(NOTA[[#This Row],[CONCAT1]]="","",MATCH(NOTA[[#This Row],[CONCAT1]],[3]!db[NB NOTA_C],0))</f>
        <v>1303</v>
      </c>
      <c r="AR300" s="39" t="str">
        <f>IF(NOTA[[#This Row],[QTY/ CTN]]="","",TRUE)</f>
        <v/>
      </c>
      <c r="AS300" s="39" t="str">
        <f ca="1">IF(NOTA[[#This Row],[ID_H]]="","",IF(NOTA[[#This Row],[Column3]]=TRUE,NOTA[[#This Row],[QTY/ CTN]],INDEX([3]!db[QTY/ CTN],NOTA[[#This Row],[//DB]])))</f>
        <v>60 LSN</v>
      </c>
      <c r="AT3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00" s="39" t="e">
        <f ca="1">IF(NOTA[[#This Row],[ID_H]]="","",MATCH(NOTA[[#This Row],[NB NOTA_C_QTY]],[4]!db[NB NOTA_C_QTY+F],0))</f>
        <v>#REF!</v>
      </c>
      <c r="AV300" s="55">
        <f ca="1">IF(NOTA[[#This Row],[NB NOTA_C_QTY]]="","",ROW()-2)</f>
        <v>298</v>
      </c>
    </row>
    <row r="301" spans="1:48" ht="20.100000000000001" customHeight="1" x14ac:dyDescent="0.25">
      <c r="A3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59</v>
      </c>
      <c r="E301" s="47"/>
      <c r="H301" s="48"/>
      <c r="L301" s="38" t="s">
        <v>371</v>
      </c>
      <c r="M301" s="41">
        <v>2</v>
      </c>
      <c r="N301" s="39"/>
      <c r="Q301" s="43">
        <v>2008800</v>
      </c>
      <c r="R301" s="49"/>
      <c r="S301" s="50">
        <v>0.17</v>
      </c>
      <c r="U301" s="51"/>
      <c r="V301" s="46"/>
      <c r="W301" s="51">
        <f>IF(NOTA[[#This Row],[HARGA/ CTN]]="",NOTA[[#This Row],[JUMLAH_H]],NOTA[[#This Row],[HARGA/ CTN]]*IF(NOTA[[#This Row],[C]]="",0,NOTA[[#This Row],[C]]))</f>
        <v>4017600</v>
      </c>
      <c r="X301" s="51">
        <f>IF(NOTA[[#This Row],[JUMLAH]]="","",NOTA[[#This Row],[JUMLAH]]*NOTA[[#This Row],[DISC 1]])</f>
        <v>682992</v>
      </c>
      <c r="Y301" s="51">
        <f>IF(NOTA[[#This Row],[JUMLAH]]="","",(NOTA[[#This Row],[JUMLAH]]-NOTA[[#This Row],[DISC 1-]])*NOTA[[#This Row],[DISC 2]])</f>
        <v>0</v>
      </c>
      <c r="Z301" s="51">
        <f>IF(NOTA[[#This Row],[JUMLAH]]="","",NOTA[[#This Row],[DISC 1-]]+NOTA[[#This Row],[DISC 2-]])</f>
        <v>682992</v>
      </c>
      <c r="AA301" s="51">
        <f>IF(NOTA[[#This Row],[JUMLAH]]="","",NOTA[[#This Row],[JUMLAH]]-NOTA[[#This Row],[DISC]])</f>
        <v>3334608</v>
      </c>
      <c r="AB301" s="51"/>
      <c r="AC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01" s="51" t="str">
        <f>IF(OR(NOTA[[#This Row],[QTY]]="",NOTA[[#This Row],[HARGA SATUAN]]="",),"",NOTA[[#This Row],[QTY]]*NOTA[[#This Row],[HARGA SATUAN]])</f>
        <v/>
      </c>
      <c r="AG301" s="40">
        <f ca="1">IF(NOTA[ID_H]="","",INDEX(NOTA[TANGGAL],MATCH(,INDIRECT(ADDRESS(ROW(NOTA[TANGGAL]),COLUMN(NOTA[TANGGAL]))&amp;":"&amp;ADDRESS(ROW(),COLUMN(NOTA[TANGGAL]))),-1)))</f>
        <v>45119</v>
      </c>
      <c r="AH301" s="42" t="str">
        <f ca="1">IF(NOTA[[#This Row],[NAMA BARANG]]="","",INDEX(NOTA[SUPPLIER],MATCH(,INDIRECT(ADDRESS(ROW(NOTA[ID]),COLUMN(NOTA[ID]))&amp;":"&amp;ADDRESS(ROW(),COLUMN(NOTA[ID]))),-1)))</f>
        <v>KENKO SINAR INDONESIA</v>
      </c>
      <c r="AI301" s="42" t="str">
        <f ca="1">IF(NOTA[[#This Row],[ID_H]]="","",IF(NOTA[[#This Row],[FAKTUR]]="",INDIRECT(ADDRESS(ROW()-1,COLUMN())),NOTA[[#This Row],[FAKTUR]]))</f>
        <v>ARTO MORO</v>
      </c>
      <c r="AJ301" s="39" t="str">
        <f ca="1">IF(NOTA[[#This Row],[ID]]="","",COUNTIF(NOTA[ID_H],NOTA[[#This Row],[ID_H]]))</f>
        <v/>
      </c>
      <c r="AK301" s="39">
        <f ca="1">IF(NOTA[[#This Row],[TGL.NOTA]]="",IF(NOTA[[#This Row],[SUPPLIER_H]]="","",AK300),MONTH(NOTA[[#This Row],[TGL.NOTA]]))</f>
        <v>7</v>
      </c>
      <c r="AL301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9" t="str">
        <f>IF(NOTA[[#This Row],[CONCAT4]]="","",_xlfn.IFNA(MATCH(NOTA[[#This Row],[CONCAT4]],[2]!RAW[CONCAT_H],0),FALSE))</f>
        <v/>
      </c>
      <c r="AQ301" s="39">
        <f>IF(NOTA[[#This Row],[CONCAT1]]="","",MATCH(NOTA[[#This Row],[CONCAT1]],[3]!db[NB NOTA_C],0))</f>
        <v>2679</v>
      </c>
      <c r="AR301" s="39" t="str">
        <f>IF(NOTA[[#This Row],[QTY/ CTN]]="","",TRUE)</f>
        <v/>
      </c>
      <c r="AS301" s="39" t="str">
        <f ca="1">IF(NOTA[[#This Row],[ID_H]]="","",IF(NOTA[[#This Row],[Column3]]=TRUE,NOTA[[#This Row],[QTY/ CTN]],INDEX([3]!db[QTY/ CTN],NOTA[[#This Row],[//DB]])))</f>
        <v>36 LSN</v>
      </c>
      <c r="AT3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01" s="39" t="e">
        <f ca="1">IF(NOTA[[#This Row],[ID_H]]="","",MATCH(NOTA[[#This Row],[NB NOTA_C_QTY]],[4]!db[NB NOTA_C_QTY+F],0))</f>
        <v>#REF!</v>
      </c>
      <c r="AV301" s="55">
        <f ca="1">IF(NOTA[[#This Row],[NB NOTA_C_QTY]]="","",ROW()-2)</f>
        <v>299</v>
      </c>
    </row>
    <row r="302" spans="1:48" ht="20.100000000000001" customHeight="1" x14ac:dyDescent="0.25">
      <c r="A3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59</v>
      </c>
      <c r="E302" s="47"/>
      <c r="H302" s="48"/>
      <c r="L302" s="38" t="s">
        <v>401</v>
      </c>
      <c r="M302" s="41">
        <v>2</v>
      </c>
      <c r="N302" s="39"/>
      <c r="Q302" s="43">
        <v>1695600</v>
      </c>
      <c r="R302" s="49"/>
      <c r="S302" s="50">
        <v>0.17</v>
      </c>
      <c r="U302" s="51"/>
      <c r="V302" s="46"/>
      <c r="W302" s="51">
        <f>IF(NOTA[[#This Row],[HARGA/ CTN]]="",NOTA[[#This Row],[JUMLAH_H]],NOTA[[#This Row],[HARGA/ CTN]]*IF(NOTA[[#This Row],[C]]="",0,NOTA[[#This Row],[C]]))</f>
        <v>3391200</v>
      </c>
      <c r="X302" s="51">
        <f>IF(NOTA[[#This Row],[JUMLAH]]="","",NOTA[[#This Row],[JUMLAH]]*NOTA[[#This Row],[DISC 1]])</f>
        <v>576504</v>
      </c>
      <c r="Y302" s="51">
        <f>IF(NOTA[[#This Row],[JUMLAH]]="","",(NOTA[[#This Row],[JUMLAH]]-NOTA[[#This Row],[DISC 1-]])*NOTA[[#This Row],[DISC 2]])</f>
        <v>0</v>
      </c>
      <c r="Z302" s="51">
        <f>IF(NOTA[[#This Row],[JUMLAH]]="","",NOTA[[#This Row],[DISC 1-]]+NOTA[[#This Row],[DISC 2-]])</f>
        <v>576504</v>
      </c>
      <c r="AA302" s="51">
        <f>IF(NOTA[[#This Row],[JUMLAH]]="","",NOTA[[#This Row],[JUMLAH]]-NOTA[[#This Row],[DISC]])</f>
        <v>2814696</v>
      </c>
      <c r="AB302" s="51"/>
      <c r="AC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02" s="51" t="str">
        <f>IF(OR(NOTA[[#This Row],[QTY]]="",NOTA[[#This Row],[HARGA SATUAN]]="",),"",NOTA[[#This Row],[QTY]]*NOTA[[#This Row],[HARGA SATUAN]])</f>
        <v/>
      </c>
      <c r="AG302" s="40">
        <f ca="1">IF(NOTA[ID_H]="","",INDEX(NOTA[TANGGAL],MATCH(,INDIRECT(ADDRESS(ROW(NOTA[TANGGAL]),COLUMN(NOTA[TANGGAL]))&amp;":"&amp;ADDRESS(ROW(),COLUMN(NOTA[TANGGAL]))),-1)))</f>
        <v>45119</v>
      </c>
      <c r="AH302" s="42" t="str">
        <f ca="1">IF(NOTA[[#This Row],[NAMA BARANG]]="","",INDEX(NOTA[SUPPLIER],MATCH(,INDIRECT(ADDRESS(ROW(NOTA[ID]),COLUMN(NOTA[ID]))&amp;":"&amp;ADDRESS(ROW(),COLUMN(NOTA[ID]))),-1)))</f>
        <v>KENKO SINAR INDONESIA</v>
      </c>
      <c r="AI302" s="42" t="str">
        <f ca="1">IF(NOTA[[#This Row],[ID_H]]="","",IF(NOTA[[#This Row],[FAKTUR]]="",INDIRECT(ADDRESS(ROW()-1,COLUMN())),NOTA[[#This Row],[FAKTUR]]))</f>
        <v>ARTO MORO</v>
      </c>
      <c r="AJ302" s="39" t="str">
        <f ca="1">IF(NOTA[[#This Row],[ID]]="","",COUNTIF(NOTA[ID_H],NOTA[[#This Row],[ID_H]]))</f>
        <v/>
      </c>
      <c r="AK302" s="39">
        <f ca="1">IF(NOTA[[#This Row],[TGL.NOTA]]="",IF(NOTA[[#This Row],[SUPPLIER_H]]="","",AK301),MONTH(NOTA[[#This Row],[TGL.NOTA]]))</f>
        <v>7</v>
      </c>
      <c r="AL302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9" t="str">
        <f>IF(NOTA[[#This Row],[CONCAT4]]="","",_xlfn.IFNA(MATCH(NOTA[[#This Row],[CONCAT4]],[2]!RAW[CONCAT_H],0),FALSE))</f>
        <v/>
      </c>
      <c r="AQ302" s="39">
        <f>IF(NOTA[[#This Row],[CONCAT1]]="","",MATCH(NOTA[[#This Row],[CONCAT1]],[3]!db[NB NOTA_C],0))</f>
        <v>2680</v>
      </c>
      <c r="AR302" s="39" t="str">
        <f>IF(NOTA[[#This Row],[QTY/ CTN]]="","",TRUE)</f>
        <v/>
      </c>
      <c r="AS302" s="39" t="str">
        <f ca="1">IF(NOTA[[#This Row],[ID_H]]="","",IF(NOTA[[#This Row],[Column3]]=TRUE,NOTA[[#This Row],[QTY/ CTN]],INDEX([3]!db[QTY/ CTN],NOTA[[#This Row],[//DB]])))</f>
        <v>36 LSN</v>
      </c>
      <c r="AT3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02" s="39" t="e">
        <f ca="1">IF(NOTA[[#This Row],[ID_H]]="","",MATCH(NOTA[[#This Row],[NB NOTA_C_QTY]],[4]!db[NB NOTA_C_QTY+F],0))</f>
        <v>#REF!</v>
      </c>
      <c r="AV302" s="55">
        <f ca="1">IF(NOTA[[#This Row],[NB NOTA_C_QTY]]="","",ROW()-2)</f>
        <v>300</v>
      </c>
    </row>
    <row r="303" spans="1:48" ht="20.100000000000001" customHeight="1" x14ac:dyDescent="0.25">
      <c r="A3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59</v>
      </c>
      <c r="E303" s="47"/>
      <c r="H303" s="48"/>
      <c r="I303" s="38" t="s">
        <v>403</v>
      </c>
      <c r="L303" s="38" t="s">
        <v>402</v>
      </c>
      <c r="M303" s="41">
        <v>10</v>
      </c>
      <c r="N303" s="39"/>
      <c r="Q303" s="43">
        <v>462000</v>
      </c>
      <c r="R303" s="49"/>
      <c r="S303" s="50">
        <v>0.17</v>
      </c>
      <c r="U303" s="51"/>
      <c r="V303" s="46"/>
      <c r="W303" s="51">
        <f>IF(NOTA[[#This Row],[HARGA/ CTN]]="",NOTA[[#This Row],[JUMLAH_H]],NOTA[[#This Row],[HARGA/ CTN]]*IF(NOTA[[#This Row],[C]]="",0,NOTA[[#This Row],[C]]))</f>
        <v>4620000</v>
      </c>
      <c r="X303" s="51">
        <f>IF(NOTA[[#This Row],[JUMLAH]]="","",NOTA[[#This Row],[JUMLAH]]*NOTA[[#This Row],[DISC 1]])</f>
        <v>785400</v>
      </c>
      <c r="Y303" s="51">
        <f>IF(NOTA[[#This Row],[JUMLAH]]="","",(NOTA[[#This Row],[JUMLAH]]-NOTA[[#This Row],[DISC 1-]])*NOTA[[#This Row],[DISC 2]])</f>
        <v>0</v>
      </c>
      <c r="Z303" s="51">
        <f>IF(NOTA[[#This Row],[JUMLAH]]="","",NOTA[[#This Row],[DISC 1-]]+NOTA[[#This Row],[DISC 2-]])</f>
        <v>785400</v>
      </c>
      <c r="AA303" s="51">
        <f>IF(NOTA[[#This Row],[JUMLAH]]="","",NOTA[[#This Row],[JUMLAH]]-NOTA[[#This Row],[DISC]])</f>
        <v>3834600</v>
      </c>
      <c r="AB303" s="51"/>
      <c r="AC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7952668</v>
      </c>
      <c r="AD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38827732</v>
      </c>
      <c r="AE303" s="4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03" s="51" t="str">
        <f>IF(OR(NOTA[[#This Row],[QTY]]="",NOTA[[#This Row],[HARGA SATUAN]]="",),"",NOTA[[#This Row],[QTY]]*NOTA[[#This Row],[HARGA SATUAN]])</f>
        <v/>
      </c>
      <c r="AG303" s="40">
        <f ca="1">IF(NOTA[ID_H]="","",INDEX(NOTA[TANGGAL],MATCH(,INDIRECT(ADDRESS(ROW(NOTA[TANGGAL]),COLUMN(NOTA[TANGGAL]))&amp;":"&amp;ADDRESS(ROW(),COLUMN(NOTA[TANGGAL]))),-1)))</f>
        <v>45119</v>
      </c>
      <c r="AH303" s="42" t="str">
        <f ca="1">IF(NOTA[[#This Row],[NAMA BARANG]]="","",INDEX(NOTA[SUPPLIER],MATCH(,INDIRECT(ADDRESS(ROW(NOTA[ID]),COLUMN(NOTA[ID]))&amp;":"&amp;ADDRESS(ROW(),COLUMN(NOTA[ID]))),-1)))</f>
        <v>KENKO SINAR INDONESIA</v>
      </c>
      <c r="AI303" s="42" t="str">
        <f ca="1">IF(NOTA[[#This Row],[ID_H]]="","",IF(NOTA[[#This Row],[FAKTUR]]="",INDIRECT(ADDRESS(ROW()-1,COLUMN())),NOTA[[#This Row],[FAKTUR]]))</f>
        <v>ARTO MORO</v>
      </c>
      <c r="AJ303" s="39" t="str">
        <f ca="1">IF(NOTA[[#This Row],[ID]]="","",COUNTIF(NOTA[ID_H],NOTA[[#This Row],[ID_H]]))</f>
        <v/>
      </c>
      <c r="AK303" s="39">
        <f ca="1">IF(NOTA[[#This Row],[TGL.NOTA]]="",IF(NOTA[[#This Row],[SUPPLIER_H]]="","",AK302),MONTH(NOTA[[#This Row],[TGL.NOTA]]))</f>
        <v>7</v>
      </c>
      <c r="AL303" s="39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3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9" t="str">
        <f>IF(NOTA[[#This Row],[CONCAT4]]="","",_xlfn.IFNA(MATCH(NOTA[[#This Row],[CONCAT4]],[2]!RAW[CONCAT_H],0),FALSE))</f>
        <v/>
      </c>
      <c r="AQ303" s="39">
        <f>IF(NOTA[[#This Row],[CONCAT1]]="","",MATCH(NOTA[[#This Row],[CONCAT1]],[3]!db[NB NOTA_C],0))</f>
        <v>993</v>
      </c>
      <c r="AR303" s="39" t="str">
        <f>IF(NOTA[[#This Row],[QTY/ CTN]]="","",TRUE)</f>
        <v/>
      </c>
      <c r="AS303" s="39" t="str">
        <f ca="1">IF(NOTA[[#This Row],[ID_H]]="","",IF(NOTA[[#This Row],[Column3]]=TRUE,NOTA[[#This Row],[QTY/ CTN]],INDEX([3]!db[QTY/ CTN],NOTA[[#This Row],[//DB]])))</f>
        <v>24 PCS</v>
      </c>
      <c r="AT3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U303" s="39" t="e">
        <f ca="1">IF(NOTA[[#This Row],[ID_H]]="","",MATCH(NOTA[[#This Row],[NB NOTA_C_QTY]],[4]!db[NB NOTA_C_QTY+F],0))</f>
        <v>#REF!</v>
      </c>
      <c r="AV303" s="55">
        <f ca="1">IF(NOTA[[#This Row],[NB NOTA_C_QTY]]="","",ROW()-2)</f>
        <v>301</v>
      </c>
    </row>
    <row r="304" spans="1:48" ht="20.100000000000001" customHeight="1" x14ac:dyDescent="0.25">
      <c r="A3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 t="str">
        <f ca="1">IF(NOTA[[#This Row],[NAMA BARANG]]="","",INDEX(NOTA[ID],MATCH(,INDIRECT(ADDRESS(ROW(NOTA[ID]),COLUMN(NOTA[ID]))&amp;":"&amp;ADDRESS(ROW(),COLUMN(NOTA[ID]))),-1)))</f>
        <v/>
      </c>
      <c r="E304" s="47"/>
      <c r="H304" s="48"/>
      <c r="N304" s="39"/>
      <c r="Q304" s="43"/>
      <c r="R304" s="49"/>
      <c r="S304" s="50"/>
      <c r="U304" s="51"/>
      <c r="V304" s="46"/>
      <c r="W304" s="51" t="str">
        <f>IF(NOTA[[#This Row],[HARGA/ CTN]]="",NOTA[[#This Row],[JUMLAH_H]],NOTA[[#This Row],[HARGA/ CTN]]*IF(NOTA[[#This Row],[C]]="",0,NOTA[[#This Row],[C]]))</f>
        <v/>
      </c>
      <c r="X304" s="51" t="str">
        <f>IF(NOTA[[#This Row],[JUMLAH]]="","",NOTA[[#This Row],[JUMLAH]]*NOTA[[#This Row],[DISC 1]])</f>
        <v/>
      </c>
      <c r="Y304" s="51" t="str">
        <f>IF(NOTA[[#This Row],[JUMLAH]]="","",(NOTA[[#This Row],[JUMLAH]]-NOTA[[#This Row],[DISC 1-]])*NOTA[[#This Row],[DISC 2]])</f>
        <v/>
      </c>
      <c r="Z304" s="51" t="str">
        <f>IF(NOTA[[#This Row],[JUMLAH]]="","",NOTA[[#This Row],[DISC 1-]]+NOTA[[#This Row],[DISC 2-]])</f>
        <v/>
      </c>
      <c r="AA304" s="51" t="str">
        <f>IF(NOTA[[#This Row],[JUMLAH]]="","",NOTA[[#This Row],[JUMLAH]]-NOTA[[#This Row],[DISC]])</f>
        <v/>
      </c>
      <c r="AB304" s="51"/>
      <c r="AC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1" t="str">
        <f>IF(OR(NOTA[[#This Row],[QTY]]="",NOTA[[#This Row],[HARGA SATUAN]]="",),"",NOTA[[#This Row],[QTY]]*NOTA[[#This Row],[HARGA SATUAN]])</f>
        <v/>
      </c>
      <c r="AG304" s="40" t="str">
        <f ca="1">IF(NOTA[ID_H]="","",INDEX(NOTA[TANGGAL],MATCH(,INDIRECT(ADDRESS(ROW(NOTA[TANGGAL]),COLUMN(NOTA[TANGGAL]))&amp;":"&amp;ADDRESS(ROW(),COLUMN(NOTA[TANGGAL]))),-1)))</f>
        <v/>
      </c>
      <c r="AH304" s="42" t="str">
        <f ca="1">IF(NOTA[[#This Row],[NAMA BARANG]]="","",INDEX(NOTA[SUPPLIER],MATCH(,INDIRECT(ADDRESS(ROW(NOTA[ID]),COLUMN(NOTA[ID]))&amp;":"&amp;ADDRESS(ROW(),COLUMN(NOTA[ID]))),-1)))</f>
        <v/>
      </c>
      <c r="AI304" s="42" t="str">
        <f ca="1">IF(NOTA[[#This Row],[ID_H]]="","",IF(NOTA[[#This Row],[FAKTUR]]="",INDIRECT(ADDRESS(ROW()-1,COLUMN())),NOTA[[#This Row],[FAKTUR]]))</f>
        <v/>
      </c>
      <c r="AJ304" s="39" t="str">
        <f ca="1">IF(NOTA[[#This Row],[ID]]="","",COUNTIF(NOTA[ID_H],NOTA[[#This Row],[ID_H]]))</f>
        <v/>
      </c>
      <c r="AK304" s="39" t="str">
        <f ca="1">IF(NOTA[[#This Row],[TGL.NOTA]]="",IF(NOTA[[#This Row],[SUPPLIER_H]]="","",AK303),MONTH(NOTA[[#This Row],[TGL.NOTA]]))</f>
        <v/>
      </c>
      <c r="AL304" s="39" t="str">
        <f>LOWER(SUBSTITUTE(SUBSTITUTE(SUBSTITUTE(SUBSTITUTE(SUBSTITUTE(SUBSTITUTE(SUBSTITUTE(SUBSTITUTE(SUBSTITUTE(NOTA[NAMA BARANG]," ",),".",""),"-",""),"(",""),")",""),",",""),"/",""),"""",""),"+",""))</f>
        <v/>
      </c>
      <c r="AM3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9" t="str">
        <f>IF(NOTA[[#This Row],[CONCAT4]]="","",_xlfn.IFNA(MATCH(NOTA[[#This Row],[CONCAT4]],[2]!RAW[CONCAT_H],0),FALSE))</f>
        <v/>
      </c>
      <c r="AQ304" s="39" t="str">
        <f>IF(NOTA[[#This Row],[CONCAT1]]="","",MATCH(NOTA[[#This Row],[CONCAT1]],[3]!db[NB NOTA_C],0))</f>
        <v/>
      </c>
      <c r="AR304" s="39" t="str">
        <f>IF(NOTA[[#This Row],[QTY/ CTN]]="","",TRUE)</f>
        <v/>
      </c>
      <c r="AS304" s="39" t="str">
        <f ca="1">IF(NOTA[[#This Row],[ID_H]]="","",IF(NOTA[[#This Row],[Column3]]=TRUE,NOTA[[#This Row],[QTY/ CTN]],INDEX([3]!db[QTY/ CTN],NOTA[[#This Row],[//DB]])))</f>
        <v/>
      </c>
      <c r="AT3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9" t="str">
        <f ca="1">IF(NOTA[[#This Row],[ID_H]]="","",MATCH(NOTA[[#This Row],[NB NOTA_C_QTY]],[4]!db[NB NOTA_C_QTY+F],0))</f>
        <v/>
      </c>
      <c r="AV304" s="55" t="str">
        <f ca="1">IF(NOTA[[#This Row],[NB NOTA_C_QTY]]="","",ROW()-2)</f>
        <v/>
      </c>
    </row>
    <row r="305" spans="1:48" ht="20.100000000000001" customHeight="1" x14ac:dyDescent="0.25">
      <c r="A305" s="42">
        <f ca="1">IF(INDIRECT(ADDRESS(ROW()-1,COLUMN(NOTA[[#Headers],[ID]])))="ID",1,IF(NOTA[[#This Row],[FAKTUR]]="","",COUNT(INDIRECT(ADDRESS(ROW(NOTA[ID]),COLUMN(NOTA[ID]))&amp;":"&amp;ADDRESS(ROW()-1,COLUMN(NOTA[ID]))))+1))</f>
        <v>60</v>
      </c>
      <c r="B3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KEN_1207_865-5</v>
      </c>
      <c r="C305" s="39" t="e">
        <f ca="1">IF(NOTA[[#This Row],[ID_P]]="","",MATCH(NOTA[[#This Row],[ID_P]],[1]!B_MSK[N_ID],0))</f>
        <v>#REF!</v>
      </c>
      <c r="D305" s="39">
        <f ca="1">IF(NOTA[[#This Row],[NAMA BARANG]]="","",INDEX(NOTA[ID],MATCH(,INDIRECT(ADDRESS(ROW(NOTA[ID]),COLUMN(NOTA[ID]))&amp;":"&amp;ADDRESS(ROW(),COLUMN(NOTA[ID]))),-1)))</f>
        <v>60</v>
      </c>
      <c r="E305" s="47"/>
      <c r="F305" s="38" t="s">
        <v>22</v>
      </c>
      <c r="G305" s="38" t="s">
        <v>23</v>
      </c>
      <c r="H305" s="48" t="s">
        <v>405</v>
      </c>
      <c r="I305" s="38" t="s">
        <v>409</v>
      </c>
      <c r="J305" s="40">
        <v>45118</v>
      </c>
      <c r="L305" s="38" t="s">
        <v>408</v>
      </c>
      <c r="M305" s="41">
        <v>2</v>
      </c>
      <c r="N305" s="39"/>
      <c r="Q305" s="43">
        <v>7430400</v>
      </c>
      <c r="R305" s="49"/>
      <c r="S305" s="50">
        <v>0.17</v>
      </c>
      <c r="U305" s="51"/>
      <c r="V305" s="46"/>
      <c r="W305" s="51">
        <f>IF(NOTA[[#This Row],[HARGA/ CTN]]="",NOTA[[#This Row],[JUMLAH_H]],NOTA[[#This Row],[HARGA/ CTN]]*IF(NOTA[[#This Row],[C]]="",0,NOTA[[#This Row],[C]]))</f>
        <v>14860800</v>
      </c>
      <c r="X305" s="51">
        <f>IF(NOTA[[#This Row],[JUMLAH]]="","",NOTA[[#This Row],[JUMLAH]]*NOTA[[#This Row],[DISC 1]])</f>
        <v>2526336</v>
      </c>
      <c r="Y305" s="51">
        <f>IF(NOTA[[#This Row],[JUMLAH]]="","",(NOTA[[#This Row],[JUMLAH]]-NOTA[[#This Row],[DISC 1-]])*NOTA[[#This Row],[DISC 2]])</f>
        <v>0</v>
      </c>
      <c r="Z305" s="51">
        <f>IF(NOTA[[#This Row],[JUMLAH]]="","",NOTA[[#This Row],[DISC 1-]]+NOTA[[#This Row],[DISC 2-]])</f>
        <v>2526336</v>
      </c>
      <c r="AA305" s="51">
        <f>IF(NOTA[[#This Row],[JUMLAH]]="","",NOTA[[#This Row],[JUMLAH]]-NOTA[[#This Row],[DISC]])</f>
        <v>12334464</v>
      </c>
      <c r="AB305" s="51"/>
      <c r="AC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2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F305" s="51" t="str">
        <f>IF(OR(NOTA[[#This Row],[QTY]]="",NOTA[[#This Row],[HARGA SATUAN]]="",),"",NOTA[[#This Row],[QTY]]*NOTA[[#This Row],[HARGA SATUAN]])</f>
        <v/>
      </c>
      <c r="AG305" s="40">
        <f ca="1">IF(NOTA[ID_H]="","",INDEX(NOTA[TANGGAL],MATCH(,INDIRECT(ADDRESS(ROW(NOTA[TANGGAL]),COLUMN(NOTA[TANGGAL]))&amp;":"&amp;ADDRESS(ROW(),COLUMN(NOTA[TANGGAL]))),-1)))</f>
        <v>45119</v>
      </c>
      <c r="AH305" s="42" t="str">
        <f ca="1">IF(NOTA[[#This Row],[NAMA BARANG]]="","",INDEX(NOTA[SUPPLIER],MATCH(,INDIRECT(ADDRESS(ROW(NOTA[ID]),COLUMN(NOTA[ID]))&amp;":"&amp;ADDRESS(ROW(),COLUMN(NOTA[ID]))),-1)))</f>
        <v>KENKO SINAR INDONESIA</v>
      </c>
      <c r="AI305" s="42" t="str">
        <f ca="1">IF(NOTA[[#This Row],[ID_H]]="","",IF(NOTA[[#This Row],[FAKTUR]]="",INDIRECT(ADDRESS(ROW()-1,COLUMN())),NOTA[[#This Row],[FAKTUR]]))</f>
        <v>ARTO MORO</v>
      </c>
      <c r="AJ305" s="39">
        <f ca="1">IF(NOTA[[#This Row],[ID]]="","",COUNTIF(NOTA[ID_H],NOTA[[#This Row],[ID_H]]))</f>
        <v>5</v>
      </c>
      <c r="AK305" s="39">
        <f>IF(NOTA[[#This Row],[TGL.NOTA]]="",IF(NOTA[[#This Row],[SUPPLIER_H]]="","",AK304),MONTH(NOTA[[#This Row],[TGL.NOTA]]))</f>
        <v>7</v>
      </c>
      <c r="AL305" s="39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3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N3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O30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MORO23070865SA 4293945118kenkomechanicalpencilmp0105mm</v>
      </c>
      <c r="AP305" s="39" t="e">
        <f>IF(NOTA[[#This Row],[CONCAT4]]="","",_xlfn.IFNA(MATCH(NOTA[[#This Row],[CONCAT4]],[2]!RAW[CONCAT_H],0),FALSE))</f>
        <v>#REF!</v>
      </c>
      <c r="AQ305" s="39">
        <f>IF(NOTA[[#This Row],[CONCAT1]]="","",MATCH(NOTA[[#This Row],[CONCAT1]],[3]!db[NB NOTA_C],0))</f>
        <v>1672</v>
      </c>
      <c r="AR305" s="39" t="str">
        <f>IF(NOTA[[#This Row],[QTY/ CTN]]="","",TRUE)</f>
        <v/>
      </c>
      <c r="AS305" s="39" t="str">
        <f ca="1">IF(NOTA[[#This Row],[ID_H]]="","",IF(NOTA[[#This Row],[Column3]]=TRUE,NOTA[[#This Row],[QTY/ CTN]],INDEX([3]!db[QTY/ CTN],NOTA[[#This Row],[//DB]])))</f>
        <v>144 LSN</v>
      </c>
      <c r="AT3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U305" s="39" t="e">
        <f ca="1">IF(NOTA[[#This Row],[ID_H]]="","",MATCH(NOTA[[#This Row],[NB NOTA_C_QTY]],[4]!db[NB NOTA_C_QTY+F],0))</f>
        <v>#REF!</v>
      </c>
      <c r="AV305" s="55">
        <f ca="1">IF(NOTA[[#This Row],[NB NOTA_C_QTY]]="","",ROW()-2)</f>
        <v>303</v>
      </c>
    </row>
    <row r="306" spans="1:48" ht="20.100000000000001" customHeight="1" x14ac:dyDescent="0.25">
      <c r="A3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60</v>
      </c>
      <c r="E306" s="47"/>
      <c r="H306" s="48"/>
      <c r="L306" s="38" t="s">
        <v>406</v>
      </c>
      <c r="M306" s="41">
        <v>2</v>
      </c>
      <c r="N306" s="39"/>
      <c r="Q306" s="43">
        <v>2280000</v>
      </c>
      <c r="R306" s="49"/>
      <c r="S306" s="50">
        <v>0.17</v>
      </c>
      <c r="U306" s="51"/>
      <c r="V306" s="46"/>
      <c r="W306" s="51">
        <f>IF(NOTA[[#This Row],[HARGA/ CTN]]="",NOTA[[#This Row],[JUMLAH_H]],NOTA[[#This Row],[HARGA/ CTN]]*IF(NOTA[[#This Row],[C]]="",0,NOTA[[#This Row],[C]]))</f>
        <v>4560000</v>
      </c>
      <c r="X306" s="51">
        <f>IF(NOTA[[#This Row],[JUMLAH]]="","",NOTA[[#This Row],[JUMLAH]]*NOTA[[#This Row],[DISC 1]])</f>
        <v>775200</v>
      </c>
      <c r="Y306" s="51">
        <f>IF(NOTA[[#This Row],[JUMLAH]]="","",(NOTA[[#This Row],[JUMLAH]]-NOTA[[#This Row],[DISC 1-]])*NOTA[[#This Row],[DISC 2]])</f>
        <v>0</v>
      </c>
      <c r="Z306" s="51">
        <f>IF(NOTA[[#This Row],[JUMLAH]]="","",NOTA[[#This Row],[DISC 1-]]+NOTA[[#This Row],[DISC 2-]])</f>
        <v>775200</v>
      </c>
      <c r="AA306" s="51">
        <f>IF(NOTA[[#This Row],[JUMLAH]]="","",NOTA[[#This Row],[JUMLAH]]-NOTA[[#This Row],[DISC]])</f>
        <v>3784800</v>
      </c>
      <c r="AB306" s="51"/>
      <c r="AC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06" s="51" t="str">
        <f>IF(OR(NOTA[[#This Row],[QTY]]="",NOTA[[#This Row],[HARGA SATUAN]]="",),"",NOTA[[#This Row],[QTY]]*NOTA[[#This Row],[HARGA SATUAN]])</f>
        <v/>
      </c>
      <c r="AG306" s="40">
        <f ca="1">IF(NOTA[ID_H]="","",INDEX(NOTA[TANGGAL],MATCH(,INDIRECT(ADDRESS(ROW(NOTA[TANGGAL]),COLUMN(NOTA[TANGGAL]))&amp;":"&amp;ADDRESS(ROW(),COLUMN(NOTA[TANGGAL]))),-1)))</f>
        <v>45119</v>
      </c>
      <c r="AH306" s="42" t="str">
        <f ca="1">IF(NOTA[[#This Row],[NAMA BARANG]]="","",INDEX(NOTA[SUPPLIER],MATCH(,INDIRECT(ADDRESS(ROW(NOTA[ID]),COLUMN(NOTA[ID]))&amp;":"&amp;ADDRESS(ROW(),COLUMN(NOTA[ID]))),-1)))</f>
        <v>KENKO SINAR INDONESIA</v>
      </c>
      <c r="AI306" s="42" t="str">
        <f ca="1">IF(NOTA[[#This Row],[ID_H]]="","",IF(NOTA[[#This Row],[FAKTUR]]="",INDIRECT(ADDRESS(ROW()-1,COLUMN())),NOTA[[#This Row],[FAKTUR]]))</f>
        <v>ARTO MORO</v>
      </c>
      <c r="AJ306" s="39" t="str">
        <f ca="1">IF(NOTA[[#This Row],[ID]]="","",COUNTIF(NOTA[ID_H],NOTA[[#This Row],[ID_H]]))</f>
        <v/>
      </c>
      <c r="AK306" s="39">
        <f ca="1">IF(NOTA[[#This Row],[TGL.NOTA]]="",IF(NOTA[[#This Row],[SUPPLIER_H]]="","",AK305),MONTH(NOTA[[#This Row],[TGL.NOTA]]))</f>
        <v>7</v>
      </c>
      <c r="AL306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9" t="str">
        <f>IF(NOTA[[#This Row],[CONCAT4]]="","",_xlfn.IFNA(MATCH(NOTA[[#This Row],[CONCAT4]],[2]!RAW[CONCAT_H],0),FALSE))</f>
        <v/>
      </c>
      <c r="AQ306" s="39">
        <f>IF(NOTA[[#This Row],[CONCAT1]]="","",MATCH(NOTA[[#This Row],[CONCAT1]],[3]!db[NB NOTA_C],0))</f>
        <v>2472</v>
      </c>
      <c r="AR306" s="39" t="str">
        <f>IF(NOTA[[#This Row],[QTY/ CTN]]="","",TRUE)</f>
        <v/>
      </c>
      <c r="AS306" s="39" t="str">
        <f ca="1">IF(NOTA[[#This Row],[ID_H]]="","",IF(NOTA[[#This Row],[Column3]]=TRUE,NOTA[[#This Row],[QTY/ CTN]],INDEX([3]!db[QTY/ CTN],NOTA[[#This Row],[//DB]])))</f>
        <v>10 LSN</v>
      </c>
      <c r="AT3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306" s="39" t="e">
        <f ca="1">IF(NOTA[[#This Row],[ID_H]]="","",MATCH(NOTA[[#This Row],[NB NOTA_C_QTY]],[4]!db[NB NOTA_C_QTY+F],0))</f>
        <v>#REF!</v>
      </c>
      <c r="AV306" s="55">
        <f ca="1">IF(NOTA[[#This Row],[NB NOTA_C_QTY]]="","",ROW()-2)</f>
        <v>304</v>
      </c>
    </row>
    <row r="307" spans="1:48" ht="20.100000000000001" customHeight="1" x14ac:dyDescent="0.25">
      <c r="A3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60</v>
      </c>
      <c r="E307" s="47"/>
      <c r="H307" s="48"/>
      <c r="L307" s="38" t="s">
        <v>290</v>
      </c>
      <c r="M307" s="41">
        <v>7</v>
      </c>
      <c r="N307" s="39"/>
      <c r="Q307" s="43">
        <v>1954800</v>
      </c>
      <c r="R307" s="49"/>
      <c r="S307" s="50">
        <v>0.17</v>
      </c>
      <c r="U307" s="51"/>
      <c r="V307" s="46"/>
      <c r="W307" s="51">
        <f>IF(NOTA[[#This Row],[HARGA/ CTN]]="",NOTA[[#This Row],[JUMLAH_H]],NOTA[[#This Row],[HARGA/ CTN]]*IF(NOTA[[#This Row],[C]]="",0,NOTA[[#This Row],[C]]))</f>
        <v>13683600</v>
      </c>
      <c r="X307" s="51">
        <f>IF(NOTA[[#This Row],[JUMLAH]]="","",NOTA[[#This Row],[JUMLAH]]*NOTA[[#This Row],[DISC 1]])</f>
        <v>2326212</v>
      </c>
      <c r="Y307" s="51">
        <f>IF(NOTA[[#This Row],[JUMLAH]]="","",(NOTA[[#This Row],[JUMLAH]]-NOTA[[#This Row],[DISC 1-]])*NOTA[[#This Row],[DISC 2]])</f>
        <v>0</v>
      </c>
      <c r="Z307" s="51">
        <f>IF(NOTA[[#This Row],[JUMLAH]]="","",NOTA[[#This Row],[DISC 1-]]+NOTA[[#This Row],[DISC 2-]])</f>
        <v>2326212</v>
      </c>
      <c r="AA307" s="51">
        <f>IF(NOTA[[#This Row],[JUMLAH]]="","",NOTA[[#This Row],[JUMLAH]]-NOTA[[#This Row],[DISC]])</f>
        <v>11357388</v>
      </c>
      <c r="AB307" s="51"/>
      <c r="AC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7" s="51" t="str">
        <f>IF(OR(NOTA[[#This Row],[QTY]]="",NOTA[[#This Row],[HARGA SATUAN]]="",),"",NOTA[[#This Row],[QTY]]*NOTA[[#This Row],[HARGA SATUAN]])</f>
        <v/>
      </c>
      <c r="AG307" s="40">
        <f ca="1">IF(NOTA[ID_H]="","",INDEX(NOTA[TANGGAL],MATCH(,INDIRECT(ADDRESS(ROW(NOTA[TANGGAL]),COLUMN(NOTA[TANGGAL]))&amp;":"&amp;ADDRESS(ROW(),COLUMN(NOTA[TANGGAL]))),-1)))</f>
        <v>45119</v>
      </c>
      <c r="AH307" s="42" t="str">
        <f ca="1">IF(NOTA[[#This Row],[NAMA BARANG]]="","",INDEX(NOTA[SUPPLIER],MATCH(,INDIRECT(ADDRESS(ROW(NOTA[ID]),COLUMN(NOTA[ID]))&amp;":"&amp;ADDRESS(ROW(),COLUMN(NOTA[ID]))),-1)))</f>
        <v>KENKO SINAR INDONESIA</v>
      </c>
      <c r="AI307" s="42" t="str">
        <f ca="1">IF(NOTA[[#This Row],[ID_H]]="","",IF(NOTA[[#This Row],[FAKTUR]]="",INDIRECT(ADDRESS(ROW()-1,COLUMN())),NOTA[[#This Row],[FAKTUR]]))</f>
        <v>ARTO MORO</v>
      </c>
      <c r="AJ307" s="39" t="str">
        <f ca="1">IF(NOTA[[#This Row],[ID]]="","",COUNTIF(NOTA[ID_H],NOTA[[#This Row],[ID_H]]))</f>
        <v/>
      </c>
      <c r="AK307" s="39">
        <f ca="1">IF(NOTA[[#This Row],[TGL.NOTA]]="",IF(NOTA[[#This Row],[SUPPLIER_H]]="","",AK306),MONTH(NOTA[[#This Row],[TGL.NOTA]]))</f>
        <v>7</v>
      </c>
      <c r="AL307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9" t="str">
        <f>IF(NOTA[[#This Row],[CONCAT4]]="","",_xlfn.IFNA(MATCH(NOTA[[#This Row],[CONCAT4]],[2]!RAW[CONCAT_H],0),FALSE))</f>
        <v/>
      </c>
      <c r="AQ307" s="39">
        <f>IF(NOTA[[#This Row],[CONCAT1]]="","",MATCH(NOTA[[#This Row],[CONCAT1]],[3]!db[NB NOTA_C],0))</f>
        <v>2678</v>
      </c>
      <c r="AR307" s="39" t="str">
        <f>IF(NOTA[[#This Row],[QTY/ CTN]]="","",TRUE)</f>
        <v/>
      </c>
      <c r="AS307" s="39" t="str">
        <f ca="1">IF(NOTA[[#This Row],[ID_H]]="","",IF(NOTA[[#This Row],[Column3]]=TRUE,NOTA[[#This Row],[QTY/ CTN]],INDEX([3]!db[QTY/ CTN],NOTA[[#This Row],[//DB]])))</f>
        <v>36 LSN</v>
      </c>
      <c r="AT3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07" s="39" t="e">
        <f ca="1">IF(NOTA[[#This Row],[ID_H]]="","",MATCH(NOTA[[#This Row],[NB NOTA_C_QTY]],[4]!db[NB NOTA_C_QTY+F],0))</f>
        <v>#REF!</v>
      </c>
      <c r="AV307" s="55">
        <f ca="1">IF(NOTA[[#This Row],[NB NOTA_C_QTY]]="","",ROW()-2)</f>
        <v>305</v>
      </c>
    </row>
    <row r="308" spans="1:48" ht="20.100000000000001" customHeight="1" x14ac:dyDescent="0.25">
      <c r="A3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60</v>
      </c>
      <c r="E308" s="47"/>
      <c r="H308" s="48"/>
      <c r="L308" s="38" t="s">
        <v>407</v>
      </c>
      <c r="M308" s="41">
        <v>1</v>
      </c>
      <c r="N308" s="39"/>
      <c r="Q308" s="43">
        <v>804000</v>
      </c>
      <c r="R308" s="49"/>
      <c r="S308" s="50">
        <v>0.17</v>
      </c>
      <c r="U308" s="51"/>
      <c r="V308" s="46"/>
      <c r="W308" s="51">
        <f>IF(NOTA[[#This Row],[HARGA/ CTN]]="",NOTA[[#This Row],[JUMLAH_H]],NOTA[[#This Row],[HARGA/ CTN]]*IF(NOTA[[#This Row],[C]]="",0,NOTA[[#This Row],[C]]))</f>
        <v>804000</v>
      </c>
      <c r="X308" s="51">
        <f>IF(NOTA[[#This Row],[JUMLAH]]="","",NOTA[[#This Row],[JUMLAH]]*NOTA[[#This Row],[DISC 1]])</f>
        <v>136680</v>
      </c>
      <c r="Y308" s="51">
        <f>IF(NOTA[[#This Row],[JUMLAH]]="","",(NOTA[[#This Row],[JUMLAH]]-NOTA[[#This Row],[DISC 1-]])*NOTA[[#This Row],[DISC 2]])</f>
        <v>0</v>
      </c>
      <c r="Z308" s="51">
        <f>IF(NOTA[[#This Row],[JUMLAH]]="","",NOTA[[#This Row],[DISC 1-]]+NOTA[[#This Row],[DISC 2-]])</f>
        <v>136680</v>
      </c>
      <c r="AA308" s="51">
        <f>IF(NOTA[[#This Row],[JUMLAH]]="","",NOTA[[#This Row],[JUMLAH]]-NOTA[[#This Row],[DISC]])</f>
        <v>667320</v>
      </c>
      <c r="AB308" s="51"/>
      <c r="AC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8" s="51" t="str">
        <f>IF(OR(NOTA[[#This Row],[QTY]]="",NOTA[[#This Row],[HARGA SATUAN]]="",),"",NOTA[[#This Row],[QTY]]*NOTA[[#This Row],[HARGA SATUAN]])</f>
        <v/>
      </c>
      <c r="AG308" s="40">
        <f ca="1">IF(NOTA[ID_H]="","",INDEX(NOTA[TANGGAL],MATCH(,INDIRECT(ADDRESS(ROW(NOTA[TANGGAL]),COLUMN(NOTA[TANGGAL]))&amp;":"&amp;ADDRESS(ROW(),COLUMN(NOTA[TANGGAL]))),-1)))</f>
        <v>45119</v>
      </c>
      <c r="AH308" s="42" t="str">
        <f ca="1">IF(NOTA[[#This Row],[NAMA BARANG]]="","",INDEX(NOTA[SUPPLIER],MATCH(,INDIRECT(ADDRESS(ROW(NOTA[ID]),COLUMN(NOTA[ID]))&amp;":"&amp;ADDRESS(ROW(),COLUMN(NOTA[ID]))),-1)))</f>
        <v>KENKO SINAR INDONESIA</v>
      </c>
      <c r="AI308" s="42" t="str">
        <f ca="1">IF(NOTA[[#This Row],[ID_H]]="","",IF(NOTA[[#This Row],[FAKTUR]]="",INDIRECT(ADDRESS(ROW()-1,COLUMN())),NOTA[[#This Row],[FAKTUR]]))</f>
        <v>ARTO MORO</v>
      </c>
      <c r="AJ308" s="39" t="str">
        <f ca="1">IF(NOTA[[#This Row],[ID]]="","",COUNTIF(NOTA[ID_H],NOTA[[#This Row],[ID_H]]))</f>
        <v/>
      </c>
      <c r="AK308" s="39">
        <f ca="1">IF(NOTA[[#This Row],[TGL.NOTA]]="",IF(NOTA[[#This Row],[SUPPLIER_H]]="","",AK307),MONTH(NOTA[[#This Row],[TGL.NOTA]]))</f>
        <v>7</v>
      </c>
      <c r="AL308" s="39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3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3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9" t="str">
        <f>IF(NOTA[[#This Row],[CONCAT4]]="","",_xlfn.IFNA(MATCH(NOTA[[#This Row],[CONCAT4]],[2]!RAW[CONCAT_H],0),FALSE))</f>
        <v/>
      </c>
      <c r="AQ308" s="39">
        <f>IF(NOTA[[#This Row],[CONCAT1]]="","",MATCH(NOTA[[#This Row],[CONCAT1]],[3]!db[NB NOTA_C],0))</f>
        <v>2287</v>
      </c>
      <c r="AR308" s="39" t="str">
        <f>IF(NOTA[[#This Row],[QTY/ CTN]]="","",TRUE)</f>
        <v/>
      </c>
      <c r="AS308" s="39" t="str">
        <f ca="1">IF(NOTA[[#This Row],[ID_H]]="","",IF(NOTA[[#This Row],[Column3]]=TRUE,NOTA[[#This Row],[QTY/ CTN]],INDEX([3]!db[QTY/ CTN],NOTA[[#This Row],[//DB]])))</f>
        <v>20 LSN</v>
      </c>
      <c r="AT3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U308" s="39" t="e">
        <f ca="1">IF(NOTA[[#This Row],[ID_H]]="","",MATCH(NOTA[[#This Row],[NB NOTA_C_QTY]],[4]!db[NB NOTA_C_QTY+F],0))</f>
        <v>#REF!</v>
      </c>
      <c r="AV308" s="55">
        <f ca="1">IF(NOTA[[#This Row],[NB NOTA_C_QTY]]="","",ROW()-2)</f>
        <v>306</v>
      </c>
    </row>
    <row r="309" spans="1:48" ht="20.100000000000001" customHeight="1" x14ac:dyDescent="0.25">
      <c r="A3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60</v>
      </c>
      <c r="E309" s="47"/>
      <c r="H309" s="48"/>
      <c r="I309" s="38" t="s">
        <v>410</v>
      </c>
      <c r="L309" s="38" t="s">
        <v>279</v>
      </c>
      <c r="M309" s="41">
        <v>3</v>
      </c>
      <c r="N309" s="39"/>
      <c r="Q309" s="43">
        <v>396000</v>
      </c>
      <c r="R309" s="49"/>
      <c r="S309" s="50">
        <v>0.17</v>
      </c>
      <c r="U309" s="51"/>
      <c r="V309" s="46"/>
      <c r="W309" s="51">
        <f>IF(NOTA[[#This Row],[HARGA/ CTN]]="",NOTA[[#This Row],[JUMLAH_H]],NOTA[[#This Row],[HARGA/ CTN]]*IF(NOTA[[#This Row],[C]]="",0,NOTA[[#This Row],[C]]))</f>
        <v>1188000</v>
      </c>
      <c r="X309" s="51">
        <f>IF(NOTA[[#This Row],[JUMLAH]]="","",NOTA[[#This Row],[JUMLAH]]*NOTA[[#This Row],[DISC 1]])</f>
        <v>201960</v>
      </c>
      <c r="Y309" s="51">
        <f>IF(NOTA[[#This Row],[JUMLAH]]="","",(NOTA[[#This Row],[JUMLAH]]-NOTA[[#This Row],[DISC 1-]])*NOTA[[#This Row],[DISC 2]])</f>
        <v>0</v>
      </c>
      <c r="Z309" s="51">
        <f>IF(NOTA[[#This Row],[JUMLAH]]="","",NOTA[[#This Row],[DISC 1-]]+NOTA[[#This Row],[DISC 2-]])</f>
        <v>201960</v>
      </c>
      <c r="AA309" s="51">
        <f>IF(NOTA[[#This Row],[JUMLAH]]="","",NOTA[[#This Row],[JUMLAH]]-NOTA[[#This Row],[DISC]])</f>
        <v>986040</v>
      </c>
      <c r="AB309" s="51"/>
      <c r="AC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5966388</v>
      </c>
      <c r="AD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29130012</v>
      </c>
      <c r="AE309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09" s="51" t="str">
        <f>IF(OR(NOTA[[#This Row],[QTY]]="",NOTA[[#This Row],[HARGA SATUAN]]="",),"",NOTA[[#This Row],[QTY]]*NOTA[[#This Row],[HARGA SATUAN]])</f>
        <v/>
      </c>
      <c r="AG309" s="40">
        <f ca="1">IF(NOTA[ID_H]="","",INDEX(NOTA[TANGGAL],MATCH(,INDIRECT(ADDRESS(ROW(NOTA[TANGGAL]),COLUMN(NOTA[TANGGAL]))&amp;":"&amp;ADDRESS(ROW(),COLUMN(NOTA[TANGGAL]))),-1)))</f>
        <v>45119</v>
      </c>
      <c r="AH309" s="42" t="str">
        <f ca="1">IF(NOTA[[#This Row],[NAMA BARANG]]="","",INDEX(NOTA[SUPPLIER],MATCH(,INDIRECT(ADDRESS(ROW(NOTA[ID]),COLUMN(NOTA[ID]))&amp;":"&amp;ADDRESS(ROW(),COLUMN(NOTA[ID]))),-1)))</f>
        <v>KENKO SINAR INDONESIA</v>
      </c>
      <c r="AI309" s="42" t="str">
        <f ca="1">IF(NOTA[[#This Row],[ID_H]]="","",IF(NOTA[[#This Row],[FAKTUR]]="",INDIRECT(ADDRESS(ROW()-1,COLUMN())),NOTA[[#This Row],[FAKTUR]]))</f>
        <v>ARTO MORO</v>
      </c>
      <c r="AJ309" s="39" t="str">
        <f ca="1">IF(NOTA[[#This Row],[ID]]="","",COUNTIF(NOTA[ID_H],NOTA[[#This Row],[ID_H]]))</f>
        <v/>
      </c>
      <c r="AK309" s="39">
        <f ca="1">IF(NOTA[[#This Row],[TGL.NOTA]]="",IF(NOTA[[#This Row],[SUPPLIER_H]]="","",AK308),MONTH(NOTA[[#This Row],[TGL.NOTA]]))</f>
        <v>7</v>
      </c>
      <c r="AL309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9" t="str">
        <f>IF(NOTA[[#This Row],[CONCAT4]]="","",_xlfn.IFNA(MATCH(NOTA[[#This Row],[CONCAT4]],[2]!RAW[CONCAT_H],0),FALSE))</f>
        <v/>
      </c>
      <c r="AQ309" s="39">
        <f>IF(NOTA[[#This Row],[CONCAT1]]="","",MATCH(NOTA[[#This Row],[CONCAT1]],[3]!db[NB NOTA_C],0))</f>
        <v>1492</v>
      </c>
      <c r="AR309" s="39" t="str">
        <f>IF(NOTA[[#This Row],[QTY/ CTN]]="","",TRUE)</f>
        <v/>
      </c>
      <c r="AS309" s="39" t="str">
        <f ca="1">IF(NOTA[[#This Row],[ID_H]]="","",IF(NOTA[[#This Row],[Column3]]=TRUE,NOTA[[#This Row],[QTY/ CTN]],INDEX([3]!db[QTY/ CTN],NOTA[[#This Row],[//DB]])))</f>
        <v>20 LSN</v>
      </c>
      <c r="AT3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309" s="39" t="e">
        <f ca="1">IF(NOTA[[#This Row],[ID_H]]="","",MATCH(NOTA[[#This Row],[NB NOTA_C_QTY]],[4]!db[NB NOTA_C_QTY+F],0))</f>
        <v>#REF!</v>
      </c>
      <c r="AV309" s="55">
        <f ca="1">IF(NOTA[[#This Row],[NB NOTA_C_QTY]]="","",ROW()-2)</f>
        <v>307</v>
      </c>
    </row>
    <row r="310" spans="1:48" ht="20.100000000000001" customHeight="1" x14ac:dyDescent="0.25">
      <c r="A3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47"/>
      <c r="H310" s="48"/>
      <c r="N310" s="39"/>
      <c r="Q310" s="43"/>
      <c r="R310" s="49"/>
      <c r="S310" s="50"/>
      <c r="U310" s="51"/>
      <c r="V310" s="46"/>
      <c r="W310" s="51" t="str">
        <f>IF(NOTA[[#This Row],[HARGA/ CTN]]="",NOTA[[#This Row],[JUMLAH_H]],NOTA[[#This Row],[HARGA/ CTN]]*IF(NOTA[[#This Row],[C]]="",0,NOTA[[#This Row],[C]]))</f>
        <v/>
      </c>
      <c r="X310" s="51" t="str">
        <f>IF(NOTA[[#This Row],[JUMLAH]]="","",NOTA[[#This Row],[JUMLAH]]*NOTA[[#This Row],[DISC 1]])</f>
        <v/>
      </c>
      <c r="Y310" s="51" t="str">
        <f>IF(NOTA[[#This Row],[JUMLAH]]="","",(NOTA[[#This Row],[JUMLAH]]-NOTA[[#This Row],[DISC 1-]])*NOTA[[#This Row],[DISC 2]])</f>
        <v/>
      </c>
      <c r="Z310" s="51" t="str">
        <f>IF(NOTA[[#This Row],[JUMLAH]]="","",NOTA[[#This Row],[DISC 1-]]+NOTA[[#This Row],[DISC 2-]])</f>
        <v/>
      </c>
      <c r="AA310" s="51" t="str">
        <f>IF(NOTA[[#This Row],[JUMLAH]]="","",NOTA[[#This Row],[JUMLAH]]-NOTA[[#This Row],[DISC]])</f>
        <v/>
      </c>
      <c r="AB310" s="51"/>
      <c r="AC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1" t="str">
        <f>IF(OR(NOTA[[#This Row],[QTY]]="",NOTA[[#This Row],[HARGA SATUAN]]="",),"",NOTA[[#This Row],[QTY]]*NOTA[[#This Row],[HARGA SATUAN]])</f>
        <v/>
      </c>
      <c r="AG310" s="40" t="str">
        <f ca="1">IF(NOTA[ID_H]="","",INDEX(NOTA[TANGGAL],MATCH(,INDIRECT(ADDRESS(ROW(NOTA[TANGGAL]),COLUMN(NOTA[TANGGAL]))&amp;":"&amp;ADDRESS(ROW(),COLUMN(NOTA[TANGGAL]))),-1)))</f>
        <v/>
      </c>
      <c r="AH310" s="42" t="str">
        <f ca="1">IF(NOTA[[#This Row],[NAMA BARANG]]="","",INDEX(NOTA[SUPPLIER],MATCH(,INDIRECT(ADDRESS(ROW(NOTA[ID]),COLUMN(NOTA[ID]))&amp;":"&amp;ADDRESS(ROW(),COLUMN(NOTA[ID]))),-1)))</f>
        <v/>
      </c>
      <c r="AI310" s="42" t="str">
        <f ca="1">IF(NOTA[[#This Row],[ID_H]]="","",IF(NOTA[[#This Row],[FAKTUR]]="",INDIRECT(ADDRESS(ROW()-1,COLUMN())),NOTA[[#This Row],[FAKTUR]]))</f>
        <v/>
      </c>
      <c r="AJ310" s="39" t="str">
        <f ca="1">IF(NOTA[[#This Row],[ID]]="","",COUNTIF(NOTA[ID_H],NOTA[[#This Row],[ID_H]]))</f>
        <v/>
      </c>
      <c r="AK310" s="39" t="str">
        <f ca="1">IF(NOTA[[#This Row],[TGL.NOTA]]="",IF(NOTA[[#This Row],[SUPPLIER_H]]="","",AK309),MONTH(NOTA[[#This Row],[TGL.NOTA]]))</f>
        <v/>
      </c>
      <c r="AL310" s="39" t="str">
        <f>LOWER(SUBSTITUTE(SUBSTITUTE(SUBSTITUTE(SUBSTITUTE(SUBSTITUTE(SUBSTITUTE(SUBSTITUTE(SUBSTITUTE(SUBSTITUTE(NOTA[NAMA BARANG]," ",),".",""),"-",""),"(",""),")",""),",",""),"/",""),"""",""),"+",""))</f>
        <v/>
      </c>
      <c r="AM3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9" t="str">
        <f>IF(NOTA[[#This Row],[CONCAT4]]="","",_xlfn.IFNA(MATCH(NOTA[[#This Row],[CONCAT4]],[2]!RAW[CONCAT_H],0),FALSE))</f>
        <v/>
      </c>
      <c r="AQ310" s="39" t="str">
        <f>IF(NOTA[[#This Row],[CONCAT1]]="","",MATCH(NOTA[[#This Row],[CONCAT1]],[3]!db[NB NOTA_C],0))</f>
        <v/>
      </c>
      <c r="AR310" s="39" t="str">
        <f>IF(NOTA[[#This Row],[QTY/ CTN]]="","",TRUE)</f>
        <v/>
      </c>
      <c r="AS310" s="39" t="str">
        <f ca="1">IF(NOTA[[#This Row],[ID_H]]="","",IF(NOTA[[#This Row],[Column3]]=TRUE,NOTA[[#This Row],[QTY/ CTN]],INDEX([3]!db[QTY/ CTN],NOTA[[#This Row],[//DB]])))</f>
        <v/>
      </c>
      <c r="AT3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9" t="str">
        <f ca="1">IF(NOTA[[#This Row],[ID_H]]="","",MATCH(NOTA[[#This Row],[NB NOTA_C_QTY]],[4]!db[NB NOTA_C_QTY+F],0))</f>
        <v/>
      </c>
      <c r="AV310" s="55" t="str">
        <f ca="1">IF(NOTA[[#This Row],[NB NOTA_C_QTY]]="","",ROW()-2)</f>
        <v/>
      </c>
    </row>
    <row r="311" spans="1:48" ht="20.100000000000001" customHeight="1" x14ac:dyDescent="0.25">
      <c r="A311" s="42">
        <f ca="1">IF(INDIRECT(ADDRESS(ROW()-1,COLUMN(NOTA[[#Headers],[ID]])))="ID",1,IF(NOTA[[#This Row],[FAKTUR]]="","",COUNT(INDIRECT(ADDRESS(ROW(NOTA[ID]),COLUMN(NOTA[ID]))&amp;":"&amp;ADDRESS(ROW()-1,COLUMN(NOTA[ID]))))+1))</f>
        <v>61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SAM_1207_372-3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61</v>
      </c>
      <c r="E311" s="47"/>
      <c r="F311" s="38" t="s">
        <v>56</v>
      </c>
      <c r="G311" s="38" t="s">
        <v>23</v>
      </c>
      <c r="H311" s="48" t="s">
        <v>411</v>
      </c>
      <c r="J311" s="40">
        <v>45114</v>
      </c>
      <c r="L311" s="38" t="s">
        <v>412</v>
      </c>
      <c r="M311" s="41">
        <v>3</v>
      </c>
      <c r="N311" s="39">
        <v>432</v>
      </c>
      <c r="O311" s="38" t="s">
        <v>117</v>
      </c>
      <c r="P311" s="42">
        <v>9250</v>
      </c>
      <c r="Q311" s="43"/>
      <c r="R311" s="49" t="s">
        <v>413</v>
      </c>
      <c r="S311" s="50">
        <v>7.0000000000000007E-2</v>
      </c>
      <c r="U311" s="51"/>
      <c r="V311" s="46"/>
      <c r="W311" s="51">
        <f>IF(NOTA[[#This Row],[HARGA/ CTN]]="",NOTA[[#This Row],[JUMLAH_H]],NOTA[[#This Row],[HARGA/ CTN]]*IF(NOTA[[#This Row],[C]]="",0,NOTA[[#This Row],[C]]))</f>
        <v>3996000</v>
      </c>
      <c r="X311" s="51">
        <f>IF(NOTA[[#This Row],[JUMLAH]]="","",NOTA[[#This Row],[JUMLAH]]*NOTA[[#This Row],[DISC 1]])</f>
        <v>279720</v>
      </c>
      <c r="Y311" s="51">
        <f>IF(NOTA[[#This Row],[JUMLAH]]="","",(NOTA[[#This Row],[JUMLAH]]-NOTA[[#This Row],[DISC 1-]])*NOTA[[#This Row],[DISC 2]])</f>
        <v>0</v>
      </c>
      <c r="Z311" s="51">
        <f>IF(NOTA[[#This Row],[JUMLAH]]="","",NOTA[[#This Row],[DISC 1-]]+NOTA[[#This Row],[DISC 2-]])</f>
        <v>279720</v>
      </c>
      <c r="AA311" s="51">
        <f>IF(NOTA[[#This Row],[JUMLAH]]="","",NOTA[[#This Row],[JUMLAH]]-NOTA[[#This Row],[DISC]])</f>
        <v>3716280</v>
      </c>
      <c r="AB311" s="51"/>
      <c r="AC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1" s="51">
        <f>IF(OR(NOTA[[#This Row],[QTY]]="",NOTA[[#This Row],[HARGA SATUAN]]="",),"",NOTA[[#This Row],[QTY]]*NOTA[[#This Row],[HARGA SATUAN]])</f>
        <v>3996000</v>
      </c>
      <c r="AG311" s="40">
        <f ca="1">IF(NOTA[ID_H]="","",INDEX(NOTA[TANGGAL],MATCH(,INDIRECT(ADDRESS(ROW(NOTA[TANGGAL]),COLUMN(NOTA[TANGGAL]))&amp;":"&amp;ADDRESS(ROW(),COLUMN(NOTA[TANGGAL]))),-1)))</f>
        <v>45119</v>
      </c>
      <c r="AH311" s="42" t="str">
        <f ca="1">IF(NOTA[[#This Row],[NAMA BARANG]]="","",INDEX(NOTA[SUPPLIER],MATCH(,INDIRECT(ADDRESS(ROW(NOTA[ID]),COLUMN(NOTA[ID]))&amp;":"&amp;ADDRESS(ROW(),COLUMN(NOTA[ID]))),-1)))</f>
        <v>SAMUDERA ANGKASA JAYA</v>
      </c>
      <c r="AI311" s="42" t="str">
        <f ca="1">IF(NOTA[[#This Row],[ID_H]]="","",IF(NOTA[[#This Row],[FAKTUR]]="",INDIRECT(ADDRESS(ROW()-1,COLUMN())),NOTA[[#This Row],[FAKTUR]]))</f>
        <v>ARTO MORO</v>
      </c>
      <c r="AJ311" s="39">
        <f ca="1">IF(NOTA[[#This Row],[ID]]="","",COUNTIF(NOTA[ID_H],NOTA[[#This Row],[ID_H]]))</f>
        <v>3</v>
      </c>
      <c r="AK311" s="39">
        <f>IF(NOTA[[#This Row],[TGL.NOTA]]="",IF(NOTA[[#This Row],[SUPPLIER_H]]="","",AK310),MONTH(NOTA[[#This Row],[TGL.NOTA]]))</f>
        <v>7</v>
      </c>
      <c r="AL311" s="39" t="str">
        <f>LOWER(SUBSTITUTE(SUBSTITUTE(SUBSTITUTE(SUBSTITUTE(SUBSTITUTE(SUBSTITUTE(SUBSTITUTE(SUBSTITUTE(SUBSTITUTE(NOTA[NAMA BARANG]," ",),".",""),"-",""),"(",""),")",""),",",""),"/",""),"""",""),"+",""))</f>
        <v>pcmagac176222*75</v>
      </c>
      <c r="AM3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N3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O311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MOROJL-5537245114pcmagac176222*75</v>
      </c>
      <c r="AP311" s="39" t="e">
        <f>IF(NOTA[[#This Row],[CONCAT4]]="","",_xlfn.IFNA(MATCH(NOTA[[#This Row],[CONCAT4]],[2]!RAW[CONCAT_H],0),FALSE))</f>
        <v>#REF!</v>
      </c>
      <c r="AQ311" s="39">
        <f>IF(NOTA[[#This Row],[CONCAT1]]="","",MATCH(NOTA[[#This Row],[CONCAT1]],[3]!db[NB NOTA_C],0))</f>
        <v>1973</v>
      </c>
      <c r="AR311" s="39" t="b">
        <f>IF(NOTA[[#This Row],[QTY/ CTN]]="","",TRUE)</f>
        <v>1</v>
      </c>
      <c r="AS311" s="39" t="str">
        <f ca="1">IF(NOTA[[#This Row],[ID_H]]="","",IF(NOTA[[#This Row],[Column3]]=TRUE,NOTA[[#This Row],[QTY/ CTN]],INDEX([3]!db[QTY/ CTN],NOTA[[#This Row],[//DB]])))</f>
        <v>144 PCS</v>
      </c>
      <c r="AT3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pcmagac176222*75144pcsartomoro</v>
      </c>
      <c r="AU311" s="39" t="e">
        <f ca="1">IF(NOTA[[#This Row],[ID_H]]="","",MATCH(NOTA[[#This Row],[NB NOTA_C_QTY]],[4]!db[NB NOTA_C_QTY+F],0))</f>
        <v>#REF!</v>
      </c>
      <c r="AV311" s="55">
        <f ca="1">IF(NOTA[[#This Row],[NB NOTA_C_QTY]]="","",ROW()-2)</f>
        <v>309</v>
      </c>
    </row>
    <row r="312" spans="1:48" ht="20.100000000000001" customHeight="1" x14ac:dyDescent="0.25">
      <c r="A3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>
        <f ca="1">IF(NOTA[[#This Row],[NAMA BARANG]]="","",INDEX(NOTA[ID],MATCH(,INDIRECT(ADDRESS(ROW(NOTA[ID]),COLUMN(NOTA[ID]))&amp;":"&amp;ADDRESS(ROW(),COLUMN(NOTA[ID]))),-1)))</f>
        <v>61</v>
      </c>
      <c r="E312" s="47"/>
      <c r="H312" s="48"/>
      <c r="L312" s="38" t="s">
        <v>414</v>
      </c>
      <c r="M312" s="41">
        <v>2</v>
      </c>
      <c r="N312" s="39">
        <v>288</v>
      </c>
      <c r="O312" s="38" t="s">
        <v>117</v>
      </c>
      <c r="P312" s="42">
        <v>9250</v>
      </c>
      <c r="Q312" s="43"/>
      <c r="R312" s="49" t="s">
        <v>413</v>
      </c>
      <c r="S312" s="50">
        <v>7.0000000000000007E-2</v>
      </c>
      <c r="U312" s="51"/>
      <c r="V312" s="46"/>
      <c r="W312" s="51">
        <f>IF(NOTA[[#This Row],[HARGA/ CTN]]="",NOTA[[#This Row],[JUMLAH_H]],NOTA[[#This Row],[HARGA/ CTN]]*IF(NOTA[[#This Row],[C]]="",0,NOTA[[#This Row],[C]]))</f>
        <v>2664000</v>
      </c>
      <c r="X312" s="51">
        <f>IF(NOTA[[#This Row],[JUMLAH]]="","",NOTA[[#This Row],[JUMLAH]]*NOTA[[#This Row],[DISC 1]])</f>
        <v>186480.00000000003</v>
      </c>
      <c r="Y312" s="51">
        <f>IF(NOTA[[#This Row],[JUMLAH]]="","",(NOTA[[#This Row],[JUMLAH]]-NOTA[[#This Row],[DISC 1-]])*NOTA[[#This Row],[DISC 2]])</f>
        <v>0</v>
      </c>
      <c r="Z312" s="51">
        <f>IF(NOTA[[#This Row],[JUMLAH]]="","",NOTA[[#This Row],[DISC 1-]]+NOTA[[#This Row],[DISC 2-]])</f>
        <v>186480.00000000003</v>
      </c>
      <c r="AA312" s="51">
        <f>IF(NOTA[[#This Row],[JUMLAH]]="","",NOTA[[#This Row],[JUMLAH]]-NOTA[[#This Row],[DISC]])</f>
        <v>2477520</v>
      </c>
      <c r="AB312" s="51"/>
      <c r="AC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2" s="51">
        <f>IF(OR(NOTA[[#This Row],[QTY]]="",NOTA[[#This Row],[HARGA SATUAN]]="",),"",NOTA[[#This Row],[QTY]]*NOTA[[#This Row],[HARGA SATUAN]])</f>
        <v>2664000</v>
      </c>
      <c r="AG312" s="40">
        <f ca="1">IF(NOTA[ID_H]="","",INDEX(NOTA[TANGGAL],MATCH(,INDIRECT(ADDRESS(ROW(NOTA[TANGGAL]),COLUMN(NOTA[TANGGAL]))&amp;":"&amp;ADDRESS(ROW(),COLUMN(NOTA[TANGGAL]))),-1)))</f>
        <v>45119</v>
      </c>
      <c r="AH312" s="42" t="str">
        <f ca="1">IF(NOTA[[#This Row],[NAMA BARANG]]="","",INDEX(NOTA[SUPPLIER],MATCH(,INDIRECT(ADDRESS(ROW(NOTA[ID]),COLUMN(NOTA[ID]))&amp;":"&amp;ADDRESS(ROW(),COLUMN(NOTA[ID]))),-1)))</f>
        <v>SAMUDERA ANGKASA JAYA</v>
      </c>
      <c r="AI312" s="42" t="str">
        <f ca="1">IF(NOTA[[#This Row],[ID_H]]="","",IF(NOTA[[#This Row],[FAKTUR]]="",INDIRECT(ADDRESS(ROW()-1,COLUMN())),NOTA[[#This Row],[FAKTUR]]))</f>
        <v>ARTO MORO</v>
      </c>
      <c r="AJ312" s="39" t="str">
        <f ca="1">IF(NOTA[[#This Row],[ID]]="","",COUNTIF(NOTA[ID_H],NOTA[[#This Row],[ID_H]]))</f>
        <v/>
      </c>
      <c r="AK312" s="39">
        <f ca="1">IF(NOTA[[#This Row],[TGL.NOTA]]="",IF(NOTA[[#This Row],[SUPPLIER_H]]="","",AK311),MONTH(NOTA[[#This Row],[TGL.NOTA]]))</f>
        <v>7</v>
      </c>
      <c r="AL312" s="39" t="str">
        <f>LOWER(SUBSTITUTE(SUBSTITUTE(SUBSTITUTE(SUBSTITUTE(SUBSTITUTE(SUBSTITUTE(SUBSTITUTE(SUBSTITUTE(SUBSTITUTE(NOTA[NAMA BARANG]," ",),".",""),"-",""),"(",""),")",""),",",""),"/",""),"""",""),"+",""))</f>
        <v>pcmagfc175722*75</v>
      </c>
      <c r="AM3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N3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O3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9" t="str">
        <f>IF(NOTA[[#This Row],[CONCAT4]]="","",_xlfn.IFNA(MATCH(NOTA[[#This Row],[CONCAT4]],[2]!RAW[CONCAT_H],0),FALSE))</f>
        <v/>
      </c>
      <c r="AQ312" s="39">
        <f>IF(NOTA[[#This Row],[CONCAT1]]="","",MATCH(NOTA[[#This Row],[CONCAT1]],[3]!db[NB NOTA_C],0))</f>
        <v>2001</v>
      </c>
      <c r="AR312" s="39" t="b">
        <f>IF(NOTA[[#This Row],[QTY/ CTN]]="","",TRUE)</f>
        <v>1</v>
      </c>
      <c r="AS312" s="39" t="str">
        <f ca="1">IF(NOTA[[#This Row],[ID_H]]="","",IF(NOTA[[#This Row],[Column3]]=TRUE,NOTA[[#This Row],[QTY/ CTN]],INDEX([3]!db[QTY/ CTN],NOTA[[#This Row],[//DB]])))</f>
        <v>144 PCS</v>
      </c>
      <c r="AT3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pcmagfc175722*75144pcsartomoro</v>
      </c>
      <c r="AU312" s="39" t="e">
        <f ca="1">IF(NOTA[[#This Row],[ID_H]]="","",MATCH(NOTA[[#This Row],[NB NOTA_C_QTY]],[4]!db[NB NOTA_C_QTY+F],0))</f>
        <v>#REF!</v>
      </c>
      <c r="AV312" s="55">
        <f ca="1">IF(NOTA[[#This Row],[NB NOTA_C_QTY]]="","",ROW()-2)</f>
        <v>310</v>
      </c>
    </row>
    <row r="313" spans="1:48" ht="20.100000000000001" customHeight="1" x14ac:dyDescent="0.25">
      <c r="A3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9" t="str">
        <f>IF(NOTA[[#This Row],[ID_P]]="","",MATCH(NOTA[[#This Row],[ID_P]],[1]!B_MSK[N_ID],0))</f>
        <v/>
      </c>
      <c r="D313" s="39">
        <f ca="1">IF(NOTA[[#This Row],[NAMA BARANG]]="","",INDEX(NOTA[ID],MATCH(,INDIRECT(ADDRESS(ROW(NOTA[ID]),COLUMN(NOTA[ID]))&amp;":"&amp;ADDRESS(ROW(),COLUMN(NOTA[ID]))),-1)))</f>
        <v>61</v>
      </c>
      <c r="E313" s="47"/>
      <c r="H313" s="48"/>
      <c r="L313" s="38" t="s">
        <v>415</v>
      </c>
      <c r="M313" s="41">
        <v>1</v>
      </c>
      <c r="N313" s="39">
        <v>120</v>
      </c>
      <c r="O313" s="38" t="s">
        <v>117</v>
      </c>
      <c r="P313" s="42">
        <v>11500</v>
      </c>
      <c r="Q313" s="43"/>
      <c r="R313" s="49" t="s">
        <v>168</v>
      </c>
      <c r="S313" s="50">
        <v>7.0000000000000007E-2</v>
      </c>
      <c r="U313" s="51"/>
      <c r="V313" s="46"/>
      <c r="W313" s="51">
        <f>IF(NOTA[[#This Row],[HARGA/ CTN]]="",NOTA[[#This Row],[JUMLAH_H]],NOTA[[#This Row],[HARGA/ CTN]]*IF(NOTA[[#This Row],[C]]="",0,NOTA[[#This Row],[C]]))</f>
        <v>1380000</v>
      </c>
      <c r="X313" s="51">
        <f>IF(NOTA[[#This Row],[JUMLAH]]="","",NOTA[[#This Row],[JUMLAH]]*NOTA[[#This Row],[DISC 1]])</f>
        <v>96600.000000000015</v>
      </c>
      <c r="Y313" s="51">
        <f>IF(NOTA[[#This Row],[JUMLAH]]="","",(NOTA[[#This Row],[JUMLAH]]-NOTA[[#This Row],[DISC 1-]])*NOTA[[#This Row],[DISC 2]])</f>
        <v>0</v>
      </c>
      <c r="Z313" s="51">
        <f>IF(NOTA[[#This Row],[JUMLAH]]="","",NOTA[[#This Row],[DISC 1-]]+NOTA[[#This Row],[DISC 2-]])</f>
        <v>96600.000000000015</v>
      </c>
      <c r="AA313" s="51">
        <f>IF(NOTA[[#This Row],[JUMLAH]]="","",NOTA[[#This Row],[JUMLAH]]-NOTA[[#This Row],[DISC]])</f>
        <v>1283400</v>
      </c>
      <c r="AB313" s="51"/>
      <c r="AC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562800</v>
      </c>
      <c r="AD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7477200</v>
      </c>
      <c r="AE313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13" s="51">
        <f>IF(OR(NOTA[[#This Row],[QTY]]="",NOTA[[#This Row],[HARGA SATUAN]]="",),"",NOTA[[#This Row],[QTY]]*NOTA[[#This Row],[HARGA SATUAN]])</f>
        <v>1380000</v>
      </c>
      <c r="AG313" s="40">
        <f ca="1">IF(NOTA[ID_H]="","",INDEX(NOTA[TANGGAL],MATCH(,INDIRECT(ADDRESS(ROW(NOTA[TANGGAL]),COLUMN(NOTA[TANGGAL]))&amp;":"&amp;ADDRESS(ROW(),COLUMN(NOTA[TANGGAL]))),-1)))</f>
        <v>45119</v>
      </c>
      <c r="AH313" s="42" t="str">
        <f ca="1">IF(NOTA[[#This Row],[NAMA BARANG]]="","",INDEX(NOTA[SUPPLIER],MATCH(,INDIRECT(ADDRESS(ROW(NOTA[ID]),COLUMN(NOTA[ID]))&amp;":"&amp;ADDRESS(ROW(),COLUMN(NOTA[ID]))),-1)))</f>
        <v>SAMUDERA ANGKASA JAYA</v>
      </c>
      <c r="AI313" s="42" t="str">
        <f ca="1">IF(NOTA[[#This Row],[ID_H]]="","",IF(NOTA[[#This Row],[FAKTUR]]="",INDIRECT(ADDRESS(ROW()-1,COLUMN())),NOTA[[#This Row],[FAKTUR]]))</f>
        <v>ARTO MORO</v>
      </c>
      <c r="AJ313" s="39" t="str">
        <f ca="1">IF(NOTA[[#This Row],[ID]]="","",COUNTIF(NOTA[ID_H],NOTA[[#This Row],[ID_H]]))</f>
        <v/>
      </c>
      <c r="AK313" s="39">
        <f ca="1">IF(NOTA[[#This Row],[TGL.NOTA]]="",IF(NOTA[[#This Row],[SUPPLIER_H]]="","",AK312),MONTH(NOTA[[#This Row],[TGL.NOTA]]))</f>
        <v>7</v>
      </c>
      <c r="AL313" s="39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M3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N3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O3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9" t="str">
        <f>IF(NOTA[[#This Row],[CONCAT4]]="","",_xlfn.IFNA(MATCH(NOTA[[#This Row],[CONCAT4]],[2]!RAW[CONCAT_H],0),FALSE))</f>
        <v/>
      </c>
      <c r="AQ313" s="39">
        <f>IF(NOTA[[#This Row],[CONCAT1]]="","",MATCH(NOTA[[#This Row],[CONCAT1]],[3]!db[NB NOTA_C],0))</f>
        <v>2007</v>
      </c>
      <c r="AR313" s="39" t="b">
        <f>IF(NOTA[[#This Row],[QTY/ CTN]]="","",TRUE)</f>
        <v>1</v>
      </c>
      <c r="AS313" s="39" t="str">
        <f ca="1">IF(NOTA[[#This Row],[ID_H]]="","",IF(NOTA[[#This Row],[Column3]]=TRUE,NOTA[[#This Row],[QTY/ CTN]],INDEX([3]!db[QTY/ CTN],NOTA[[#This Row],[//DB]])))</f>
        <v>120 PCS</v>
      </c>
      <c r="AT3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pcmagfx221022*10metaliklebar120pcsartomoro</v>
      </c>
      <c r="AU313" s="39" t="e">
        <f ca="1">IF(NOTA[[#This Row],[ID_H]]="","",MATCH(NOTA[[#This Row],[NB NOTA_C_QTY]],[4]!db[NB NOTA_C_QTY+F],0))</f>
        <v>#REF!</v>
      </c>
      <c r="AV313" s="55">
        <f ca="1">IF(NOTA[[#This Row],[NB NOTA_C_QTY]]="","",ROW()-2)</f>
        <v>311</v>
      </c>
    </row>
    <row r="314" spans="1:48" ht="20.100000000000001" customHeight="1" x14ac:dyDescent="0.25">
      <c r="A3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47"/>
      <c r="H314" s="48"/>
      <c r="N314" s="39"/>
      <c r="Q314" s="43"/>
      <c r="R314" s="49"/>
      <c r="S314" s="50"/>
      <c r="U314" s="51"/>
      <c r="V314" s="46"/>
      <c r="W314" s="51" t="str">
        <f>IF(NOTA[[#This Row],[HARGA/ CTN]]="",NOTA[[#This Row],[JUMLAH_H]],NOTA[[#This Row],[HARGA/ CTN]]*IF(NOTA[[#This Row],[C]]="",0,NOTA[[#This Row],[C]]))</f>
        <v/>
      </c>
      <c r="X314" s="51" t="str">
        <f>IF(NOTA[[#This Row],[JUMLAH]]="","",NOTA[[#This Row],[JUMLAH]]*NOTA[[#This Row],[DISC 1]])</f>
        <v/>
      </c>
      <c r="Y314" s="51" t="str">
        <f>IF(NOTA[[#This Row],[JUMLAH]]="","",(NOTA[[#This Row],[JUMLAH]]-NOTA[[#This Row],[DISC 1-]])*NOTA[[#This Row],[DISC 2]])</f>
        <v/>
      </c>
      <c r="Z314" s="51" t="str">
        <f>IF(NOTA[[#This Row],[JUMLAH]]="","",NOTA[[#This Row],[DISC 1-]]+NOTA[[#This Row],[DISC 2-]])</f>
        <v/>
      </c>
      <c r="AA314" s="51" t="str">
        <f>IF(NOTA[[#This Row],[JUMLAH]]="","",NOTA[[#This Row],[JUMLAH]]-NOTA[[#This Row],[DISC]])</f>
        <v/>
      </c>
      <c r="AB314" s="51"/>
      <c r="AC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1" t="str">
        <f>IF(OR(NOTA[[#This Row],[QTY]]="",NOTA[[#This Row],[HARGA SATUAN]]="",),"",NOTA[[#This Row],[QTY]]*NOTA[[#This Row],[HARGA SATUAN]])</f>
        <v/>
      </c>
      <c r="AG314" s="40" t="str">
        <f ca="1">IF(NOTA[ID_H]="","",INDEX(NOTA[TANGGAL],MATCH(,INDIRECT(ADDRESS(ROW(NOTA[TANGGAL]),COLUMN(NOTA[TANGGAL]))&amp;":"&amp;ADDRESS(ROW(),COLUMN(NOTA[TANGGAL]))),-1)))</f>
        <v/>
      </c>
      <c r="AH314" s="42" t="str">
        <f ca="1">IF(NOTA[[#This Row],[NAMA BARANG]]="","",INDEX(NOTA[SUPPLIER],MATCH(,INDIRECT(ADDRESS(ROW(NOTA[ID]),COLUMN(NOTA[ID]))&amp;":"&amp;ADDRESS(ROW(),COLUMN(NOTA[ID]))),-1)))</f>
        <v/>
      </c>
      <c r="AI314" s="42" t="str">
        <f ca="1">IF(NOTA[[#This Row],[ID_H]]="","",IF(NOTA[[#This Row],[FAKTUR]]="",INDIRECT(ADDRESS(ROW()-1,COLUMN())),NOTA[[#This Row],[FAKTUR]]))</f>
        <v/>
      </c>
      <c r="AJ314" s="39" t="str">
        <f ca="1">IF(NOTA[[#This Row],[ID]]="","",COUNTIF(NOTA[ID_H],NOTA[[#This Row],[ID_H]]))</f>
        <v/>
      </c>
      <c r="AK314" s="39" t="str">
        <f ca="1">IF(NOTA[[#This Row],[TGL.NOTA]]="",IF(NOTA[[#This Row],[SUPPLIER_H]]="","",AK313),MONTH(NOTA[[#This Row],[TGL.NOTA]]))</f>
        <v/>
      </c>
      <c r="AL314" s="39" t="str">
        <f>LOWER(SUBSTITUTE(SUBSTITUTE(SUBSTITUTE(SUBSTITUTE(SUBSTITUTE(SUBSTITUTE(SUBSTITUTE(SUBSTITUTE(SUBSTITUTE(NOTA[NAMA BARANG]," ",),".",""),"-",""),"(",""),")",""),",",""),"/",""),"""",""),"+",""))</f>
        <v/>
      </c>
      <c r="AM3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9" t="str">
        <f>IF(NOTA[[#This Row],[CONCAT4]]="","",_xlfn.IFNA(MATCH(NOTA[[#This Row],[CONCAT4]],[2]!RAW[CONCAT_H],0),FALSE))</f>
        <v/>
      </c>
      <c r="AQ314" s="39" t="str">
        <f>IF(NOTA[[#This Row],[CONCAT1]]="","",MATCH(NOTA[[#This Row],[CONCAT1]],[3]!db[NB NOTA_C],0))</f>
        <v/>
      </c>
      <c r="AR314" s="39" t="str">
        <f>IF(NOTA[[#This Row],[QTY/ CTN]]="","",TRUE)</f>
        <v/>
      </c>
      <c r="AS314" s="39" t="str">
        <f ca="1">IF(NOTA[[#This Row],[ID_H]]="","",IF(NOTA[[#This Row],[Column3]]=TRUE,NOTA[[#This Row],[QTY/ CTN]],INDEX([3]!db[QTY/ CTN],NOTA[[#This Row],[//DB]])))</f>
        <v/>
      </c>
      <c r="AT3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9" t="str">
        <f ca="1">IF(NOTA[[#This Row],[ID_H]]="","",MATCH(NOTA[[#This Row],[NB NOTA_C_QTY]],[4]!db[NB NOTA_C_QTY+F],0))</f>
        <v/>
      </c>
      <c r="AV314" s="55" t="str">
        <f ca="1">IF(NOTA[[#This Row],[NB NOTA_C_QTY]]="","",ROW()-2)</f>
        <v/>
      </c>
    </row>
    <row r="315" spans="1:48" ht="20.100000000000001" customHeight="1" x14ac:dyDescent="0.25">
      <c r="A315" s="42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62</v>
      </c>
      <c r="E315" s="47"/>
      <c r="F315" s="38" t="s">
        <v>156</v>
      </c>
      <c r="G315" s="38" t="s">
        <v>145</v>
      </c>
      <c r="H315" s="48" t="s">
        <v>416</v>
      </c>
      <c r="J315" s="40">
        <v>45117</v>
      </c>
      <c r="L315" s="38" t="s">
        <v>417</v>
      </c>
      <c r="M315" s="41">
        <v>7</v>
      </c>
      <c r="N315" s="39">
        <v>672</v>
      </c>
      <c r="O315" s="38" t="s">
        <v>152</v>
      </c>
      <c r="P315" s="42">
        <v>26500</v>
      </c>
      <c r="Q315" s="43"/>
      <c r="R315" s="49" t="s">
        <v>161</v>
      </c>
      <c r="S315" s="50">
        <v>0.03</v>
      </c>
      <c r="U315" s="51"/>
      <c r="V315" s="46"/>
      <c r="W315" s="51">
        <f>IF(NOTA[[#This Row],[HARGA/ CTN]]="",NOTA[[#This Row],[JUMLAH_H]],NOTA[[#This Row],[HARGA/ CTN]]*IF(NOTA[[#This Row],[C]]="",0,NOTA[[#This Row],[C]]))</f>
        <v>17808000</v>
      </c>
      <c r="X315" s="51">
        <f>IF(NOTA[[#This Row],[JUMLAH]]="","",NOTA[[#This Row],[JUMLAH]]*NOTA[[#This Row],[DISC 1]])</f>
        <v>534240</v>
      </c>
      <c r="Y315" s="51">
        <f>IF(NOTA[[#This Row],[JUMLAH]]="","",(NOTA[[#This Row],[JUMLAH]]-NOTA[[#This Row],[DISC 1-]])*NOTA[[#This Row],[DISC 2]])</f>
        <v>0</v>
      </c>
      <c r="Z315" s="51">
        <f>IF(NOTA[[#This Row],[JUMLAH]]="","",NOTA[[#This Row],[DISC 1-]]+NOTA[[#This Row],[DISC 2-]])</f>
        <v>534240</v>
      </c>
      <c r="AA315" s="51">
        <f>IF(NOTA[[#This Row],[JUMLAH]]="","",NOTA[[#This Row],[JUMLAH]]-NOTA[[#This Row],[DISC]])</f>
        <v>17273760</v>
      </c>
      <c r="AB315" s="51"/>
      <c r="AC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534240</v>
      </c>
      <c r="AD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17273760</v>
      </c>
      <c r="AE315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315" s="51">
        <f>IF(OR(NOTA[[#This Row],[QTY]]="",NOTA[[#This Row],[HARGA SATUAN]]="",),"",NOTA[[#This Row],[QTY]]*NOTA[[#This Row],[HARGA SATUAN]])</f>
        <v>17808000</v>
      </c>
      <c r="AG315" s="40">
        <f ca="1">IF(NOTA[ID_H]="","",INDEX(NOTA[TANGGAL],MATCH(,INDIRECT(ADDRESS(ROW(NOTA[TANGGAL]),COLUMN(NOTA[TANGGAL]))&amp;":"&amp;ADDRESS(ROW(),COLUMN(NOTA[TANGGAL]))),-1)))</f>
        <v>45119</v>
      </c>
      <c r="AH315" s="42" t="str">
        <f ca="1">IF(NOTA[[#This Row],[NAMA BARANG]]="","",INDEX(NOTA[SUPPLIER],MATCH(,INDIRECT(ADDRESS(ROW(NOTA[ID]),COLUMN(NOTA[ID]))&amp;":"&amp;ADDRESS(ROW(),COLUMN(NOTA[ID]))),-1)))</f>
        <v>DUTA BUANA</v>
      </c>
      <c r="AI315" s="42" t="str">
        <f ca="1">IF(NOTA[[#This Row],[ID_H]]="","",IF(NOTA[[#This Row],[FAKTUR]]="",INDIRECT(ADDRESS(ROW()-1,COLUMN())),NOTA[[#This Row],[FAKTUR]]))</f>
        <v>UNTANA</v>
      </c>
      <c r="AJ315" s="39">
        <f ca="1">IF(NOTA[[#This Row],[ID]]="","",COUNTIF(NOTA[ID_H],NOTA[[#This Row],[ID_H]]))</f>
        <v>1</v>
      </c>
      <c r="AK315" s="39">
        <f>IF(NOTA[[#This Row],[TGL.NOTA]]="",IF(NOTA[[#This Row],[SUPPLIER_H]]="","",AK314),MONTH(NOTA[[#This Row],[TGL.NOTA]]))</f>
        <v>7</v>
      </c>
      <c r="AL315" s="39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3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N3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O315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BUANAUNTANAHM/194/07-23H45117ballpentf1190htm03mmhightech</v>
      </c>
      <c r="AP315" s="39" t="e">
        <f>IF(NOTA[[#This Row],[CONCAT4]]="","",_xlfn.IFNA(MATCH(NOTA[[#This Row],[CONCAT4]],[2]!RAW[CONCAT_H],0),FALSE))</f>
        <v>#REF!</v>
      </c>
      <c r="AQ315" s="39">
        <f>IF(NOTA[[#This Row],[CONCAT1]]="","",MATCH(NOTA[[#This Row],[CONCAT1]],[3]!db[NB NOTA_C],0))</f>
        <v>453</v>
      </c>
      <c r="AR315" s="39" t="b">
        <f>IF(NOTA[[#This Row],[QTY/ CTN]]="","",TRUE)</f>
        <v>1</v>
      </c>
      <c r="AS315" s="39" t="str">
        <f ca="1">IF(NOTA[[#This Row],[ID_H]]="","",IF(NOTA[[#This Row],[Column3]]=TRUE,NOTA[[#This Row],[QTY/ CTN]],INDEX([3]!db[QTY/ CTN],NOTA[[#This Row],[//DB]])))</f>
        <v>96 LSN</v>
      </c>
      <c r="AT3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U315" s="39" t="e">
        <f ca="1">IF(NOTA[[#This Row],[ID_H]]="","",MATCH(NOTA[[#This Row],[NB NOTA_C_QTY]],[4]!db[NB NOTA_C_QTY+F],0))</f>
        <v>#REF!</v>
      </c>
      <c r="AV315" s="55">
        <f ca="1">IF(NOTA[[#This Row],[NB NOTA_C_QTY]]="","",ROW()-2)</f>
        <v>313</v>
      </c>
    </row>
    <row r="316" spans="1:48" ht="20.100000000000001" customHeight="1" x14ac:dyDescent="0.25">
      <c r="A3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47"/>
      <c r="H316" s="48"/>
      <c r="N316" s="39"/>
      <c r="Q316" s="43"/>
      <c r="R316" s="49"/>
      <c r="S316" s="50"/>
      <c r="U316" s="51"/>
      <c r="V316" s="46"/>
      <c r="W316" s="51" t="str">
        <f>IF(NOTA[[#This Row],[HARGA/ CTN]]="",NOTA[[#This Row],[JUMLAH_H]],NOTA[[#This Row],[HARGA/ CTN]]*IF(NOTA[[#This Row],[C]]="",0,NOTA[[#This Row],[C]]))</f>
        <v/>
      </c>
      <c r="X316" s="51" t="str">
        <f>IF(NOTA[[#This Row],[JUMLAH]]="","",NOTA[[#This Row],[JUMLAH]]*NOTA[[#This Row],[DISC 1]])</f>
        <v/>
      </c>
      <c r="Y316" s="51" t="str">
        <f>IF(NOTA[[#This Row],[JUMLAH]]="","",(NOTA[[#This Row],[JUMLAH]]-NOTA[[#This Row],[DISC 1-]])*NOTA[[#This Row],[DISC 2]])</f>
        <v/>
      </c>
      <c r="Z316" s="51" t="str">
        <f>IF(NOTA[[#This Row],[JUMLAH]]="","",NOTA[[#This Row],[DISC 1-]]+NOTA[[#This Row],[DISC 2-]])</f>
        <v/>
      </c>
      <c r="AA316" s="51" t="str">
        <f>IF(NOTA[[#This Row],[JUMLAH]]="","",NOTA[[#This Row],[JUMLAH]]-NOTA[[#This Row],[DISC]])</f>
        <v/>
      </c>
      <c r="AB316" s="51"/>
      <c r="AC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1" t="str">
        <f>IF(OR(NOTA[[#This Row],[QTY]]="",NOTA[[#This Row],[HARGA SATUAN]]="",),"",NOTA[[#This Row],[QTY]]*NOTA[[#This Row],[HARGA SATUAN]])</f>
        <v/>
      </c>
      <c r="AG316" s="40" t="str">
        <f ca="1">IF(NOTA[ID_H]="","",INDEX(NOTA[TANGGAL],MATCH(,INDIRECT(ADDRESS(ROW(NOTA[TANGGAL]),COLUMN(NOTA[TANGGAL]))&amp;":"&amp;ADDRESS(ROW(),COLUMN(NOTA[TANGGAL]))),-1)))</f>
        <v/>
      </c>
      <c r="AH316" s="42" t="str">
        <f ca="1">IF(NOTA[[#This Row],[NAMA BARANG]]="","",INDEX(NOTA[SUPPLIER],MATCH(,INDIRECT(ADDRESS(ROW(NOTA[ID]),COLUMN(NOTA[ID]))&amp;":"&amp;ADDRESS(ROW(),COLUMN(NOTA[ID]))),-1)))</f>
        <v/>
      </c>
      <c r="AI316" s="42" t="str">
        <f ca="1">IF(NOTA[[#This Row],[ID_H]]="","",IF(NOTA[[#This Row],[FAKTUR]]="",INDIRECT(ADDRESS(ROW()-1,COLUMN())),NOTA[[#This Row],[FAKTUR]]))</f>
        <v/>
      </c>
      <c r="AJ316" s="39" t="str">
        <f ca="1">IF(NOTA[[#This Row],[ID]]="","",COUNTIF(NOTA[ID_H],NOTA[[#This Row],[ID_H]]))</f>
        <v/>
      </c>
      <c r="AK316" s="39" t="str">
        <f ca="1">IF(NOTA[[#This Row],[TGL.NOTA]]="",IF(NOTA[[#This Row],[SUPPLIER_H]]="","",AK315),MONTH(NOTA[[#This Row],[TGL.NOTA]]))</f>
        <v/>
      </c>
      <c r="AL316" s="39" t="str">
        <f>LOWER(SUBSTITUTE(SUBSTITUTE(SUBSTITUTE(SUBSTITUTE(SUBSTITUTE(SUBSTITUTE(SUBSTITUTE(SUBSTITUTE(SUBSTITUTE(NOTA[NAMA BARANG]," ",),".",""),"-",""),"(",""),")",""),",",""),"/",""),"""",""),"+",""))</f>
        <v/>
      </c>
      <c r="AM3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9" t="str">
        <f>IF(NOTA[[#This Row],[CONCAT4]]="","",_xlfn.IFNA(MATCH(NOTA[[#This Row],[CONCAT4]],[2]!RAW[CONCAT_H],0),FALSE))</f>
        <v/>
      </c>
      <c r="AQ316" s="39" t="str">
        <f>IF(NOTA[[#This Row],[CONCAT1]]="","",MATCH(NOTA[[#This Row],[CONCAT1]],[3]!db[NB NOTA_C],0))</f>
        <v/>
      </c>
      <c r="AR316" s="39" t="str">
        <f>IF(NOTA[[#This Row],[QTY/ CTN]]="","",TRUE)</f>
        <v/>
      </c>
      <c r="AS316" s="39" t="str">
        <f ca="1">IF(NOTA[[#This Row],[ID_H]]="","",IF(NOTA[[#This Row],[Column3]]=TRUE,NOTA[[#This Row],[QTY/ CTN]],INDEX([3]!db[QTY/ CTN],NOTA[[#This Row],[//DB]])))</f>
        <v/>
      </c>
      <c r="AT3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9" t="str">
        <f ca="1">IF(NOTA[[#This Row],[ID_H]]="","",MATCH(NOTA[[#This Row],[NB NOTA_C_QTY]],[4]!db[NB NOTA_C_QTY+F],0))</f>
        <v/>
      </c>
      <c r="AV316" s="55" t="str">
        <f ca="1">IF(NOTA[[#This Row],[NB NOTA_C_QTY]]="","",ROW()-2)</f>
        <v/>
      </c>
    </row>
    <row r="317" spans="1:48" ht="20.100000000000001" customHeight="1" x14ac:dyDescent="0.25">
      <c r="A317" s="42">
        <f ca="1">IF(INDIRECT(ADDRESS(ROW()-1,COLUMN(NOTA[[#Headers],[ID]])))="ID",1,IF(NOTA[[#This Row],[FAKTUR]]="","",COUNT(INDIRECT(ADDRESS(ROW(NOTA[ID]),COLUMN(NOTA[ID]))&amp;":"&amp;ADDRESS(ROW()-1,COLUMN(NOTA[ID]))))+1))</f>
        <v>63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63</v>
      </c>
      <c r="E317" s="47"/>
      <c r="F317" s="38" t="s">
        <v>156</v>
      </c>
      <c r="G317" s="38" t="s">
        <v>145</v>
      </c>
      <c r="H317" s="48" t="s">
        <v>418</v>
      </c>
      <c r="J317" s="40">
        <v>45118</v>
      </c>
      <c r="L317" s="38" t="s">
        <v>473</v>
      </c>
      <c r="M317" s="41">
        <v>5</v>
      </c>
      <c r="N317" s="39">
        <v>480</v>
      </c>
      <c r="O317" s="38" t="s">
        <v>152</v>
      </c>
      <c r="P317" s="42">
        <v>30500</v>
      </c>
      <c r="Q317" s="43"/>
      <c r="R317" s="49" t="s">
        <v>161</v>
      </c>
      <c r="S317" s="50">
        <v>0.03</v>
      </c>
      <c r="U317" s="51"/>
      <c r="V317" s="46"/>
      <c r="W317" s="51">
        <f>IF(NOTA[[#This Row],[HARGA/ CTN]]="",NOTA[[#This Row],[JUMLAH_H]],NOTA[[#This Row],[HARGA/ CTN]]*IF(NOTA[[#This Row],[C]]="",0,NOTA[[#This Row],[C]]))</f>
        <v>14640000</v>
      </c>
      <c r="X317" s="51">
        <f>IF(NOTA[[#This Row],[JUMLAH]]="","",NOTA[[#This Row],[JUMLAH]]*NOTA[[#This Row],[DISC 1]])</f>
        <v>439200</v>
      </c>
      <c r="Y317" s="51">
        <f>IF(NOTA[[#This Row],[JUMLAH]]="","",(NOTA[[#This Row],[JUMLAH]]-NOTA[[#This Row],[DISC 1-]])*NOTA[[#This Row],[DISC 2]])</f>
        <v>0</v>
      </c>
      <c r="Z317" s="51">
        <f>IF(NOTA[[#This Row],[JUMLAH]]="","",NOTA[[#This Row],[DISC 1-]]+NOTA[[#This Row],[DISC 2-]])</f>
        <v>439200</v>
      </c>
      <c r="AA317" s="51">
        <f>IF(NOTA[[#This Row],[JUMLAH]]="","",NOTA[[#This Row],[JUMLAH]]-NOTA[[#This Row],[DISC]])</f>
        <v>14200800</v>
      </c>
      <c r="AB317" s="51"/>
      <c r="AC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317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317" s="51">
        <f>IF(OR(NOTA[[#This Row],[QTY]]="",NOTA[[#This Row],[HARGA SATUAN]]="",),"",NOTA[[#This Row],[QTY]]*NOTA[[#This Row],[HARGA SATUAN]])</f>
        <v>14640000</v>
      </c>
      <c r="AG317" s="40">
        <f ca="1">IF(NOTA[ID_H]="","",INDEX(NOTA[TANGGAL],MATCH(,INDIRECT(ADDRESS(ROW(NOTA[TANGGAL]),COLUMN(NOTA[TANGGAL]))&amp;":"&amp;ADDRESS(ROW(),COLUMN(NOTA[TANGGAL]))),-1)))</f>
        <v>45119</v>
      </c>
      <c r="AH317" s="42" t="str">
        <f ca="1">IF(NOTA[[#This Row],[NAMA BARANG]]="","",INDEX(NOTA[SUPPLIER],MATCH(,INDIRECT(ADDRESS(ROW(NOTA[ID]),COLUMN(NOTA[ID]))&amp;":"&amp;ADDRESS(ROW(),COLUMN(NOTA[ID]))),-1)))</f>
        <v>DUTA BUANA</v>
      </c>
      <c r="AI317" s="42" t="str">
        <f ca="1">IF(NOTA[[#This Row],[ID_H]]="","",IF(NOTA[[#This Row],[FAKTUR]]="",INDIRECT(ADDRESS(ROW()-1,COLUMN())),NOTA[[#This Row],[FAKTUR]]))</f>
        <v>UNTANA</v>
      </c>
      <c r="AJ317" s="39">
        <f ca="1">IF(NOTA[[#This Row],[ID]]="","",COUNTIF(NOTA[ID_H],NOTA[[#This Row],[ID_H]]))</f>
        <v>1</v>
      </c>
      <c r="AK317" s="39">
        <f>IF(NOTA[[#This Row],[TGL.NOTA]]="",IF(NOTA[[#This Row],[SUPPLIER_H]]="","",AK316),MONTH(NOTA[[#This Row],[TGL.NOTA]]))</f>
        <v>7</v>
      </c>
      <c r="AL317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3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3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31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BUANAUNTANAHM/199/07-23H45118ballpengeltf311503mmhightechknock</v>
      </c>
      <c r="AP317" s="39" t="e">
        <f>IF(NOTA[[#This Row],[CONCAT4]]="","",_xlfn.IFNA(MATCH(NOTA[[#This Row],[CONCAT4]],[2]!RAW[CONCAT_H],0),FALSE))</f>
        <v>#REF!</v>
      </c>
      <c r="AQ317" s="39">
        <f>IF(NOTA[[#This Row],[CONCAT1]]="","",MATCH(NOTA[[#This Row],[CONCAT1]],[3]!db[NB NOTA_C],0))</f>
        <v>455</v>
      </c>
      <c r="AR317" s="39" t="b">
        <f>IF(NOTA[[#This Row],[QTY/ CTN]]="","",TRUE)</f>
        <v>1</v>
      </c>
      <c r="AS317" s="39" t="str">
        <f ca="1">IF(NOTA[[#This Row],[ID_H]]="","",IF(NOTA[[#This Row],[Column3]]=TRUE,NOTA[[#This Row],[QTY/ CTN]],INDEX([3]!db[QTY/ CTN],NOTA[[#This Row],[//DB]])))</f>
        <v>96 LSN</v>
      </c>
      <c r="AT3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317" s="39" t="e">
        <f ca="1">IF(NOTA[[#This Row],[ID_H]]="","",MATCH(NOTA[[#This Row],[NB NOTA_C_QTY]],[4]!db[NB NOTA_C_QTY+F],0))</f>
        <v>#REF!</v>
      </c>
      <c r="AV317" s="55">
        <f ca="1">IF(NOTA[[#This Row],[NB NOTA_C_QTY]]="","",ROW()-2)</f>
        <v>315</v>
      </c>
    </row>
    <row r="318" spans="1:48" ht="20.100000000000001" customHeight="1" x14ac:dyDescent="0.25">
      <c r="A3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 t="str">
        <f ca="1">IF(NOTA[[#This Row],[NAMA BARANG]]="","",INDEX(NOTA[ID],MATCH(,INDIRECT(ADDRESS(ROW(NOTA[ID]),COLUMN(NOTA[ID]))&amp;":"&amp;ADDRESS(ROW(),COLUMN(NOTA[ID]))),-1)))</f>
        <v/>
      </c>
      <c r="E318" s="47"/>
      <c r="H318" s="48"/>
      <c r="N318" s="39"/>
      <c r="Q318" s="43"/>
      <c r="R318" s="49"/>
      <c r="S318" s="50"/>
      <c r="U318" s="51"/>
      <c r="V318" s="46"/>
      <c r="W318" s="51" t="str">
        <f>IF(NOTA[[#This Row],[HARGA/ CTN]]="",NOTA[[#This Row],[JUMLAH_H]],NOTA[[#This Row],[HARGA/ CTN]]*IF(NOTA[[#This Row],[C]]="",0,NOTA[[#This Row],[C]]))</f>
        <v/>
      </c>
      <c r="X318" s="51" t="str">
        <f>IF(NOTA[[#This Row],[JUMLAH]]="","",NOTA[[#This Row],[JUMLAH]]*NOTA[[#This Row],[DISC 1]])</f>
        <v/>
      </c>
      <c r="Y318" s="51" t="str">
        <f>IF(NOTA[[#This Row],[JUMLAH]]="","",(NOTA[[#This Row],[JUMLAH]]-NOTA[[#This Row],[DISC 1-]])*NOTA[[#This Row],[DISC 2]])</f>
        <v/>
      </c>
      <c r="Z318" s="51" t="str">
        <f>IF(NOTA[[#This Row],[JUMLAH]]="","",NOTA[[#This Row],[DISC 1-]]+NOTA[[#This Row],[DISC 2-]])</f>
        <v/>
      </c>
      <c r="AA318" s="51" t="str">
        <f>IF(NOTA[[#This Row],[JUMLAH]]="","",NOTA[[#This Row],[JUMLAH]]-NOTA[[#This Row],[DISC]])</f>
        <v/>
      </c>
      <c r="AB318" s="51"/>
      <c r="AC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1" t="str">
        <f>IF(OR(NOTA[[#This Row],[QTY]]="",NOTA[[#This Row],[HARGA SATUAN]]="",),"",NOTA[[#This Row],[QTY]]*NOTA[[#This Row],[HARGA SATUAN]])</f>
        <v/>
      </c>
      <c r="AG318" s="40" t="str">
        <f ca="1">IF(NOTA[ID_H]="","",INDEX(NOTA[TANGGAL],MATCH(,INDIRECT(ADDRESS(ROW(NOTA[TANGGAL]),COLUMN(NOTA[TANGGAL]))&amp;":"&amp;ADDRESS(ROW(),COLUMN(NOTA[TANGGAL]))),-1)))</f>
        <v/>
      </c>
      <c r="AH318" s="42" t="str">
        <f ca="1">IF(NOTA[[#This Row],[NAMA BARANG]]="","",INDEX(NOTA[SUPPLIER],MATCH(,INDIRECT(ADDRESS(ROW(NOTA[ID]),COLUMN(NOTA[ID]))&amp;":"&amp;ADDRESS(ROW(),COLUMN(NOTA[ID]))),-1)))</f>
        <v/>
      </c>
      <c r="AI318" s="42" t="str">
        <f ca="1">IF(NOTA[[#This Row],[ID_H]]="","",IF(NOTA[[#This Row],[FAKTUR]]="",INDIRECT(ADDRESS(ROW()-1,COLUMN())),NOTA[[#This Row],[FAKTUR]]))</f>
        <v/>
      </c>
      <c r="AJ318" s="39" t="str">
        <f ca="1">IF(NOTA[[#This Row],[ID]]="","",COUNTIF(NOTA[ID_H],NOTA[[#This Row],[ID_H]]))</f>
        <v/>
      </c>
      <c r="AK318" s="39" t="str">
        <f ca="1">IF(NOTA[[#This Row],[TGL.NOTA]]="",IF(NOTA[[#This Row],[SUPPLIER_H]]="","",AK317),MONTH(NOTA[[#This Row],[TGL.NOTA]]))</f>
        <v/>
      </c>
      <c r="AL318" s="39" t="str">
        <f>LOWER(SUBSTITUTE(SUBSTITUTE(SUBSTITUTE(SUBSTITUTE(SUBSTITUTE(SUBSTITUTE(SUBSTITUTE(SUBSTITUTE(SUBSTITUTE(NOTA[NAMA BARANG]," ",),".",""),"-",""),"(",""),")",""),",",""),"/",""),"""",""),"+",""))</f>
        <v/>
      </c>
      <c r="AM3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9" t="str">
        <f>IF(NOTA[[#This Row],[CONCAT4]]="","",_xlfn.IFNA(MATCH(NOTA[[#This Row],[CONCAT4]],[2]!RAW[CONCAT_H],0),FALSE))</f>
        <v/>
      </c>
      <c r="AQ318" s="39" t="str">
        <f>IF(NOTA[[#This Row],[CONCAT1]]="","",MATCH(NOTA[[#This Row],[CONCAT1]],[3]!db[NB NOTA_C],0))</f>
        <v/>
      </c>
      <c r="AR318" s="39" t="str">
        <f>IF(NOTA[[#This Row],[QTY/ CTN]]="","",TRUE)</f>
        <v/>
      </c>
      <c r="AS318" s="39" t="str">
        <f ca="1">IF(NOTA[[#This Row],[ID_H]]="","",IF(NOTA[[#This Row],[Column3]]=TRUE,NOTA[[#This Row],[QTY/ CTN]],INDEX([3]!db[QTY/ CTN],NOTA[[#This Row],[//DB]])))</f>
        <v/>
      </c>
      <c r="AT3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9" t="str">
        <f ca="1">IF(NOTA[[#This Row],[ID_H]]="","",MATCH(NOTA[[#This Row],[NB NOTA_C_QTY]],[4]!db[NB NOTA_C_QTY+F],0))</f>
        <v/>
      </c>
      <c r="AV318" s="55" t="str">
        <f ca="1">IF(NOTA[[#This Row],[NB NOTA_C_QTY]]="","",ROW()-2)</f>
        <v/>
      </c>
    </row>
    <row r="319" spans="1:48" ht="20.100000000000001" customHeight="1" x14ac:dyDescent="0.25">
      <c r="A319" s="42">
        <f ca="1">IF(INDIRECT(ADDRESS(ROW()-1,COLUMN(NOTA[[#Headers],[ID]])))="ID",1,IF(NOTA[[#This Row],[FAKTUR]]="","",COUNT(INDIRECT(ADDRESS(ROW(NOTA[ID]),COLUMN(NOTA[ID]))&amp;":"&amp;ADDRESS(ROW()-1,COLUMN(NOTA[ID]))))+1))</f>
        <v>64</v>
      </c>
      <c r="B3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ETJ_1207_523-1</v>
      </c>
      <c r="C319" s="39" t="e">
        <f ca="1">IF(NOTA[[#This Row],[ID_P]]="","",MATCH(NOTA[[#This Row],[ID_P]],[1]!B_MSK[N_ID],0))</f>
        <v>#REF!</v>
      </c>
      <c r="D319" s="39">
        <f ca="1">IF(NOTA[[#This Row],[NAMA BARANG]]="","",INDEX(NOTA[ID],MATCH(,INDIRECT(ADDRESS(ROW(NOTA[ID]),COLUMN(NOTA[ID]))&amp;":"&amp;ADDRESS(ROW(),COLUMN(NOTA[ID]))),-1)))</f>
        <v>64</v>
      </c>
      <c r="E319" s="47"/>
      <c r="F319" s="38" t="s">
        <v>151</v>
      </c>
      <c r="G319" s="38" t="s">
        <v>145</v>
      </c>
      <c r="H319" s="48" t="s">
        <v>419</v>
      </c>
      <c r="J319" s="40">
        <v>45114</v>
      </c>
      <c r="L319" s="38" t="s">
        <v>474</v>
      </c>
      <c r="M319" s="41">
        <v>3</v>
      </c>
      <c r="N319" s="39">
        <v>12000</v>
      </c>
      <c r="O319" s="38" t="s">
        <v>117</v>
      </c>
      <c r="P319" s="42">
        <v>700</v>
      </c>
      <c r="Q319" s="43"/>
      <c r="R319" s="49" t="s">
        <v>199</v>
      </c>
      <c r="S319" s="50"/>
      <c r="U319" s="51"/>
      <c r="V319" s="46"/>
      <c r="W319" s="51">
        <f>IF(NOTA[[#This Row],[HARGA/ CTN]]="",NOTA[[#This Row],[JUMLAH_H]],NOTA[[#This Row],[HARGA/ CTN]]*IF(NOTA[[#This Row],[C]]="",0,NOTA[[#This Row],[C]]))</f>
        <v>8400000</v>
      </c>
      <c r="X319" s="51">
        <f>IF(NOTA[[#This Row],[JUMLAH]]="","",NOTA[[#This Row],[JUMLAH]]*NOTA[[#This Row],[DISC 1]])</f>
        <v>0</v>
      </c>
      <c r="Y319" s="51">
        <f>IF(NOTA[[#This Row],[JUMLAH]]="","",(NOTA[[#This Row],[JUMLAH]]-NOTA[[#This Row],[DISC 1-]])*NOTA[[#This Row],[DISC 2]])</f>
        <v>0</v>
      </c>
      <c r="Z319" s="51">
        <f>IF(NOTA[[#This Row],[JUMLAH]]="","",NOTA[[#This Row],[DISC 1-]]+NOTA[[#This Row],[DISC 2-]])</f>
        <v>0</v>
      </c>
      <c r="AA319" s="51">
        <f>IF(NOTA[[#This Row],[JUMLAH]]="","",NOTA[[#This Row],[JUMLAH]]-NOTA[[#This Row],[DISC]])</f>
        <v>8400000</v>
      </c>
      <c r="AB319" s="51"/>
      <c r="AC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319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19" s="51">
        <f>IF(OR(NOTA[[#This Row],[QTY]]="",NOTA[[#This Row],[HARGA SATUAN]]="",),"",NOTA[[#This Row],[QTY]]*NOTA[[#This Row],[HARGA SATUAN]])</f>
        <v>8400000</v>
      </c>
      <c r="AG319" s="40">
        <f ca="1">IF(NOTA[ID_H]="","",INDEX(NOTA[TANGGAL],MATCH(,INDIRECT(ADDRESS(ROW(NOTA[TANGGAL]),COLUMN(NOTA[TANGGAL]))&amp;":"&amp;ADDRESS(ROW(),COLUMN(NOTA[TANGGAL]))),-1)))</f>
        <v>45119</v>
      </c>
      <c r="AH319" s="42" t="str">
        <f ca="1">IF(NOTA[[#This Row],[NAMA BARANG]]="","",INDEX(NOTA[SUPPLIER],MATCH(,INDIRECT(ADDRESS(ROW(NOTA[ID]),COLUMN(NOTA[ID]))&amp;":"&amp;ADDRESS(ROW(),COLUMN(NOTA[ID]))),-1)))</f>
        <v>ETJ</v>
      </c>
      <c r="AI319" s="42" t="str">
        <f ca="1">IF(NOTA[[#This Row],[ID_H]]="","",IF(NOTA[[#This Row],[FAKTUR]]="",INDIRECT(ADDRESS(ROW()-1,COLUMN())),NOTA[[#This Row],[FAKTUR]]))</f>
        <v>UNTANA</v>
      </c>
      <c r="AJ319" s="39">
        <f ca="1">IF(NOTA[[#This Row],[ID]]="","",COUNTIF(NOTA[ID_H],NOTA[[#This Row],[ID_H]]))</f>
        <v>1</v>
      </c>
      <c r="AK319" s="39">
        <f>IF(NOTA[[#This Row],[TGL.NOTA]]="",IF(NOTA[[#This Row],[SUPPLIER_H]]="","",AK318),MONTH(NOTA[[#This Row],[TGL.NOTA]]))</f>
        <v>7</v>
      </c>
      <c r="AL319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3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3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3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ETJUNTANAKZ5.2345114ntagdmrh301</v>
      </c>
      <c r="AP319" s="39" t="e">
        <f>IF(NOTA[[#This Row],[CONCAT4]]="","",_xlfn.IFNA(MATCH(NOTA[[#This Row],[CONCAT4]],[2]!RAW[CONCAT_H],0),FALSE))</f>
        <v>#REF!</v>
      </c>
      <c r="AQ319" s="39">
        <f>IF(NOTA[[#This Row],[CONCAT1]]="","",MATCH(NOTA[[#This Row],[CONCAT1]],[3]!db[NB NOTA_C],0))</f>
        <v>1741</v>
      </c>
      <c r="AR319" s="39" t="b">
        <f>IF(NOTA[[#This Row],[QTY/ CTN]]="","",TRUE)</f>
        <v>1</v>
      </c>
      <c r="AS319" s="39" t="str">
        <f ca="1">IF(NOTA[[#This Row],[ID_H]]="","",IF(NOTA[[#This Row],[Column3]]=TRUE,NOTA[[#This Row],[QTY/ CTN]],INDEX([3]!db[QTY/ CTN],NOTA[[#This Row],[//DB]])))</f>
        <v>4000 PCS</v>
      </c>
      <c r="AT3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319" s="39" t="e">
        <f ca="1">IF(NOTA[[#This Row],[ID_H]]="","",MATCH(NOTA[[#This Row],[NB NOTA_C_QTY]],[4]!db[NB NOTA_C_QTY+F],0))</f>
        <v>#REF!</v>
      </c>
      <c r="AV319" s="55">
        <f ca="1">IF(NOTA[[#This Row],[NB NOTA_C_QTY]]="","",ROW()-2)</f>
        <v>317</v>
      </c>
    </row>
    <row r="320" spans="1:48" ht="20.100000000000001" customHeight="1" x14ac:dyDescent="0.25">
      <c r="A3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 t="str">
        <f ca="1">IF(NOTA[[#This Row],[NAMA BARANG]]="","",INDEX(NOTA[ID],MATCH(,INDIRECT(ADDRESS(ROW(NOTA[ID]),COLUMN(NOTA[ID]))&amp;":"&amp;ADDRESS(ROW(),COLUMN(NOTA[ID]))),-1)))</f>
        <v/>
      </c>
      <c r="E320" s="47"/>
      <c r="H320" s="48"/>
      <c r="N320" s="39"/>
      <c r="Q320" s="43"/>
      <c r="R320" s="49"/>
      <c r="S320" s="50"/>
      <c r="U320" s="51"/>
      <c r="V320" s="46"/>
      <c r="W320" s="51" t="str">
        <f>IF(NOTA[[#This Row],[HARGA/ CTN]]="",NOTA[[#This Row],[JUMLAH_H]],NOTA[[#This Row],[HARGA/ CTN]]*IF(NOTA[[#This Row],[C]]="",0,NOTA[[#This Row],[C]]))</f>
        <v/>
      </c>
      <c r="X320" s="51" t="str">
        <f>IF(NOTA[[#This Row],[JUMLAH]]="","",NOTA[[#This Row],[JUMLAH]]*NOTA[[#This Row],[DISC 1]])</f>
        <v/>
      </c>
      <c r="Y320" s="51" t="str">
        <f>IF(NOTA[[#This Row],[JUMLAH]]="","",(NOTA[[#This Row],[JUMLAH]]-NOTA[[#This Row],[DISC 1-]])*NOTA[[#This Row],[DISC 2]])</f>
        <v/>
      </c>
      <c r="Z320" s="51" t="str">
        <f>IF(NOTA[[#This Row],[JUMLAH]]="","",NOTA[[#This Row],[DISC 1-]]+NOTA[[#This Row],[DISC 2-]])</f>
        <v/>
      </c>
      <c r="AA320" s="51" t="str">
        <f>IF(NOTA[[#This Row],[JUMLAH]]="","",NOTA[[#This Row],[JUMLAH]]-NOTA[[#This Row],[DISC]])</f>
        <v/>
      </c>
      <c r="AB320" s="51"/>
      <c r="AC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1" t="str">
        <f>IF(OR(NOTA[[#This Row],[QTY]]="",NOTA[[#This Row],[HARGA SATUAN]]="",),"",NOTA[[#This Row],[QTY]]*NOTA[[#This Row],[HARGA SATUAN]])</f>
        <v/>
      </c>
      <c r="AG320" s="40" t="str">
        <f ca="1">IF(NOTA[ID_H]="","",INDEX(NOTA[TANGGAL],MATCH(,INDIRECT(ADDRESS(ROW(NOTA[TANGGAL]),COLUMN(NOTA[TANGGAL]))&amp;":"&amp;ADDRESS(ROW(),COLUMN(NOTA[TANGGAL]))),-1)))</f>
        <v/>
      </c>
      <c r="AH320" s="42" t="str">
        <f ca="1">IF(NOTA[[#This Row],[NAMA BARANG]]="","",INDEX(NOTA[SUPPLIER],MATCH(,INDIRECT(ADDRESS(ROW(NOTA[ID]),COLUMN(NOTA[ID]))&amp;":"&amp;ADDRESS(ROW(),COLUMN(NOTA[ID]))),-1)))</f>
        <v/>
      </c>
      <c r="AI320" s="42" t="str">
        <f ca="1">IF(NOTA[[#This Row],[ID_H]]="","",IF(NOTA[[#This Row],[FAKTUR]]="",INDIRECT(ADDRESS(ROW()-1,COLUMN())),NOTA[[#This Row],[FAKTUR]]))</f>
        <v/>
      </c>
      <c r="AJ320" s="39" t="str">
        <f ca="1">IF(NOTA[[#This Row],[ID]]="","",COUNTIF(NOTA[ID_H],NOTA[[#This Row],[ID_H]]))</f>
        <v/>
      </c>
      <c r="AK320" s="39" t="str">
        <f ca="1">IF(NOTA[[#This Row],[TGL.NOTA]]="",IF(NOTA[[#This Row],[SUPPLIER_H]]="","",AK319),MONTH(NOTA[[#This Row],[TGL.NOTA]]))</f>
        <v/>
      </c>
      <c r="AL320" s="39" t="str">
        <f>LOWER(SUBSTITUTE(SUBSTITUTE(SUBSTITUTE(SUBSTITUTE(SUBSTITUTE(SUBSTITUTE(SUBSTITUTE(SUBSTITUTE(SUBSTITUTE(NOTA[NAMA BARANG]," ",),".",""),"-",""),"(",""),")",""),",",""),"/",""),"""",""),"+",""))</f>
        <v/>
      </c>
      <c r="AM3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9" t="str">
        <f>IF(NOTA[[#This Row],[CONCAT4]]="","",_xlfn.IFNA(MATCH(NOTA[[#This Row],[CONCAT4]],[2]!RAW[CONCAT_H],0),FALSE))</f>
        <v/>
      </c>
      <c r="AQ320" s="39" t="str">
        <f>IF(NOTA[[#This Row],[CONCAT1]]="","",MATCH(NOTA[[#This Row],[CONCAT1]],[3]!db[NB NOTA_C],0))</f>
        <v/>
      </c>
      <c r="AR320" s="39" t="str">
        <f>IF(NOTA[[#This Row],[QTY/ CTN]]="","",TRUE)</f>
        <v/>
      </c>
      <c r="AS320" s="39" t="str">
        <f ca="1">IF(NOTA[[#This Row],[ID_H]]="","",IF(NOTA[[#This Row],[Column3]]=TRUE,NOTA[[#This Row],[QTY/ CTN]],INDEX([3]!db[QTY/ CTN],NOTA[[#This Row],[//DB]])))</f>
        <v/>
      </c>
      <c r="AT3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9" t="str">
        <f ca="1">IF(NOTA[[#This Row],[ID_H]]="","",MATCH(NOTA[[#This Row],[NB NOTA_C_QTY]],[4]!db[NB NOTA_C_QTY+F],0))</f>
        <v/>
      </c>
      <c r="AV320" s="55" t="str">
        <f ca="1">IF(NOTA[[#This Row],[NB NOTA_C_QTY]]="","",ROW()-2)</f>
        <v/>
      </c>
    </row>
    <row r="321" spans="1:48" ht="20.100000000000001" customHeight="1" x14ac:dyDescent="0.25">
      <c r="A321" s="42">
        <f ca="1">IF(INDIRECT(ADDRESS(ROW()-1,COLUMN(NOTA[[#Headers],[ID]])))="ID",1,IF(NOTA[[#This Row],[FAKTUR]]="","",COUNT(INDIRECT(ADDRESS(ROW(NOTA[ID]),COLUMN(NOTA[ID]))&amp;":"&amp;ADDRESS(ROW()-1,COLUMN(NOTA[ID]))))+1))</f>
        <v>65</v>
      </c>
      <c r="B3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SAP_1507_331-2</v>
      </c>
      <c r="C321" s="39" t="e">
        <f ca="1">IF(NOTA[[#This Row],[ID_P]]="","",MATCH(NOTA[[#This Row],[ID_P]],[1]!B_MSK[N_ID],0))</f>
        <v>#REF!</v>
      </c>
      <c r="D321" s="39">
        <f ca="1">IF(NOTA[[#This Row],[NAMA BARANG]]="","",INDEX(NOTA[ID],MATCH(,INDIRECT(ADDRESS(ROW(NOTA[ID]),COLUMN(NOTA[ID]))&amp;":"&amp;ADDRESS(ROW(),COLUMN(NOTA[ID]))),-1)))</f>
        <v>65</v>
      </c>
      <c r="E321" s="47">
        <v>45122</v>
      </c>
      <c r="F321" s="38" t="s">
        <v>147</v>
      </c>
      <c r="G321" s="38" t="s">
        <v>145</v>
      </c>
      <c r="H321" s="48" t="s">
        <v>422</v>
      </c>
      <c r="J321" s="40">
        <v>45117</v>
      </c>
      <c r="L321" s="38" t="s">
        <v>423</v>
      </c>
      <c r="M321" s="41">
        <v>9</v>
      </c>
      <c r="N321" s="39">
        <f>2520*9</f>
        <v>22680</v>
      </c>
      <c r="O321" s="38" t="s">
        <v>117</v>
      </c>
      <c r="P321" s="42">
        <v>1625</v>
      </c>
      <c r="Q321" s="43"/>
      <c r="R321" s="49" t="s">
        <v>424</v>
      </c>
      <c r="S321" s="50">
        <v>0.2</v>
      </c>
      <c r="T321" s="45">
        <v>2.5000000000000001E-2</v>
      </c>
      <c r="U321" s="51"/>
      <c r="V321" s="46"/>
      <c r="W321" s="51">
        <f>IF(NOTA[[#This Row],[HARGA/ CTN]]="",NOTA[[#This Row],[JUMLAH_H]],NOTA[[#This Row],[HARGA/ CTN]]*IF(NOTA[[#This Row],[C]]="",0,NOTA[[#This Row],[C]]))</f>
        <v>36855000</v>
      </c>
      <c r="X321" s="51">
        <f>IF(NOTA[[#This Row],[JUMLAH]]="","",NOTA[[#This Row],[JUMLAH]]*NOTA[[#This Row],[DISC 1]])</f>
        <v>7371000</v>
      </c>
      <c r="Y321" s="51">
        <f>IF(NOTA[[#This Row],[JUMLAH]]="","",(NOTA[[#This Row],[JUMLAH]]-NOTA[[#This Row],[DISC 1-]])*NOTA[[#This Row],[DISC 2]])</f>
        <v>737100</v>
      </c>
      <c r="Z321" s="51">
        <f>IF(NOTA[[#This Row],[JUMLAH]]="","",NOTA[[#This Row],[DISC 1-]]+NOTA[[#This Row],[DISC 2-]])</f>
        <v>8108100</v>
      </c>
      <c r="AA321" s="51">
        <f>IF(NOTA[[#This Row],[JUMLAH]]="","",NOTA[[#This Row],[JUMLAH]]-NOTA[[#This Row],[DISC]])</f>
        <v>28746900</v>
      </c>
      <c r="AB321" s="51"/>
      <c r="AC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2">
        <f>IF(NOTA[[#This Row],[NAMA BARANG]]="","",IF(NOTA[[#This Row],[JUMLAH_H]]="",NOTA[[#This Row],[HARGA/ CTN]],NOTA[[#This Row],[QTY]]*NOTA[[#This Row],[HARGA SATUAN]]/IF(ISNUMBER(NOTA[[#This Row],[C]]),NOTA[[#This Row],[C]],1)))</f>
        <v>4095000</v>
      </c>
      <c r="AF321" s="51">
        <f>IF(OR(NOTA[[#This Row],[QTY]]="",NOTA[[#This Row],[HARGA SATUAN]]="",),"",NOTA[[#This Row],[QTY]]*NOTA[[#This Row],[HARGA SATUAN]])</f>
        <v>36855000</v>
      </c>
      <c r="AG321" s="40">
        <f ca="1">IF(NOTA[ID_H]="","",INDEX(NOTA[TANGGAL],MATCH(,INDIRECT(ADDRESS(ROW(NOTA[TANGGAL]),COLUMN(NOTA[TANGGAL]))&amp;":"&amp;ADDRESS(ROW(),COLUMN(NOTA[TANGGAL]))),-1)))</f>
        <v>45122</v>
      </c>
      <c r="AH321" s="42" t="str">
        <f ca="1">IF(NOTA[[#This Row],[NAMA BARANG]]="","",INDEX(NOTA[SUPPLIER],MATCH(,INDIRECT(ADDRESS(ROW(NOTA[ID]),COLUMN(NOTA[ID]))&amp;":"&amp;ADDRESS(ROW(),COLUMN(NOTA[ID]))),-1)))</f>
        <v>SAPUTRO</v>
      </c>
      <c r="AI321" s="42" t="str">
        <f ca="1">IF(NOTA[[#This Row],[ID_H]]="","",IF(NOTA[[#This Row],[FAKTUR]]="",INDIRECT(ADDRESS(ROW()-1,COLUMN())),NOTA[[#This Row],[FAKTUR]]))</f>
        <v>UNTANA</v>
      </c>
      <c r="AJ321" s="39">
        <f ca="1">IF(NOTA[[#This Row],[ID]]="","",COUNTIF(NOTA[ID_H],NOTA[[#This Row],[ID_H]]))</f>
        <v>2</v>
      </c>
      <c r="AK321" s="39">
        <f>IF(NOTA[[#This Row],[TGL.NOTA]]="",IF(NOTA[[#This Row],[SUPPLIER_H]]="","",AK320),MONTH(NOTA[[#This Row],[TGL.NOTA]]))</f>
        <v>7</v>
      </c>
      <c r="AL321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stickernamafancyholo40950000.20.025</v>
      </c>
      <c r="AN3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stickernamafancyholo40950000.20.025</v>
      </c>
      <c r="AO321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SAPUTROUNTANAF23G00033145117stickernamafancyholo</v>
      </c>
      <c r="AP321" s="39" t="e">
        <f>IF(NOTA[[#This Row],[CONCAT4]]="","",_xlfn.IFNA(MATCH(NOTA[[#This Row],[CONCAT4]],[2]!RAW[CONCAT_H],0),FALSE))</f>
        <v>#REF!</v>
      </c>
      <c r="AQ321" s="39">
        <f>IF(NOTA[[#This Row],[CONCAT1]]="","",MATCH(NOTA[[#This Row],[CONCAT1]],[3]!db[NB NOTA_C],0))</f>
        <v>2487</v>
      </c>
      <c r="AR321" s="39" t="b">
        <f>IF(NOTA[[#This Row],[QTY/ CTN]]="","",TRUE)</f>
        <v>1</v>
      </c>
      <c r="AS321" s="39" t="str">
        <f ca="1">IF(NOTA[[#This Row],[ID_H]]="","",IF(NOTA[[#This Row],[Column3]]=TRUE,NOTA[[#This Row],[QTY/ CTN]],INDEX([3]!db[QTY/ CTN],NOTA[[#This Row],[//DB]])))</f>
        <v>2520 PCS</v>
      </c>
      <c r="AT3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stickernamafancyholo2520pcsuntana</v>
      </c>
      <c r="AU321" s="39" t="e">
        <f ca="1">IF(NOTA[[#This Row],[ID_H]]="","",MATCH(NOTA[[#This Row],[NB NOTA_C_QTY]],[4]!db[NB NOTA_C_QTY+F],0))</f>
        <v>#REF!</v>
      </c>
      <c r="AV321" s="55">
        <f ca="1">IF(NOTA[[#This Row],[NB NOTA_C_QTY]]="","",ROW()-2)</f>
        <v>319</v>
      </c>
    </row>
    <row r="322" spans="1:48" ht="20.100000000000001" customHeight="1" x14ac:dyDescent="0.25">
      <c r="A3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65</v>
      </c>
      <c r="E322" s="47"/>
      <c r="H322" s="48"/>
      <c r="L322" s="38" t="s">
        <v>423</v>
      </c>
      <c r="M322" s="41">
        <v>4</v>
      </c>
      <c r="N322" s="39">
        <f>3780*4</f>
        <v>15120</v>
      </c>
      <c r="O322" s="38" t="s">
        <v>117</v>
      </c>
      <c r="P322" s="42">
        <v>1625</v>
      </c>
      <c r="Q322" s="43"/>
      <c r="R322" s="49" t="s">
        <v>425</v>
      </c>
      <c r="S322" s="50">
        <v>0.2</v>
      </c>
      <c r="T322" s="45">
        <v>2.5000000000000001E-2</v>
      </c>
      <c r="U322" s="51"/>
      <c r="V322" s="46"/>
      <c r="W322" s="51">
        <f>IF(NOTA[[#This Row],[HARGA/ CTN]]="",NOTA[[#This Row],[JUMLAH_H]],NOTA[[#This Row],[HARGA/ CTN]]*IF(NOTA[[#This Row],[C]]="",0,NOTA[[#This Row],[C]]))</f>
        <v>24570000</v>
      </c>
      <c r="X322" s="51">
        <f>IF(NOTA[[#This Row],[JUMLAH]]="","",NOTA[[#This Row],[JUMLAH]]*NOTA[[#This Row],[DISC 1]])</f>
        <v>4914000</v>
      </c>
      <c r="Y322" s="51">
        <f>IF(NOTA[[#This Row],[JUMLAH]]="","",(NOTA[[#This Row],[JUMLAH]]-NOTA[[#This Row],[DISC 1-]])*NOTA[[#This Row],[DISC 2]])</f>
        <v>491400</v>
      </c>
      <c r="Z322" s="51">
        <f>IF(NOTA[[#This Row],[JUMLAH]]="","",NOTA[[#This Row],[DISC 1-]]+NOTA[[#This Row],[DISC 2-]])</f>
        <v>5405400</v>
      </c>
      <c r="AA322" s="51">
        <f>IF(NOTA[[#This Row],[JUMLAH]]="","",NOTA[[#This Row],[JUMLAH]]-NOTA[[#This Row],[DISC]])</f>
        <v>19164600</v>
      </c>
      <c r="AB322" s="51"/>
      <c r="AC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13513500</v>
      </c>
      <c r="AD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47911500</v>
      </c>
      <c r="AE322" s="42">
        <f>IF(NOTA[[#This Row],[NAMA BARANG]]="","",IF(NOTA[[#This Row],[JUMLAH_H]]="",NOTA[[#This Row],[HARGA/ CTN]],NOTA[[#This Row],[QTY]]*NOTA[[#This Row],[HARGA SATUAN]]/IF(ISNUMBER(NOTA[[#This Row],[C]]),NOTA[[#This Row],[C]],1)))</f>
        <v>6142500</v>
      </c>
      <c r="AF322" s="51">
        <f>IF(OR(NOTA[[#This Row],[QTY]]="",NOTA[[#This Row],[HARGA SATUAN]]="",),"",NOTA[[#This Row],[QTY]]*NOTA[[#This Row],[HARGA SATUAN]])</f>
        <v>24570000</v>
      </c>
      <c r="AG322" s="40">
        <f ca="1">IF(NOTA[ID_H]="","",INDEX(NOTA[TANGGAL],MATCH(,INDIRECT(ADDRESS(ROW(NOTA[TANGGAL]),COLUMN(NOTA[TANGGAL]))&amp;":"&amp;ADDRESS(ROW(),COLUMN(NOTA[TANGGAL]))),-1)))</f>
        <v>45122</v>
      </c>
      <c r="AH322" s="42" t="str">
        <f ca="1">IF(NOTA[[#This Row],[NAMA BARANG]]="","",INDEX(NOTA[SUPPLIER],MATCH(,INDIRECT(ADDRESS(ROW(NOTA[ID]),COLUMN(NOTA[ID]))&amp;":"&amp;ADDRESS(ROW(),COLUMN(NOTA[ID]))),-1)))</f>
        <v>SAPUTRO</v>
      </c>
      <c r="AI322" s="42" t="str">
        <f ca="1">IF(NOTA[[#This Row],[ID_H]]="","",IF(NOTA[[#This Row],[FAKTUR]]="",INDIRECT(ADDRESS(ROW()-1,COLUMN())),NOTA[[#This Row],[FAKTUR]]))</f>
        <v>UNTANA</v>
      </c>
      <c r="AJ322" s="39" t="str">
        <f ca="1">IF(NOTA[[#This Row],[ID]]="","",COUNTIF(NOTA[ID_H],NOTA[[#This Row],[ID_H]]))</f>
        <v/>
      </c>
      <c r="AK322" s="39">
        <f ca="1">IF(NOTA[[#This Row],[TGL.NOTA]]="",IF(NOTA[[#This Row],[SUPPLIER_H]]="","",AK321),MONTH(NOTA[[#This Row],[TGL.NOTA]]))</f>
        <v>7</v>
      </c>
      <c r="AL322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stickernamafancyholo61425000.20.025</v>
      </c>
      <c r="AN3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stickernamafancyholo61425000.20.025</v>
      </c>
      <c r="AO3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9" t="str">
        <f>IF(NOTA[[#This Row],[CONCAT4]]="","",_xlfn.IFNA(MATCH(NOTA[[#This Row],[CONCAT4]],[2]!RAW[CONCAT_H],0),FALSE))</f>
        <v/>
      </c>
      <c r="AQ322" s="39">
        <f>IF(NOTA[[#This Row],[CONCAT1]]="","",MATCH(NOTA[[#This Row],[CONCAT1]],[3]!db[NB NOTA_C],0))</f>
        <v>2487</v>
      </c>
      <c r="AR322" s="39" t="b">
        <f>IF(NOTA[[#This Row],[QTY/ CTN]]="","",TRUE)</f>
        <v>1</v>
      </c>
      <c r="AS322" s="39" t="str">
        <f ca="1">IF(NOTA[[#This Row],[ID_H]]="","",IF(NOTA[[#This Row],[Column3]]=TRUE,NOTA[[#This Row],[QTY/ CTN]],INDEX([3]!db[QTY/ CTN],NOTA[[#This Row],[//DB]])))</f>
        <v>3780 PCS</v>
      </c>
      <c r="AT3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stickernamafancyholo3780pcsuntana</v>
      </c>
      <c r="AU322" s="39" t="e">
        <f ca="1">IF(NOTA[[#This Row],[ID_H]]="","",MATCH(NOTA[[#This Row],[NB NOTA_C_QTY]],[4]!db[NB NOTA_C_QTY+F],0))</f>
        <v>#REF!</v>
      </c>
      <c r="AV322" s="55">
        <f ca="1">IF(NOTA[[#This Row],[NB NOTA_C_QTY]]="","",ROW()-2)</f>
        <v>320</v>
      </c>
    </row>
    <row r="323" spans="1:48" ht="20.100000000000001" customHeight="1" x14ac:dyDescent="0.25">
      <c r="A3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47"/>
      <c r="H323" s="48"/>
      <c r="N323" s="39"/>
      <c r="Q323" s="43"/>
      <c r="R323" s="49"/>
      <c r="S323" s="50"/>
      <c r="U323" s="51"/>
      <c r="V323" s="46"/>
      <c r="W323" s="51" t="str">
        <f>IF(NOTA[[#This Row],[HARGA/ CTN]]="",NOTA[[#This Row],[JUMLAH_H]],NOTA[[#This Row],[HARGA/ CTN]]*IF(NOTA[[#This Row],[C]]="",0,NOTA[[#This Row],[C]]))</f>
        <v/>
      </c>
      <c r="X323" s="51" t="str">
        <f>IF(NOTA[[#This Row],[JUMLAH]]="","",NOTA[[#This Row],[JUMLAH]]*NOTA[[#This Row],[DISC 1]])</f>
        <v/>
      </c>
      <c r="Y323" s="51" t="str">
        <f>IF(NOTA[[#This Row],[JUMLAH]]="","",(NOTA[[#This Row],[JUMLAH]]-NOTA[[#This Row],[DISC 1-]])*NOTA[[#This Row],[DISC 2]])</f>
        <v/>
      </c>
      <c r="Z323" s="51" t="str">
        <f>IF(NOTA[[#This Row],[JUMLAH]]="","",NOTA[[#This Row],[DISC 1-]]+NOTA[[#This Row],[DISC 2-]])</f>
        <v/>
      </c>
      <c r="AA323" s="51" t="str">
        <f>IF(NOTA[[#This Row],[JUMLAH]]="","",NOTA[[#This Row],[JUMLAH]]-NOTA[[#This Row],[DISC]])</f>
        <v/>
      </c>
      <c r="AB323" s="51"/>
      <c r="AC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1" t="str">
        <f>IF(OR(NOTA[[#This Row],[QTY]]="",NOTA[[#This Row],[HARGA SATUAN]]="",),"",NOTA[[#This Row],[QTY]]*NOTA[[#This Row],[HARGA SATUAN]])</f>
        <v/>
      </c>
      <c r="AG323" s="40" t="str">
        <f ca="1">IF(NOTA[ID_H]="","",INDEX(NOTA[TANGGAL],MATCH(,INDIRECT(ADDRESS(ROW(NOTA[TANGGAL]),COLUMN(NOTA[TANGGAL]))&amp;":"&amp;ADDRESS(ROW(),COLUMN(NOTA[TANGGAL]))),-1)))</f>
        <v/>
      </c>
      <c r="AH323" s="42" t="str">
        <f ca="1">IF(NOTA[[#This Row],[NAMA BARANG]]="","",INDEX(NOTA[SUPPLIER],MATCH(,INDIRECT(ADDRESS(ROW(NOTA[ID]),COLUMN(NOTA[ID]))&amp;":"&amp;ADDRESS(ROW(),COLUMN(NOTA[ID]))),-1)))</f>
        <v/>
      </c>
      <c r="AI323" s="42" t="str">
        <f ca="1">IF(NOTA[[#This Row],[ID_H]]="","",IF(NOTA[[#This Row],[FAKTUR]]="",INDIRECT(ADDRESS(ROW()-1,COLUMN())),NOTA[[#This Row],[FAKTUR]]))</f>
        <v/>
      </c>
      <c r="AJ323" s="39" t="str">
        <f ca="1">IF(NOTA[[#This Row],[ID]]="","",COUNTIF(NOTA[ID_H],NOTA[[#This Row],[ID_H]]))</f>
        <v/>
      </c>
      <c r="AK323" s="39" t="str">
        <f ca="1">IF(NOTA[[#This Row],[TGL.NOTA]]="",IF(NOTA[[#This Row],[SUPPLIER_H]]="","",AK322),MONTH(NOTA[[#This Row],[TGL.NOTA]]))</f>
        <v/>
      </c>
      <c r="AL323" s="39" t="str">
        <f>LOWER(SUBSTITUTE(SUBSTITUTE(SUBSTITUTE(SUBSTITUTE(SUBSTITUTE(SUBSTITUTE(SUBSTITUTE(SUBSTITUTE(SUBSTITUTE(NOTA[NAMA BARANG]," ",),".",""),"-",""),"(",""),")",""),",",""),"/",""),"""",""),"+",""))</f>
        <v/>
      </c>
      <c r="AM3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9" t="str">
        <f>IF(NOTA[[#This Row],[CONCAT4]]="","",_xlfn.IFNA(MATCH(NOTA[[#This Row],[CONCAT4]],[2]!RAW[CONCAT_H],0),FALSE))</f>
        <v/>
      </c>
      <c r="AQ323" s="39" t="str">
        <f>IF(NOTA[[#This Row],[CONCAT1]]="","",MATCH(NOTA[[#This Row],[CONCAT1]],[3]!db[NB NOTA_C],0))</f>
        <v/>
      </c>
      <c r="AR323" s="39" t="str">
        <f>IF(NOTA[[#This Row],[QTY/ CTN]]="","",TRUE)</f>
        <v/>
      </c>
      <c r="AS323" s="39" t="str">
        <f ca="1">IF(NOTA[[#This Row],[ID_H]]="","",IF(NOTA[[#This Row],[Column3]]=TRUE,NOTA[[#This Row],[QTY/ CTN]],INDEX([3]!db[QTY/ CTN],NOTA[[#This Row],[//DB]])))</f>
        <v/>
      </c>
      <c r="AT3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9" t="str">
        <f ca="1">IF(NOTA[[#This Row],[ID_H]]="","",MATCH(NOTA[[#This Row],[NB NOTA_C_QTY]],[4]!db[NB NOTA_C_QTY+F],0))</f>
        <v/>
      </c>
      <c r="AV323" s="55" t="str">
        <f ca="1">IF(NOTA[[#This Row],[NB NOTA_C_QTY]]="","",ROW()-2)</f>
        <v/>
      </c>
    </row>
    <row r="324" spans="1:48" ht="20.100000000000001" customHeight="1" x14ac:dyDescent="0.25">
      <c r="A324" s="42">
        <f ca="1">IF(INDIRECT(ADDRESS(ROW()-1,COLUMN(NOTA[[#Headers],[ID]])))="ID",1,IF(NOTA[[#This Row],[FAKTUR]]="","",COUNT(INDIRECT(ADDRESS(ROW(NOTA[ID]),COLUMN(NOTA[ID]))&amp;":"&amp;ADDRESS(ROW()-1,COLUMN(NOTA[ID]))))+1))</f>
        <v>66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KEN_1407_030-7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66</v>
      </c>
      <c r="E324" s="47">
        <v>45121</v>
      </c>
      <c r="F324" s="38" t="s">
        <v>22</v>
      </c>
      <c r="G324" s="38" t="s">
        <v>23</v>
      </c>
      <c r="H324" s="48" t="s">
        <v>426</v>
      </c>
      <c r="J324" s="40">
        <v>45119</v>
      </c>
      <c r="L324" s="38" t="s">
        <v>137</v>
      </c>
      <c r="M324" s="41">
        <v>1</v>
      </c>
      <c r="N324" s="39"/>
      <c r="Q324" s="43">
        <v>1410000</v>
      </c>
      <c r="R324" s="49"/>
      <c r="S324" s="50">
        <v>0.17</v>
      </c>
      <c r="U324" s="51"/>
      <c r="V324" s="46"/>
      <c r="W324" s="51">
        <f>IF(NOTA[[#This Row],[HARGA/ CTN]]="",NOTA[[#This Row],[JUMLAH_H]],NOTA[[#This Row],[HARGA/ CTN]]*IF(NOTA[[#This Row],[C]]="",0,NOTA[[#This Row],[C]]))</f>
        <v>1410000</v>
      </c>
      <c r="X324" s="51">
        <f>IF(NOTA[[#This Row],[JUMLAH]]="","",NOTA[[#This Row],[JUMLAH]]*NOTA[[#This Row],[DISC 1]])</f>
        <v>239700.00000000003</v>
      </c>
      <c r="Y324" s="51">
        <f>IF(NOTA[[#This Row],[JUMLAH]]="","",(NOTA[[#This Row],[JUMLAH]]-NOTA[[#This Row],[DISC 1-]])*NOTA[[#This Row],[DISC 2]])</f>
        <v>0</v>
      </c>
      <c r="Z324" s="51">
        <f>IF(NOTA[[#This Row],[JUMLAH]]="","",NOTA[[#This Row],[DISC 1-]]+NOTA[[#This Row],[DISC 2-]])</f>
        <v>239700.00000000003</v>
      </c>
      <c r="AA324" s="51">
        <f>IF(NOTA[[#This Row],[JUMLAH]]="","",NOTA[[#This Row],[JUMLAH]]-NOTA[[#This Row],[DISC]])</f>
        <v>1170300</v>
      </c>
      <c r="AB324" s="51"/>
      <c r="AC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24" s="51" t="str">
        <f>IF(OR(NOTA[[#This Row],[QTY]]="",NOTA[[#This Row],[HARGA SATUAN]]="",),"",NOTA[[#This Row],[QTY]]*NOTA[[#This Row],[HARGA SATUAN]])</f>
        <v/>
      </c>
      <c r="AG324" s="40">
        <f ca="1">IF(NOTA[ID_H]="","",INDEX(NOTA[TANGGAL],MATCH(,INDIRECT(ADDRESS(ROW(NOTA[TANGGAL]),COLUMN(NOTA[TANGGAL]))&amp;":"&amp;ADDRESS(ROW(),COLUMN(NOTA[TANGGAL]))),-1)))</f>
        <v>45121</v>
      </c>
      <c r="AH324" s="42" t="str">
        <f ca="1">IF(NOTA[[#This Row],[NAMA BARANG]]="","",INDEX(NOTA[SUPPLIER],MATCH(,INDIRECT(ADDRESS(ROW(NOTA[ID]),COLUMN(NOTA[ID]))&amp;":"&amp;ADDRESS(ROW(),COLUMN(NOTA[ID]))),-1)))</f>
        <v>KENKO SINAR INDONESIA</v>
      </c>
      <c r="AI324" s="42" t="str">
        <f ca="1">IF(NOTA[[#This Row],[ID_H]]="","",IF(NOTA[[#This Row],[FAKTUR]]="",INDIRECT(ADDRESS(ROW()-1,COLUMN())),NOTA[[#This Row],[FAKTUR]]))</f>
        <v>ARTO MORO</v>
      </c>
      <c r="AJ324" s="39">
        <f ca="1">IF(NOTA[[#This Row],[ID]]="","",COUNTIF(NOTA[ID_H],NOTA[[#This Row],[ID_H]]))</f>
        <v>7</v>
      </c>
      <c r="AK324" s="39">
        <f>IF(NOTA[[#This Row],[TGL.NOTA]]="",IF(NOTA[[#This Row],[SUPPLIER_H]]="","",AK323),MONTH(NOTA[[#This Row],[TGL.NOTA]]))</f>
        <v>7</v>
      </c>
      <c r="AL324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2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MORO2307103045119kenkoscissorsc828</v>
      </c>
      <c r="AP324" s="39" t="e">
        <f>IF(NOTA[[#This Row],[CONCAT4]]="","",_xlfn.IFNA(MATCH(NOTA[[#This Row],[CONCAT4]],[2]!RAW[CONCAT_H],0),FALSE))</f>
        <v>#REF!</v>
      </c>
      <c r="AQ324" s="39">
        <f>IF(NOTA[[#This Row],[CONCAT1]]="","",MATCH(NOTA[[#This Row],[CONCAT1]],[3]!db[NB NOTA_C],0))</f>
        <v>1263</v>
      </c>
      <c r="AR324" s="39" t="str">
        <f>IF(NOTA[[#This Row],[QTY/ CTN]]="","",TRUE)</f>
        <v/>
      </c>
      <c r="AS324" s="39" t="str">
        <f ca="1">IF(NOTA[[#This Row],[ID_H]]="","",IF(NOTA[[#This Row],[Column3]]=TRUE,NOTA[[#This Row],[QTY/ CTN]],INDEX([3]!db[QTY/ CTN],NOTA[[#This Row],[//DB]])))</f>
        <v>25 LSN</v>
      </c>
      <c r="AT3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24" s="39" t="e">
        <f ca="1">IF(NOTA[[#This Row],[ID_H]]="","",MATCH(NOTA[[#This Row],[NB NOTA_C_QTY]],[4]!db[NB NOTA_C_QTY+F],0))</f>
        <v>#REF!</v>
      </c>
      <c r="AV324" s="55">
        <f ca="1">IF(NOTA[[#This Row],[NB NOTA_C_QTY]]="","",ROW()-2)</f>
        <v>322</v>
      </c>
    </row>
    <row r="325" spans="1:48" ht="20.100000000000001" customHeight="1" x14ac:dyDescent="0.25">
      <c r="A3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66</v>
      </c>
      <c r="E325" s="47"/>
      <c r="H325" s="48"/>
      <c r="L325" s="38" t="s">
        <v>99</v>
      </c>
      <c r="M325" s="41">
        <v>1</v>
      </c>
      <c r="N325" s="39"/>
      <c r="Q325" s="43">
        <v>1188000</v>
      </c>
      <c r="R325" s="49"/>
      <c r="S325" s="50">
        <v>0.17</v>
      </c>
      <c r="U325" s="51"/>
      <c r="V325" s="46"/>
      <c r="W325" s="51">
        <f>IF(NOTA[[#This Row],[HARGA/ CTN]]="",NOTA[[#This Row],[JUMLAH_H]],NOTA[[#This Row],[HARGA/ CTN]]*IF(NOTA[[#This Row],[C]]="",0,NOTA[[#This Row],[C]]))</f>
        <v>1188000</v>
      </c>
      <c r="X325" s="51">
        <f>IF(NOTA[[#This Row],[JUMLAH]]="","",NOTA[[#This Row],[JUMLAH]]*NOTA[[#This Row],[DISC 1]])</f>
        <v>201960</v>
      </c>
      <c r="Y325" s="51">
        <f>IF(NOTA[[#This Row],[JUMLAH]]="","",(NOTA[[#This Row],[JUMLAH]]-NOTA[[#This Row],[DISC 1-]])*NOTA[[#This Row],[DISC 2]])</f>
        <v>0</v>
      </c>
      <c r="Z325" s="51">
        <f>IF(NOTA[[#This Row],[JUMLAH]]="","",NOTA[[#This Row],[DISC 1-]]+NOTA[[#This Row],[DISC 2-]])</f>
        <v>201960</v>
      </c>
      <c r="AA325" s="51">
        <f>IF(NOTA[[#This Row],[JUMLAH]]="","",NOTA[[#This Row],[JUMLAH]]-NOTA[[#This Row],[DISC]])</f>
        <v>986040</v>
      </c>
      <c r="AB325" s="51"/>
      <c r="AC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25" s="51" t="str">
        <f>IF(OR(NOTA[[#This Row],[QTY]]="",NOTA[[#This Row],[HARGA SATUAN]]="",),"",NOTA[[#This Row],[QTY]]*NOTA[[#This Row],[HARGA SATUAN]])</f>
        <v/>
      </c>
      <c r="AG325" s="40">
        <f ca="1">IF(NOTA[ID_H]="","",INDEX(NOTA[TANGGAL],MATCH(,INDIRECT(ADDRESS(ROW(NOTA[TANGGAL]),COLUMN(NOTA[TANGGAL]))&amp;":"&amp;ADDRESS(ROW(),COLUMN(NOTA[TANGGAL]))),-1)))</f>
        <v>45121</v>
      </c>
      <c r="AH325" s="42" t="str">
        <f ca="1">IF(NOTA[[#This Row],[NAMA BARANG]]="","",INDEX(NOTA[SUPPLIER],MATCH(,INDIRECT(ADDRESS(ROW(NOTA[ID]),COLUMN(NOTA[ID]))&amp;":"&amp;ADDRESS(ROW(),COLUMN(NOTA[ID]))),-1)))</f>
        <v>KENKO SINAR INDONESIA</v>
      </c>
      <c r="AI325" s="42" t="str">
        <f ca="1">IF(NOTA[[#This Row],[ID_H]]="","",IF(NOTA[[#This Row],[FAKTUR]]="",INDIRECT(ADDRESS(ROW()-1,COLUMN())),NOTA[[#This Row],[FAKTUR]]))</f>
        <v>ARTO MORO</v>
      </c>
      <c r="AJ325" s="39" t="str">
        <f ca="1">IF(NOTA[[#This Row],[ID]]="","",COUNTIF(NOTA[ID_H],NOTA[[#This Row],[ID_H]]))</f>
        <v/>
      </c>
      <c r="AK325" s="39">
        <f ca="1">IF(NOTA[[#This Row],[TGL.NOTA]]="",IF(NOTA[[#This Row],[SUPPLIER_H]]="","",AK324),MONTH(NOTA[[#This Row],[TGL.NOTA]]))</f>
        <v>7</v>
      </c>
      <c r="AL325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9" t="str">
        <f>IF(NOTA[[#This Row],[CONCAT4]]="","",_xlfn.IFNA(MATCH(NOTA[[#This Row],[CONCAT4]],[2]!RAW[CONCAT_H],0),FALSE))</f>
        <v/>
      </c>
      <c r="AQ325" s="39">
        <f>IF(NOTA[[#This Row],[CONCAT1]]="","",MATCH(NOTA[[#This Row],[CONCAT1]],[3]!db[NB NOTA_C],0))</f>
        <v>1266</v>
      </c>
      <c r="AR325" s="39" t="str">
        <f>IF(NOTA[[#This Row],[QTY/ CTN]]="","",TRUE)</f>
        <v/>
      </c>
      <c r="AS325" s="39" t="str">
        <f ca="1">IF(NOTA[[#This Row],[ID_H]]="","",IF(NOTA[[#This Row],[Column3]]=TRUE,NOTA[[#This Row],[QTY/ CTN]],INDEX([3]!db[QTY/ CTN],NOTA[[#This Row],[//DB]])))</f>
        <v>10 LSN</v>
      </c>
      <c r="AT3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25" s="39" t="e">
        <f ca="1">IF(NOTA[[#This Row],[ID_H]]="","",MATCH(NOTA[[#This Row],[NB NOTA_C_QTY]],[4]!db[NB NOTA_C_QTY+F],0))</f>
        <v>#REF!</v>
      </c>
      <c r="AV325" s="55">
        <f ca="1">IF(NOTA[[#This Row],[NB NOTA_C_QTY]]="","",ROW()-2)</f>
        <v>323</v>
      </c>
    </row>
    <row r="326" spans="1:48" ht="20.100000000000001" customHeight="1" x14ac:dyDescent="0.25">
      <c r="A3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66</v>
      </c>
      <c r="E326" s="47"/>
      <c r="H326" s="48"/>
      <c r="L326" s="38" t="s">
        <v>89</v>
      </c>
      <c r="M326" s="41">
        <v>6</v>
      </c>
      <c r="N326" s="39"/>
      <c r="Q326" s="43">
        <v>1954800</v>
      </c>
      <c r="R326" s="49"/>
      <c r="S326" s="50">
        <v>0.17</v>
      </c>
      <c r="U326" s="51"/>
      <c r="V326" s="46"/>
      <c r="W326" s="51">
        <f>IF(NOTA[[#This Row],[HARGA/ CTN]]="",NOTA[[#This Row],[JUMLAH_H]],NOTA[[#This Row],[HARGA/ CTN]]*IF(NOTA[[#This Row],[C]]="",0,NOTA[[#This Row],[C]]))</f>
        <v>11728800</v>
      </c>
      <c r="X326" s="51">
        <f>IF(NOTA[[#This Row],[JUMLAH]]="","",NOTA[[#This Row],[JUMLAH]]*NOTA[[#This Row],[DISC 1]])</f>
        <v>1993896.0000000002</v>
      </c>
      <c r="Y326" s="51">
        <f>IF(NOTA[[#This Row],[JUMLAH]]="","",(NOTA[[#This Row],[JUMLAH]]-NOTA[[#This Row],[DISC 1-]])*NOTA[[#This Row],[DISC 2]])</f>
        <v>0</v>
      </c>
      <c r="Z326" s="51">
        <f>IF(NOTA[[#This Row],[JUMLAH]]="","",NOTA[[#This Row],[DISC 1-]]+NOTA[[#This Row],[DISC 2-]])</f>
        <v>1993896.0000000002</v>
      </c>
      <c r="AA326" s="51">
        <f>IF(NOTA[[#This Row],[JUMLAH]]="","",NOTA[[#This Row],[JUMLAH]]-NOTA[[#This Row],[DISC]])</f>
        <v>9734904</v>
      </c>
      <c r="AB326" s="51"/>
      <c r="AC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26" s="51" t="str">
        <f>IF(OR(NOTA[[#This Row],[QTY]]="",NOTA[[#This Row],[HARGA SATUAN]]="",),"",NOTA[[#This Row],[QTY]]*NOTA[[#This Row],[HARGA SATUAN]])</f>
        <v/>
      </c>
      <c r="AG326" s="40">
        <f ca="1">IF(NOTA[ID_H]="","",INDEX(NOTA[TANGGAL],MATCH(,INDIRECT(ADDRESS(ROW(NOTA[TANGGAL]),COLUMN(NOTA[TANGGAL]))&amp;":"&amp;ADDRESS(ROW(),COLUMN(NOTA[TANGGAL]))),-1)))</f>
        <v>45121</v>
      </c>
      <c r="AH326" s="42" t="str">
        <f ca="1">IF(NOTA[[#This Row],[NAMA BARANG]]="","",INDEX(NOTA[SUPPLIER],MATCH(,INDIRECT(ADDRESS(ROW(NOTA[ID]),COLUMN(NOTA[ID]))&amp;":"&amp;ADDRESS(ROW(),COLUMN(NOTA[ID]))),-1)))</f>
        <v>KENKO SINAR INDONESIA</v>
      </c>
      <c r="AI326" s="42" t="str">
        <f ca="1">IF(NOTA[[#This Row],[ID_H]]="","",IF(NOTA[[#This Row],[FAKTUR]]="",INDIRECT(ADDRESS(ROW()-1,COLUMN())),NOTA[[#This Row],[FAKTUR]]))</f>
        <v>ARTO MORO</v>
      </c>
      <c r="AJ326" s="39" t="str">
        <f ca="1">IF(NOTA[[#This Row],[ID]]="","",COUNTIF(NOTA[ID_H],NOTA[[#This Row],[ID_H]]))</f>
        <v/>
      </c>
      <c r="AK326" s="39">
        <f ca="1">IF(NOTA[[#This Row],[TGL.NOTA]]="",IF(NOTA[[#This Row],[SUPPLIER_H]]="","",AK325),MONTH(NOTA[[#This Row],[TGL.NOTA]]))</f>
        <v>7</v>
      </c>
      <c r="AL32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9" t="str">
        <f>IF(NOTA[[#This Row],[CONCAT4]]="","",_xlfn.IFNA(MATCH(NOTA[[#This Row],[CONCAT4]],[2]!RAW[CONCAT_H],0),FALSE))</f>
        <v/>
      </c>
      <c r="AQ326" s="39">
        <f>IF(NOTA[[#This Row],[CONCAT1]]="","",MATCH(NOTA[[#This Row],[CONCAT1]],[3]!db[NB NOTA_C],0))</f>
        <v>2678</v>
      </c>
      <c r="AR326" s="39" t="str">
        <f>IF(NOTA[[#This Row],[QTY/ CTN]]="","",TRUE)</f>
        <v/>
      </c>
      <c r="AS326" s="39" t="str">
        <f ca="1">IF(NOTA[[#This Row],[ID_H]]="","",IF(NOTA[[#This Row],[Column3]]=TRUE,NOTA[[#This Row],[QTY/ CTN]],INDEX([3]!db[QTY/ CTN],NOTA[[#This Row],[//DB]])))</f>
        <v>36 LSN</v>
      </c>
      <c r="AT3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26" s="39" t="e">
        <f ca="1">IF(NOTA[[#This Row],[ID_H]]="","",MATCH(NOTA[[#This Row],[NB NOTA_C_QTY]],[4]!db[NB NOTA_C_QTY+F],0))</f>
        <v>#REF!</v>
      </c>
      <c r="AV326" s="55">
        <f ca="1">IF(NOTA[[#This Row],[NB NOTA_C_QTY]]="","",ROW()-2)</f>
        <v>324</v>
      </c>
    </row>
    <row r="327" spans="1:48" ht="20.100000000000001" customHeight="1" x14ac:dyDescent="0.25">
      <c r="A3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66</v>
      </c>
      <c r="E327" s="47"/>
      <c r="H327" s="48"/>
      <c r="L327" s="38" t="s">
        <v>288</v>
      </c>
      <c r="M327" s="41">
        <v>3</v>
      </c>
      <c r="N327" s="39"/>
      <c r="Q327" s="43">
        <v>1710000</v>
      </c>
      <c r="R327" s="49"/>
      <c r="S327" s="50">
        <v>0.17</v>
      </c>
      <c r="U327" s="51"/>
      <c r="V327" s="46"/>
      <c r="W327" s="51">
        <f>IF(NOTA[[#This Row],[HARGA/ CTN]]="",NOTA[[#This Row],[JUMLAH_H]],NOTA[[#This Row],[HARGA/ CTN]]*IF(NOTA[[#This Row],[C]]="",0,NOTA[[#This Row],[C]]))</f>
        <v>5130000</v>
      </c>
      <c r="X327" s="51">
        <f>IF(NOTA[[#This Row],[JUMLAH]]="","",NOTA[[#This Row],[JUMLAH]]*NOTA[[#This Row],[DISC 1]])</f>
        <v>872100.00000000012</v>
      </c>
      <c r="Y327" s="51">
        <f>IF(NOTA[[#This Row],[JUMLAH]]="","",(NOTA[[#This Row],[JUMLAH]]-NOTA[[#This Row],[DISC 1-]])*NOTA[[#This Row],[DISC 2]])</f>
        <v>0</v>
      </c>
      <c r="Z327" s="51">
        <f>IF(NOTA[[#This Row],[JUMLAH]]="","",NOTA[[#This Row],[DISC 1-]]+NOTA[[#This Row],[DISC 2-]])</f>
        <v>872100.00000000012</v>
      </c>
      <c r="AA327" s="51">
        <f>IF(NOTA[[#This Row],[JUMLAH]]="","",NOTA[[#This Row],[JUMLAH]]-NOTA[[#This Row],[DISC]])</f>
        <v>4257900</v>
      </c>
      <c r="AB327" s="51"/>
      <c r="AC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27" s="51" t="str">
        <f>IF(OR(NOTA[[#This Row],[QTY]]="",NOTA[[#This Row],[HARGA SATUAN]]="",),"",NOTA[[#This Row],[QTY]]*NOTA[[#This Row],[HARGA SATUAN]])</f>
        <v/>
      </c>
      <c r="AG327" s="40">
        <f ca="1">IF(NOTA[ID_H]="","",INDEX(NOTA[TANGGAL],MATCH(,INDIRECT(ADDRESS(ROW(NOTA[TANGGAL]),COLUMN(NOTA[TANGGAL]))&amp;":"&amp;ADDRESS(ROW(),COLUMN(NOTA[TANGGAL]))),-1)))</f>
        <v>45121</v>
      </c>
      <c r="AH327" s="42" t="str">
        <f ca="1">IF(NOTA[[#This Row],[NAMA BARANG]]="","",INDEX(NOTA[SUPPLIER],MATCH(,INDIRECT(ADDRESS(ROW(NOTA[ID]),COLUMN(NOTA[ID]))&amp;":"&amp;ADDRESS(ROW(),COLUMN(NOTA[ID]))),-1)))</f>
        <v>KENKO SINAR INDONESIA</v>
      </c>
      <c r="AI327" s="42" t="str">
        <f ca="1">IF(NOTA[[#This Row],[ID_H]]="","",IF(NOTA[[#This Row],[FAKTUR]]="",INDIRECT(ADDRESS(ROW()-1,COLUMN())),NOTA[[#This Row],[FAKTUR]]))</f>
        <v>ARTO MORO</v>
      </c>
      <c r="AJ327" s="39" t="str">
        <f ca="1">IF(NOTA[[#This Row],[ID]]="","",COUNTIF(NOTA[ID_H],NOTA[[#This Row],[ID_H]]))</f>
        <v/>
      </c>
      <c r="AK327" s="39">
        <f ca="1">IF(NOTA[[#This Row],[TGL.NOTA]]="",IF(NOTA[[#This Row],[SUPPLIER_H]]="","",AK326),MONTH(NOTA[[#This Row],[TGL.NOTA]]))</f>
        <v>7</v>
      </c>
      <c r="AL327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9" t="str">
        <f>IF(NOTA[[#This Row],[CONCAT4]]="","",_xlfn.IFNA(MATCH(NOTA[[#This Row],[CONCAT4]],[2]!RAW[CONCAT_H],0),FALSE))</f>
        <v/>
      </c>
      <c r="AQ327" s="39">
        <f>IF(NOTA[[#This Row],[CONCAT1]]="","",MATCH(NOTA[[#This Row],[CONCAT1]],[3]!db[NB NOTA_C],0))</f>
        <v>947</v>
      </c>
      <c r="AR327" s="39" t="str">
        <f>IF(NOTA[[#This Row],[QTY/ CTN]]="","",TRUE)</f>
        <v/>
      </c>
      <c r="AS327" s="39" t="str">
        <f ca="1">IF(NOTA[[#This Row],[ID_H]]="","",IF(NOTA[[#This Row],[Column3]]=TRUE,NOTA[[#This Row],[QTY/ CTN]],INDEX([3]!db[QTY/ CTN],NOTA[[#This Row],[//DB]])))</f>
        <v>30 LSN</v>
      </c>
      <c r="AT3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327" s="39" t="e">
        <f ca="1">IF(NOTA[[#This Row],[ID_H]]="","",MATCH(NOTA[[#This Row],[NB NOTA_C_QTY]],[4]!db[NB NOTA_C_QTY+F],0))</f>
        <v>#REF!</v>
      </c>
      <c r="AV327" s="55">
        <f ca="1">IF(NOTA[[#This Row],[NB NOTA_C_QTY]]="","",ROW()-2)</f>
        <v>325</v>
      </c>
    </row>
    <row r="328" spans="1:48" ht="20.100000000000001" customHeight="1" x14ac:dyDescent="0.25">
      <c r="A3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66</v>
      </c>
      <c r="E328" s="47"/>
      <c r="H328" s="48"/>
      <c r="L328" s="38" t="s">
        <v>713</v>
      </c>
      <c r="M328" s="41">
        <v>1</v>
      </c>
      <c r="N328" s="39"/>
      <c r="Q328" s="43">
        <v>3196800</v>
      </c>
      <c r="R328" s="49"/>
      <c r="S328" s="50">
        <v>0.17</v>
      </c>
      <c r="U328" s="51"/>
      <c r="V328" s="46"/>
      <c r="W328" s="51">
        <f>IF(NOTA[[#This Row],[HARGA/ CTN]]="",NOTA[[#This Row],[JUMLAH_H]],NOTA[[#This Row],[HARGA/ CTN]]*IF(NOTA[[#This Row],[C]]="",0,NOTA[[#This Row],[C]]))</f>
        <v>3196800</v>
      </c>
      <c r="X328" s="51">
        <f>IF(NOTA[[#This Row],[JUMLAH]]="","",NOTA[[#This Row],[JUMLAH]]*NOTA[[#This Row],[DISC 1]])</f>
        <v>543456</v>
      </c>
      <c r="Y328" s="51">
        <f>IF(NOTA[[#This Row],[JUMLAH]]="","",(NOTA[[#This Row],[JUMLAH]]-NOTA[[#This Row],[DISC 1-]])*NOTA[[#This Row],[DISC 2]])</f>
        <v>0</v>
      </c>
      <c r="Z328" s="51">
        <f>IF(NOTA[[#This Row],[JUMLAH]]="","",NOTA[[#This Row],[DISC 1-]]+NOTA[[#This Row],[DISC 2-]])</f>
        <v>543456</v>
      </c>
      <c r="AA328" s="51">
        <f>IF(NOTA[[#This Row],[JUMLAH]]="","",NOTA[[#This Row],[JUMLAH]]-NOTA[[#This Row],[DISC]])</f>
        <v>2653344</v>
      </c>
      <c r="AB328" s="51"/>
      <c r="AC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2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328" s="51" t="str">
        <f>IF(OR(NOTA[[#This Row],[QTY]]="",NOTA[[#This Row],[HARGA SATUAN]]="",),"",NOTA[[#This Row],[QTY]]*NOTA[[#This Row],[HARGA SATUAN]])</f>
        <v/>
      </c>
      <c r="AG328" s="40">
        <f ca="1">IF(NOTA[ID_H]="","",INDEX(NOTA[TANGGAL],MATCH(,INDIRECT(ADDRESS(ROW(NOTA[TANGGAL]),COLUMN(NOTA[TANGGAL]))&amp;":"&amp;ADDRESS(ROW(),COLUMN(NOTA[TANGGAL]))),-1)))</f>
        <v>45121</v>
      </c>
      <c r="AH328" s="42" t="str">
        <f ca="1">IF(NOTA[[#This Row],[NAMA BARANG]]="","",INDEX(NOTA[SUPPLIER],MATCH(,INDIRECT(ADDRESS(ROW(NOTA[ID]),COLUMN(NOTA[ID]))&amp;":"&amp;ADDRESS(ROW(),COLUMN(NOTA[ID]))),-1)))</f>
        <v>KENKO SINAR INDONESIA</v>
      </c>
      <c r="AI328" s="42" t="str">
        <f ca="1">IF(NOTA[[#This Row],[ID_H]]="","",IF(NOTA[[#This Row],[FAKTUR]]="",INDIRECT(ADDRESS(ROW()-1,COLUMN())),NOTA[[#This Row],[FAKTUR]]))</f>
        <v>ARTO MORO</v>
      </c>
      <c r="AJ328" s="39" t="str">
        <f ca="1">IF(NOTA[[#This Row],[ID]]="","",COUNTIF(NOTA[ID_H],NOTA[[#This Row],[ID_H]]))</f>
        <v/>
      </c>
      <c r="AK328" s="39">
        <f ca="1">IF(NOTA[[#This Row],[TGL.NOTA]]="",IF(NOTA[[#This Row],[SUPPLIER_H]]="","",AK327),MONTH(NOTA[[#This Row],[TGL.NOTA]]))</f>
        <v>7</v>
      </c>
      <c r="AL328" s="39" t="str">
        <f>LOWER(SUBSTITUTE(SUBSTITUTE(SUBSTITUTE(SUBSTITUTE(SUBSTITUTE(SUBSTITUTE(SUBSTITUTE(SUBSTITUTE(SUBSTITUTE(NOTA[NAMA BARANG]," ",),".",""),"-",""),"(",""),")",""),",",""),"/",""),"""",""),"+",""))</f>
        <v>kenkomechanicalpencilmp07005mm</v>
      </c>
      <c r="AM3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kenkomechanicalpencilmp07005mm31968000.17</v>
      </c>
      <c r="AN3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kenkomechanicalpencilmp07005mm31968000.17</v>
      </c>
      <c r="AO3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9" t="str">
        <f>IF(NOTA[[#This Row],[CONCAT4]]="","",_xlfn.IFNA(MATCH(NOTA[[#This Row],[CONCAT4]],[2]!RAW[CONCAT_H],0),FALSE))</f>
        <v/>
      </c>
      <c r="AQ328" s="39">
        <f>IF(NOTA[[#This Row],[CONCAT1]]="","",MATCH(NOTA[[#This Row],[CONCAT1]],[3]!db[NB NOTA_C],0))</f>
        <v>1674</v>
      </c>
      <c r="AR328" s="39" t="str">
        <f>IF(NOTA[[#This Row],[QTY/ CTN]]="","",TRUE)</f>
        <v/>
      </c>
      <c r="AS328" s="39" t="str">
        <f ca="1">IF(NOTA[[#This Row],[ID_H]]="","",IF(NOTA[[#This Row],[Column3]]=TRUE,NOTA[[#This Row],[QTY/ CTN]],INDEX([3]!db[QTY/ CTN],NOTA[[#This Row],[//DB]])))</f>
        <v>144 LSN</v>
      </c>
      <c r="AT3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kenkomechanicalpencilmp07005mm144lsnartomoro</v>
      </c>
      <c r="AU328" s="39" t="e">
        <f ca="1">IF(NOTA[[#This Row],[ID_H]]="","",MATCH(NOTA[[#This Row],[NB NOTA_C_QTY]],[4]!db[NB NOTA_C_QTY+F],0))</f>
        <v>#REF!</v>
      </c>
      <c r="AV328" s="55">
        <f ca="1">IF(NOTA[[#This Row],[NB NOTA_C_QTY]]="","",ROW()-2)</f>
        <v>326</v>
      </c>
    </row>
    <row r="329" spans="1:48" ht="20.100000000000001" customHeight="1" x14ac:dyDescent="0.25">
      <c r="A3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66</v>
      </c>
      <c r="E329" s="47"/>
      <c r="H329" s="48"/>
      <c r="L329" s="38" t="s">
        <v>428</v>
      </c>
      <c r="M329" s="41">
        <v>1</v>
      </c>
      <c r="N329" s="39"/>
      <c r="Q329" s="43">
        <v>6912000</v>
      </c>
      <c r="R329" s="49"/>
      <c r="S329" s="50">
        <v>0.17</v>
      </c>
      <c r="U329" s="51"/>
      <c r="V329" s="46"/>
      <c r="W329" s="51">
        <f>IF(NOTA[[#This Row],[HARGA/ CTN]]="",NOTA[[#This Row],[JUMLAH_H]],NOTA[[#This Row],[HARGA/ CTN]]*IF(NOTA[[#This Row],[C]]="",0,NOTA[[#This Row],[C]]))</f>
        <v>6912000</v>
      </c>
      <c r="X329" s="51">
        <f>IF(NOTA[[#This Row],[JUMLAH]]="","",NOTA[[#This Row],[JUMLAH]]*NOTA[[#This Row],[DISC 1]])</f>
        <v>1175040</v>
      </c>
      <c r="Y329" s="51">
        <f>IF(NOTA[[#This Row],[JUMLAH]]="","",(NOTA[[#This Row],[JUMLAH]]-NOTA[[#This Row],[DISC 1-]])*NOTA[[#This Row],[DISC 2]])</f>
        <v>0</v>
      </c>
      <c r="Z329" s="51">
        <f>IF(NOTA[[#This Row],[JUMLAH]]="","",NOTA[[#This Row],[DISC 1-]]+NOTA[[#This Row],[DISC 2-]])</f>
        <v>1175040</v>
      </c>
      <c r="AA329" s="51">
        <f>IF(NOTA[[#This Row],[JUMLAH]]="","",NOTA[[#This Row],[JUMLAH]]-NOTA[[#This Row],[DISC]])</f>
        <v>5736960</v>
      </c>
      <c r="AB329" s="51"/>
      <c r="AC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329" s="51" t="str">
        <f>IF(OR(NOTA[[#This Row],[QTY]]="",NOTA[[#This Row],[HARGA SATUAN]]="",),"",NOTA[[#This Row],[QTY]]*NOTA[[#This Row],[HARGA SATUAN]])</f>
        <v/>
      </c>
      <c r="AG329" s="40">
        <f ca="1">IF(NOTA[ID_H]="","",INDEX(NOTA[TANGGAL],MATCH(,INDIRECT(ADDRESS(ROW(NOTA[TANGGAL]),COLUMN(NOTA[TANGGAL]))&amp;":"&amp;ADDRESS(ROW(),COLUMN(NOTA[TANGGAL]))),-1)))</f>
        <v>45121</v>
      </c>
      <c r="AH329" s="42" t="str">
        <f ca="1">IF(NOTA[[#This Row],[NAMA BARANG]]="","",INDEX(NOTA[SUPPLIER],MATCH(,INDIRECT(ADDRESS(ROW(NOTA[ID]),COLUMN(NOTA[ID]))&amp;":"&amp;ADDRESS(ROW(),COLUMN(NOTA[ID]))),-1)))</f>
        <v>KENKO SINAR INDONESIA</v>
      </c>
      <c r="AI329" s="42" t="str">
        <f ca="1">IF(NOTA[[#This Row],[ID_H]]="","",IF(NOTA[[#This Row],[FAKTUR]]="",INDIRECT(ADDRESS(ROW()-1,COLUMN())),NOTA[[#This Row],[FAKTUR]]))</f>
        <v>ARTO MORO</v>
      </c>
      <c r="AJ329" s="39" t="str">
        <f ca="1">IF(NOTA[[#This Row],[ID]]="","",COUNTIF(NOTA[ID_H],NOTA[[#This Row],[ID_H]]))</f>
        <v/>
      </c>
      <c r="AK329" s="39">
        <f ca="1">IF(NOTA[[#This Row],[TGL.NOTA]]="",IF(NOTA[[#This Row],[SUPPLIER_H]]="","",AK328),MONTH(NOTA[[#This Row],[TGL.NOTA]]))</f>
        <v>7</v>
      </c>
      <c r="AL329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3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3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3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9" t="str">
        <f>IF(NOTA[[#This Row],[CONCAT4]]="","",_xlfn.IFNA(MATCH(NOTA[[#This Row],[CONCAT4]],[2]!RAW[CONCAT_H],0),FALSE))</f>
        <v/>
      </c>
      <c r="AQ329" s="39">
        <f>IF(NOTA[[#This Row],[CONCAT1]]="","",MATCH(NOTA[[#This Row],[CONCAT1]],[3]!db[NB NOTA_C],0))</f>
        <v>1485</v>
      </c>
      <c r="AR329" s="39" t="str">
        <f>IF(NOTA[[#This Row],[QTY/ CTN]]="","",TRUE)</f>
        <v/>
      </c>
      <c r="AS329" s="39" t="str">
        <f ca="1">IF(NOTA[[#This Row],[ID_H]]="","",IF(NOTA[[#This Row],[Column3]]=TRUE,NOTA[[#This Row],[QTY/ CTN]],INDEX([3]!db[QTY/ CTN],NOTA[[#This Row],[//DB]])))</f>
        <v>12 GRS</v>
      </c>
      <c r="AT3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329" s="39" t="e">
        <f ca="1">IF(NOTA[[#This Row],[ID_H]]="","",MATCH(NOTA[[#This Row],[NB NOTA_C_QTY]],[4]!db[NB NOTA_C_QTY+F],0))</f>
        <v>#REF!</v>
      </c>
      <c r="AV329" s="55">
        <f ca="1">IF(NOTA[[#This Row],[NB NOTA_C_QTY]]="","",ROW()-2)</f>
        <v>327</v>
      </c>
    </row>
    <row r="330" spans="1:48" ht="20.100000000000001" customHeight="1" x14ac:dyDescent="0.25">
      <c r="A3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66</v>
      </c>
      <c r="E330" s="47"/>
      <c r="H330" s="48"/>
      <c r="L330" s="38" t="s">
        <v>397</v>
      </c>
      <c r="M330" s="41">
        <v>2</v>
      </c>
      <c r="N330" s="39"/>
      <c r="Q330" s="43">
        <v>1860000</v>
      </c>
      <c r="R330" s="49"/>
      <c r="S330" s="50">
        <v>0.17</v>
      </c>
      <c r="U330" s="51"/>
      <c r="V330" s="46"/>
      <c r="W330" s="51">
        <f>IF(NOTA[[#This Row],[HARGA/ CTN]]="",NOTA[[#This Row],[JUMLAH_H]],NOTA[[#This Row],[HARGA/ CTN]]*IF(NOTA[[#This Row],[C]]="",0,NOTA[[#This Row],[C]]))</f>
        <v>3720000</v>
      </c>
      <c r="X330" s="51">
        <f>IF(NOTA[[#This Row],[JUMLAH]]="","",NOTA[[#This Row],[JUMLAH]]*NOTA[[#This Row],[DISC 1]])</f>
        <v>632400</v>
      </c>
      <c r="Y330" s="51">
        <f>IF(NOTA[[#This Row],[JUMLAH]]="","",(NOTA[[#This Row],[JUMLAH]]-NOTA[[#This Row],[DISC 1-]])*NOTA[[#This Row],[DISC 2]])</f>
        <v>0</v>
      </c>
      <c r="Z330" s="51">
        <f>IF(NOTA[[#This Row],[JUMLAH]]="","",NOTA[[#This Row],[DISC 1-]]+NOTA[[#This Row],[DISC 2-]])</f>
        <v>632400</v>
      </c>
      <c r="AA330" s="51">
        <f>IF(NOTA[[#This Row],[JUMLAH]]="","",NOTA[[#This Row],[JUMLAH]]-NOTA[[#This Row],[DISC]])</f>
        <v>3087600</v>
      </c>
      <c r="AB330" s="51"/>
      <c r="AC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5658552</v>
      </c>
      <c r="AD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27627048</v>
      </c>
      <c r="AE330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30" s="51" t="str">
        <f>IF(OR(NOTA[[#This Row],[QTY]]="",NOTA[[#This Row],[HARGA SATUAN]]="",),"",NOTA[[#This Row],[QTY]]*NOTA[[#This Row],[HARGA SATUAN]])</f>
        <v/>
      </c>
      <c r="AG330" s="40">
        <f ca="1">IF(NOTA[ID_H]="","",INDEX(NOTA[TANGGAL],MATCH(,INDIRECT(ADDRESS(ROW(NOTA[TANGGAL]),COLUMN(NOTA[TANGGAL]))&amp;":"&amp;ADDRESS(ROW(),COLUMN(NOTA[TANGGAL]))),-1)))</f>
        <v>45121</v>
      </c>
      <c r="AH330" s="42" t="str">
        <f ca="1">IF(NOTA[[#This Row],[NAMA BARANG]]="","",INDEX(NOTA[SUPPLIER],MATCH(,INDIRECT(ADDRESS(ROW(NOTA[ID]),COLUMN(NOTA[ID]))&amp;":"&amp;ADDRESS(ROW(),COLUMN(NOTA[ID]))),-1)))</f>
        <v>KENKO SINAR INDONESIA</v>
      </c>
      <c r="AI330" s="42" t="str">
        <f ca="1">IF(NOTA[[#This Row],[ID_H]]="","",IF(NOTA[[#This Row],[FAKTUR]]="",INDIRECT(ADDRESS(ROW()-1,COLUMN())),NOTA[[#This Row],[FAKTUR]]))</f>
        <v>ARTO MORO</v>
      </c>
      <c r="AJ330" s="39" t="str">
        <f ca="1">IF(NOTA[[#This Row],[ID]]="","",COUNTIF(NOTA[ID_H],NOTA[[#This Row],[ID_H]]))</f>
        <v/>
      </c>
      <c r="AK330" s="39">
        <f ca="1">IF(NOTA[[#This Row],[TGL.NOTA]]="",IF(NOTA[[#This Row],[SUPPLIER_H]]="","",AK329),MONTH(NOTA[[#This Row],[TGL.NOTA]]))</f>
        <v>7</v>
      </c>
      <c r="AL330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3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3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3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9" t="str">
        <f>IF(NOTA[[#This Row],[CONCAT4]]="","",_xlfn.IFNA(MATCH(NOTA[[#This Row],[CONCAT4]],[2]!RAW[CONCAT_H],0),FALSE))</f>
        <v/>
      </c>
      <c r="AQ330" s="39">
        <f>IF(NOTA[[#This Row],[CONCAT1]]="","",MATCH(NOTA[[#This Row],[CONCAT1]],[3]!db[NB NOTA_C],0))</f>
        <v>2467</v>
      </c>
      <c r="AR330" s="39" t="str">
        <f>IF(NOTA[[#This Row],[QTY/ CTN]]="","",TRUE)</f>
        <v/>
      </c>
      <c r="AS330" s="39" t="str">
        <f ca="1">IF(NOTA[[#This Row],[ID_H]]="","",IF(NOTA[[#This Row],[Column3]]=TRUE,NOTA[[#This Row],[QTY/ CTN]],INDEX([3]!db[QTY/ CTN],NOTA[[#This Row],[//DB]])))</f>
        <v>25 LSN</v>
      </c>
      <c r="AT3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330" s="39" t="e">
        <f ca="1">IF(NOTA[[#This Row],[ID_H]]="","",MATCH(NOTA[[#This Row],[NB NOTA_C_QTY]],[4]!db[NB NOTA_C_QTY+F],0))</f>
        <v>#REF!</v>
      </c>
      <c r="AV330" s="55">
        <f ca="1">IF(NOTA[[#This Row],[NB NOTA_C_QTY]]="","",ROW()-2)</f>
        <v>328</v>
      </c>
    </row>
    <row r="331" spans="1:48" ht="20.100000000000001" customHeight="1" x14ac:dyDescent="0.25">
      <c r="A3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47"/>
      <c r="H331" s="48"/>
      <c r="N331" s="39"/>
      <c r="Q331" s="43"/>
      <c r="R331" s="49"/>
      <c r="S331" s="50"/>
      <c r="U331" s="51"/>
      <c r="V331" s="46"/>
      <c r="W331" s="51" t="str">
        <f>IF(NOTA[[#This Row],[HARGA/ CTN]]="",NOTA[[#This Row],[JUMLAH_H]],NOTA[[#This Row],[HARGA/ CTN]]*IF(NOTA[[#This Row],[C]]="",0,NOTA[[#This Row],[C]]))</f>
        <v/>
      </c>
      <c r="X331" s="51" t="str">
        <f>IF(NOTA[[#This Row],[JUMLAH]]="","",NOTA[[#This Row],[JUMLAH]]*NOTA[[#This Row],[DISC 1]])</f>
        <v/>
      </c>
      <c r="Y331" s="51" t="str">
        <f>IF(NOTA[[#This Row],[JUMLAH]]="","",(NOTA[[#This Row],[JUMLAH]]-NOTA[[#This Row],[DISC 1-]])*NOTA[[#This Row],[DISC 2]])</f>
        <v/>
      </c>
      <c r="Z331" s="51" t="str">
        <f>IF(NOTA[[#This Row],[JUMLAH]]="","",NOTA[[#This Row],[DISC 1-]]+NOTA[[#This Row],[DISC 2-]])</f>
        <v/>
      </c>
      <c r="AA331" s="51" t="str">
        <f>IF(NOTA[[#This Row],[JUMLAH]]="","",NOTA[[#This Row],[JUMLAH]]-NOTA[[#This Row],[DISC]])</f>
        <v/>
      </c>
      <c r="AB331" s="51"/>
      <c r="AC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1" t="str">
        <f>IF(OR(NOTA[[#This Row],[QTY]]="",NOTA[[#This Row],[HARGA SATUAN]]="",),"",NOTA[[#This Row],[QTY]]*NOTA[[#This Row],[HARGA SATUAN]])</f>
        <v/>
      </c>
      <c r="AG331" s="40" t="str">
        <f ca="1">IF(NOTA[ID_H]="","",INDEX(NOTA[TANGGAL],MATCH(,INDIRECT(ADDRESS(ROW(NOTA[TANGGAL]),COLUMN(NOTA[TANGGAL]))&amp;":"&amp;ADDRESS(ROW(),COLUMN(NOTA[TANGGAL]))),-1)))</f>
        <v/>
      </c>
      <c r="AH331" s="42" t="str">
        <f ca="1">IF(NOTA[[#This Row],[NAMA BARANG]]="","",INDEX(NOTA[SUPPLIER],MATCH(,INDIRECT(ADDRESS(ROW(NOTA[ID]),COLUMN(NOTA[ID]))&amp;":"&amp;ADDRESS(ROW(),COLUMN(NOTA[ID]))),-1)))</f>
        <v/>
      </c>
      <c r="AI331" s="42" t="str">
        <f ca="1">IF(NOTA[[#This Row],[ID_H]]="","",IF(NOTA[[#This Row],[FAKTUR]]="",INDIRECT(ADDRESS(ROW()-1,COLUMN())),NOTA[[#This Row],[FAKTUR]]))</f>
        <v/>
      </c>
      <c r="AJ331" s="39" t="str">
        <f ca="1">IF(NOTA[[#This Row],[ID]]="","",COUNTIF(NOTA[ID_H],NOTA[[#This Row],[ID_H]]))</f>
        <v/>
      </c>
      <c r="AK331" s="39" t="str">
        <f ca="1">IF(NOTA[[#This Row],[TGL.NOTA]]="",IF(NOTA[[#This Row],[SUPPLIER_H]]="","",AK330),MONTH(NOTA[[#This Row],[TGL.NOTA]]))</f>
        <v/>
      </c>
      <c r="AL331" s="39" t="str">
        <f>LOWER(SUBSTITUTE(SUBSTITUTE(SUBSTITUTE(SUBSTITUTE(SUBSTITUTE(SUBSTITUTE(SUBSTITUTE(SUBSTITUTE(SUBSTITUTE(NOTA[NAMA BARANG]," ",),".",""),"-",""),"(",""),")",""),",",""),"/",""),"""",""),"+",""))</f>
        <v/>
      </c>
      <c r="AM3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9" t="str">
        <f>IF(NOTA[[#This Row],[CONCAT4]]="","",_xlfn.IFNA(MATCH(NOTA[[#This Row],[CONCAT4]],[2]!RAW[CONCAT_H],0),FALSE))</f>
        <v/>
      </c>
      <c r="AQ331" s="39" t="str">
        <f>IF(NOTA[[#This Row],[CONCAT1]]="","",MATCH(NOTA[[#This Row],[CONCAT1]],[3]!db[NB NOTA_C],0))</f>
        <v/>
      </c>
      <c r="AR331" s="39" t="str">
        <f>IF(NOTA[[#This Row],[QTY/ CTN]]="","",TRUE)</f>
        <v/>
      </c>
      <c r="AS331" s="39" t="str">
        <f ca="1">IF(NOTA[[#This Row],[ID_H]]="","",IF(NOTA[[#This Row],[Column3]]=TRUE,NOTA[[#This Row],[QTY/ CTN]],INDEX([3]!db[QTY/ CTN],NOTA[[#This Row],[//DB]])))</f>
        <v/>
      </c>
      <c r="AT3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9" t="str">
        <f ca="1">IF(NOTA[[#This Row],[ID_H]]="","",MATCH(NOTA[[#This Row],[NB NOTA_C_QTY]],[4]!db[NB NOTA_C_QTY+F],0))</f>
        <v/>
      </c>
      <c r="AV331" s="55" t="str">
        <f ca="1">IF(NOTA[[#This Row],[NB NOTA_C_QTY]]="","",ROW()-2)</f>
        <v/>
      </c>
    </row>
    <row r="332" spans="1:48" ht="20.100000000000001" customHeight="1" x14ac:dyDescent="0.25">
      <c r="A332" s="4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KEN_1407_173-6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67</v>
      </c>
      <c r="E332" s="47"/>
      <c r="F332" s="38" t="s">
        <v>22</v>
      </c>
      <c r="G332" s="38" t="s">
        <v>23</v>
      </c>
      <c r="H332" s="48" t="s">
        <v>429</v>
      </c>
      <c r="J332" s="40">
        <v>45120</v>
      </c>
      <c r="L332" s="38" t="s">
        <v>430</v>
      </c>
      <c r="M332" s="41">
        <v>3</v>
      </c>
      <c r="N332" s="39"/>
      <c r="Q332" s="43">
        <v>3758400</v>
      </c>
      <c r="R332" s="49"/>
      <c r="S332" s="50">
        <v>0.17</v>
      </c>
      <c r="U332" s="51"/>
      <c r="V332" s="46"/>
      <c r="W332" s="51">
        <f>IF(NOTA[[#This Row],[HARGA/ CTN]]="",NOTA[[#This Row],[JUMLAH_H]],NOTA[[#This Row],[HARGA/ CTN]]*IF(NOTA[[#This Row],[C]]="",0,NOTA[[#This Row],[C]]))</f>
        <v>11275200</v>
      </c>
      <c r="X332" s="51">
        <f>IF(NOTA[[#This Row],[JUMLAH]]="","",NOTA[[#This Row],[JUMLAH]]*NOTA[[#This Row],[DISC 1]])</f>
        <v>1916784.0000000002</v>
      </c>
      <c r="Y332" s="51">
        <f>IF(NOTA[[#This Row],[JUMLAH]]="","",(NOTA[[#This Row],[JUMLAH]]-NOTA[[#This Row],[DISC 1-]])*NOTA[[#This Row],[DISC 2]])</f>
        <v>0</v>
      </c>
      <c r="Z332" s="51">
        <f>IF(NOTA[[#This Row],[JUMLAH]]="","",NOTA[[#This Row],[DISC 1-]]+NOTA[[#This Row],[DISC 2-]])</f>
        <v>1916784.0000000002</v>
      </c>
      <c r="AA332" s="51">
        <f>IF(NOTA[[#This Row],[JUMLAH]]="","",NOTA[[#This Row],[JUMLAH]]-NOTA[[#This Row],[DISC]])</f>
        <v>9358416</v>
      </c>
      <c r="AB332" s="51"/>
      <c r="AC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32" s="51" t="str">
        <f>IF(OR(NOTA[[#This Row],[QTY]]="",NOTA[[#This Row],[HARGA SATUAN]]="",),"",NOTA[[#This Row],[QTY]]*NOTA[[#This Row],[HARGA SATUAN]])</f>
        <v/>
      </c>
      <c r="AG332" s="40">
        <f ca="1">IF(NOTA[ID_H]="","",INDEX(NOTA[TANGGAL],MATCH(,INDIRECT(ADDRESS(ROW(NOTA[TANGGAL]),COLUMN(NOTA[TANGGAL]))&amp;":"&amp;ADDRESS(ROW(),COLUMN(NOTA[TANGGAL]))),-1)))</f>
        <v>45121</v>
      </c>
      <c r="AH332" s="42" t="str">
        <f ca="1">IF(NOTA[[#This Row],[NAMA BARANG]]="","",INDEX(NOTA[SUPPLIER],MATCH(,INDIRECT(ADDRESS(ROW(NOTA[ID]),COLUMN(NOTA[ID]))&amp;":"&amp;ADDRESS(ROW(),COLUMN(NOTA[ID]))),-1)))</f>
        <v>KENKO SINAR INDONESIA</v>
      </c>
      <c r="AI332" s="42" t="str">
        <f ca="1">IF(NOTA[[#This Row],[ID_H]]="","",IF(NOTA[[#This Row],[FAKTUR]]="",INDIRECT(ADDRESS(ROW()-1,COLUMN())),NOTA[[#This Row],[FAKTUR]]))</f>
        <v>ARTO MORO</v>
      </c>
      <c r="AJ332" s="39">
        <f ca="1">IF(NOTA[[#This Row],[ID]]="","",COUNTIF(NOTA[ID_H],NOTA[[#This Row],[ID_H]]))</f>
        <v>6</v>
      </c>
      <c r="AK332" s="39">
        <f>IF(NOTA[[#This Row],[TGL.NOTA]]="",IF(NOTA[[#This Row],[SUPPLIER_H]]="","",AK331),MONTH(NOTA[[#This Row],[TGL.NOTA]]))</f>
        <v>7</v>
      </c>
      <c r="AL332" s="39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3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kenkogelpenke16dotndotblack37584000.17</v>
      </c>
      <c r="AN3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kenkogelpenke16dotndotblack37584000.17</v>
      </c>
      <c r="AO33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MORO2307117345120kenkogelpenke16dotndotblack</v>
      </c>
      <c r="AP332" s="39" t="e">
        <f>IF(NOTA[[#This Row],[CONCAT4]]="","",_xlfn.IFNA(MATCH(NOTA[[#This Row],[CONCAT4]],[2]!RAW[CONCAT_H],0),FALSE))</f>
        <v>#REF!</v>
      </c>
      <c r="AQ332" s="39">
        <f>IF(NOTA[[#This Row],[CONCAT1]]="","",MATCH(NOTA[[#This Row],[CONCAT1]],[3]!db[NB NOTA_C],0))</f>
        <v>666</v>
      </c>
      <c r="AR332" s="39" t="str">
        <f>IF(NOTA[[#This Row],[QTY/ CTN]]="","",TRUE)</f>
        <v/>
      </c>
      <c r="AS332" s="39" t="str">
        <f ca="1">IF(NOTA[[#This Row],[ID_H]]="","",IF(NOTA[[#This Row],[Column3]]=TRUE,NOTA[[#This Row],[QTY/ CTN]],INDEX([3]!db[QTY/ CTN],NOTA[[#This Row],[//DB]])))</f>
        <v>144 LSN</v>
      </c>
      <c r="AT3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kenkogelpenke16dotndotblack144lsnartomoro</v>
      </c>
      <c r="AU332" s="39" t="e">
        <f ca="1">IF(NOTA[[#This Row],[ID_H]]="","",MATCH(NOTA[[#This Row],[NB NOTA_C_QTY]],[4]!db[NB NOTA_C_QTY+F],0))</f>
        <v>#REF!</v>
      </c>
      <c r="AV332" s="55">
        <f ca="1">IF(NOTA[[#This Row],[NB NOTA_C_QTY]]="","",ROW()-2)</f>
        <v>330</v>
      </c>
    </row>
    <row r="333" spans="1:48" ht="20.100000000000001" customHeight="1" x14ac:dyDescent="0.25">
      <c r="A3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67</v>
      </c>
      <c r="E333" s="47"/>
      <c r="H333" s="48"/>
      <c r="L333" s="38" t="s">
        <v>431</v>
      </c>
      <c r="M333" s="41">
        <v>5</v>
      </c>
      <c r="N333" s="39"/>
      <c r="Q333" s="43">
        <v>2008800</v>
      </c>
      <c r="R333" s="49"/>
      <c r="S333" s="50">
        <v>0.17</v>
      </c>
      <c r="U333" s="51"/>
      <c r="V333" s="46"/>
      <c r="W333" s="51">
        <f>IF(NOTA[[#This Row],[HARGA/ CTN]]="",NOTA[[#This Row],[JUMLAH_H]],NOTA[[#This Row],[HARGA/ CTN]]*IF(NOTA[[#This Row],[C]]="",0,NOTA[[#This Row],[C]]))</f>
        <v>10044000</v>
      </c>
      <c r="X333" s="51">
        <f>IF(NOTA[[#This Row],[JUMLAH]]="","",NOTA[[#This Row],[JUMLAH]]*NOTA[[#This Row],[DISC 1]])</f>
        <v>1707480.0000000002</v>
      </c>
      <c r="Y333" s="51">
        <f>IF(NOTA[[#This Row],[JUMLAH]]="","",(NOTA[[#This Row],[JUMLAH]]-NOTA[[#This Row],[DISC 1-]])*NOTA[[#This Row],[DISC 2]])</f>
        <v>0</v>
      </c>
      <c r="Z333" s="51">
        <f>IF(NOTA[[#This Row],[JUMLAH]]="","",NOTA[[#This Row],[DISC 1-]]+NOTA[[#This Row],[DISC 2-]])</f>
        <v>1707480.0000000002</v>
      </c>
      <c r="AA333" s="51">
        <f>IF(NOTA[[#This Row],[JUMLAH]]="","",NOTA[[#This Row],[JUMLAH]]-NOTA[[#This Row],[DISC]])</f>
        <v>8336520</v>
      </c>
      <c r="AB333" s="51"/>
      <c r="AC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33" s="51" t="str">
        <f>IF(OR(NOTA[[#This Row],[QTY]]="",NOTA[[#This Row],[HARGA SATUAN]]="",),"",NOTA[[#This Row],[QTY]]*NOTA[[#This Row],[HARGA SATUAN]])</f>
        <v/>
      </c>
      <c r="AG333" s="40">
        <f ca="1">IF(NOTA[ID_H]="","",INDEX(NOTA[TANGGAL],MATCH(,INDIRECT(ADDRESS(ROW(NOTA[TANGGAL]),COLUMN(NOTA[TANGGAL]))&amp;":"&amp;ADDRESS(ROW(),COLUMN(NOTA[TANGGAL]))),-1)))</f>
        <v>45121</v>
      </c>
      <c r="AH333" s="42" t="str">
        <f ca="1">IF(NOTA[[#This Row],[NAMA BARANG]]="","",INDEX(NOTA[SUPPLIER],MATCH(,INDIRECT(ADDRESS(ROW(NOTA[ID]),COLUMN(NOTA[ID]))&amp;":"&amp;ADDRESS(ROW(),COLUMN(NOTA[ID]))),-1)))</f>
        <v>KENKO SINAR INDONESIA</v>
      </c>
      <c r="AI333" s="42" t="str">
        <f ca="1">IF(NOTA[[#This Row],[ID_H]]="","",IF(NOTA[[#This Row],[FAKTUR]]="",INDIRECT(ADDRESS(ROW()-1,COLUMN())),NOTA[[#This Row],[FAKTUR]]))</f>
        <v>ARTO MORO</v>
      </c>
      <c r="AJ333" s="39" t="str">
        <f ca="1">IF(NOTA[[#This Row],[ID]]="","",COUNTIF(NOTA[ID_H],NOTA[[#This Row],[ID_H]]))</f>
        <v/>
      </c>
      <c r="AK333" s="39">
        <f ca="1">IF(NOTA[[#This Row],[TGL.NOTA]]="",IF(NOTA[[#This Row],[SUPPLIER_H]]="","",AK332),MONTH(NOTA[[#This Row],[TGL.NOTA]]))</f>
        <v>7</v>
      </c>
      <c r="AL333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9" t="str">
        <f>IF(NOTA[[#This Row],[CONCAT4]]="","",_xlfn.IFNA(MATCH(NOTA[[#This Row],[CONCAT4]],[2]!RAW[CONCAT_H],0),FALSE))</f>
        <v/>
      </c>
      <c r="AQ333" s="39">
        <f>IF(NOTA[[#This Row],[CONCAT1]]="","",MATCH(NOTA[[#This Row],[CONCAT1]],[3]!db[NB NOTA_C],0))</f>
        <v>2679</v>
      </c>
      <c r="AR333" s="39" t="str">
        <f>IF(NOTA[[#This Row],[QTY/ CTN]]="","",TRUE)</f>
        <v/>
      </c>
      <c r="AS333" s="39" t="str">
        <f ca="1">IF(NOTA[[#This Row],[ID_H]]="","",IF(NOTA[[#This Row],[Column3]]=TRUE,NOTA[[#This Row],[QTY/ CTN]],INDEX([3]!db[QTY/ CTN],NOTA[[#This Row],[//DB]])))</f>
        <v>36 LSN</v>
      </c>
      <c r="AT3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33" s="39" t="e">
        <f ca="1">IF(NOTA[[#This Row],[ID_H]]="","",MATCH(NOTA[[#This Row],[NB NOTA_C_QTY]],[4]!db[NB NOTA_C_QTY+F],0))</f>
        <v>#REF!</v>
      </c>
      <c r="AV333" s="55">
        <f ca="1">IF(NOTA[[#This Row],[NB NOTA_C_QTY]]="","",ROW()-2)</f>
        <v>331</v>
      </c>
    </row>
    <row r="334" spans="1:48" ht="20.100000000000001" customHeight="1" x14ac:dyDescent="0.25">
      <c r="A3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67</v>
      </c>
      <c r="E334" s="47"/>
      <c r="H334" s="48"/>
      <c r="L334" s="38" t="s">
        <v>98</v>
      </c>
      <c r="M334" s="41">
        <v>2</v>
      </c>
      <c r="N334" s="39"/>
      <c r="Q334" s="43">
        <v>2376000</v>
      </c>
      <c r="R334" s="49"/>
      <c r="S334" s="50">
        <v>0.17</v>
      </c>
      <c r="U334" s="51"/>
      <c r="V334" s="46"/>
      <c r="W334" s="51">
        <f>IF(NOTA[[#This Row],[HARGA/ CTN]]="",NOTA[[#This Row],[JUMLAH_H]],NOTA[[#This Row],[HARGA/ CTN]]*IF(NOTA[[#This Row],[C]]="",0,NOTA[[#This Row],[C]]))</f>
        <v>4752000</v>
      </c>
      <c r="X334" s="51">
        <f>IF(NOTA[[#This Row],[JUMLAH]]="","",NOTA[[#This Row],[JUMLAH]]*NOTA[[#This Row],[DISC 1]])</f>
        <v>807840</v>
      </c>
      <c r="Y334" s="51">
        <f>IF(NOTA[[#This Row],[JUMLAH]]="","",(NOTA[[#This Row],[JUMLAH]]-NOTA[[#This Row],[DISC 1-]])*NOTA[[#This Row],[DISC 2]])</f>
        <v>0</v>
      </c>
      <c r="Z334" s="51">
        <f>IF(NOTA[[#This Row],[JUMLAH]]="","",NOTA[[#This Row],[DISC 1-]]+NOTA[[#This Row],[DISC 2-]])</f>
        <v>807840</v>
      </c>
      <c r="AA334" s="51">
        <f>IF(NOTA[[#This Row],[JUMLAH]]="","",NOTA[[#This Row],[JUMLAH]]-NOTA[[#This Row],[DISC]])</f>
        <v>3944160</v>
      </c>
      <c r="AB334" s="51"/>
      <c r="AC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34" s="51" t="str">
        <f>IF(OR(NOTA[[#This Row],[QTY]]="",NOTA[[#This Row],[HARGA SATUAN]]="",),"",NOTA[[#This Row],[QTY]]*NOTA[[#This Row],[HARGA SATUAN]])</f>
        <v/>
      </c>
      <c r="AG334" s="40">
        <f ca="1">IF(NOTA[ID_H]="","",INDEX(NOTA[TANGGAL],MATCH(,INDIRECT(ADDRESS(ROW(NOTA[TANGGAL]),COLUMN(NOTA[TANGGAL]))&amp;":"&amp;ADDRESS(ROW(),COLUMN(NOTA[TANGGAL]))),-1)))</f>
        <v>45121</v>
      </c>
      <c r="AH334" s="42" t="str">
        <f ca="1">IF(NOTA[[#This Row],[NAMA BARANG]]="","",INDEX(NOTA[SUPPLIER],MATCH(,INDIRECT(ADDRESS(ROW(NOTA[ID]),COLUMN(NOTA[ID]))&amp;":"&amp;ADDRESS(ROW(),COLUMN(NOTA[ID]))),-1)))</f>
        <v>KENKO SINAR INDONESIA</v>
      </c>
      <c r="AI334" s="42" t="str">
        <f ca="1">IF(NOTA[[#This Row],[ID_H]]="","",IF(NOTA[[#This Row],[FAKTUR]]="",INDIRECT(ADDRESS(ROW()-1,COLUMN())),NOTA[[#This Row],[FAKTUR]]))</f>
        <v>ARTO MORO</v>
      </c>
      <c r="AJ334" s="39" t="str">
        <f ca="1">IF(NOTA[[#This Row],[ID]]="","",COUNTIF(NOTA[ID_H],NOTA[[#This Row],[ID_H]]))</f>
        <v/>
      </c>
      <c r="AK334" s="39">
        <f ca="1">IF(NOTA[[#This Row],[TGL.NOTA]]="",IF(NOTA[[#This Row],[SUPPLIER_H]]="","",AK333),MONTH(NOTA[[#This Row],[TGL.NOTA]]))</f>
        <v>7</v>
      </c>
      <c r="AL334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9" t="str">
        <f>IF(NOTA[[#This Row],[CONCAT4]]="","",_xlfn.IFNA(MATCH(NOTA[[#This Row],[CONCAT4]],[2]!RAW[CONCAT_H],0),FALSE))</f>
        <v/>
      </c>
      <c r="AQ334" s="39">
        <f>IF(NOTA[[#This Row],[CONCAT1]]="","",MATCH(NOTA[[#This Row],[CONCAT1]],[3]!db[NB NOTA_C],0))</f>
        <v>1508</v>
      </c>
      <c r="AR334" s="39" t="str">
        <f>IF(NOTA[[#This Row],[QTY/ CTN]]="","",TRUE)</f>
        <v/>
      </c>
      <c r="AS334" s="39" t="str">
        <f ca="1">IF(NOTA[[#This Row],[ID_H]]="","",IF(NOTA[[#This Row],[Column3]]=TRUE,NOTA[[#This Row],[QTY/ CTN]],INDEX([3]!db[QTY/ CTN],NOTA[[#This Row],[//DB]])))</f>
        <v>36 BOX (30 PCS)</v>
      </c>
      <c r="AT3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34" s="39" t="e">
        <f ca="1">IF(NOTA[[#This Row],[ID_H]]="","",MATCH(NOTA[[#This Row],[NB NOTA_C_QTY]],[4]!db[NB NOTA_C_QTY+F],0))</f>
        <v>#REF!</v>
      </c>
      <c r="AV334" s="55">
        <f ca="1">IF(NOTA[[#This Row],[NB NOTA_C_QTY]]="","",ROW()-2)</f>
        <v>332</v>
      </c>
    </row>
    <row r="335" spans="1:48" ht="20.100000000000001" customHeight="1" x14ac:dyDescent="0.25">
      <c r="A3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67</v>
      </c>
      <c r="E335" s="47"/>
      <c r="H335" s="48"/>
      <c r="L335" s="38" t="s">
        <v>137</v>
      </c>
      <c r="M335" s="41">
        <v>2</v>
      </c>
      <c r="N335" s="39"/>
      <c r="Q335" s="43">
        <v>1410000</v>
      </c>
      <c r="R335" s="49"/>
      <c r="S335" s="50">
        <v>0.17</v>
      </c>
      <c r="U335" s="51"/>
      <c r="V335" s="46"/>
      <c r="W335" s="51">
        <f>IF(NOTA[[#This Row],[HARGA/ CTN]]="",NOTA[[#This Row],[JUMLAH_H]],NOTA[[#This Row],[HARGA/ CTN]]*IF(NOTA[[#This Row],[C]]="",0,NOTA[[#This Row],[C]]))</f>
        <v>2820000</v>
      </c>
      <c r="X335" s="51">
        <f>IF(NOTA[[#This Row],[JUMLAH]]="","",NOTA[[#This Row],[JUMLAH]]*NOTA[[#This Row],[DISC 1]])</f>
        <v>479400.00000000006</v>
      </c>
      <c r="Y335" s="51">
        <f>IF(NOTA[[#This Row],[JUMLAH]]="","",(NOTA[[#This Row],[JUMLAH]]-NOTA[[#This Row],[DISC 1-]])*NOTA[[#This Row],[DISC 2]])</f>
        <v>0</v>
      </c>
      <c r="Z335" s="51">
        <f>IF(NOTA[[#This Row],[JUMLAH]]="","",NOTA[[#This Row],[DISC 1-]]+NOTA[[#This Row],[DISC 2-]])</f>
        <v>479400.00000000006</v>
      </c>
      <c r="AA335" s="51">
        <f>IF(NOTA[[#This Row],[JUMLAH]]="","",NOTA[[#This Row],[JUMLAH]]-NOTA[[#This Row],[DISC]])</f>
        <v>2340600</v>
      </c>
      <c r="AB335" s="51"/>
      <c r="AC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35" s="51" t="str">
        <f>IF(OR(NOTA[[#This Row],[QTY]]="",NOTA[[#This Row],[HARGA SATUAN]]="",),"",NOTA[[#This Row],[QTY]]*NOTA[[#This Row],[HARGA SATUAN]])</f>
        <v/>
      </c>
      <c r="AG335" s="40">
        <f ca="1">IF(NOTA[ID_H]="","",INDEX(NOTA[TANGGAL],MATCH(,INDIRECT(ADDRESS(ROW(NOTA[TANGGAL]),COLUMN(NOTA[TANGGAL]))&amp;":"&amp;ADDRESS(ROW(),COLUMN(NOTA[TANGGAL]))),-1)))</f>
        <v>45121</v>
      </c>
      <c r="AH335" s="42" t="str">
        <f ca="1">IF(NOTA[[#This Row],[NAMA BARANG]]="","",INDEX(NOTA[SUPPLIER],MATCH(,INDIRECT(ADDRESS(ROW(NOTA[ID]),COLUMN(NOTA[ID]))&amp;":"&amp;ADDRESS(ROW(),COLUMN(NOTA[ID]))),-1)))</f>
        <v>KENKO SINAR INDONESIA</v>
      </c>
      <c r="AI335" s="42" t="str">
        <f ca="1">IF(NOTA[[#This Row],[ID_H]]="","",IF(NOTA[[#This Row],[FAKTUR]]="",INDIRECT(ADDRESS(ROW()-1,COLUMN())),NOTA[[#This Row],[FAKTUR]]))</f>
        <v>ARTO MORO</v>
      </c>
      <c r="AJ335" s="39" t="str">
        <f ca="1">IF(NOTA[[#This Row],[ID]]="","",COUNTIF(NOTA[ID_H],NOTA[[#This Row],[ID_H]]))</f>
        <v/>
      </c>
      <c r="AK335" s="39">
        <f ca="1">IF(NOTA[[#This Row],[TGL.NOTA]]="",IF(NOTA[[#This Row],[SUPPLIER_H]]="","",AK334),MONTH(NOTA[[#This Row],[TGL.NOTA]]))</f>
        <v>7</v>
      </c>
      <c r="AL335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9" t="str">
        <f>IF(NOTA[[#This Row],[CONCAT4]]="","",_xlfn.IFNA(MATCH(NOTA[[#This Row],[CONCAT4]],[2]!RAW[CONCAT_H],0),FALSE))</f>
        <v/>
      </c>
      <c r="AQ335" s="39">
        <f>IF(NOTA[[#This Row],[CONCAT1]]="","",MATCH(NOTA[[#This Row],[CONCAT1]],[3]!db[NB NOTA_C],0))</f>
        <v>1263</v>
      </c>
      <c r="AR335" s="39" t="str">
        <f>IF(NOTA[[#This Row],[QTY/ CTN]]="","",TRUE)</f>
        <v/>
      </c>
      <c r="AS335" s="39" t="str">
        <f ca="1">IF(NOTA[[#This Row],[ID_H]]="","",IF(NOTA[[#This Row],[Column3]]=TRUE,NOTA[[#This Row],[QTY/ CTN]],INDEX([3]!db[QTY/ CTN],NOTA[[#This Row],[//DB]])))</f>
        <v>25 LSN</v>
      </c>
      <c r="AT3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35" s="39" t="e">
        <f ca="1">IF(NOTA[[#This Row],[ID_H]]="","",MATCH(NOTA[[#This Row],[NB NOTA_C_QTY]],[4]!db[NB NOTA_C_QTY+F],0))</f>
        <v>#REF!</v>
      </c>
      <c r="AV335" s="55">
        <f ca="1">IF(NOTA[[#This Row],[NB NOTA_C_QTY]]="","",ROW()-2)</f>
        <v>333</v>
      </c>
    </row>
    <row r="336" spans="1:48" ht="20.100000000000001" customHeight="1" x14ac:dyDescent="0.25">
      <c r="A3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67</v>
      </c>
      <c r="E336" s="47"/>
      <c r="H336" s="48"/>
      <c r="L336" s="38" t="s">
        <v>99</v>
      </c>
      <c r="M336" s="41">
        <v>2</v>
      </c>
      <c r="N336" s="39"/>
      <c r="Q336" s="43">
        <v>1188000</v>
      </c>
      <c r="R336" s="49"/>
      <c r="S336" s="50">
        <v>0.17</v>
      </c>
      <c r="U336" s="51"/>
      <c r="V336" s="46"/>
      <c r="W336" s="51">
        <f>IF(NOTA[[#This Row],[HARGA/ CTN]]="",NOTA[[#This Row],[JUMLAH_H]],NOTA[[#This Row],[HARGA/ CTN]]*IF(NOTA[[#This Row],[C]]="",0,NOTA[[#This Row],[C]]))</f>
        <v>2376000</v>
      </c>
      <c r="X336" s="51">
        <f>IF(NOTA[[#This Row],[JUMLAH]]="","",NOTA[[#This Row],[JUMLAH]]*NOTA[[#This Row],[DISC 1]])</f>
        <v>403920</v>
      </c>
      <c r="Y336" s="51">
        <f>IF(NOTA[[#This Row],[JUMLAH]]="","",(NOTA[[#This Row],[JUMLAH]]-NOTA[[#This Row],[DISC 1-]])*NOTA[[#This Row],[DISC 2]])</f>
        <v>0</v>
      </c>
      <c r="Z336" s="51">
        <f>IF(NOTA[[#This Row],[JUMLAH]]="","",NOTA[[#This Row],[DISC 1-]]+NOTA[[#This Row],[DISC 2-]])</f>
        <v>403920</v>
      </c>
      <c r="AA336" s="51">
        <f>IF(NOTA[[#This Row],[JUMLAH]]="","",NOTA[[#This Row],[JUMLAH]]-NOTA[[#This Row],[DISC]])</f>
        <v>1972080</v>
      </c>
      <c r="AB336" s="51"/>
      <c r="AC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36" s="51" t="str">
        <f>IF(OR(NOTA[[#This Row],[QTY]]="",NOTA[[#This Row],[HARGA SATUAN]]="",),"",NOTA[[#This Row],[QTY]]*NOTA[[#This Row],[HARGA SATUAN]])</f>
        <v/>
      </c>
      <c r="AG336" s="40">
        <f ca="1">IF(NOTA[ID_H]="","",INDEX(NOTA[TANGGAL],MATCH(,INDIRECT(ADDRESS(ROW(NOTA[TANGGAL]),COLUMN(NOTA[TANGGAL]))&amp;":"&amp;ADDRESS(ROW(),COLUMN(NOTA[TANGGAL]))),-1)))</f>
        <v>45121</v>
      </c>
      <c r="AH336" s="42" t="str">
        <f ca="1">IF(NOTA[[#This Row],[NAMA BARANG]]="","",INDEX(NOTA[SUPPLIER],MATCH(,INDIRECT(ADDRESS(ROW(NOTA[ID]),COLUMN(NOTA[ID]))&amp;":"&amp;ADDRESS(ROW(),COLUMN(NOTA[ID]))),-1)))</f>
        <v>KENKO SINAR INDONESIA</v>
      </c>
      <c r="AI336" s="42" t="str">
        <f ca="1">IF(NOTA[[#This Row],[ID_H]]="","",IF(NOTA[[#This Row],[FAKTUR]]="",INDIRECT(ADDRESS(ROW()-1,COLUMN())),NOTA[[#This Row],[FAKTUR]]))</f>
        <v>ARTO MORO</v>
      </c>
      <c r="AJ336" s="39" t="str">
        <f ca="1">IF(NOTA[[#This Row],[ID]]="","",COUNTIF(NOTA[ID_H],NOTA[[#This Row],[ID_H]]))</f>
        <v/>
      </c>
      <c r="AK336" s="39">
        <f ca="1">IF(NOTA[[#This Row],[TGL.NOTA]]="",IF(NOTA[[#This Row],[SUPPLIER_H]]="","",AK335),MONTH(NOTA[[#This Row],[TGL.NOTA]]))</f>
        <v>7</v>
      </c>
      <c r="AL336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9" t="str">
        <f>IF(NOTA[[#This Row],[CONCAT4]]="","",_xlfn.IFNA(MATCH(NOTA[[#This Row],[CONCAT4]],[2]!RAW[CONCAT_H],0),FALSE))</f>
        <v/>
      </c>
      <c r="AQ336" s="39">
        <f>IF(NOTA[[#This Row],[CONCAT1]]="","",MATCH(NOTA[[#This Row],[CONCAT1]],[3]!db[NB NOTA_C],0))</f>
        <v>1266</v>
      </c>
      <c r="AR336" s="39" t="str">
        <f>IF(NOTA[[#This Row],[QTY/ CTN]]="","",TRUE)</f>
        <v/>
      </c>
      <c r="AS336" s="39" t="str">
        <f ca="1">IF(NOTA[[#This Row],[ID_H]]="","",IF(NOTA[[#This Row],[Column3]]=TRUE,NOTA[[#This Row],[QTY/ CTN]],INDEX([3]!db[QTY/ CTN],NOTA[[#This Row],[//DB]])))</f>
        <v>10 LSN</v>
      </c>
      <c r="AT3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36" s="39" t="e">
        <f ca="1">IF(NOTA[[#This Row],[ID_H]]="","",MATCH(NOTA[[#This Row],[NB NOTA_C_QTY]],[4]!db[NB NOTA_C_QTY+F],0))</f>
        <v>#REF!</v>
      </c>
      <c r="AV336" s="55">
        <f ca="1">IF(NOTA[[#This Row],[NB NOTA_C_QTY]]="","",ROW()-2)</f>
        <v>334</v>
      </c>
    </row>
    <row r="337" spans="1:48" ht="20.100000000000001" customHeight="1" x14ac:dyDescent="0.25">
      <c r="A3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67</v>
      </c>
      <c r="E337" s="47"/>
      <c r="H337" s="48"/>
      <c r="L337" s="38" t="s">
        <v>339</v>
      </c>
      <c r="M337" s="41">
        <v>1</v>
      </c>
      <c r="N337" s="39"/>
      <c r="Q337" s="43">
        <v>860000</v>
      </c>
      <c r="R337" s="49"/>
      <c r="S337" s="50">
        <v>0.17</v>
      </c>
      <c r="U337" s="51"/>
      <c r="V337" s="46"/>
      <c r="W337" s="51">
        <f>IF(NOTA[[#This Row],[HARGA/ CTN]]="",NOTA[[#This Row],[JUMLAH_H]],NOTA[[#This Row],[HARGA/ CTN]]*IF(NOTA[[#This Row],[C]]="",0,NOTA[[#This Row],[C]]))</f>
        <v>860000</v>
      </c>
      <c r="X337" s="51">
        <f>IF(NOTA[[#This Row],[JUMLAH]]="","",NOTA[[#This Row],[JUMLAH]]*NOTA[[#This Row],[DISC 1]])</f>
        <v>146200</v>
      </c>
      <c r="Y337" s="51">
        <f>IF(NOTA[[#This Row],[JUMLAH]]="","",(NOTA[[#This Row],[JUMLAH]]-NOTA[[#This Row],[DISC 1-]])*NOTA[[#This Row],[DISC 2]])</f>
        <v>0</v>
      </c>
      <c r="Z337" s="51">
        <f>IF(NOTA[[#This Row],[JUMLAH]]="","",NOTA[[#This Row],[DISC 1-]]+NOTA[[#This Row],[DISC 2-]])</f>
        <v>146200</v>
      </c>
      <c r="AA337" s="51">
        <f>IF(NOTA[[#This Row],[JUMLAH]]="","",NOTA[[#This Row],[JUMLAH]]-NOTA[[#This Row],[DISC]])</f>
        <v>713800</v>
      </c>
      <c r="AB337" s="51"/>
      <c r="AC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5461624</v>
      </c>
      <c r="AD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26665576</v>
      </c>
      <c r="AE33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37" s="51" t="str">
        <f>IF(OR(NOTA[[#This Row],[QTY]]="",NOTA[[#This Row],[HARGA SATUAN]]="",),"",NOTA[[#This Row],[QTY]]*NOTA[[#This Row],[HARGA SATUAN]])</f>
        <v/>
      </c>
      <c r="AG337" s="40">
        <f ca="1">IF(NOTA[ID_H]="","",INDEX(NOTA[TANGGAL],MATCH(,INDIRECT(ADDRESS(ROW(NOTA[TANGGAL]),COLUMN(NOTA[TANGGAL]))&amp;":"&amp;ADDRESS(ROW(),COLUMN(NOTA[TANGGAL]))),-1)))</f>
        <v>45121</v>
      </c>
      <c r="AH337" s="42" t="str">
        <f ca="1">IF(NOTA[[#This Row],[NAMA BARANG]]="","",INDEX(NOTA[SUPPLIER],MATCH(,INDIRECT(ADDRESS(ROW(NOTA[ID]),COLUMN(NOTA[ID]))&amp;":"&amp;ADDRESS(ROW(),COLUMN(NOTA[ID]))),-1)))</f>
        <v>KENKO SINAR INDONESIA</v>
      </c>
      <c r="AI337" s="42" t="str">
        <f ca="1">IF(NOTA[[#This Row],[ID_H]]="","",IF(NOTA[[#This Row],[FAKTUR]]="",INDIRECT(ADDRESS(ROW()-1,COLUMN())),NOTA[[#This Row],[FAKTUR]]))</f>
        <v>ARTO MORO</v>
      </c>
      <c r="AJ337" s="39" t="str">
        <f ca="1">IF(NOTA[[#This Row],[ID]]="","",COUNTIF(NOTA[ID_H],NOTA[[#This Row],[ID_H]]))</f>
        <v/>
      </c>
      <c r="AK337" s="39">
        <f ca="1">IF(NOTA[[#This Row],[TGL.NOTA]]="",IF(NOTA[[#This Row],[SUPPLIER_H]]="","",AK336),MONTH(NOTA[[#This Row],[TGL.NOTA]]))</f>
        <v>7</v>
      </c>
      <c r="AL33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9" t="str">
        <f>IF(NOTA[[#This Row],[CONCAT4]]="","",_xlfn.IFNA(MATCH(NOTA[[#This Row],[CONCAT4]],[2]!RAW[CONCAT_H],0),FALSE))</f>
        <v/>
      </c>
      <c r="AQ337" s="39">
        <f>IF(NOTA[[#This Row],[CONCAT1]]="","",MATCH(NOTA[[#This Row],[CONCAT1]],[3]!db[NB NOTA_C],0))</f>
        <v>896</v>
      </c>
      <c r="AR337" s="39" t="str">
        <f>IF(NOTA[[#This Row],[QTY/ CTN]]="","",TRUE)</f>
        <v/>
      </c>
      <c r="AS337" s="39" t="str">
        <f ca="1">IF(NOTA[[#This Row],[ID_H]]="","",IF(NOTA[[#This Row],[Column3]]=TRUE,NOTA[[#This Row],[QTY/ CTN]],INDEX([3]!db[QTY/ CTN],NOTA[[#This Row],[//DB]])))</f>
        <v>200 BOX</v>
      </c>
      <c r="AT3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337" s="39" t="e">
        <f ca="1">IF(NOTA[[#This Row],[ID_H]]="","",MATCH(NOTA[[#This Row],[NB NOTA_C_QTY]],[4]!db[NB NOTA_C_QTY+F],0))</f>
        <v>#REF!</v>
      </c>
      <c r="AV337" s="55">
        <f ca="1">IF(NOTA[[#This Row],[NB NOTA_C_QTY]]="","",ROW()-2)</f>
        <v>335</v>
      </c>
    </row>
    <row r="338" spans="1:48" ht="20.100000000000001" customHeight="1" x14ac:dyDescent="0.25">
      <c r="A3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 t="str">
        <f ca="1">IF(NOTA[[#This Row],[NAMA BARANG]]="","",INDEX(NOTA[ID],MATCH(,INDIRECT(ADDRESS(ROW(NOTA[ID]),COLUMN(NOTA[ID]))&amp;":"&amp;ADDRESS(ROW(),COLUMN(NOTA[ID]))),-1)))</f>
        <v/>
      </c>
      <c r="E338" s="47"/>
      <c r="H338" s="48"/>
      <c r="N338" s="39"/>
      <c r="Q338" s="43"/>
      <c r="R338" s="49"/>
      <c r="S338" s="50"/>
      <c r="U338" s="51"/>
      <c r="V338" s="46"/>
      <c r="W338" s="51" t="str">
        <f>IF(NOTA[[#This Row],[HARGA/ CTN]]="",NOTA[[#This Row],[JUMLAH_H]],NOTA[[#This Row],[HARGA/ CTN]]*IF(NOTA[[#This Row],[C]]="",0,NOTA[[#This Row],[C]]))</f>
        <v/>
      </c>
      <c r="X338" s="51" t="str">
        <f>IF(NOTA[[#This Row],[JUMLAH]]="","",NOTA[[#This Row],[JUMLAH]]*NOTA[[#This Row],[DISC 1]])</f>
        <v/>
      </c>
      <c r="Y338" s="51" t="str">
        <f>IF(NOTA[[#This Row],[JUMLAH]]="","",(NOTA[[#This Row],[JUMLAH]]-NOTA[[#This Row],[DISC 1-]])*NOTA[[#This Row],[DISC 2]])</f>
        <v/>
      </c>
      <c r="Z338" s="51" t="str">
        <f>IF(NOTA[[#This Row],[JUMLAH]]="","",NOTA[[#This Row],[DISC 1-]]+NOTA[[#This Row],[DISC 2-]])</f>
        <v/>
      </c>
      <c r="AA338" s="51" t="str">
        <f>IF(NOTA[[#This Row],[JUMLAH]]="","",NOTA[[#This Row],[JUMLAH]]-NOTA[[#This Row],[DISC]])</f>
        <v/>
      </c>
      <c r="AB338" s="51"/>
      <c r="AC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1" t="str">
        <f>IF(OR(NOTA[[#This Row],[QTY]]="",NOTA[[#This Row],[HARGA SATUAN]]="",),"",NOTA[[#This Row],[QTY]]*NOTA[[#This Row],[HARGA SATUAN]])</f>
        <v/>
      </c>
      <c r="AG338" s="40" t="str">
        <f ca="1">IF(NOTA[ID_H]="","",INDEX(NOTA[TANGGAL],MATCH(,INDIRECT(ADDRESS(ROW(NOTA[TANGGAL]),COLUMN(NOTA[TANGGAL]))&amp;":"&amp;ADDRESS(ROW(),COLUMN(NOTA[TANGGAL]))),-1)))</f>
        <v/>
      </c>
      <c r="AH338" s="42" t="str">
        <f ca="1">IF(NOTA[[#This Row],[NAMA BARANG]]="","",INDEX(NOTA[SUPPLIER],MATCH(,INDIRECT(ADDRESS(ROW(NOTA[ID]),COLUMN(NOTA[ID]))&amp;":"&amp;ADDRESS(ROW(),COLUMN(NOTA[ID]))),-1)))</f>
        <v/>
      </c>
      <c r="AI338" s="42" t="str">
        <f ca="1">IF(NOTA[[#This Row],[ID_H]]="","",IF(NOTA[[#This Row],[FAKTUR]]="",INDIRECT(ADDRESS(ROW()-1,COLUMN())),NOTA[[#This Row],[FAKTUR]]))</f>
        <v/>
      </c>
      <c r="AJ338" s="39" t="str">
        <f ca="1">IF(NOTA[[#This Row],[ID]]="","",COUNTIF(NOTA[ID_H],NOTA[[#This Row],[ID_H]]))</f>
        <v/>
      </c>
      <c r="AK338" s="39" t="str">
        <f ca="1">IF(NOTA[[#This Row],[TGL.NOTA]]="",IF(NOTA[[#This Row],[SUPPLIER_H]]="","",AK337),MONTH(NOTA[[#This Row],[TGL.NOTA]]))</f>
        <v/>
      </c>
      <c r="AL338" s="39" t="str">
        <f>LOWER(SUBSTITUTE(SUBSTITUTE(SUBSTITUTE(SUBSTITUTE(SUBSTITUTE(SUBSTITUTE(SUBSTITUTE(SUBSTITUTE(SUBSTITUTE(NOTA[NAMA BARANG]," ",),".",""),"-",""),"(",""),")",""),",",""),"/",""),"""",""),"+",""))</f>
        <v/>
      </c>
      <c r="AM3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9" t="str">
        <f>IF(NOTA[[#This Row],[CONCAT4]]="","",_xlfn.IFNA(MATCH(NOTA[[#This Row],[CONCAT4]],[2]!RAW[CONCAT_H],0),FALSE))</f>
        <v/>
      </c>
      <c r="AQ338" s="39" t="str">
        <f>IF(NOTA[[#This Row],[CONCAT1]]="","",MATCH(NOTA[[#This Row],[CONCAT1]],[3]!db[NB NOTA_C],0))</f>
        <v/>
      </c>
      <c r="AR338" s="39" t="str">
        <f>IF(NOTA[[#This Row],[QTY/ CTN]]="","",TRUE)</f>
        <v/>
      </c>
      <c r="AS338" s="39" t="str">
        <f ca="1">IF(NOTA[[#This Row],[ID_H]]="","",IF(NOTA[[#This Row],[Column3]]=TRUE,NOTA[[#This Row],[QTY/ CTN]],INDEX([3]!db[QTY/ CTN],NOTA[[#This Row],[//DB]])))</f>
        <v/>
      </c>
      <c r="AT3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9" t="str">
        <f ca="1">IF(NOTA[[#This Row],[ID_H]]="","",MATCH(NOTA[[#This Row],[NB NOTA_C_QTY]],[4]!db[NB NOTA_C_QTY+F],0))</f>
        <v/>
      </c>
      <c r="AV338" s="55" t="str">
        <f ca="1">IF(NOTA[[#This Row],[NB NOTA_C_QTY]]="","",ROW()-2)</f>
        <v/>
      </c>
    </row>
    <row r="339" spans="1:48" ht="20.100000000000001" customHeight="1" x14ac:dyDescent="0.25">
      <c r="A339" s="42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KEN_1407_162-6</v>
      </c>
      <c r="C339" s="39" t="e">
        <f ca="1">IF(NOTA[[#This Row],[ID_P]]="","",MATCH(NOTA[[#This Row],[ID_P]],[1]!B_MSK[N_ID],0))</f>
        <v>#REF!</v>
      </c>
      <c r="D339" s="39">
        <f ca="1">IF(NOTA[[#This Row],[NAMA BARANG]]="","",INDEX(NOTA[ID],MATCH(,INDIRECT(ADDRESS(ROW(NOTA[ID]),COLUMN(NOTA[ID]))&amp;":"&amp;ADDRESS(ROW(),COLUMN(NOTA[ID]))),-1)))</f>
        <v>68</v>
      </c>
      <c r="E339" s="47"/>
      <c r="F339" s="38" t="s">
        <v>22</v>
      </c>
      <c r="G339" s="38" t="s">
        <v>23</v>
      </c>
      <c r="H339" s="48" t="s">
        <v>432</v>
      </c>
      <c r="J339" s="40">
        <v>45120</v>
      </c>
      <c r="L339" s="38" t="s">
        <v>107</v>
      </c>
      <c r="M339" s="41">
        <v>3</v>
      </c>
      <c r="N339" s="39"/>
      <c r="Q339" s="43">
        <v>1695600</v>
      </c>
      <c r="R339" s="49"/>
      <c r="S339" s="50">
        <v>0.17</v>
      </c>
      <c r="U339" s="51"/>
      <c r="V339" s="46"/>
      <c r="W339" s="51">
        <f>IF(NOTA[[#This Row],[HARGA/ CTN]]="",NOTA[[#This Row],[JUMLAH_H]],NOTA[[#This Row],[HARGA/ CTN]]*IF(NOTA[[#This Row],[C]]="",0,NOTA[[#This Row],[C]]))</f>
        <v>5086800</v>
      </c>
      <c r="X339" s="51">
        <f>IF(NOTA[[#This Row],[JUMLAH]]="","",NOTA[[#This Row],[JUMLAH]]*NOTA[[#This Row],[DISC 1]])</f>
        <v>864756.00000000012</v>
      </c>
      <c r="Y339" s="51">
        <f>IF(NOTA[[#This Row],[JUMLAH]]="","",(NOTA[[#This Row],[JUMLAH]]-NOTA[[#This Row],[DISC 1-]])*NOTA[[#This Row],[DISC 2]])</f>
        <v>0</v>
      </c>
      <c r="Z339" s="51">
        <f>IF(NOTA[[#This Row],[JUMLAH]]="","",NOTA[[#This Row],[DISC 1-]]+NOTA[[#This Row],[DISC 2-]])</f>
        <v>864756.00000000012</v>
      </c>
      <c r="AA339" s="51">
        <f>IF(NOTA[[#This Row],[JUMLAH]]="","",NOTA[[#This Row],[JUMLAH]]-NOTA[[#This Row],[DISC]])</f>
        <v>4222044</v>
      </c>
      <c r="AB339" s="51"/>
      <c r="AC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39" s="51" t="str">
        <f>IF(OR(NOTA[[#This Row],[QTY]]="",NOTA[[#This Row],[HARGA SATUAN]]="",),"",NOTA[[#This Row],[QTY]]*NOTA[[#This Row],[HARGA SATUAN]])</f>
        <v/>
      </c>
      <c r="AG339" s="40">
        <f ca="1">IF(NOTA[ID_H]="","",INDEX(NOTA[TANGGAL],MATCH(,INDIRECT(ADDRESS(ROW(NOTA[TANGGAL]),COLUMN(NOTA[TANGGAL]))&amp;":"&amp;ADDRESS(ROW(),COLUMN(NOTA[TANGGAL]))),-1)))</f>
        <v>45121</v>
      </c>
      <c r="AH339" s="42" t="str">
        <f ca="1">IF(NOTA[[#This Row],[NAMA BARANG]]="","",INDEX(NOTA[SUPPLIER],MATCH(,INDIRECT(ADDRESS(ROW(NOTA[ID]),COLUMN(NOTA[ID]))&amp;":"&amp;ADDRESS(ROW(),COLUMN(NOTA[ID]))),-1)))</f>
        <v>KENKO SINAR INDONESIA</v>
      </c>
      <c r="AI339" s="42" t="str">
        <f ca="1">IF(NOTA[[#This Row],[ID_H]]="","",IF(NOTA[[#This Row],[FAKTUR]]="",INDIRECT(ADDRESS(ROW()-1,COLUMN())),NOTA[[#This Row],[FAKTUR]]))</f>
        <v>ARTO MORO</v>
      </c>
      <c r="AJ339" s="39">
        <f ca="1">IF(NOTA[[#This Row],[ID]]="","",COUNTIF(NOTA[ID_H],NOTA[[#This Row],[ID_H]]))</f>
        <v>6</v>
      </c>
      <c r="AK339" s="39">
        <f>IF(NOTA[[#This Row],[TGL.NOTA]]="",IF(NOTA[[#This Row],[SUPPLIER_H]]="","",AK338),MONTH(NOTA[[#This Row],[TGL.NOTA]]))</f>
        <v>7</v>
      </c>
      <c r="AL339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3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MORO2307116245120kenkocorrectionfluidke108</v>
      </c>
      <c r="AP339" s="39" t="e">
        <f>IF(NOTA[[#This Row],[CONCAT4]]="","",_xlfn.IFNA(MATCH(NOTA[[#This Row],[CONCAT4]],[2]!RAW[CONCAT_H],0),FALSE))</f>
        <v>#REF!</v>
      </c>
      <c r="AQ339" s="39">
        <f>IF(NOTA[[#This Row],[CONCAT1]]="","",MATCH(NOTA[[#This Row],[CONCAT1]],[3]!db[NB NOTA_C],0))</f>
        <v>2680</v>
      </c>
      <c r="AR339" s="39" t="str">
        <f>IF(NOTA[[#This Row],[QTY/ CTN]]="","",TRUE)</f>
        <v/>
      </c>
      <c r="AS339" s="39" t="str">
        <f ca="1">IF(NOTA[[#This Row],[ID_H]]="","",IF(NOTA[[#This Row],[Column3]]=TRUE,NOTA[[#This Row],[QTY/ CTN]],INDEX([3]!db[QTY/ CTN],NOTA[[#This Row],[//DB]])))</f>
        <v>36 LSN</v>
      </c>
      <c r="AT3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39" s="39" t="e">
        <f ca="1">IF(NOTA[[#This Row],[ID_H]]="","",MATCH(NOTA[[#This Row],[NB NOTA_C_QTY]],[4]!db[NB NOTA_C_QTY+F],0))</f>
        <v>#REF!</v>
      </c>
      <c r="AV339" s="55">
        <f ca="1">IF(NOTA[[#This Row],[NB NOTA_C_QTY]]="","",ROW()-2)</f>
        <v>337</v>
      </c>
    </row>
    <row r="340" spans="1:48" ht="20.100000000000001" customHeight="1" x14ac:dyDescent="0.25">
      <c r="A3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68</v>
      </c>
      <c r="E340" s="47"/>
      <c r="H340" s="48"/>
      <c r="L340" s="38" t="s">
        <v>89</v>
      </c>
      <c r="M340" s="41">
        <v>2</v>
      </c>
      <c r="N340" s="39"/>
      <c r="Q340" s="43">
        <v>1954800</v>
      </c>
      <c r="R340" s="49"/>
      <c r="S340" s="50">
        <v>0.17</v>
      </c>
      <c r="U340" s="51"/>
      <c r="V340" s="46"/>
      <c r="W340" s="51">
        <f>IF(NOTA[[#This Row],[HARGA/ CTN]]="",NOTA[[#This Row],[JUMLAH_H]],NOTA[[#This Row],[HARGA/ CTN]]*IF(NOTA[[#This Row],[C]]="",0,NOTA[[#This Row],[C]]))</f>
        <v>3909600</v>
      </c>
      <c r="X340" s="51">
        <f>IF(NOTA[[#This Row],[JUMLAH]]="","",NOTA[[#This Row],[JUMLAH]]*NOTA[[#This Row],[DISC 1]])</f>
        <v>664632</v>
      </c>
      <c r="Y340" s="51">
        <f>IF(NOTA[[#This Row],[JUMLAH]]="","",(NOTA[[#This Row],[JUMLAH]]-NOTA[[#This Row],[DISC 1-]])*NOTA[[#This Row],[DISC 2]])</f>
        <v>0</v>
      </c>
      <c r="Z340" s="51">
        <f>IF(NOTA[[#This Row],[JUMLAH]]="","",NOTA[[#This Row],[DISC 1-]]+NOTA[[#This Row],[DISC 2-]])</f>
        <v>664632</v>
      </c>
      <c r="AA340" s="51">
        <f>IF(NOTA[[#This Row],[JUMLAH]]="","",NOTA[[#This Row],[JUMLAH]]-NOTA[[#This Row],[DISC]])</f>
        <v>3244968</v>
      </c>
      <c r="AB340" s="51"/>
      <c r="AC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40" s="51" t="str">
        <f>IF(OR(NOTA[[#This Row],[QTY]]="",NOTA[[#This Row],[HARGA SATUAN]]="",),"",NOTA[[#This Row],[QTY]]*NOTA[[#This Row],[HARGA SATUAN]])</f>
        <v/>
      </c>
      <c r="AG340" s="40">
        <f ca="1">IF(NOTA[ID_H]="","",INDEX(NOTA[TANGGAL],MATCH(,INDIRECT(ADDRESS(ROW(NOTA[TANGGAL]),COLUMN(NOTA[TANGGAL]))&amp;":"&amp;ADDRESS(ROW(),COLUMN(NOTA[TANGGAL]))),-1)))</f>
        <v>45121</v>
      </c>
      <c r="AH340" s="42" t="str">
        <f ca="1">IF(NOTA[[#This Row],[NAMA BARANG]]="","",INDEX(NOTA[SUPPLIER],MATCH(,INDIRECT(ADDRESS(ROW(NOTA[ID]),COLUMN(NOTA[ID]))&amp;":"&amp;ADDRESS(ROW(),COLUMN(NOTA[ID]))),-1)))</f>
        <v>KENKO SINAR INDONESIA</v>
      </c>
      <c r="AI340" s="42" t="str">
        <f ca="1">IF(NOTA[[#This Row],[ID_H]]="","",IF(NOTA[[#This Row],[FAKTUR]]="",INDIRECT(ADDRESS(ROW()-1,COLUMN())),NOTA[[#This Row],[FAKTUR]]))</f>
        <v>ARTO MORO</v>
      </c>
      <c r="AJ340" s="39" t="str">
        <f ca="1">IF(NOTA[[#This Row],[ID]]="","",COUNTIF(NOTA[ID_H],NOTA[[#This Row],[ID_H]]))</f>
        <v/>
      </c>
      <c r="AK340" s="39">
        <f ca="1">IF(NOTA[[#This Row],[TGL.NOTA]]="",IF(NOTA[[#This Row],[SUPPLIER_H]]="","",AK339),MONTH(NOTA[[#This Row],[TGL.NOTA]]))</f>
        <v>7</v>
      </c>
      <c r="AL340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9" t="str">
        <f>IF(NOTA[[#This Row],[CONCAT4]]="","",_xlfn.IFNA(MATCH(NOTA[[#This Row],[CONCAT4]],[2]!RAW[CONCAT_H],0),FALSE))</f>
        <v/>
      </c>
      <c r="AQ340" s="39">
        <f>IF(NOTA[[#This Row],[CONCAT1]]="","",MATCH(NOTA[[#This Row],[CONCAT1]],[3]!db[NB NOTA_C],0))</f>
        <v>2678</v>
      </c>
      <c r="AR340" s="39" t="str">
        <f>IF(NOTA[[#This Row],[QTY/ CTN]]="","",TRUE)</f>
        <v/>
      </c>
      <c r="AS340" s="39" t="str">
        <f ca="1">IF(NOTA[[#This Row],[ID_H]]="","",IF(NOTA[[#This Row],[Column3]]=TRUE,NOTA[[#This Row],[QTY/ CTN]],INDEX([3]!db[QTY/ CTN],NOTA[[#This Row],[//DB]])))</f>
        <v>36 LSN</v>
      </c>
      <c r="AT3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40" s="39" t="e">
        <f ca="1">IF(NOTA[[#This Row],[ID_H]]="","",MATCH(NOTA[[#This Row],[NB NOTA_C_QTY]],[4]!db[NB NOTA_C_QTY+F],0))</f>
        <v>#REF!</v>
      </c>
      <c r="AV340" s="55">
        <f ca="1">IF(NOTA[[#This Row],[NB NOTA_C_QTY]]="","",ROW()-2)</f>
        <v>338</v>
      </c>
    </row>
    <row r="341" spans="1:48" ht="20.100000000000001" customHeight="1" x14ac:dyDescent="0.25">
      <c r="A3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68</v>
      </c>
      <c r="E341" s="47"/>
      <c r="H341" s="48"/>
      <c r="L341" s="38" t="s">
        <v>433</v>
      </c>
      <c r="M341" s="41">
        <v>2</v>
      </c>
      <c r="N341" s="39"/>
      <c r="Q341" s="43">
        <v>1468800</v>
      </c>
      <c r="R341" s="49"/>
      <c r="S341" s="50">
        <v>0.17</v>
      </c>
      <c r="U341" s="51"/>
      <c r="V341" s="46"/>
      <c r="W341" s="51">
        <f>IF(NOTA[[#This Row],[HARGA/ CTN]]="",NOTA[[#This Row],[JUMLAH_H]],NOTA[[#This Row],[HARGA/ CTN]]*IF(NOTA[[#This Row],[C]]="",0,NOTA[[#This Row],[C]]))</f>
        <v>2937600</v>
      </c>
      <c r="X341" s="51">
        <f>IF(NOTA[[#This Row],[JUMLAH]]="","",NOTA[[#This Row],[JUMLAH]]*NOTA[[#This Row],[DISC 1]])</f>
        <v>499392.00000000006</v>
      </c>
      <c r="Y341" s="51">
        <f>IF(NOTA[[#This Row],[JUMLAH]]="","",(NOTA[[#This Row],[JUMLAH]]-NOTA[[#This Row],[DISC 1-]])*NOTA[[#This Row],[DISC 2]])</f>
        <v>0</v>
      </c>
      <c r="Z341" s="51">
        <f>IF(NOTA[[#This Row],[JUMLAH]]="","",NOTA[[#This Row],[DISC 1-]]+NOTA[[#This Row],[DISC 2-]])</f>
        <v>499392.00000000006</v>
      </c>
      <c r="AA341" s="51">
        <f>IF(NOTA[[#This Row],[JUMLAH]]="","",NOTA[[#This Row],[JUMLAH]]-NOTA[[#This Row],[DISC]])</f>
        <v>2438208</v>
      </c>
      <c r="AB341" s="51"/>
      <c r="AC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F341" s="51" t="str">
        <f>IF(OR(NOTA[[#This Row],[QTY]]="",NOTA[[#This Row],[HARGA SATUAN]]="",),"",NOTA[[#This Row],[QTY]]*NOTA[[#This Row],[HARGA SATUAN]])</f>
        <v/>
      </c>
      <c r="AG341" s="40">
        <f ca="1">IF(NOTA[ID_H]="","",INDEX(NOTA[TANGGAL],MATCH(,INDIRECT(ADDRESS(ROW(NOTA[TANGGAL]),COLUMN(NOTA[TANGGAL]))&amp;":"&amp;ADDRESS(ROW(),COLUMN(NOTA[TANGGAL]))),-1)))</f>
        <v>45121</v>
      </c>
      <c r="AH341" s="42" t="str">
        <f ca="1">IF(NOTA[[#This Row],[NAMA BARANG]]="","",INDEX(NOTA[SUPPLIER],MATCH(,INDIRECT(ADDRESS(ROW(NOTA[ID]),COLUMN(NOTA[ID]))&amp;":"&amp;ADDRESS(ROW(),COLUMN(NOTA[ID]))),-1)))</f>
        <v>KENKO SINAR INDONESIA</v>
      </c>
      <c r="AI341" s="42" t="str">
        <f ca="1">IF(NOTA[[#This Row],[ID_H]]="","",IF(NOTA[[#This Row],[FAKTUR]]="",INDIRECT(ADDRESS(ROW()-1,COLUMN())),NOTA[[#This Row],[FAKTUR]]))</f>
        <v>ARTO MORO</v>
      </c>
      <c r="AJ341" s="39" t="str">
        <f ca="1">IF(NOTA[[#This Row],[ID]]="","",COUNTIF(NOTA[ID_H],NOTA[[#This Row],[ID_H]]))</f>
        <v/>
      </c>
      <c r="AK341" s="39">
        <f ca="1">IF(NOTA[[#This Row],[TGL.NOTA]]="",IF(NOTA[[#This Row],[SUPPLIER_H]]="","",AK340),MONTH(NOTA[[#This Row],[TGL.NOTA]]))</f>
        <v>7</v>
      </c>
      <c r="AL341" s="39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M3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N3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O3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9" t="str">
        <f>IF(NOTA[[#This Row],[CONCAT4]]="","",_xlfn.IFNA(MATCH(NOTA[[#This Row],[CONCAT4]],[2]!RAW[CONCAT_H],0),FALSE))</f>
        <v/>
      </c>
      <c r="AQ341" s="39">
        <f>IF(NOTA[[#This Row],[CONCAT1]]="","",MATCH(NOTA[[#This Row],[CONCAT1]],[3]!db[NB NOTA_C],0))</f>
        <v>152</v>
      </c>
      <c r="AR341" s="39" t="str">
        <f>IF(NOTA[[#This Row],[QTY/ CTN]]="","",TRUE)</f>
        <v/>
      </c>
      <c r="AS341" s="39" t="str">
        <f ca="1">IF(NOTA[[#This Row],[ID_H]]="","",IF(NOTA[[#This Row],[Column3]]=TRUE,NOTA[[#This Row],[QTY/ CTN]],INDEX([3]!db[QTY/ CTN],NOTA[[#This Row],[//DB]])))</f>
        <v>144 LSN</v>
      </c>
      <c r="AT3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U341" s="39" t="e">
        <f ca="1">IF(NOTA[[#This Row],[ID_H]]="","",MATCH(NOTA[[#This Row],[NB NOTA_C_QTY]],[4]!db[NB NOTA_C_QTY+F],0))</f>
        <v>#REF!</v>
      </c>
      <c r="AV341" s="55">
        <f ca="1">IF(NOTA[[#This Row],[NB NOTA_C_QTY]]="","",ROW()-2)</f>
        <v>339</v>
      </c>
    </row>
    <row r="342" spans="1:48" ht="20.100000000000001" customHeight="1" x14ac:dyDescent="0.25">
      <c r="A3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68</v>
      </c>
      <c r="E342" s="47"/>
      <c r="H342" s="48"/>
      <c r="L342" s="38" t="s">
        <v>406</v>
      </c>
      <c r="M342" s="41">
        <v>1</v>
      </c>
      <c r="N342" s="39"/>
      <c r="Q342" s="43">
        <v>2280000</v>
      </c>
      <c r="R342" s="49"/>
      <c r="S342" s="50">
        <v>0.17</v>
      </c>
      <c r="U342" s="51"/>
      <c r="V342" s="46"/>
      <c r="W342" s="51">
        <f>IF(NOTA[[#This Row],[HARGA/ CTN]]="",NOTA[[#This Row],[JUMLAH_H]],NOTA[[#This Row],[HARGA/ CTN]]*IF(NOTA[[#This Row],[C]]="",0,NOTA[[#This Row],[C]]))</f>
        <v>2280000</v>
      </c>
      <c r="X342" s="51">
        <f>IF(NOTA[[#This Row],[JUMLAH]]="","",NOTA[[#This Row],[JUMLAH]]*NOTA[[#This Row],[DISC 1]])</f>
        <v>387600</v>
      </c>
      <c r="Y342" s="51">
        <f>IF(NOTA[[#This Row],[JUMLAH]]="","",(NOTA[[#This Row],[JUMLAH]]-NOTA[[#This Row],[DISC 1-]])*NOTA[[#This Row],[DISC 2]])</f>
        <v>0</v>
      </c>
      <c r="Z342" s="51">
        <f>IF(NOTA[[#This Row],[JUMLAH]]="","",NOTA[[#This Row],[DISC 1-]]+NOTA[[#This Row],[DISC 2-]])</f>
        <v>387600</v>
      </c>
      <c r="AA342" s="51">
        <f>IF(NOTA[[#This Row],[JUMLAH]]="","",NOTA[[#This Row],[JUMLAH]]-NOTA[[#This Row],[DISC]])</f>
        <v>1892400</v>
      </c>
      <c r="AB342" s="51"/>
      <c r="AC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42" s="51" t="str">
        <f>IF(OR(NOTA[[#This Row],[QTY]]="",NOTA[[#This Row],[HARGA SATUAN]]="",),"",NOTA[[#This Row],[QTY]]*NOTA[[#This Row],[HARGA SATUAN]])</f>
        <v/>
      </c>
      <c r="AG342" s="40">
        <f ca="1">IF(NOTA[ID_H]="","",INDEX(NOTA[TANGGAL],MATCH(,INDIRECT(ADDRESS(ROW(NOTA[TANGGAL]),COLUMN(NOTA[TANGGAL]))&amp;":"&amp;ADDRESS(ROW(),COLUMN(NOTA[TANGGAL]))),-1)))</f>
        <v>45121</v>
      </c>
      <c r="AH342" s="42" t="str">
        <f ca="1">IF(NOTA[[#This Row],[NAMA BARANG]]="","",INDEX(NOTA[SUPPLIER],MATCH(,INDIRECT(ADDRESS(ROW(NOTA[ID]),COLUMN(NOTA[ID]))&amp;":"&amp;ADDRESS(ROW(),COLUMN(NOTA[ID]))),-1)))</f>
        <v>KENKO SINAR INDONESIA</v>
      </c>
      <c r="AI342" s="42" t="str">
        <f ca="1">IF(NOTA[[#This Row],[ID_H]]="","",IF(NOTA[[#This Row],[FAKTUR]]="",INDIRECT(ADDRESS(ROW()-1,COLUMN())),NOTA[[#This Row],[FAKTUR]]))</f>
        <v>ARTO MORO</v>
      </c>
      <c r="AJ342" s="39" t="str">
        <f ca="1">IF(NOTA[[#This Row],[ID]]="","",COUNTIF(NOTA[ID_H],NOTA[[#This Row],[ID_H]]))</f>
        <v/>
      </c>
      <c r="AK342" s="39">
        <f ca="1">IF(NOTA[[#This Row],[TGL.NOTA]]="",IF(NOTA[[#This Row],[SUPPLIER_H]]="","",AK341),MONTH(NOTA[[#This Row],[TGL.NOTA]]))</f>
        <v>7</v>
      </c>
      <c r="AL342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9" t="str">
        <f>IF(NOTA[[#This Row],[CONCAT4]]="","",_xlfn.IFNA(MATCH(NOTA[[#This Row],[CONCAT4]],[2]!RAW[CONCAT_H],0),FALSE))</f>
        <v/>
      </c>
      <c r="AQ342" s="39">
        <f>IF(NOTA[[#This Row],[CONCAT1]]="","",MATCH(NOTA[[#This Row],[CONCAT1]],[3]!db[NB NOTA_C],0))</f>
        <v>2472</v>
      </c>
      <c r="AR342" s="39" t="str">
        <f>IF(NOTA[[#This Row],[QTY/ CTN]]="","",TRUE)</f>
        <v/>
      </c>
      <c r="AS342" s="39" t="str">
        <f ca="1">IF(NOTA[[#This Row],[ID_H]]="","",IF(NOTA[[#This Row],[Column3]]=TRUE,NOTA[[#This Row],[QTY/ CTN]],INDEX([3]!db[QTY/ CTN],NOTA[[#This Row],[//DB]])))</f>
        <v>10 LSN</v>
      </c>
      <c r="AT3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342" s="39" t="e">
        <f ca="1">IF(NOTA[[#This Row],[ID_H]]="","",MATCH(NOTA[[#This Row],[NB NOTA_C_QTY]],[4]!db[NB NOTA_C_QTY+F],0))</f>
        <v>#REF!</v>
      </c>
      <c r="AV342" s="55">
        <f ca="1">IF(NOTA[[#This Row],[NB NOTA_C_QTY]]="","",ROW()-2)</f>
        <v>340</v>
      </c>
    </row>
    <row r="343" spans="1:48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68</v>
      </c>
      <c r="E343" s="47"/>
      <c r="H343" s="48"/>
      <c r="L343" s="38" t="s">
        <v>434</v>
      </c>
      <c r="M343" s="41">
        <v>2</v>
      </c>
      <c r="N343" s="39"/>
      <c r="Q343" s="43">
        <v>2376000</v>
      </c>
      <c r="R343" s="49"/>
      <c r="S343" s="50">
        <v>0.17</v>
      </c>
      <c r="U343" s="51"/>
      <c r="V343" s="46"/>
      <c r="W343" s="51">
        <f>IF(NOTA[[#This Row],[HARGA/ CTN]]="",NOTA[[#This Row],[JUMLAH_H]],NOTA[[#This Row],[HARGA/ CTN]]*IF(NOTA[[#This Row],[C]]="",0,NOTA[[#This Row],[C]]))</f>
        <v>4752000</v>
      </c>
      <c r="X343" s="51">
        <f>IF(NOTA[[#This Row],[JUMLAH]]="","",NOTA[[#This Row],[JUMLAH]]*NOTA[[#This Row],[DISC 1]])</f>
        <v>807840</v>
      </c>
      <c r="Y343" s="51">
        <f>IF(NOTA[[#This Row],[JUMLAH]]="","",(NOTA[[#This Row],[JUMLAH]]-NOTA[[#This Row],[DISC 1-]])*NOTA[[#This Row],[DISC 2]])</f>
        <v>0</v>
      </c>
      <c r="Z343" s="51">
        <f>IF(NOTA[[#This Row],[JUMLAH]]="","",NOTA[[#This Row],[DISC 1-]]+NOTA[[#This Row],[DISC 2-]])</f>
        <v>807840</v>
      </c>
      <c r="AA343" s="51">
        <f>IF(NOTA[[#This Row],[JUMLAH]]="","",NOTA[[#This Row],[JUMLAH]]-NOTA[[#This Row],[DISC]])</f>
        <v>3944160</v>
      </c>
      <c r="AB343" s="51"/>
      <c r="AC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43" s="51" t="str">
        <f>IF(OR(NOTA[[#This Row],[QTY]]="",NOTA[[#This Row],[HARGA SATUAN]]="",),"",NOTA[[#This Row],[QTY]]*NOTA[[#This Row],[HARGA SATUAN]])</f>
        <v/>
      </c>
      <c r="AG343" s="40">
        <f ca="1">IF(NOTA[ID_H]="","",INDEX(NOTA[TANGGAL],MATCH(,INDIRECT(ADDRESS(ROW(NOTA[TANGGAL]),COLUMN(NOTA[TANGGAL]))&amp;":"&amp;ADDRESS(ROW(),COLUMN(NOTA[TANGGAL]))),-1)))</f>
        <v>45121</v>
      </c>
      <c r="AH343" s="42" t="str">
        <f ca="1">IF(NOTA[[#This Row],[NAMA BARANG]]="","",INDEX(NOTA[SUPPLIER],MATCH(,INDIRECT(ADDRESS(ROW(NOTA[ID]),COLUMN(NOTA[ID]))&amp;":"&amp;ADDRESS(ROW(),COLUMN(NOTA[ID]))),-1)))</f>
        <v>KENKO SINAR INDONESIA</v>
      </c>
      <c r="AI343" s="42" t="str">
        <f ca="1">IF(NOTA[[#This Row],[ID_H]]="","",IF(NOTA[[#This Row],[FAKTUR]]="",INDIRECT(ADDRESS(ROW()-1,COLUMN())),NOTA[[#This Row],[FAKTUR]]))</f>
        <v>ARTO MORO</v>
      </c>
      <c r="AJ343" s="39" t="str">
        <f ca="1">IF(NOTA[[#This Row],[ID]]="","",COUNTIF(NOTA[ID_H],NOTA[[#This Row],[ID_H]]))</f>
        <v/>
      </c>
      <c r="AK343" s="39">
        <f ca="1">IF(NOTA[[#This Row],[TGL.NOTA]]="",IF(NOTA[[#This Row],[SUPPLIER_H]]="","",AK342),MONTH(NOTA[[#This Row],[TGL.NOTA]]))</f>
        <v>7</v>
      </c>
      <c r="AL34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9" t="str">
        <f>IF(NOTA[[#This Row],[CONCAT4]]="","",_xlfn.IFNA(MATCH(NOTA[[#This Row],[CONCAT4]],[2]!RAW[CONCAT_H],0),FALSE))</f>
        <v/>
      </c>
      <c r="AQ343" s="39">
        <f>IF(NOTA[[#This Row],[CONCAT1]]="","",MATCH(NOTA[[#This Row],[CONCAT1]],[3]!db[NB NOTA_C],0))</f>
        <v>1508</v>
      </c>
      <c r="AR343" s="39" t="str">
        <f>IF(NOTA[[#This Row],[QTY/ CTN]]="","",TRUE)</f>
        <v/>
      </c>
      <c r="AS343" s="39" t="str">
        <f ca="1">IF(NOTA[[#This Row],[ID_H]]="","",IF(NOTA[[#This Row],[Column3]]=TRUE,NOTA[[#This Row],[QTY/ CTN]],INDEX([3]!db[QTY/ CTN],NOTA[[#This Row],[//DB]])))</f>
        <v>36 BOX (30 PCS)</v>
      </c>
      <c r="AT3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43" s="39" t="e">
        <f ca="1">IF(NOTA[[#This Row],[ID_H]]="","",MATCH(NOTA[[#This Row],[NB NOTA_C_QTY]],[4]!db[NB NOTA_C_QTY+F],0))</f>
        <v>#REF!</v>
      </c>
      <c r="AV343" s="55">
        <f ca="1">IF(NOTA[[#This Row],[NB NOTA_C_QTY]]="","",ROW()-2)</f>
        <v>341</v>
      </c>
    </row>
    <row r="344" spans="1:48" ht="20.100000000000001" customHeight="1" x14ac:dyDescent="0.25">
      <c r="A3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68</v>
      </c>
      <c r="E344" s="47"/>
      <c r="H344" s="48"/>
      <c r="L344" s="38" t="s">
        <v>435</v>
      </c>
      <c r="M344" s="41">
        <v>3</v>
      </c>
      <c r="N344" s="39"/>
      <c r="Q344" s="43">
        <v>2592000</v>
      </c>
      <c r="R344" s="49"/>
      <c r="S344" s="50">
        <v>0.17</v>
      </c>
      <c r="U344" s="51"/>
      <c r="V344" s="46"/>
      <c r="W344" s="51">
        <f>IF(NOTA[[#This Row],[HARGA/ CTN]]="",NOTA[[#This Row],[JUMLAH_H]],NOTA[[#This Row],[HARGA/ CTN]]*IF(NOTA[[#This Row],[C]]="",0,NOTA[[#This Row],[C]]))</f>
        <v>7776000</v>
      </c>
      <c r="X344" s="51">
        <f>IF(NOTA[[#This Row],[JUMLAH]]="","",NOTA[[#This Row],[JUMLAH]]*NOTA[[#This Row],[DISC 1]])</f>
        <v>1321920</v>
      </c>
      <c r="Y344" s="51">
        <f>IF(NOTA[[#This Row],[JUMLAH]]="","",(NOTA[[#This Row],[JUMLAH]]-NOTA[[#This Row],[DISC 1-]])*NOTA[[#This Row],[DISC 2]])</f>
        <v>0</v>
      </c>
      <c r="Z344" s="51">
        <f>IF(NOTA[[#This Row],[JUMLAH]]="","",NOTA[[#This Row],[DISC 1-]]+NOTA[[#This Row],[DISC 2-]])</f>
        <v>1321920</v>
      </c>
      <c r="AA344" s="51">
        <f>IF(NOTA[[#This Row],[JUMLAH]]="","",NOTA[[#This Row],[JUMLAH]]-NOTA[[#This Row],[DISC]])</f>
        <v>6454080</v>
      </c>
      <c r="AB344" s="51"/>
      <c r="AC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4546140</v>
      </c>
      <c r="AD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22195860</v>
      </c>
      <c r="AE34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44" s="51" t="str">
        <f>IF(OR(NOTA[[#This Row],[QTY]]="",NOTA[[#This Row],[HARGA SATUAN]]="",),"",NOTA[[#This Row],[QTY]]*NOTA[[#This Row],[HARGA SATUAN]])</f>
        <v/>
      </c>
      <c r="AG344" s="40">
        <f ca="1">IF(NOTA[ID_H]="","",INDEX(NOTA[TANGGAL],MATCH(,INDIRECT(ADDRESS(ROW(NOTA[TANGGAL]),COLUMN(NOTA[TANGGAL]))&amp;":"&amp;ADDRESS(ROW(),COLUMN(NOTA[TANGGAL]))),-1)))</f>
        <v>45121</v>
      </c>
      <c r="AH344" s="42" t="str">
        <f ca="1">IF(NOTA[[#This Row],[NAMA BARANG]]="","",INDEX(NOTA[SUPPLIER],MATCH(,INDIRECT(ADDRESS(ROW(NOTA[ID]),COLUMN(NOTA[ID]))&amp;":"&amp;ADDRESS(ROW(),COLUMN(NOTA[ID]))),-1)))</f>
        <v>KENKO SINAR INDONESIA</v>
      </c>
      <c r="AI344" s="42" t="str">
        <f ca="1">IF(NOTA[[#This Row],[ID_H]]="","",IF(NOTA[[#This Row],[FAKTUR]]="",INDIRECT(ADDRESS(ROW()-1,COLUMN())),NOTA[[#This Row],[FAKTUR]]))</f>
        <v>ARTO MORO</v>
      </c>
      <c r="AJ344" s="39" t="str">
        <f ca="1">IF(NOTA[[#This Row],[ID]]="","",COUNTIF(NOTA[ID_H],NOTA[[#This Row],[ID_H]]))</f>
        <v/>
      </c>
      <c r="AK344" s="39">
        <f ca="1">IF(NOTA[[#This Row],[TGL.NOTA]]="",IF(NOTA[[#This Row],[SUPPLIER_H]]="","",AK343),MONTH(NOTA[[#This Row],[TGL.NOTA]]))</f>
        <v>7</v>
      </c>
      <c r="AL344" s="39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9" t="str">
        <f>IF(NOTA[[#This Row],[CONCAT4]]="","",_xlfn.IFNA(MATCH(NOTA[[#This Row],[CONCAT4]],[2]!RAW[CONCAT_H],0),FALSE))</f>
        <v/>
      </c>
      <c r="AQ344" s="39">
        <f>IF(NOTA[[#This Row],[CONCAT1]]="","",MATCH(NOTA[[#This Row],[CONCAT1]],[3]!db[NB NOTA_C],0))</f>
        <v>1506</v>
      </c>
      <c r="AR344" s="39" t="str">
        <f>IF(NOTA[[#This Row],[QTY/ CTN]]="","",TRUE)</f>
        <v/>
      </c>
      <c r="AS344" s="39" t="str">
        <f ca="1">IF(NOTA[[#This Row],[ID_H]]="","",IF(NOTA[[#This Row],[Column3]]=TRUE,NOTA[[#This Row],[QTY/ CTN]],INDEX([3]!db[QTY/ CTN],NOTA[[#This Row],[//DB]])))</f>
        <v>36 BOX (20 PCS)</v>
      </c>
      <c r="AT3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344" s="39" t="e">
        <f ca="1">IF(NOTA[[#This Row],[ID_H]]="","",MATCH(NOTA[[#This Row],[NB NOTA_C_QTY]],[4]!db[NB NOTA_C_QTY+F],0))</f>
        <v>#REF!</v>
      </c>
      <c r="AV344" s="55">
        <f ca="1">IF(NOTA[[#This Row],[NB NOTA_C_QTY]]="","",ROW()-2)</f>
        <v>342</v>
      </c>
    </row>
    <row r="345" spans="1:48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 t="str">
        <f ca="1">IF(NOTA[[#This Row],[NAMA BARANG]]="","",INDEX(NOTA[ID],MATCH(,INDIRECT(ADDRESS(ROW(NOTA[ID]),COLUMN(NOTA[ID]))&amp;":"&amp;ADDRESS(ROW(),COLUMN(NOTA[ID]))),-1)))</f>
        <v/>
      </c>
      <c r="E345" s="47"/>
      <c r="H345" s="48"/>
      <c r="N345" s="39"/>
      <c r="Q345" s="43"/>
      <c r="R345" s="49"/>
      <c r="S345" s="50"/>
      <c r="U345" s="51"/>
      <c r="V345" s="46"/>
      <c r="W345" s="51" t="str">
        <f>IF(NOTA[[#This Row],[HARGA/ CTN]]="",NOTA[[#This Row],[JUMLAH_H]],NOTA[[#This Row],[HARGA/ CTN]]*IF(NOTA[[#This Row],[C]]="",0,NOTA[[#This Row],[C]]))</f>
        <v/>
      </c>
      <c r="X345" s="51" t="str">
        <f>IF(NOTA[[#This Row],[JUMLAH]]="","",NOTA[[#This Row],[JUMLAH]]*NOTA[[#This Row],[DISC 1]])</f>
        <v/>
      </c>
      <c r="Y345" s="51" t="str">
        <f>IF(NOTA[[#This Row],[JUMLAH]]="","",(NOTA[[#This Row],[JUMLAH]]-NOTA[[#This Row],[DISC 1-]])*NOTA[[#This Row],[DISC 2]])</f>
        <v/>
      </c>
      <c r="Z345" s="51" t="str">
        <f>IF(NOTA[[#This Row],[JUMLAH]]="","",NOTA[[#This Row],[DISC 1-]]+NOTA[[#This Row],[DISC 2-]])</f>
        <v/>
      </c>
      <c r="AA345" s="51" t="str">
        <f>IF(NOTA[[#This Row],[JUMLAH]]="","",NOTA[[#This Row],[JUMLAH]]-NOTA[[#This Row],[DISC]])</f>
        <v/>
      </c>
      <c r="AB345" s="51"/>
      <c r="AC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1" t="str">
        <f>IF(OR(NOTA[[#This Row],[QTY]]="",NOTA[[#This Row],[HARGA SATUAN]]="",),"",NOTA[[#This Row],[QTY]]*NOTA[[#This Row],[HARGA SATUAN]])</f>
        <v/>
      </c>
      <c r="AG345" s="40" t="str">
        <f ca="1">IF(NOTA[ID_H]="","",INDEX(NOTA[TANGGAL],MATCH(,INDIRECT(ADDRESS(ROW(NOTA[TANGGAL]),COLUMN(NOTA[TANGGAL]))&amp;":"&amp;ADDRESS(ROW(),COLUMN(NOTA[TANGGAL]))),-1)))</f>
        <v/>
      </c>
      <c r="AH345" s="42" t="str">
        <f ca="1">IF(NOTA[[#This Row],[NAMA BARANG]]="","",INDEX(NOTA[SUPPLIER],MATCH(,INDIRECT(ADDRESS(ROW(NOTA[ID]),COLUMN(NOTA[ID]))&amp;":"&amp;ADDRESS(ROW(),COLUMN(NOTA[ID]))),-1)))</f>
        <v/>
      </c>
      <c r="AI345" s="42" t="str">
        <f ca="1">IF(NOTA[[#This Row],[ID_H]]="","",IF(NOTA[[#This Row],[FAKTUR]]="",INDIRECT(ADDRESS(ROW()-1,COLUMN())),NOTA[[#This Row],[FAKTUR]]))</f>
        <v/>
      </c>
      <c r="AJ345" s="39" t="str">
        <f ca="1">IF(NOTA[[#This Row],[ID]]="","",COUNTIF(NOTA[ID_H],NOTA[[#This Row],[ID_H]]))</f>
        <v/>
      </c>
      <c r="AK345" s="39" t="str">
        <f ca="1">IF(NOTA[[#This Row],[TGL.NOTA]]="",IF(NOTA[[#This Row],[SUPPLIER_H]]="","",AK344),MONTH(NOTA[[#This Row],[TGL.NOTA]]))</f>
        <v/>
      </c>
      <c r="AL345" s="39" t="str">
        <f>LOWER(SUBSTITUTE(SUBSTITUTE(SUBSTITUTE(SUBSTITUTE(SUBSTITUTE(SUBSTITUTE(SUBSTITUTE(SUBSTITUTE(SUBSTITUTE(NOTA[NAMA BARANG]," ",),".",""),"-",""),"(",""),")",""),",",""),"/",""),"""",""),"+",""))</f>
        <v/>
      </c>
      <c r="AM3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9" t="str">
        <f>IF(NOTA[[#This Row],[CONCAT4]]="","",_xlfn.IFNA(MATCH(NOTA[[#This Row],[CONCAT4]],[2]!RAW[CONCAT_H],0),FALSE))</f>
        <v/>
      </c>
      <c r="AQ345" s="39" t="str">
        <f>IF(NOTA[[#This Row],[CONCAT1]]="","",MATCH(NOTA[[#This Row],[CONCAT1]],[3]!db[NB NOTA_C],0))</f>
        <v/>
      </c>
      <c r="AR345" s="39" t="str">
        <f>IF(NOTA[[#This Row],[QTY/ CTN]]="","",TRUE)</f>
        <v/>
      </c>
      <c r="AS345" s="39" t="str">
        <f ca="1">IF(NOTA[[#This Row],[ID_H]]="","",IF(NOTA[[#This Row],[Column3]]=TRUE,NOTA[[#This Row],[QTY/ CTN]],INDEX([3]!db[QTY/ CTN],NOTA[[#This Row],[//DB]])))</f>
        <v/>
      </c>
      <c r="AT3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9" t="str">
        <f ca="1">IF(NOTA[[#This Row],[ID_H]]="","",MATCH(NOTA[[#This Row],[NB NOTA_C_QTY]],[4]!db[NB NOTA_C_QTY+F],0))</f>
        <v/>
      </c>
      <c r="AV345" s="55" t="str">
        <f ca="1">IF(NOTA[[#This Row],[NB NOTA_C_QTY]]="","",ROW()-2)</f>
        <v/>
      </c>
    </row>
    <row r="346" spans="1:48" ht="20.100000000000001" customHeight="1" x14ac:dyDescent="0.25">
      <c r="A346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ATA_1407_837-5</v>
      </c>
      <c r="C346" s="39" t="e">
        <f ca="1">IF(NOTA[[#This Row],[ID_P]]="","",MATCH(NOTA[[#This Row],[ID_P]],[1]!B_MSK[N_ID],0))</f>
        <v>#REF!</v>
      </c>
      <c r="D346" s="39">
        <f ca="1">IF(NOTA[[#This Row],[NAMA BARANG]]="","",INDEX(NOTA[ID],MATCH(,INDIRECT(ADDRESS(ROW(NOTA[ID]),COLUMN(NOTA[ID]))&amp;":"&amp;ADDRESS(ROW(),COLUMN(NOTA[ID]))),-1)))</f>
        <v>69</v>
      </c>
      <c r="E346" s="47"/>
      <c r="F346" s="38" t="s">
        <v>24</v>
      </c>
      <c r="G346" s="38" t="s">
        <v>23</v>
      </c>
      <c r="H346" s="48" t="s">
        <v>436</v>
      </c>
      <c r="J346" s="40">
        <v>45118</v>
      </c>
      <c r="L346" s="38" t="s">
        <v>437</v>
      </c>
      <c r="M346" s="41">
        <v>1</v>
      </c>
      <c r="N346" s="39">
        <v>144</v>
      </c>
      <c r="O346" s="38" t="s">
        <v>263</v>
      </c>
      <c r="P346" s="42">
        <v>23900</v>
      </c>
      <c r="Q346" s="43"/>
      <c r="R346" s="49"/>
      <c r="S346" s="50">
        <v>0.125</v>
      </c>
      <c r="T346" s="45">
        <v>0.05</v>
      </c>
      <c r="U346" s="51"/>
      <c r="V346" s="46"/>
      <c r="W346" s="51">
        <f>IF(NOTA[[#This Row],[HARGA/ CTN]]="",NOTA[[#This Row],[JUMLAH_H]],NOTA[[#This Row],[HARGA/ CTN]]*IF(NOTA[[#This Row],[C]]="",0,NOTA[[#This Row],[C]]))</f>
        <v>3441600</v>
      </c>
      <c r="X346" s="51">
        <f>IF(NOTA[[#This Row],[JUMLAH]]="","",NOTA[[#This Row],[JUMLAH]]*NOTA[[#This Row],[DISC 1]])</f>
        <v>430200</v>
      </c>
      <c r="Y346" s="51">
        <f>IF(NOTA[[#This Row],[JUMLAH]]="","",(NOTA[[#This Row],[JUMLAH]]-NOTA[[#This Row],[DISC 1-]])*NOTA[[#This Row],[DISC 2]])</f>
        <v>150570</v>
      </c>
      <c r="Z346" s="51">
        <f>IF(NOTA[[#This Row],[JUMLAH]]="","",NOTA[[#This Row],[DISC 1-]]+NOTA[[#This Row],[DISC 2-]])</f>
        <v>580770</v>
      </c>
      <c r="AA346" s="51">
        <f>IF(NOTA[[#This Row],[JUMLAH]]="","",NOTA[[#This Row],[JUMLAH]]-NOTA[[#This Row],[DISC]])</f>
        <v>2860830</v>
      </c>
      <c r="AB346" s="51"/>
      <c r="AC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46" s="51">
        <f>IF(OR(NOTA[[#This Row],[QTY]]="",NOTA[[#This Row],[HARGA SATUAN]]="",),"",NOTA[[#This Row],[QTY]]*NOTA[[#This Row],[HARGA SATUAN]])</f>
        <v>3441600</v>
      </c>
      <c r="AG346" s="40">
        <f ca="1">IF(NOTA[ID_H]="","",INDEX(NOTA[TANGGAL],MATCH(,INDIRECT(ADDRESS(ROW(NOTA[TANGGAL]),COLUMN(NOTA[TANGGAL]))&amp;":"&amp;ADDRESS(ROW(),COLUMN(NOTA[TANGGAL]))),-1)))</f>
        <v>45121</v>
      </c>
      <c r="AH346" s="42" t="str">
        <f ca="1">IF(NOTA[[#This Row],[NAMA BARANG]]="","",INDEX(NOTA[SUPPLIER],MATCH(,INDIRECT(ADDRESS(ROW(NOTA[ID]),COLUMN(NOTA[ID]))&amp;":"&amp;ADDRESS(ROW(),COLUMN(NOTA[ID]))),-1)))</f>
        <v>ATALI MAKMUR</v>
      </c>
      <c r="AI346" s="42" t="str">
        <f ca="1">IF(NOTA[[#This Row],[ID_H]]="","",IF(NOTA[[#This Row],[FAKTUR]]="",INDIRECT(ADDRESS(ROW()-1,COLUMN())),NOTA[[#This Row],[FAKTUR]]))</f>
        <v>ARTO MORO</v>
      </c>
      <c r="AJ346" s="39">
        <f ca="1">IF(NOTA[[#This Row],[ID]]="","",COUNTIF(NOTA[ID_H],NOTA[[#This Row],[ID_H]]))</f>
        <v>5</v>
      </c>
      <c r="AK346" s="39">
        <f>IF(NOTA[[#This Row],[TGL.NOTA]]="",IF(NOTA[[#This Row],[SUPPLIER_H]]="","",AK345),MONTH(NOTA[[#This Row],[TGL.NOTA]]))</f>
        <v>7</v>
      </c>
      <c r="AL346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MOROSA23071183745118crayonputartwcr12sjk</v>
      </c>
      <c r="AP346" s="39" t="e">
        <f>IF(NOTA[[#This Row],[CONCAT4]]="","",_xlfn.IFNA(MATCH(NOTA[[#This Row],[CONCAT4]],[2]!RAW[CONCAT_H],0),FALSE))</f>
        <v>#REF!</v>
      </c>
      <c r="AQ346" s="39">
        <f>IF(NOTA[[#This Row],[CONCAT1]]="","",MATCH(NOTA[[#This Row],[CONCAT1]],[3]!db[NB NOTA_C],0))</f>
        <v>920</v>
      </c>
      <c r="AR346" s="39" t="str">
        <f>IF(NOTA[[#This Row],[QTY/ CTN]]="","",TRUE)</f>
        <v/>
      </c>
      <c r="AS346" s="39" t="str">
        <f ca="1">IF(NOTA[[#This Row],[ID_H]]="","",IF(NOTA[[#This Row],[Column3]]=TRUE,NOTA[[#This Row],[QTY/ CTN]],INDEX([3]!db[QTY/ CTN],NOTA[[#This Row],[//DB]])))</f>
        <v>12 LSN</v>
      </c>
      <c r="AT3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46" s="39" t="e">
        <f ca="1">IF(NOTA[[#This Row],[ID_H]]="","",MATCH(NOTA[[#This Row],[NB NOTA_C_QTY]],[4]!db[NB NOTA_C_QTY+F],0))</f>
        <v>#REF!</v>
      </c>
      <c r="AV346" s="55">
        <f ca="1">IF(NOTA[[#This Row],[NB NOTA_C_QTY]]="","",ROW()-2)</f>
        <v>344</v>
      </c>
    </row>
    <row r="347" spans="1:48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69</v>
      </c>
      <c r="E347" s="47"/>
      <c r="H347" s="48"/>
      <c r="L347" s="38" t="s">
        <v>438</v>
      </c>
      <c r="M347" s="41">
        <v>1</v>
      </c>
      <c r="N347" s="39">
        <v>160</v>
      </c>
      <c r="O347" s="38" t="s">
        <v>439</v>
      </c>
      <c r="P347" s="42">
        <v>5400</v>
      </c>
      <c r="Q347" s="43"/>
      <c r="R347" s="49"/>
      <c r="S347" s="50">
        <v>0.125</v>
      </c>
      <c r="T347" s="45">
        <v>0.05</v>
      </c>
      <c r="U347" s="51"/>
      <c r="V347" s="46"/>
      <c r="W347" s="51">
        <f>IF(NOTA[[#This Row],[HARGA/ CTN]]="",NOTA[[#This Row],[JUMLAH_H]],NOTA[[#This Row],[HARGA/ CTN]]*IF(NOTA[[#This Row],[C]]="",0,NOTA[[#This Row],[C]]))</f>
        <v>864000</v>
      </c>
      <c r="X347" s="51">
        <f>IF(NOTA[[#This Row],[JUMLAH]]="","",NOTA[[#This Row],[JUMLAH]]*NOTA[[#This Row],[DISC 1]])</f>
        <v>108000</v>
      </c>
      <c r="Y347" s="51">
        <f>IF(NOTA[[#This Row],[JUMLAH]]="","",(NOTA[[#This Row],[JUMLAH]]-NOTA[[#This Row],[DISC 1-]])*NOTA[[#This Row],[DISC 2]])</f>
        <v>37800</v>
      </c>
      <c r="Z347" s="51">
        <f>IF(NOTA[[#This Row],[JUMLAH]]="","",NOTA[[#This Row],[DISC 1-]]+NOTA[[#This Row],[DISC 2-]])</f>
        <v>145800</v>
      </c>
      <c r="AA347" s="51">
        <f>IF(NOTA[[#This Row],[JUMLAH]]="","",NOTA[[#This Row],[JUMLAH]]-NOTA[[#This Row],[DISC]])</f>
        <v>718200</v>
      </c>
      <c r="AB347" s="51"/>
      <c r="AC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2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47" s="51">
        <f>IF(OR(NOTA[[#This Row],[QTY]]="",NOTA[[#This Row],[HARGA SATUAN]]="",),"",NOTA[[#This Row],[QTY]]*NOTA[[#This Row],[HARGA SATUAN]])</f>
        <v>864000</v>
      </c>
      <c r="AG347" s="40">
        <f ca="1">IF(NOTA[ID_H]="","",INDEX(NOTA[TANGGAL],MATCH(,INDIRECT(ADDRESS(ROW(NOTA[TANGGAL]),COLUMN(NOTA[TANGGAL]))&amp;":"&amp;ADDRESS(ROW(),COLUMN(NOTA[TANGGAL]))),-1)))</f>
        <v>45121</v>
      </c>
      <c r="AH347" s="42" t="str">
        <f ca="1">IF(NOTA[[#This Row],[NAMA BARANG]]="","",INDEX(NOTA[SUPPLIER],MATCH(,INDIRECT(ADDRESS(ROW(NOTA[ID]),COLUMN(NOTA[ID]))&amp;":"&amp;ADDRESS(ROW(),COLUMN(NOTA[ID]))),-1)))</f>
        <v>ATALI MAKMUR</v>
      </c>
      <c r="AI347" s="42" t="str">
        <f ca="1">IF(NOTA[[#This Row],[ID_H]]="","",IF(NOTA[[#This Row],[FAKTUR]]="",INDIRECT(ADDRESS(ROW()-1,COLUMN())),NOTA[[#This Row],[FAKTUR]]))</f>
        <v>ARTO MORO</v>
      </c>
      <c r="AJ347" s="39" t="str">
        <f ca="1">IF(NOTA[[#This Row],[ID]]="","",COUNTIF(NOTA[ID_H],NOTA[[#This Row],[ID_H]]))</f>
        <v/>
      </c>
      <c r="AK347" s="39">
        <f ca="1">IF(NOTA[[#This Row],[TGL.NOTA]]="",IF(NOTA[[#This Row],[SUPPLIER_H]]="","",AK346),MONTH(NOTA[[#This Row],[TGL.NOTA]]))</f>
        <v>7</v>
      </c>
      <c r="AL347" s="39" t="str">
        <f>LOWER(SUBSTITUTE(SUBSTITUTE(SUBSTITUTE(SUBSTITUTE(SUBSTITUTE(SUBSTITUTE(SUBSTITUTE(SUBSTITUTE(SUBSTITUTE(NOTA[NAMA BARANG]," ",),".",""),"-",""),"(",""),")",""),",",""),"/",""),"""",""),"+",""))</f>
        <v>adhesivehookadhk3010jk</v>
      </c>
      <c r="AM3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adhesivehookadhk3010jk8640000.1250.05</v>
      </c>
      <c r="AN3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adhesivehookadhk3010jk8640000.1250.05</v>
      </c>
      <c r="AO3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9" t="str">
        <f>IF(NOTA[[#This Row],[CONCAT4]]="","",_xlfn.IFNA(MATCH(NOTA[[#This Row],[CONCAT4]],[2]!RAW[CONCAT_H],0),FALSE))</f>
        <v/>
      </c>
      <c r="AQ347" s="39">
        <f>IF(NOTA[[#This Row],[CONCAT1]]="","",MATCH(NOTA[[#This Row],[CONCAT1]],[3]!db[NB NOTA_C],0))</f>
        <v>33</v>
      </c>
      <c r="AR347" s="39" t="str">
        <f>IF(NOTA[[#This Row],[QTY/ CTN]]="","",TRUE)</f>
        <v/>
      </c>
      <c r="AS347" s="39" t="str">
        <f ca="1">IF(NOTA[[#This Row],[ID_H]]="","",IF(NOTA[[#This Row],[Column3]]=TRUE,NOTA[[#This Row],[QTY/ CTN]],INDEX([3]!db[QTY/ CTN],NOTA[[#This Row],[//DB]])))</f>
        <v>4 BOX (40 CAD)</v>
      </c>
      <c r="AT3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adhesivehookadhk3010jk4box40cadartomoro</v>
      </c>
      <c r="AU347" s="39" t="e">
        <f ca="1">IF(NOTA[[#This Row],[ID_H]]="","",MATCH(NOTA[[#This Row],[NB NOTA_C_QTY]],[4]!db[NB NOTA_C_QTY+F],0))</f>
        <v>#REF!</v>
      </c>
      <c r="AV347" s="55">
        <f ca="1">IF(NOTA[[#This Row],[NB NOTA_C_QTY]]="","",ROW()-2)</f>
        <v>345</v>
      </c>
    </row>
    <row r="348" spans="1:48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69</v>
      </c>
      <c r="E348" s="47"/>
      <c r="H348" s="48"/>
      <c r="L348" s="38" t="s">
        <v>440</v>
      </c>
      <c r="M348" s="41">
        <v>1</v>
      </c>
      <c r="N348" s="39">
        <v>160</v>
      </c>
      <c r="O348" s="38" t="s">
        <v>439</v>
      </c>
      <c r="P348" s="42">
        <v>4600</v>
      </c>
      <c r="Q348" s="43"/>
      <c r="R348" s="49"/>
      <c r="S348" s="50">
        <v>0.125</v>
      </c>
      <c r="T348" s="45">
        <v>0.05</v>
      </c>
      <c r="U348" s="51"/>
      <c r="V348" s="46"/>
      <c r="W348" s="51">
        <f>IF(NOTA[[#This Row],[HARGA/ CTN]]="",NOTA[[#This Row],[JUMLAH_H]],NOTA[[#This Row],[HARGA/ CTN]]*IF(NOTA[[#This Row],[C]]="",0,NOTA[[#This Row],[C]]))</f>
        <v>736000</v>
      </c>
      <c r="X348" s="51">
        <f>IF(NOTA[[#This Row],[JUMLAH]]="","",NOTA[[#This Row],[JUMLAH]]*NOTA[[#This Row],[DISC 1]])</f>
        <v>92000</v>
      </c>
      <c r="Y348" s="51">
        <f>IF(NOTA[[#This Row],[JUMLAH]]="","",(NOTA[[#This Row],[JUMLAH]]-NOTA[[#This Row],[DISC 1-]])*NOTA[[#This Row],[DISC 2]])</f>
        <v>32200</v>
      </c>
      <c r="Z348" s="51">
        <f>IF(NOTA[[#This Row],[JUMLAH]]="","",NOTA[[#This Row],[DISC 1-]]+NOTA[[#This Row],[DISC 2-]])</f>
        <v>124200</v>
      </c>
      <c r="AA348" s="51">
        <f>IF(NOTA[[#This Row],[JUMLAH]]="","",NOTA[[#This Row],[JUMLAH]]-NOTA[[#This Row],[DISC]])</f>
        <v>611800</v>
      </c>
      <c r="AB348" s="51"/>
      <c r="AC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2">
        <f>IF(NOTA[[#This Row],[NAMA BARANG]]="","",IF(NOTA[[#This Row],[JUMLAH_H]]="",NOTA[[#This Row],[HARGA/ CTN]],NOTA[[#This Row],[QTY]]*NOTA[[#This Row],[HARGA SATUAN]]/IF(ISNUMBER(NOTA[[#This Row],[C]]),NOTA[[#This Row],[C]],1)))</f>
        <v>736000</v>
      </c>
      <c r="AF348" s="51">
        <f>IF(OR(NOTA[[#This Row],[QTY]]="",NOTA[[#This Row],[HARGA SATUAN]]="",),"",NOTA[[#This Row],[QTY]]*NOTA[[#This Row],[HARGA SATUAN]])</f>
        <v>736000</v>
      </c>
      <c r="AG348" s="40">
        <f ca="1">IF(NOTA[ID_H]="","",INDEX(NOTA[TANGGAL],MATCH(,INDIRECT(ADDRESS(ROW(NOTA[TANGGAL]),COLUMN(NOTA[TANGGAL]))&amp;":"&amp;ADDRESS(ROW(),COLUMN(NOTA[TANGGAL]))),-1)))</f>
        <v>45121</v>
      </c>
      <c r="AH348" s="42" t="str">
        <f ca="1">IF(NOTA[[#This Row],[NAMA BARANG]]="","",INDEX(NOTA[SUPPLIER],MATCH(,INDIRECT(ADDRESS(ROW(NOTA[ID]),COLUMN(NOTA[ID]))&amp;":"&amp;ADDRESS(ROW(),COLUMN(NOTA[ID]))),-1)))</f>
        <v>ATALI MAKMUR</v>
      </c>
      <c r="AI348" s="42" t="str">
        <f ca="1">IF(NOTA[[#This Row],[ID_H]]="","",IF(NOTA[[#This Row],[FAKTUR]]="",INDIRECT(ADDRESS(ROW()-1,COLUMN())),NOTA[[#This Row],[FAKTUR]]))</f>
        <v>ARTO MORO</v>
      </c>
      <c r="AJ348" s="39" t="str">
        <f ca="1">IF(NOTA[[#This Row],[ID]]="","",COUNTIF(NOTA[ID_H],NOTA[[#This Row],[ID_H]]))</f>
        <v/>
      </c>
      <c r="AK348" s="39">
        <f ca="1">IF(NOTA[[#This Row],[TGL.NOTA]]="",IF(NOTA[[#This Row],[SUPPLIER_H]]="","",AK347),MONTH(NOTA[[#This Row],[TGL.NOTA]]))</f>
        <v>7</v>
      </c>
      <c r="AL348" s="39" t="str">
        <f>LOWER(SUBSTITUTE(SUBSTITUTE(SUBSTITUTE(SUBSTITUTE(SUBSTITUTE(SUBSTITUTE(SUBSTITUTE(SUBSTITUTE(SUBSTITUTE(NOTA[NAMA BARANG]," ",),".",""),"-",""),"(",""),")",""),",",""),"/",""),"""",""),"+",""))</f>
        <v>adhesivehookadhk3020jk</v>
      </c>
      <c r="AM3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adhesivehookadhk3020jk7360000.1250.05</v>
      </c>
      <c r="AN3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adhesivehookadhk3020jk7360000.1250.05</v>
      </c>
      <c r="AO3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9" t="str">
        <f>IF(NOTA[[#This Row],[CONCAT4]]="","",_xlfn.IFNA(MATCH(NOTA[[#This Row],[CONCAT4]],[2]!RAW[CONCAT_H],0),FALSE))</f>
        <v/>
      </c>
      <c r="AQ348" s="39">
        <f>IF(NOTA[[#This Row],[CONCAT1]]="","",MATCH(NOTA[[#This Row],[CONCAT1]],[3]!db[NB NOTA_C],0))</f>
        <v>34</v>
      </c>
      <c r="AR348" s="39" t="str">
        <f>IF(NOTA[[#This Row],[QTY/ CTN]]="","",TRUE)</f>
        <v/>
      </c>
      <c r="AS348" s="39" t="str">
        <f ca="1">IF(NOTA[[#This Row],[ID_H]]="","",IF(NOTA[[#This Row],[Column3]]=TRUE,NOTA[[#This Row],[QTY/ CTN]],INDEX([3]!db[QTY/ CTN],NOTA[[#This Row],[//DB]])))</f>
        <v>4 BOX (40 CAD)</v>
      </c>
      <c r="AT3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adhesivehookadhk3020jk4box40cadartomoro</v>
      </c>
      <c r="AU348" s="39" t="e">
        <f ca="1">IF(NOTA[[#This Row],[ID_H]]="","",MATCH(NOTA[[#This Row],[NB NOTA_C_QTY]],[4]!db[NB NOTA_C_QTY+F],0))</f>
        <v>#REF!</v>
      </c>
      <c r="AV348" s="55">
        <f ca="1">IF(NOTA[[#This Row],[NB NOTA_C_QTY]]="","",ROW()-2)</f>
        <v>346</v>
      </c>
    </row>
    <row r="349" spans="1:48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>
        <f ca="1">IF(NOTA[[#This Row],[NAMA BARANG]]="","",INDEX(NOTA[ID],MATCH(,INDIRECT(ADDRESS(ROW(NOTA[ID]),COLUMN(NOTA[ID]))&amp;":"&amp;ADDRESS(ROW(),COLUMN(NOTA[ID]))),-1)))</f>
        <v>69</v>
      </c>
      <c r="E349" s="47"/>
      <c r="H349" s="48"/>
      <c r="L349" s="38" t="s">
        <v>441</v>
      </c>
      <c r="M349" s="41">
        <v>1</v>
      </c>
      <c r="N349" s="39">
        <v>216</v>
      </c>
      <c r="O349" s="38" t="s">
        <v>117</v>
      </c>
      <c r="P349" s="42">
        <v>4900</v>
      </c>
      <c r="Q349" s="43"/>
      <c r="R349" s="49"/>
      <c r="S349" s="50">
        <v>0.125</v>
      </c>
      <c r="T349" s="45">
        <v>0.05</v>
      </c>
      <c r="U349" s="51"/>
      <c r="V349" s="46"/>
      <c r="W349" s="51">
        <f>IF(NOTA[[#This Row],[HARGA/ CTN]]="",NOTA[[#This Row],[JUMLAH_H]],NOTA[[#This Row],[HARGA/ CTN]]*IF(NOTA[[#This Row],[C]]="",0,NOTA[[#This Row],[C]]))</f>
        <v>1058400</v>
      </c>
      <c r="X349" s="51">
        <f>IF(NOTA[[#This Row],[JUMLAH]]="","",NOTA[[#This Row],[JUMLAH]]*NOTA[[#This Row],[DISC 1]])</f>
        <v>132300</v>
      </c>
      <c r="Y349" s="51">
        <f>IF(NOTA[[#This Row],[JUMLAH]]="","",(NOTA[[#This Row],[JUMLAH]]-NOTA[[#This Row],[DISC 1-]])*NOTA[[#This Row],[DISC 2]])</f>
        <v>46305</v>
      </c>
      <c r="Z349" s="51">
        <f>IF(NOTA[[#This Row],[JUMLAH]]="","",NOTA[[#This Row],[DISC 1-]]+NOTA[[#This Row],[DISC 2-]])</f>
        <v>178605</v>
      </c>
      <c r="AA349" s="51">
        <f>IF(NOTA[[#This Row],[JUMLAH]]="","",NOTA[[#This Row],[JUMLAH]]-NOTA[[#This Row],[DISC]])</f>
        <v>879795</v>
      </c>
      <c r="AB349" s="51"/>
      <c r="AC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2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349" s="51">
        <f>IF(OR(NOTA[[#This Row],[QTY]]="",NOTA[[#This Row],[HARGA SATUAN]]="",),"",NOTA[[#This Row],[QTY]]*NOTA[[#This Row],[HARGA SATUAN]])</f>
        <v>1058400</v>
      </c>
      <c r="AG349" s="40">
        <f ca="1">IF(NOTA[ID_H]="","",INDEX(NOTA[TANGGAL],MATCH(,INDIRECT(ADDRESS(ROW(NOTA[TANGGAL]),COLUMN(NOTA[TANGGAL]))&amp;":"&amp;ADDRESS(ROW(),COLUMN(NOTA[TANGGAL]))),-1)))</f>
        <v>45121</v>
      </c>
      <c r="AH349" s="42" t="str">
        <f ca="1">IF(NOTA[[#This Row],[NAMA BARANG]]="","",INDEX(NOTA[SUPPLIER],MATCH(,INDIRECT(ADDRESS(ROW(NOTA[ID]),COLUMN(NOTA[ID]))&amp;":"&amp;ADDRESS(ROW(),COLUMN(NOTA[ID]))),-1)))</f>
        <v>ATALI MAKMUR</v>
      </c>
      <c r="AI349" s="42" t="str">
        <f ca="1">IF(NOTA[[#This Row],[ID_H]]="","",IF(NOTA[[#This Row],[FAKTUR]]="",INDIRECT(ADDRESS(ROW()-1,COLUMN())),NOTA[[#This Row],[FAKTUR]]))</f>
        <v>ARTO MORO</v>
      </c>
      <c r="AJ349" s="39" t="str">
        <f ca="1">IF(NOTA[[#This Row],[ID]]="","",COUNTIF(NOTA[ID_H],NOTA[[#This Row],[ID_H]]))</f>
        <v/>
      </c>
      <c r="AK349" s="39">
        <f ca="1">IF(NOTA[[#This Row],[TGL.NOTA]]="",IF(NOTA[[#This Row],[SUPPLIER_H]]="","",AK348),MONTH(NOTA[[#This Row],[TGL.NOTA]]))</f>
        <v>7</v>
      </c>
      <c r="AL349" s="39" t="str">
        <f>LOWER(SUBSTITUTE(SUBSTITUTE(SUBSTITUTE(SUBSTITUTE(SUBSTITUTE(SUBSTITUTE(SUBSTITUTE(SUBSTITUTE(SUBSTITUTE(NOTA[NAMA BARANG]," ",),".",""),"-",""),"(",""),")",""),",",""),"/",""),"""",""),"+",""))</f>
        <v>stamppadno0jk</v>
      </c>
      <c r="AM3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3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3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9" t="str">
        <f>IF(NOTA[[#This Row],[CONCAT4]]="","",_xlfn.IFNA(MATCH(NOTA[[#This Row],[CONCAT4]],[2]!RAW[CONCAT_H],0),FALSE))</f>
        <v/>
      </c>
      <c r="AQ349" s="39">
        <f>IF(NOTA[[#This Row],[CONCAT1]]="","",MATCH(NOTA[[#This Row],[CONCAT1]],[3]!db[NB NOTA_C],0))</f>
        <v>2434</v>
      </c>
      <c r="AR349" s="39" t="str">
        <f>IF(NOTA[[#This Row],[QTY/ CTN]]="","",TRUE)</f>
        <v/>
      </c>
      <c r="AS349" s="39" t="str">
        <f ca="1">IF(NOTA[[#This Row],[ID_H]]="","",IF(NOTA[[#This Row],[Column3]]=TRUE,NOTA[[#This Row],[QTY/ CTN]],INDEX([3]!db[QTY/ CTN],NOTA[[#This Row],[//DB]])))</f>
        <v>18 LSN</v>
      </c>
      <c r="AT3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U349" s="39" t="e">
        <f ca="1">IF(NOTA[[#This Row],[ID_H]]="","",MATCH(NOTA[[#This Row],[NB NOTA_C_QTY]],[4]!db[NB NOTA_C_QTY+F],0))</f>
        <v>#REF!</v>
      </c>
      <c r="AV349" s="55">
        <f ca="1">IF(NOTA[[#This Row],[NB NOTA_C_QTY]]="","",ROW()-2)</f>
        <v>347</v>
      </c>
    </row>
    <row r="350" spans="1:48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69</v>
      </c>
      <c r="E350" s="47"/>
      <c r="H350" s="48"/>
      <c r="L350" s="38" t="s">
        <v>442</v>
      </c>
      <c r="M350" s="41">
        <v>1</v>
      </c>
      <c r="N350" s="39">
        <v>144</v>
      </c>
      <c r="O350" s="38" t="s">
        <v>152</v>
      </c>
      <c r="P350" s="42">
        <v>13200</v>
      </c>
      <c r="Q350" s="43"/>
      <c r="R350" s="49"/>
      <c r="S350" s="50">
        <v>0.125</v>
      </c>
      <c r="T350" s="45">
        <v>0.05</v>
      </c>
      <c r="U350" s="51"/>
      <c r="V350" s="46"/>
      <c r="W350" s="51">
        <f>IF(NOTA[[#This Row],[HARGA/ CTN]]="",NOTA[[#This Row],[JUMLAH_H]],NOTA[[#This Row],[HARGA/ CTN]]*IF(NOTA[[#This Row],[C]]="",0,NOTA[[#This Row],[C]]))</f>
        <v>1900800</v>
      </c>
      <c r="X350" s="51">
        <f>IF(NOTA[[#This Row],[JUMLAH]]="","",NOTA[[#This Row],[JUMLAH]]*NOTA[[#This Row],[DISC 1]])</f>
        <v>237600</v>
      </c>
      <c r="Y350" s="51">
        <f>IF(NOTA[[#This Row],[JUMLAH]]="","",(NOTA[[#This Row],[JUMLAH]]-NOTA[[#This Row],[DISC 1-]])*NOTA[[#This Row],[DISC 2]])</f>
        <v>83160</v>
      </c>
      <c r="Z350" s="51">
        <f>IF(NOTA[[#This Row],[JUMLAH]]="","",NOTA[[#This Row],[DISC 1-]]+NOTA[[#This Row],[DISC 2-]])</f>
        <v>320760</v>
      </c>
      <c r="AA350" s="51">
        <f>IF(NOTA[[#This Row],[JUMLAH]]="","",NOTA[[#This Row],[JUMLAH]]-NOTA[[#This Row],[DISC]])</f>
        <v>1580040</v>
      </c>
      <c r="AB350" s="51"/>
      <c r="AC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1350135</v>
      </c>
      <c r="AD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6650665</v>
      </c>
      <c r="AE350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50" s="51">
        <f>IF(OR(NOTA[[#This Row],[QTY]]="",NOTA[[#This Row],[HARGA SATUAN]]="",),"",NOTA[[#This Row],[QTY]]*NOTA[[#This Row],[HARGA SATUAN]])</f>
        <v>1900800</v>
      </c>
      <c r="AG350" s="40">
        <f ca="1">IF(NOTA[ID_H]="","",INDEX(NOTA[TANGGAL],MATCH(,INDIRECT(ADDRESS(ROW(NOTA[TANGGAL]),COLUMN(NOTA[TANGGAL]))&amp;":"&amp;ADDRESS(ROW(),COLUMN(NOTA[TANGGAL]))),-1)))</f>
        <v>45121</v>
      </c>
      <c r="AH350" s="42" t="str">
        <f ca="1">IF(NOTA[[#This Row],[NAMA BARANG]]="","",INDEX(NOTA[SUPPLIER],MATCH(,INDIRECT(ADDRESS(ROW(NOTA[ID]),COLUMN(NOTA[ID]))&amp;":"&amp;ADDRESS(ROW(),COLUMN(NOTA[ID]))),-1)))</f>
        <v>ATALI MAKMUR</v>
      </c>
      <c r="AI350" s="42" t="str">
        <f ca="1">IF(NOTA[[#This Row],[ID_H]]="","",IF(NOTA[[#This Row],[FAKTUR]]="",INDIRECT(ADDRESS(ROW()-1,COLUMN())),NOTA[[#This Row],[FAKTUR]]))</f>
        <v>ARTO MORO</v>
      </c>
      <c r="AJ350" s="39" t="str">
        <f ca="1">IF(NOTA[[#This Row],[ID]]="","",COUNTIF(NOTA[ID_H],NOTA[[#This Row],[ID_H]]))</f>
        <v/>
      </c>
      <c r="AK350" s="39">
        <f ca="1">IF(NOTA[[#This Row],[TGL.NOTA]]="",IF(NOTA[[#This Row],[SUPPLIER_H]]="","",AK349),MONTH(NOTA[[#This Row],[TGL.NOTA]]))</f>
        <v>7</v>
      </c>
      <c r="AL350" s="39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M3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N3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O3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9" t="str">
        <f>IF(NOTA[[#This Row],[CONCAT4]]="","",_xlfn.IFNA(MATCH(NOTA[[#This Row],[CONCAT4]],[2]!RAW[CONCAT_H],0),FALSE))</f>
        <v/>
      </c>
      <c r="AQ350" s="39">
        <f>IF(NOTA[[#This Row],[CONCAT1]]="","",MATCH(NOTA[[#This Row],[CONCAT1]],[3]!db[NB NOTA_C],0))</f>
        <v>151</v>
      </c>
      <c r="AR350" s="39" t="str">
        <f>IF(NOTA[[#This Row],[QTY/ CTN]]="","",TRUE)</f>
        <v/>
      </c>
      <c r="AS350" s="39" t="str">
        <f ca="1">IF(NOTA[[#This Row],[ID_H]]="","",IF(NOTA[[#This Row],[Column3]]=TRUE,NOTA[[#This Row],[QTY/ CTN]],INDEX([3]!db[QTY/ CTN],NOTA[[#This Row],[//DB]])))</f>
        <v>144 LSN</v>
      </c>
      <c r="AT3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ballpenbp342vokusptlblackjk144lsnartomoro</v>
      </c>
      <c r="AU350" s="39" t="e">
        <f ca="1">IF(NOTA[[#This Row],[ID_H]]="","",MATCH(NOTA[[#This Row],[NB NOTA_C_QTY]],[4]!db[NB NOTA_C_QTY+F],0))</f>
        <v>#REF!</v>
      </c>
      <c r="AV350" s="55">
        <f ca="1">IF(NOTA[[#This Row],[NB NOTA_C_QTY]]="","",ROW()-2)</f>
        <v>348</v>
      </c>
    </row>
    <row r="351" spans="1:48" ht="20.100000000000001" customHeight="1" x14ac:dyDescent="0.25">
      <c r="A3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 t="str">
        <f ca="1">IF(NOTA[[#This Row],[NAMA BARANG]]="","",INDEX(NOTA[ID],MATCH(,INDIRECT(ADDRESS(ROW(NOTA[ID]),COLUMN(NOTA[ID]))&amp;":"&amp;ADDRESS(ROW(),COLUMN(NOTA[ID]))),-1)))</f>
        <v/>
      </c>
      <c r="E351" s="47"/>
      <c r="H351" s="48"/>
      <c r="N351" s="39"/>
      <c r="Q351" s="43"/>
      <c r="R351" s="49"/>
      <c r="S351" s="50"/>
      <c r="U351" s="51"/>
      <c r="V351" s="46"/>
      <c r="W351" s="51" t="str">
        <f>IF(NOTA[[#This Row],[HARGA/ CTN]]="",NOTA[[#This Row],[JUMLAH_H]],NOTA[[#This Row],[HARGA/ CTN]]*IF(NOTA[[#This Row],[C]]="",0,NOTA[[#This Row],[C]]))</f>
        <v/>
      </c>
      <c r="X351" s="51" t="str">
        <f>IF(NOTA[[#This Row],[JUMLAH]]="","",NOTA[[#This Row],[JUMLAH]]*NOTA[[#This Row],[DISC 1]])</f>
        <v/>
      </c>
      <c r="Y351" s="51" t="str">
        <f>IF(NOTA[[#This Row],[JUMLAH]]="","",(NOTA[[#This Row],[JUMLAH]]-NOTA[[#This Row],[DISC 1-]])*NOTA[[#This Row],[DISC 2]])</f>
        <v/>
      </c>
      <c r="Z351" s="51" t="str">
        <f>IF(NOTA[[#This Row],[JUMLAH]]="","",NOTA[[#This Row],[DISC 1-]]+NOTA[[#This Row],[DISC 2-]])</f>
        <v/>
      </c>
      <c r="AA351" s="51" t="str">
        <f>IF(NOTA[[#This Row],[JUMLAH]]="","",NOTA[[#This Row],[JUMLAH]]-NOTA[[#This Row],[DISC]])</f>
        <v/>
      </c>
      <c r="AB351" s="51"/>
      <c r="AC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1" t="str">
        <f>IF(OR(NOTA[[#This Row],[QTY]]="",NOTA[[#This Row],[HARGA SATUAN]]="",),"",NOTA[[#This Row],[QTY]]*NOTA[[#This Row],[HARGA SATUAN]])</f>
        <v/>
      </c>
      <c r="AG351" s="40" t="str">
        <f ca="1">IF(NOTA[ID_H]="","",INDEX(NOTA[TANGGAL],MATCH(,INDIRECT(ADDRESS(ROW(NOTA[TANGGAL]),COLUMN(NOTA[TANGGAL]))&amp;":"&amp;ADDRESS(ROW(),COLUMN(NOTA[TANGGAL]))),-1)))</f>
        <v/>
      </c>
      <c r="AH351" s="42" t="str">
        <f ca="1">IF(NOTA[[#This Row],[NAMA BARANG]]="","",INDEX(NOTA[SUPPLIER],MATCH(,INDIRECT(ADDRESS(ROW(NOTA[ID]),COLUMN(NOTA[ID]))&amp;":"&amp;ADDRESS(ROW(),COLUMN(NOTA[ID]))),-1)))</f>
        <v/>
      </c>
      <c r="AI351" s="42" t="str">
        <f ca="1">IF(NOTA[[#This Row],[ID_H]]="","",IF(NOTA[[#This Row],[FAKTUR]]="",INDIRECT(ADDRESS(ROW()-1,COLUMN())),NOTA[[#This Row],[FAKTUR]]))</f>
        <v/>
      </c>
      <c r="AJ351" s="39" t="str">
        <f ca="1">IF(NOTA[[#This Row],[ID]]="","",COUNTIF(NOTA[ID_H],NOTA[[#This Row],[ID_H]]))</f>
        <v/>
      </c>
      <c r="AK351" s="39" t="str">
        <f ca="1">IF(NOTA[[#This Row],[TGL.NOTA]]="",IF(NOTA[[#This Row],[SUPPLIER_H]]="","",AK350),MONTH(NOTA[[#This Row],[TGL.NOTA]]))</f>
        <v/>
      </c>
      <c r="AL351" s="39" t="str">
        <f>LOWER(SUBSTITUTE(SUBSTITUTE(SUBSTITUTE(SUBSTITUTE(SUBSTITUTE(SUBSTITUTE(SUBSTITUTE(SUBSTITUTE(SUBSTITUTE(NOTA[NAMA BARANG]," ",),".",""),"-",""),"(",""),")",""),",",""),"/",""),"""",""),"+",""))</f>
        <v/>
      </c>
      <c r="AM3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9" t="str">
        <f>IF(NOTA[[#This Row],[CONCAT4]]="","",_xlfn.IFNA(MATCH(NOTA[[#This Row],[CONCAT4]],[2]!RAW[CONCAT_H],0),FALSE))</f>
        <v/>
      </c>
      <c r="AQ351" s="39" t="str">
        <f>IF(NOTA[[#This Row],[CONCAT1]]="","",MATCH(NOTA[[#This Row],[CONCAT1]],[3]!db[NB NOTA_C],0))</f>
        <v/>
      </c>
      <c r="AR351" s="39" t="str">
        <f>IF(NOTA[[#This Row],[QTY/ CTN]]="","",TRUE)</f>
        <v/>
      </c>
      <c r="AS351" s="39" t="str">
        <f ca="1">IF(NOTA[[#This Row],[ID_H]]="","",IF(NOTA[[#This Row],[Column3]]=TRUE,NOTA[[#This Row],[QTY/ CTN]],INDEX([3]!db[QTY/ CTN],NOTA[[#This Row],[//DB]])))</f>
        <v/>
      </c>
      <c r="AT3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9" t="str">
        <f ca="1">IF(NOTA[[#This Row],[ID_H]]="","",MATCH(NOTA[[#This Row],[NB NOTA_C_QTY]],[4]!db[NB NOTA_C_QTY+F],0))</f>
        <v/>
      </c>
      <c r="AV351" s="55" t="str">
        <f ca="1">IF(NOTA[[#This Row],[NB NOTA_C_QTY]]="","",ROW()-2)</f>
        <v/>
      </c>
    </row>
    <row r="352" spans="1:48" ht="20.100000000000001" customHeight="1" x14ac:dyDescent="0.25">
      <c r="A352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ATA_1407_970-7</v>
      </c>
      <c r="C352" s="39" t="e">
        <f ca="1">IF(NOTA[[#This Row],[ID_P]]="","",MATCH(NOTA[[#This Row],[ID_P]],[1]!B_MSK[N_ID],0))</f>
        <v>#REF!</v>
      </c>
      <c r="D352" s="39">
        <f ca="1">IF(NOTA[[#This Row],[NAMA BARANG]]="","",INDEX(NOTA[ID],MATCH(,INDIRECT(ADDRESS(ROW(NOTA[ID]),COLUMN(NOTA[ID]))&amp;":"&amp;ADDRESS(ROW(),COLUMN(NOTA[ID]))),-1)))</f>
        <v>70</v>
      </c>
      <c r="E352" s="47"/>
      <c r="F352" s="38" t="s">
        <v>24</v>
      </c>
      <c r="G352" s="38" t="s">
        <v>23</v>
      </c>
      <c r="H352" s="48" t="s">
        <v>443</v>
      </c>
      <c r="J352" s="40">
        <v>45119</v>
      </c>
      <c r="L352" s="38" t="s">
        <v>446</v>
      </c>
      <c r="M352" s="41">
        <v>1</v>
      </c>
      <c r="N352" s="39">
        <v>288</v>
      </c>
      <c r="O352" s="38" t="s">
        <v>263</v>
      </c>
      <c r="P352" s="42">
        <v>6700</v>
      </c>
      <c r="Q352" s="43"/>
      <c r="R352" s="49"/>
      <c r="S352" s="50">
        <v>0.125</v>
      </c>
      <c r="T352" s="45">
        <v>0.05</v>
      </c>
      <c r="U352" s="51"/>
      <c r="V352" s="46"/>
      <c r="W352" s="51">
        <f>IF(NOTA[[#This Row],[HARGA/ CTN]]="",NOTA[[#This Row],[JUMLAH_H]],NOTA[[#This Row],[HARGA/ CTN]]*IF(NOTA[[#This Row],[C]]="",0,NOTA[[#This Row],[C]]))</f>
        <v>1929600</v>
      </c>
      <c r="X352" s="51">
        <f>IF(NOTA[[#This Row],[JUMLAH]]="","",NOTA[[#This Row],[JUMLAH]]*NOTA[[#This Row],[DISC 1]])</f>
        <v>241200</v>
      </c>
      <c r="Y352" s="51">
        <f>IF(NOTA[[#This Row],[JUMLAH]]="","",(NOTA[[#This Row],[JUMLAH]]-NOTA[[#This Row],[DISC 1-]])*NOTA[[#This Row],[DISC 2]])</f>
        <v>84420</v>
      </c>
      <c r="Z352" s="51">
        <f>IF(NOTA[[#This Row],[JUMLAH]]="","",NOTA[[#This Row],[DISC 1-]]+NOTA[[#This Row],[DISC 2-]])</f>
        <v>325620</v>
      </c>
      <c r="AA352" s="51">
        <f>IF(NOTA[[#This Row],[JUMLAH]]="","",NOTA[[#This Row],[JUMLAH]]-NOTA[[#This Row],[DISC]])</f>
        <v>1603980</v>
      </c>
      <c r="AB352" s="51"/>
      <c r="AC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52" s="51">
        <f>IF(OR(NOTA[[#This Row],[QTY]]="",NOTA[[#This Row],[HARGA SATUAN]]="",),"",NOTA[[#This Row],[QTY]]*NOTA[[#This Row],[HARGA SATUAN]])</f>
        <v>1929600</v>
      </c>
      <c r="AG352" s="40">
        <f ca="1">IF(NOTA[ID_H]="","",INDEX(NOTA[TANGGAL],MATCH(,INDIRECT(ADDRESS(ROW(NOTA[TANGGAL]),COLUMN(NOTA[TANGGAL]))&amp;":"&amp;ADDRESS(ROW(),COLUMN(NOTA[TANGGAL]))),-1)))</f>
        <v>45121</v>
      </c>
      <c r="AH352" s="42" t="str">
        <f ca="1">IF(NOTA[[#This Row],[NAMA BARANG]]="","",INDEX(NOTA[SUPPLIER],MATCH(,INDIRECT(ADDRESS(ROW(NOTA[ID]),COLUMN(NOTA[ID]))&amp;":"&amp;ADDRESS(ROW(),COLUMN(NOTA[ID]))),-1)))</f>
        <v>ATALI MAKMUR</v>
      </c>
      <c r="AI352" s="42" t="str">
        <f ca="1">IF(NOTA[[#This Row],[ID_H]]="","",IF(NOTA[[#This Row],[FAKTUR]]="",INDIRECT(ADDRESS(ROW()-1,COLUMN())),NOTA[[#This Row],[FAKTUR]]))</f>
        <v>ARTO MORO</v>
      </c>
      <c r="AJ352" s="39">
        <f ca="1">IF(NOTA[[#This Row],[ID]]="","",COUNTIF(NOTA[ID_H],NOTA[[#This Row],[ID_H]]))</f>
        <v>7</v>
      </c>
      <c r="AK352" s="39">
        <f>IF(NOTA[[#This Row],[TGL.NOTA]]="",IF(NOTA[[#This Row],[SUPPLIER_H]]="","",AK351),MONTH(NOTA[[#This Row],[TGL.NOTA]]))</f>
        <v>7</v>
      </c>
      <c r="AL352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5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MOROSA23071197045119colorpencilcps12jk</v>
      </c>
      <c r="AP352" s="39" t="e">
        <f>IF(NOTA[[#This Row],[CONCAT4]]="","",_xlfn.IFNA(MATCH(NOTA[[#This Row],[CONCAT4]],[2]!RAW[CONCAT_H],0),FALSE))</f>
        <v>#REF!</v>
      </c>
      <c r="AQ352" s="39">
        <f>IF(NOTA[[#This Row],[CONCAT1]]="","",MATCH(NOTA[[#This Row],[CONCAT1]],[3]!db[NB NOTA_C],0))</f>
        <v>2323</v>
      </c>
      <c r="AR352" s="39" t="str">
        <f>IF(NOTA[[#This Row],[QTY/ CTN]]="","",TRUE)</f>
        <v/>
      </c>
      <c r="AS352" s="39" t="str">
        <f ca="1">IF(NOTA[[#This Row],[ID_H]]="","",IF(NOTA[[#This Row],[Column3]]=TRUE,NOTA[[#This Row],[QTY/ CTN]],INDEX([3]!db[QTY/ CTN],NOTA[[#This Row],[//DB]])))</f>
        <v>12 BOX (24 SET)</v>
      </c>
      <c r="AT3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352" s="39" t="e">
        <f ca="1">IF(NOTA[[#This Row],[ID_H]]="","",MATCH(NOTA[[#This Row],[NB NOTA_C_QTY]],[4]!db[NB NOTA_C_QTY+F],0))</f>
        <v>#REF!</v>
      </c>
      <c r="AV352" s="55">
        <f ca="1">IF(NOTA[[#This Row],[NB NOTA_C_QTY]]="","",ROW()-2)</f>
        <v>350</v>
      </c>
    </row>
    <row r="353" spans="1:48" ht="20.100000000000001" customHeight="1" x14ac:dyDescent="0.25">
      <c r="A3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70</v>
      </c>
      <c r="E353" s="47"/>
      <c r="H353" s="48"/>
      <c r="L353" s="38" t="s">
        <v>317</v>
      </c>
      <c r="M353" s="41">
        <v>1</v>
      </c>
      <c r="N353" s="39">
        <v>144</v>
      </c>
      <c r="O353" s="38" t="s">
        <v>263</v>
      </c>
      <c r="P353" s="42">
        <v>10600</v>
      </c>
      <c r="Q353" s="43"/>
      <c r="R353" s="49"/>
      <c r="S353" s="50">
        <v>0.125</v>
      </c>
      <c r="T353" s="45">
        <v>0.05</v>
      </c>
      <c r="U353" s="51"/>
      <c r="V353" s="46"/>
      <c r="W353" s="51">
        <f>IF(NOTA[[#This Row],[HARGA/ CTN]]="",NOTA[[#This Row],[JUMLAH_H]],NOTA[[#This Row],[HARGA/ CTN]]*IF(NOTA[[#This Row],[C]]="",0,NOTA[[#This Row],[C]]))</f>
        <v>1526400</v>
      </c>
      <c r="X353" s="51">
        <f>IF(NOTA[[#This Row],[JUMLAH]]="","",NOTA[[#This Row],[JUMLAH]]*NOTA[[#This Row],[DISC 1]])</f>
        <v>190800</v>
      </c>
      <c r="Y353" s="51">
        <f>IF(NOTA[[#This Row],[JUMLAH]]="","",(NOTA[[#This Row],[JUMLAH]]-NOTA[[#This Row],[DISC 1-]])*NOTA[[#This Row],[DISC 2]])</f>
        <v>66780</v>
      </c>
      <c r="Z353" s="51">
        <f>IF(NOTA[[#This Row],[JUMLAH]]="","",NOTA[[#This Row],[DISC 1-]]+NOTA[[#This Row],[DISC 2-]])</f>
        <v>257580</v>
      </c>
      <c r="AA353" s="51">
        <f>IF(NOTA[[#This Row],[JUMLAH]]="","",NOTA[[#This Row],[JUMLAH]]-NOTA[[#This Row],[DISC]])</f>
        <v>1268820</v>
      </c>
      <c r="AB353" s="51"/>
      <c r="AC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53" s="51">
        <f>IF(OR(NOTA[[#This Row],[QTY]]="",NOTA[[#This Row],[HARGA SATUAN]]="",),"",NOTA[[#This Row],[QTY]]*NOTA[[#This Row],[HARGA SATUAN]])</f>
        <v>1526400</v>
      </c>
      <c r="AG353" s="40">
        <f ca="1">IF(NOTA[ID_H]="","",INDEX(NOTA[TANGGAL],MATCH(,INDIRECT(ADDRESS(ROW(NOTA[TANGGAL]),COLUMN(NOTA[TANGGAL]))&amp;":"&amp;ADDRESS(ROW(),COLUMN(NOTA[TANGGAL]))),-1)))</f>
        <v>45121</v>
      </c>
      <c r="AH353" s="42" t="str">
        <f ca="1">IF(NOTA[[#This Row],[NAMA BARANG]]="","",INDEX(NOTA[SUPPLIER],MATCH(,INDIRECT(ADDRESS(ROW(NOTA[ID]),COLUMN(NOTA[ID]))&amp;":"&amp;ADDRESS(ROW(),COLUMN(NOTA[ID]))),-1)))</f>
        <v>ATALI MAKMUR</v>
      </c>
      <c r="AI353" s="42" t="str">
        <f ca="1">IF(NOTA[[#This Row],[ID_H]]="","",IF(NOTA[[#This Row],[FAKTUR]]="",INDIRECT(ADDRESS(ROW()-1,COLUMN())),NOTA[[#This Row],[FAKTUR]]))</f>
        <v>ARTO MORO</v>
      </c>
      <c r="AJ353" s="39" t="str">
        <f ca="1">IF(NOTA[[#This Row],[ID]]="","",COUNTIF(NOTA[ID_H],NOTA[[#This Row],[ID_H]]))</f>
        <v/>
      </c>
      <c r="AK353" s="39">
        <f ca="1">IF(NOTA[[#This Row],[TGL.NOTA]]="",IF(NOTA[[#This Row],[SUPPLIER_H]]="","",AK352),MONTH(NOTA[[#This Row],[TGL.NOTA]]))</f>
        <v>7</v>
      </c>
      <c r="AL353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9" t="str">
        <f>IF(NOTA[[#This Row],[CONCAT4]]="","",_xlfn.IFNA(MATCH(NOTA[[#This Row],[CONCAT4]],[2]!RAW[CONCAT_H],0),FALSE))</f>
        <v/>
      </c>
      <c r="AQ353" s="39">
        <f>IF(NOTA[[#This Row],[CONCAT1]]="","",MATCH(NOTA[[#This Row],[CONCAT1]],[3]!db[NB NOTA_C],0))</f>
        <v>2320</v>
      </c>
      <c r="AR353" s="39" t="str">
        <f>IF(NOTA[[#This Row],[QTY/ CTN]]="","",TRUE)</f>
        <v/>
      </c>
      <c r="AS353" s="39" t="str">
        <f ca="1">IF(NOTA[[#This Row],[ID_H]]="","",IF(NOTA[[#This Row],[Column3]]=TRUE,NOTA[[#This Row],[QTY/ CTN]],INDEX([3]!db[QTY/ CTN],NOTA[[#This Row],[//DB]])))</f>
        <v>12 LSN</v>
      </c>
      <c r="AT3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353" s="39" t="e">
        <f ca="1">IF(NOTA[[#This Row],[ID_H]]="","",MATCH(NOTA[[#This Row],[NB NOTA_C_QTY]],[4]!db[NB NOTA_C_QTY+F],0))</f>
        <v>#REF!</v>
      </c>
      <c r="AV353" s="55">
        <f ca="1">IF(NOTA[[#This Row],[NB NOTA_C_QTY]]="","",ROW()-2)</f>
        <v>351</v>
      </c>
    </row>
    <row r="354" spans="1:48" ht="20.100000000000001" customHeight="1" x14ac:dyDescent="0.25">
      <c r="A3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70</v>
      </c>
      <c r="E354" s="47"/>
      <c r="H354" s="48"/>
      <c r="L354" s="38" t="s">
        <v>444</v>
      </c>
      <c r="M354" s="41">
        <v>1</v>
      </c>
      <c r="N354" s="39">
        <v>500</v>
      </c>
      <c r="O354" s="38" t="s">
        <v>319</v>
      </c>
      <c r="P354" s="42">
        <v>1850</v>
      </c>
      <c r="Q354" s="43"/>
      <c r="R354" s="49"/>
      <c r="S354" s="50">
        <v>0.125</v>
      </c>
      <c r="T354" s="45">
        <v>0.05</v>
      </c>
      <c r="U354" s="51"/>
      <c r="V354" s="46"/>
      <c r="W354" s="51">
        <f>IF(NOTA[[#This Row],[HARGA/ CTN]]="",NOTA[[#This Row],[JUMLAH_H]],NOTA[[#This Row],[HARGA/ CTN]]*IF(NOTA[[#This Row],[C]]="",0,NOTA[[#This Row],[C]]))</f>
        <v>925000</v>
      </c>
      <c r="X354" s="51">
        <f>IF(NOTA[[#This Row],[JUMLAH]]="","",NOTA[[#This Row],[JUMLAH]]*NOTA[[#This Row],[DISC 1]])</f>
        <v>115625</v>
      </c>
      <c r="Y354" s="51">
        <f>IF(NOTA[[#This Row],[JUMLAH]]="","",(NOTA[[#This Row],[JUMLAH]]-NOTA[[#This Row],[DISC 1-]])*NOTA[[#This Row],[DISC 2]])</f>
        <v>40468.75</v>
      </c>
      <c r="Z354" s="51">
        <f>IF(NOTA[[#This Row],[JUMLAH]]="","",NOTA[[#This Row],[DISC 1-]]+NOTA[[#This Row],[DISC 2-]])</f>
        <v>156093.75</v>
      </c>
      <c r="AA354" s="51">
        <f>IF(NOTA[[#This Row],[JUMLAH]]="","",NOTA[[#This Row],[JUMLAH]]-NOTA[[#This Row],[DISC]])</f>
        <v>768906.25</v>
      </c>
      <c r="AB354" s="51"/>
      <c r="AC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54" s="51">
        <f>IF(OR(NOTA[[#This Row],[QTY]]="",NOTA[[#This Row],[HARGA SATUAN]]="",),"",NOTA[[#This Row],[QTY]]*NOTA[[#This Row],[HARGA SATUAN]])</f>
        <v>925000</v>
      </c>
      <c r="AG354" s="40">
        <f ca="1">IF(NOTA[ID_H]="","",INDEX(NOTA[TANGGAL],MATCH(,INDIRECT(ADDRESS(ROW(NOTA[TANGGAL]),COLUMN(NOTA[TANGGAL]))&amp;":"&amp;ADDRESS(ROW(),COLUMN(NOTA[TANGGAL]))),-1)))</f>
        <v>45121</v>
      </c>
      <c r="AH354" s="42" t="str">
        <f ca="1">IF(NOTA[[#This Row],[NAMA BARANG]]="","",INDEX(NOTA[SUPPLIER],MATCH(,INDIRECT(ADDRESS(ROW(NOTA[ID]),COLUMN(NOTA[ID]))&amp;":"&amp;ADDRESS(ROW(),COLUMN(NOTA[ID]))),-1)))</f>
        <v>ATALI MAKMUR</v>
      </c>
      <c r="AI354" s="42" t="str">
        <f ca="1">IF(NOTA[[#This Row],[ID_H]]="","",IF(NOTA[[#This Row],[FAKTUR]]="",INDIRECT(ADDRESS(ROW()-1,COLUMN())),NOTA[[#This Row],[FAKTUR]]))</f>
        <v>ARTO MORO</v>
      </c>
      <c r="AJ354" s="39" t="str">
        <f ca="1">IF(NOTA[[#This Row],[ID]]="","",COUNTIF(NOTA[ID_H],NOTA[[#This Row],[ID_H]]))</f>
        <v/>
      </c>
      <c r="AK354" s="39">
        <f ca="1">IF(NOTA[[#This Row],[TGL.NOTA]]="",IF(NOTA[[#This Row],[SUPPLIER_H]]="","",AK353),MONTH(NOTA[[#This Row],[TGL.NOTA]]))</f>
        <v>7</v>
      </c>
      <c r="AL354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3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3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9" t="str">
        <f>IF(NOTA[[#This Row],[CONCAT4]]="","",_xlfn.IFNA(MATCH(NOTA[[#This Row],[CONCAT4]],[2]!RAW[CONCAT_H],0),FALSE))</f>
        <v/>
      </c>
      <c r="AQ354" s="39">
        <f>IF(NOTA[[#This Row],[CONCAT1]]="","",MATCH(NOTA[[#This Row],[CONCAT1]],[3]!db[NB NOTA_C],0))</f>
        <v>890</v>
      </c>
      <c r="AR354" s="39" t="str">
        <f>IF(NOTA[[#This Row],[QTY/ CTN]]="","",TRUE)</f>
        <v/>
      </c>
      <c r="AS354" s="39" t="str">
        <f ca="1">IF(NOTA[[#This Row],[ID_H]]="","",IF(NOTA[[#This Row],[Column3]]=TRUE,NOTA[[#This Row],[QTY/ CTN]],INDEX([3]!db[QTY/ CTN],NOTA[[#This Row],[//DB]])))</f>
        <v>500 BOX</v>
      </c>
      <c r="AT3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U354" s="39" t="e">
        <f ca="1">IF(NOTA[[#This Row],[ID_H]]="","",MATCH(NOTA[[#This Row],[NB NOTA_C_QTY]],[4]!db[NB NOTA_C_QTY+F],0))</f>
        <v>#REF!</v>
      </c>
      <c r="AV354" s="55">
        <f ca="1">IF(NOTA[[#This Row],[NB NOTA_C_QTY]]="","",ROW()-2)</f>
        <v>352</v>
      </c>
    </row>
    <row r="355" spans="1:48" ht="20.100000000000001" customHeight="1" x14ac:dyDescent="0.25">
      <c r="A3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70</v>
      </c>
      <c r="E355" s="47"/>
      <c r="H355" s="48"/>
      <c r="L355" s="38" t="s">
        <v>445</v>
      </c>
      <c r="N355" s="39">
        <v>180</v>
      </c>
      <c r="O355" s="38" t="s">
        <v>117</v>
      </c>
      <c r="P355" s="42">
        <v>3700</v>
      </c>
      <c r="Q355" s="43"/>
      <c r="R355" s="49"/>
      <c r="S355" s="50">
        <v>0.125</v>
      </c>
      <c r="T355" s="45">
        <v>0.05</v>
      </c>
      <c r="U355" s="51"/>
      <c r="V355" s="46"/>
      <c r="W355" s="51">
        <f>IF(NOTA[[#This Row],[HARGA/ CTN]]="",NOTA[[#This Row],[JUMLAH_H]],NOTA[[#This Row],[HARGA/ CTN]]*IF(NOTA[[#This Row],[C]]="",0,NOTA[[#This Row],[C]]))</f>
        <v>666000</v>
      </c>
      <c r="X355" s="51">
        <f>IF(NOTA[[#This Row],[JUMLAH]]="","",NOTA[[#This Row],[JUMLAH]]*NOTA[[#This Row],[DISC 1]])</f>
        <v>83250</v>
      </c>
      <c r="Y355" s="51">
        <f>IF(NOTA[[#This Row],[JUMLAH]]="","",(NOTA[[#This Row],[JUMLAH]]-NOTA[[#This Row],[DISC 1-]])*NOTA[[#This Row],[DISC 2]])</f>
        <v>29137.5</v>
      </c>
      <c r="Z355" s="51">
        <f>IF(NOTA[[#This Row],[JUMLAH]]="","",NOTA[[#This Row],[DISC 1-]]+NOTA[[#This Row],[DISC 2-]])</f>
        <v>112387.5</v>
      </c>
      <c r="AA355" s="51">
        <f>IF(NOTA[[#This Row],[JUMLAH]]="","",NOTA[[#This Row],[JUMLAH]]-NOTA[[#This Row],[DISC]])</f>
        <v>553612.5</v>
      </c>
      <c r="AB355" s="51"/>
      <c r="AC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5" s="51">
        <f>IF(OR(NOTA[[#This Row],[QTY]]="",NOTA[[#This Row],[HARGA SATUAN]]="",),"",NOTA[[#This Row],[QTY]]*NOTA[[#This Row],[HARGA SATUAN]])</f>
        <v>666000</v>
      </c>
      <c r="AG355" s="40">
        <f ca="1">IF(NOTA[ID_H]="","",INDEX(NOTA[TANGGAL],MATCH(,INDIRECT(ADDRESS(ROW(NOTA[TANGGAL]),COLUMN(NOTA[TANGGAL]))&amp;":"&amp;ADDRESS(ROW(),COLUMN(NOTA[TANGGAL]))),-1)))</f>
        <v>45121</v>
      </c>
      <c r="AH355" s="42" t="str">
        <f ca="1">IF(NOTA[[#This Row],[NAMA BARANG]]="","",INDEX(NOTA[SUPPLIER],MATCH(,INDIRECT(ADDRESS(ROW(NOTA[ID]),COLUMN(NOTA[ID]))&amp;":"&amp;ADDRESS(ROW(),COLUMN(NOTA[ID]))),-1)))</f>
        <v>ATALI MAKMUR</v>
      </c>
      <c r="AI355" s="42" t="str">
        <f ca="1">IF(NOTA[[#This Row],[ID_H]]="","",IF(NOTA[[#This Row],[FAKTUR]]="",INDIRECT(ADDRESS(ROW()-1,COLUMN())),NOTA[[#This Row],[FAKTUR]]))</f>
        <v>ARTO MORO</v>
      </c>
      <c r="AJ355" s="39" t="str">
        <f ca="1">IF(NOTA[[#This Row],[ID]]="","",COUNTIF(NOTA[ID_H],NOTA[[#This Row],[ID_H]]))</f>
        <v/>
      </c>
      <c r="AK355" s="39">
        <f ca="1">IF(NOTA[[#This Row],[TGL.NOTA]]="",IF(NOTA[[#This Row],[SUPPLIER_H]]="","",AK354),MONTH(NOTA[[#This Row],[TGL.NOTA]]))</f>
        <v>7</v>
      </c>
      <c r="AL355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3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3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3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9" t="str">
        <f>IF(NOTA[[#This Row],[CONCAT4]]="","",_xlfn.IFNA(MATCH(NOTA[[#This Row],[CONCAT4]],[2]!RAW[CONCAT_H],0),FALSE))</f>
        <v/>
      </c>
      <c r="AQ355" s="39">
        <f>IF(NOTA[[#This Row],[CONCAT1]]="","",MATCH(NOTA[[#This Row],[CONCAT1]],[3]!db[NB NOTA_C],0))</f>
        <v>2401</v>
      </c>
      <c r="AR355" s="39" t="str">
        <f>IF(NOTA[[#This Row],[QTY/ CTN]]="","",TRUE)</f>
        <v/>
      </c>
      <c r="AS355" s="39" t="str">
        <f ca="1">IF(NOTA[[#This Row],[ID_H]]="","",IF(NOTA[[#This Row],[Column3]]=TRUE,NOTA[[#This Row],[QTY/ CTN]],INDEX([3]!db[QTY/ CTN],NOTA[[#This Row],[//DB]])))</f>
        <v>72 BOX (10 PCS)</v>
      </c>
      <c r="AT3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355" s="39" t="e">
        <f ca="1">IF(NOTA[[#This Row],[ID_H]]="","",MATCH(NOTA[[#This Row],[NB NOTA_C_QTY]],[4]!db[NB NOTA_C_QTY+F],0))</f>
        <v>#REF!</v>
      </c>
      <c r="AV355" s="55">
        <f ca="1">IF(NOTA[[#This Row],[NB NOTA_C_QTY]]="","",ROW()-2)</f>
        <v>353</v>
      </c>
    </row>
    <row r="356" spans="1:48" ht="20.100000000000001" customHeight="1" x14ac:dyDescent="0.25">
      <c r="A3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>
        <f ca="1">IF(NOTA[[#This Row],[NAMA BARANG]]="","",INDEX(NOTA[ID],MATCH(,INDIRECT(ADDRESS(ROW(NOTA[ID]),COLUMN(NOTA[ID]))&amp;":"&amp;ADDRESS(ROW(),COLUMN(NOTA[ID]))),-1)))</f>
        <v>70</v>
      </c>
      <c r="E356" s="47"/>
      <c r="H356" s="48"/>
      <c r="L356" s="38" t="s">
        <v>447</v>
      </c>
      <c r="N356" s="39">
        <v>180</v>
      </c>
      <c r="O356" s="38" t="s">
        <v>117</v>
      </c>
      <c r="P356" s="42">
        <v>3700</v>
      </c>
      <c r="Q356" s="43"/>
      <c r="R356" s="49"/>
      <c r="S356" s="50">
        <v>0.125</v>
      </c>
      <c r="T356" s="45">
        <v>0.05</v>
      </c>
      <c r="U356" s="51"/>
      <c r="V356" s="46"/>
      <c r="W356" s="51">
        <f>IF(NOTA[[#This Row],[HARGA/ CTN]]="",NOTA[[#This Row],[JUMLAH_H]],NOTA[[#This Row],[HARGA/ CTN]]*IF(NOTA[[#This Row],[C]]="",0,NOTA[[#This Row],[C]]))</f>
        <v>666000</v>
      </c>
      <c r="X356" s="51">
        <f>IF(NOTA[[#This Row],[JUMLAH]]="","",NOTA[[#This Row],[JUMLAH]]*NOTA[[#This Row],[DISC 1]])</f>
        <v>83250</v>
      </c>
      <c r="Y356" s="51">
        <f>IF(NOTA[[#This Row],[JUMLAH]]="","",(NOTA[[#This Row],[JUMLAH]]-NOTA[[#This Row],[DISC 1-]])*NOTA[[#This Row],[DISC 2]])</f>
        <v>29137.5</v>
      </c>
      <c r="Z356" s="51">
        <f>IF(NOTA[[#This Row],[JUMLAH]]="","",NOTA[[#This Row],[DISC 1-]]+NOTA[[#This Row],[DISC 2-]])</f>
        <v>112387.5</v>
      </c>
      <c r="AA356" s="51">
        <f>IF(NOTA[[#This Row],[JUMLAH]]="","",NOTA[[#This Row],[JUMLAH]]-NOTA[[#This Row],[DISC]])</f>
        <v>553612.5</v>
      </c>
      <c r="AB356" s="51"/>
      <c r="AC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6" s="51">
        <f>IF(OR(NOTA[[#This Row],[QTY]]="",NOTA[[#This Row],[HARGA SATUAN]]="",),"",NOTA[[#This Row],[QTY]]*NOTA[[#This Row],[HARGA SATUAN]])</f>
        <v>666000</v>
      </c>
      <c r="AG356" s="40">
        <f ca="1">IF(NOTA[ID_H]="","",INDEX(NOTA[TANGGAL],MATCH(,INDIRECT(ADDRESS(ROW(NOTA[TANGGAL]),COLUMN(NOTA[TANGGAL]))&amp;":"&amp;ADDRESS(ROW(),COLUMN(NOTA[TANGGAL]))),-1)))</f>
        <v>45121</v>
      </c>
      <c r="AH356" s="42" t="str">
        <f ca="1">IF(NOTA[[#This Row],[NAMA BARANG]]="","",INDEX(NOTA[SUPPLIER],MATCH(,INDIRECT(ADDRESS(ROW(NOTA[ID]),COLUMN(NOTA[ID]))&amp;":"&amp;ADDRESS(ROW(),COLUMN(NOTA[ID]))),-1)))</f>
        <v>ATALI MAKMUR</v>
      </c>
      <c r="AI356" s="42" t="str">
        <f ca="1">IF(NOTA[[#This Row],[ID_H]]="","",IF(NOTA[[#This Row],[FAKTUR]]="",INDIRECT(ADDRESS(ROW()-1,COLUMN())),NOTA[[#This Row],[FAKTUR]]))</f>
        <v>ARTO MORO</v>
      </c>
      <c r="AJ356" s="39" t="str">
        <f ca="1">IF(NOTA[[#This Row],[ID]]="","",COUNTIF(NOTA[ID_H],NOTA[[#This Row],[ID_H]]))</f>
        <v/>
      </c>
      <c r="AK356" s="39">
        <f ca="1">IF(NOTA[[#This Row],[TGL.NOTA]]="",IF(NOTA[[#This Row],[SUPPLIER_H]]="","",AK355),MONTH(NOTA[[#This Row],[TGL.NOTA]]))</f>
        <v>7</v>
      </c>
      <c r="AL356" s="39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3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3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3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9" t="str">
        <f>IF(NOTA[[#This Row],[CONCAT4]]="","",_xlfn.IFNA(MATCH(NOTA[[#This Row],[CONCAT4]],[2]!RAW[CONCAT_H],0),FALSE))</f>
        <v/>
      </c>
      <c r="AQ356" s="39">
        <f>IF(NOTA[[#This Row],[CONCAT1]]="","",MATCH(NOTA[[#This Row],[CONCAT1]],[3]!db[NB NOTA_C],0))</f>
        <v>2403</v>
      </c>
      <c r="AR356" s="39" t="str">
        <f>IF(NOTA[[#This Row],[QTY/ CTN]]="","",TRUE)</f>
        <v/>
      </c>
      <c r="AS356" s="39" t="str">
        <f ca="1">IF(NOTA[[#This Row],[ID_H]]="","",IF(NOTA[[#This Row],[Column3]]=TRUE,NOTA[[#This Row],[QTY/ CTN]],INDEX([3]!db[QTY/ CTN],NOTA[[#This Row],[//DB]])))</f>
        <v>72 BOX (10 PCS)</v>
      </c>
      <c r="AT3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356" s="39" t="e">
        <f ca="1">IF(NOTA[[#This Row],[ID_H]]="","",MATCH(NOTA[[#This Row],[NB NOTA_C_QTY]],[4]!db[NB NOTA_C_QTY+F],0))</f>
        <v>#REF!</v>
      </c>
      <c r="AV356" s="55">
        <f ca="1">IF(NOTA[[#This Row],[NB NOTA_C_QTY]]="","",ROW()-2)</f>
        <v>354</v>
      </c>
    </row>
    <row r="357" spans="1:48" ht="20.100000000000001" customHeight="1" x14ac:dyDescent="0.25">
      <c r="A3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9" t="str">
        <f>IF(NOTA[[#This Row],[ID_P]]="","",MATCH(NOTA[[#This Row],[ID_P]],[1]!B_MSK[N_ID],0))</f>
        <v/>
      </c>
      <c r="D357" s="39">
        <f ca="1">IF(NOTA[[#This Row],[NAMA BARANG]]="","",INDEX(NOTA[ID],MATCH(,INDIRECT(ADDRESS(ROW(NOTA[ID]),COLUMN(NOTA[ID]))&amp;":"&amp;ADDRESS(ROW(),COLUMN(NOTA[ID]))),-1)))</f>
        <v>70</v>
      </c>
      <c r="E357" s="47"/>
      <c r="H357" s="48"/>
      <c r="L357" s="38" t="s">
        <v>448</v>
      </c>
      <c r="N357" s="39">
        <v>180</v>
      </c>
      <c r="O357" s="38" t="s">
        <v>117</v>
      </c>
      <c r="P357" s="42">
        <v>3700</v>
      </c>
      <c r="Q357" s="43"/>
      <c r="R357" s="49"/>
      <c r="S357" s="50">
        <v>0.125</v>
      </c>
      <c r="T357" s="45">
        <v>0.05</v>
      </c>
      <c r="U357" s="51"/>
      <c r="V357" s="46"/>
      <c r="W357" s="51">
        <f>IF(NOTA[[#This Row],[HARGA/ CTN]]="",NOTA[[#This Row],[JUMLAH_H]],NOTA[[#This Row],[HARGA/ CTN]]*IF(NOTA[[#This Row],[C]]="",0,NOTA[[#This Row],[C]]))</f>
        <v>666000</v>
      </c>
      <c r="X357" s="51">
        <f>IF(NOTA[[#This Row],[JUMLAH]]="","",NOTA[[#This Row],[JUMLAH]]*NOTA[[#This Row],[DISC 1]])</f>
        <v>83250</v>
      </c>
      <c r="Y357" s="51">
        <f>IF(NOTA[[#This Row],[JUMLAH]]="","",(NOTA[[#This Row],[JUMLAH]]-NOTA[[#This Row],[DISC 1-]])*NOTA[[#This Row],[DISC 2]])</f>
        <v>29137.5</v>
      </c>
      <c r="Z357" s="51">
        <f>IF(NOTA[[#This Row],[JUMLAH]]="","",NOTA[[#This Row],[DISC 1-]]+NOTA[[#This Row],[DISC 2-]])</f>
        <v>112387.5</v>
      </c>
      <c r="AA357" s="51">
        <f>IF(NOTA[[#This Row],[JUMLAH]]="","",NOTA[[#This Row],[JUMLAH]]-NOTA[[#This Row],[DISC]])</f>
        <v>553612.5</v>
      </c>
      <c r="AB357" s="51"/>
      <c r="AC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7" s="51">
        <f>IF(OR(NOTA[[#This Row],[QTY]]="",NOTA[[#This Row],[HARGA SATUAN]]="",),"",NOTA[[#This Row],[QTY]]*NOTA[[#This Row],[HARGA SATUAN]])</f>
        <v>666000</v>
      </c>
      <c r="AG357" s="40">
        <f ca="1">IF(NOTA[ID_H]="","",INDEX(NOTA[TANGGAL],MATCH(,INDIRECT(ADDRESS(ROW(NOTA[TANGGAL]),COLUMN(NOTA[TANGGAL]))&amp;":"&amp;ADDRESS(ROW(),COLUMN(NOTA[TANGGAL]))),-1)))</f>
        <v>45121</v>
      </c>
      <c r="AH357" s="42" t="str">
        <f ca="1">IF(NOTA[[#This Row],[NAMA BARANG]]="","",INDEX(NOTA[SUPPLIER],MATCH(,INDIRECT(ADDRESS(ROW(NOTA[ID]),COLUMN(NOTA[ID]))&amp;":"&amp;ADDRESS(ROW(),COLUMN(NOTA[ID]))),-1)))</f>
        <v>ATALI MAKMUR</v>
      </c>
      <c r="AI357" s="42" t="str">
        <f ca="1">IF(NOTA[[#This Row],[ID_H]]="","",IF(NOTA[[#This Row],[FAKTUR]]="",INDIRECT(ADDRESS(ROW()-1,COLUMN())),NOTA[[#This Row],[FAKTUR]]))</f>
        <v>ARTO MORO</v>
      </c>
      <c r="AJ357" s="39" t="str">
        <f ca="1">IF(NOTA[[#This Row],[ID]]="","",COUNTIF(NOTA[ID_H],NOTA[[#This Row],[ID_H]]))</f>
        <v/>
      </c>
      <c r="AK357" s="39">
        <f ca="1">IF(NOTA[[#This Row],[TGL.NOTA]]="",IF(NOTA[[#This Row],[SUPPLIER_H]]="","",AK356),MONTH(NOTA[[#This Row],[TGL.NOTA]]))</f>
        <v>7</v>
      </c>
      <c r="AL357" s="39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3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N3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3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9" t="str">
        <f>IF(NOTA[[#This Row],[CONCAT4]]="","",_xlfn.IFNA(MATCH(NOTA[[#This Row],[CONCAT4]],[2]!RAW[CONCAT_H],0),FALSE))</f>
        <v/>
      </c>
      <c r="AQ357" s="39">
        <f>IF(NOTA[[#This Row],[CONCAT1]]="","",MATCH(NOTA[[#This Row],[CONCAT1]],[3]!db[NB NOTA_C],0))</f>
        <v>2405</v>
      </c>
      <c r="AR357" s="39" t="str">
        <f>IF(NOTA[[#This Row],[QTY/ CTN]]="","",TRUE)</f>
        <v/>
      </c>
      <c r="AS357" s="39" t="str">
        <f ca="1">IF(NOTA[[#This Row],[ID_H]]="","",IF(NOTA[[#This Row],[Column3]]=TRUE,NOTA[[#This Row],[QTY/ CTN]],INDEX([3]!db[QTY/ CTN],NOTA[[#This Row],[//DB]])))</f>
        <v>72 BOX (10 PCS)</v>
      </c>
      <c r="AT3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357" s="39" t="e">
        <f ca="1">IF(NOTA[[#This Row],[ID_H]]="","",MATCH(NOTA[[#This Row],[NB NOTA_C_QTY]],[4]!db[NB NOTA_C_QTY+F],0))</f>
        <v>#REF!</v>
      </c>
      <c r="AV357" s="55">
        <f ca="1">IF(NOTA[[#This Row],[NB NOTA_C_QTY]]="","",ROW()-2)</f>
        <v>355</v>
      </c>
    </row>
    <row r="358" spans="1:48" ht="20.100000000000001" customHeight="1" x14ac:dyDescent="0.25">
      <c r="A3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70</v>
      </c>
      <c r="E358" s="47"/>
      <c r="H358" s="48"/>
      <c r="L358" s="38" t="s">
        <v>449</v>
      </c>
      <c r="N358" s="39">
        <v>180</v>
      </c>
      <c r="O358" s="38" t="s">
        <v>117</v>
      </c>
      <c r="P358" s="42">
        <v>3700</v>
      </c>
      <c r="Q358" s="43"/>
      <c r="R358" s="49"/>
      <c r="S358" s="50">
        <v>0.125</v>
      </c>
      <c r="T358" s="45">
        <v>0.05</v>
      </c>
      <c r="U358" s="51"/>
      <c r="V358" s="46"/>
      <c r="W358" s="51">
        <f>IF(NOTA[[#This Row],[HARGA/ CTN]]="",NOTA[[#This Row],[JUMLAH_H]],NOTA[[#This Row],[HARGA/ CTN]]*IF(NOTA[[#This Row],[C]]="",0,NOTA[[#This Row],[C]]))</f>
        <v>666000</v>
      </c>
      <c r="X358" s="51">
        <f>IF(NOTA[[#This Row],[JUMLAH]]="","",NOTA[[#This Row],[JUMLAH]]*NOTA[[#This Row],[DISC 1]])</f>
        <v>83250</v>
      </c>
      <c r="Y358" s="51">
        <f>IF(NOTA[[#This Row],[JUMLAH]]="","",(NOTA[[#This Row],[JUMLAH]]-NOTA[[#This Row],[DISC 1-]])*NOTA[[#This Row],[DISC 2]])</f>
        <v>29137.5</v>
      </c>
      <c r="Z358" s="51">
        <f>IF(NOTA[[#This Row],[JUMLAH]]="","",NOTA[[#This Row],[DISC 1-]]+NOTA[[#This Row],[DISC 2-]])</f>
        <v>112387.5</v>
      </c>
      <c r="AA358" s="51">
        <f>IF(NOTA[[#This Row],[JUMLAH]]="","",NOTA[[#This Row],[JUMLAH]]-NOTA[[#This Row],[DISC]])</f>
        <v>553612.5</v>
      </c>
      <c r="AB358" s="51"/>
      <c r="AC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1188843.75</v>
      </c>
      <c r="AD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5856156.25</v>
      </c>
      <c r="AE358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8" s="51">
        <f>IF(OR(NOTA[[#This Row],[QTY]]="",NOTA[[#This Row],[HARGA SATUAN]]="",),"",NOTA[[#This Row],[QTY]]*NOTA[[#This Row],[HARGA SATUAN]])</f>
        <v>666000</v>
      </c>
      <c r="AG358" s="40">
        <f ca="1">IF(NOTA[ID_H]="","",INDEX(NOTA[TANGGAL],MATCH(,INDIRECT(ADDRESS(ROW(NOTA[TANGGAL]),COLUMN(NOTA[TANGGAL]))&amp;":"&amp;ADDRESS(ROW(),COLUMN(NOTA[TANGGAL]))),-1)))</f>
        <v>45121</v>
      </c>
      <c r="AH358" s="42" t="str">
        <f ca="1">IF(NOTA[[#This Row],[NAMA BARANG]]="","",INDEX(NOTA[SUPPLIER],MATCH(,INDIRECT(ADDRESS(ROW(NOTA[ID]),COLUMN(NOTA[ID]))&amp;":"&amp;ADDRESS(ROW(),COLUMN(NOTA[ID]))),-1)))</f>
        <v>ATALI MAKMUR</v>
      </c>
      <c r="AI358" s="42" t="str">
        <f ca="1">IF(NOTA[[#This Row],[ID_H]]="","",IF(NOTA[[#This Row],[FAKTUR]]="",INDIRECT(ADDRESS(ROW()-1,COLUMN())),NOTA[[#This Row],[FAKTUR]]))</f>
        <v>ARTO MORO</v>
      </c>
      <c r="AJ358" s="39" t="str">
        <f ca="1">IF(NOTA[[#This Row],[ID]]="","",COUNTIF(NOTA[ID_H],NOTA[[#This Row],[ID_H]]))</f>
        <v/>
      </c>
      <c r="AK358" s="39">
        <f ca="1">IF(NOTA[[#This Row],[TGL.NOTA]]="",IF(NOTA[[#This Row],[SUPPLIER_H]]="","",AK357),MONTH(NOTA[[#This Row],[TGL.NOTA]]))</f>
        <v>7</v>
      </c>
      <c r="AL358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3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N3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3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9" t="str">
        <f>IF(NOTA[[#This Row],[CONCAT4]]="","",_xlfn.IFNA(MATCH(NOTA[[#This Row],[CONCAT4]],[2]!RAW[CONCAT_H],0),FALSE))</f>
        <v/>
      </c>
      <c r="AQ358" s="39">
        <f>IF(NOTA[[#This Row],[CONCAT1]]="","",MATCH(NOTA[[#This Row],[CONCAT1]],[3]!db[NB NOTA_C],0))</f>
        <v>2406</v>
      </c>
      <c r="AR358" s="39" t="str">
        <f>IF(NOTA[[#This Row],[QTY/ CTN]]="","",TRUE)</f>
        <v/>
      </c>
      <c r="AS358" s="39" t="str">
        <f ca="1">IF(NOTA[[#This Row],[ID_H]]="","",IF(NOTA[[#This Row],[Column3]]=TRUE,NOTA[[#This Row],[QTY/ CTN]],INDEX([3]!db[QTY/ CTN],NOTA[[#This Row],[//DB]])))</f>
        <v>72 BOX (10 PCS)</v>
      </c>
      <c r="AT3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358" s="39" t="e">
        <f ca="1">IF(NOTA[[#This Row],[ID_H]]="","",MATCH(NOTA[[#This Row],[NB NOTA_C_QTY]],[4]!db[NB NOTA_C_QTY+F],0))</f>
        <v>#REF!</v>
      </c>
      <c r="AV358" s="55">
        <f ca="1">IF(NOTA[[#This Row],[NB NOTA_C_QTY]]="","",ROW()-2)</f>
        <v>356</v>
      </c>
    </row>
    <row r="359" spans="1:48" ht="20.100000000000001" customHeight="1" x14ac:dyDescent="0.25">
      <c r="A3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 t="str">
        <f ca="1">IF(NOTA[[#This Row],[NAMA BARANG]]="","",INDEX(NOTA[ID],MATCH(,INDIRECT(ADDRESS(ROW(NOTA[ID]),COLUMN(NOTA[ID]))&amp;":"&amp;ADDRESS(ROW(),COLUMN(NOTA[ID]))),-1)))</f>
        <v/>
      </c>
      <c r="E359" s="47"/>
      <c r="H359" s="48"/>
      <c r="N359" s="39"/>
      <c r="Q359" s="43"/>
      <c r="R359" s="49"/>
      <c r="S359" s="50"/>
      <c r="U359" s="51"/>
      <c r="V359" s="46"/>
      <c r="W359" s="51" t="str">
        <f>IF(NOTA[[#This Row],[HARGA/ CTN]]="",NOTA[[#This Row],[JUMLAH_H]],NOTA[[#This Row],[HARGA/ CTN]]*IF(NOTA[[#This Row],[C]]="",0,NOTA[[#This Row],[C]]))</f>
        <v/>
      </c>
      <c r="X359" s="51" t="str">
        <f>IF(NOTA[[#This Row],[JUMLAH]]="","",NOTA[[#This Row],[JUMLAH]]*NOTA[[#This Row],[DISC 1]])</f>
        <v/>
      </c>
      <c r="Y359" s="51" t="str">
        <f>IF(NOTA[[#This Row],[JUMLAH]]="","",(NOTA[[#This Row],[JUMLAH]]-NOTA[[#This Row],[DISC 1-]])*NOTA[[#This Row],[DISC 2]])</f>
        <v/>
      </c>
      <c r="Z359" s="51" t="str">
        <f>IF(NOTA[[#This Row],[JUMLAH]]="","",NOTA[[#This Row],[DISC 1-]]+NOTA[[#This Row],[DISC 2-]])</f>
        <v/>
      </c>
      <c r="AA359" s="51" t="str">
        <f>IF(NOTA[[#This Row],[JUMLAH]]="","",NOTA[[#This Row],[JUMLAH]]-NOTA[[#This Row],[DISC]])</f>
        <v/>
      </c>
      <c r="AB359" s="51"/>
      <c r="AC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1" t="str">
        <f>IF(OR(NOTA[[#This Row],[QTY]]="",NOTA[[#This Row],[HARGA SATUAN]]="",),"",NOTA[[#This Row],[QTY]]*NOTA[[#This Row],[HARGA SATUAN]])</f>
        <v/>
      </c>
      <c r="AG359" s="40" t="str">
        <f ca="1">IF(NOTA[ID_H]="","",INDEX(NOTA[TANGGAL],MATCH(,INDIRECT(ADDRESS(ROW(NOTA[TANGGAL]),COLUMN(NOTA[TANGGAL]))&amp;":"&amp;ADDRESS(ROW(),COLUMN(NOTA[TANGGAL]))),-1)))</f>
        <v/>
      </c>
      <c r="AH359" s="42" t="str">
        <f ca="1">IF(NOTA[[#This Row],[NAMA BARANG]]="","",INDEX(NOTA[SUPPLIER],MATCH(,INDIRECT(ADDRESS(ROW(NOTA[ID]),COLUMN(NOTA[ID]))&amp;":"&amp;ADDRESS(ROW(),COLUMN(NOTA[ID]))),-1)))</f>
        <v/>
      </c>
      <c r="AI359" s="42" t="str">
        <f ca="1">IF(NOTA[[#This Row],[ID_H]]="","",IF(NOTA[[#This Row],[FAKTUR]]="",INDIRECT(ADDRESS(ROW()-1,COLUMN())),NOTA[[#This Row],[FAKTUR]]))</f>
        <v/>
      </c>
      <c r="AJ359" s="39" t="str">
        <f ca="1">IF(NOTA[[#This Row],[ID]]="","",COUNTIF(NOTA[ID_H],NOTA[[#This Row],[ID_H]]))</f>
        <v/>
      </c>
      <c r="AK359" s="39" t="str">
        <f ca="1">IF(NOTA[[#This Row],[TGL.NOTA]]="",IF(NOTA[[#This Row],[SUPPLIER_H]]="","",AK358),MONTH(NOTA[[#This Row],[TGL.NOTA]]))</f>
        <v/>
      </c>
      <c r="AL359" s="39" t="str">
        <f>LOWER(SUBSTITUTE(SUBSTITUTE(SUBSTITUTE(SUBSTITUTE(SUBSTITUTE(SUBSTITUTE(SUBSTITUTE(SUBSTITUTE(SUBSTITUTE(NOTA[NAMA BARANG]," ",),".",""),"-",""),"(",""),")",""),",",""),"/",""),"""",""),"+",""))</f>
        <v/>
      </c>
      <c r="AM3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9" t="str">
        <f>IF(NOTA[[#This Row],[CONCAT4]]="","",_xlfn.IFNA(MATCH(NOTA[[#This Row],[CONCAT4]],[2]!RAW[CONCAT_H],0),FALSE))</f>
        <v/>
      </c>
      <c r="AQ359" s="39" t="str">
        <f>IF(NOTA[[#This Row],[CONCAT1]]="","",MATCH(NOTA[[#This Row],[CONCAT1]],[3]!db[NB NOTA_C],0))</f>
        <v/>
      </c>
      <c r="AR359" s="39" t="str">
        <f>IF(NOTA[[#This Row],[QTY/ CTN]]="","",TRUE)</f>
        <v/>
      </c>
      <c r="AS359" s="39" t="str">
        <f ca="1">IF(NOTA[[#This Row],[ID_H]]="","",IF(NOTA[[#This Row],[Column3]]=TRUE,NOTA[[#This Row],[QTY/ CTN]],INDEX([3]!db[QTY/ CTN],NOTA[[#This Row],[//DB]])))</f>
        <v/>
      </c>
      <c r="AT3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9" t="str">
        <f ca="1">IF(NOTA[[#This Row],[ID_H]]="","",MATCH(NOTA[[#This Row],[NB NOTA_C_QTY]],[4]!db[NB NOTA_C_QTY+F],0))</f>
        <v/>
      </c>
      <c r="AV359" s="55" t="str">
        <f ca="1">IF(NOTA[[#This Row],[NB NOTA_C_QTY]]="","",ROW()-2)</f>
        <v/>
      </c>
    </row>
    <row r="360" spans="1:48" ht="20.100000000000001" customHeight="1" x14ac:dyDescent="0.25">
      <c r="A360" s="42">
        <f ca="1">IF(INDIRECT(ADDRESS(ROW()-1,COLUMN(NOTA[[#Headers],[ID]])))="ID",1,IF(NOTA[[#This Row],[FAKTUR]]="","",COUNT(INDIRECT(ADDRESS(ROW(NOTA[ID]),COLUMN(NOTA[ID]))&amp;":"&amp;ADDRESS(ROW()-1,COLUMN(NOTA[ID]))))+1))</f>
        <v>71</v>
      </c>
      <c r="B3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ATA_1407_914-2</v>
      </c>
      <c r="C360" s="39" t="e">
        <f ca="1">IF(NOTA[[#This Row],[ID_P]]="","",MATCH(NOTA[[#This Row],[ID_P]],[1]!B_MSK[N_ID],0))</f>
        <v>#REF!</v>
      </c>
      <c r="D360" s="39">
        <f ca="1">IF(NOTA[[#This Row],[NAMA BARANG]]="","",INDEX(NOTA[ID],MATCH(,INDIRECT(ADDRESS(ROW(NOTA[ID]),COLUMN(NOTA[ID]))&amp;":"&amp;ADDRESS(ROW(),COLUMN(NOTA[ID]))),-1)))</f>
        <v>71</v>
      </c>
      <c r="E360" s="47"/>
      <c r="F360" s="38" t="s">
        <v>24</v>
      </c>
      <c r="G360" s="38" t="s">
        <v>23</v>
      </c>
      <c r="H360" s="48" t="s">
        <v>450</v>
      </c>
      <c r="J360" s="40">
        <v>45118</v>
      </c>
      <c r="L360" s="38" t="s">
        <v>116</v>
      </c>
      <c r="M360" s="41">
        <v>5</v>
      </c>
      <c r="N360" s="39">
        <v>3600</v>
      </c>
      <c r="O360" s="38" t="s">
        <v>117</v>
      </c>
      <c r="P360" s="42">
        <v>4800</v>
      </c>
      <c r="Q360" s="43"/>
      <c r="R360" s="49"/>
      <c r="S360" s="50">
        <v>0.125</v>
      </c>
      <c r="T360" s="45">
        <v>0.05</v>
      </c>
      <c r="U360" s="51"/>
      <c r="V360" s="46"/>
      <c r="W360" s="51">
        <f>IF(NOTA[[#This Row],[HARGA/ CTN]]="",NOTA[[#This Row],[JUMLAH_H]],NOTA[[#This Row],[HARGA/ CTN]]*IF(NOTA[[#This Row],[C]]="",0,NOTA[[#This Row],[C]]))</f>
        <v>17280000</v>
      </c>
      <c r="X360" s="51">
        <f>IF(NOTA[[#This Row],[JUMLAH]]="","",NOTA[[#This Row],[JUMLAH]]*NOTA[[#This Row],[DISC 1]])</f>
        <v>2160000</v>
      </c>
      <c r="Y360" s="51">
        <f>IF(NOTA[[#This Row],[JUMLAH]]="","",(NOTA[[#This Row],[JUMLAH]]-NOTA[[#This Row],[DISC 1-]])*NOTA[[#This Row],[DISC 2]])</f>
        <v>756000</v>
      </c>
      <c r="Z360" s="51">
        <f>IF(NOTA[[#This Row],[JUMLAH]]="","",NOTA[[#This Row],[DISC 1-]]+NOTA[[#This Row],[DISC 2-]])</f>
        <v>2916000</v>
      </c>
      <c r="AA360" s="51">
        <f>IF(NOTA[[#This Row],[JUMLAH]]="","",NOTA[[#This Row],[JUMLAH]]-NOTA[[#This Row],[DISC]])</f>
        <v>14364000</v>
      </c>
      <c r="AB360" s="51"/>
      <c r="AC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60" s="51">
        <f>IF(OR(NOTA[[#This Row],[QTY]]="",NOTA[[#This Row],[HARGA SATUAN]]="",),"",NOTA[[#This Row],[QTY]]*NOTA[[#This Row],[HARGA SATUAN]])</f>
        <v>17280000</v>
      </c>
      <c r="AG360" s="40">
        <f ca="1">IF(NOTA[ID_H]="","",INDEX(NOTA[TANGGAL],MATCH(,INDIRECT(ADDRESS(ROW(NOTA[TANGGAL]),COLUMN(NOTA[TANGGAL]))&amp;":"&amp;ADDRESS(ROW(),COLUMN(NOTA[TANGGAL]))),-1)))</f>
        <v>45121</v>
      </c>
      <c r="AH360" s="42" t="str">
        <f ca="1">IF(NOTA[[#This Row],[NAMA BARANG]]="","",INDEX(NOTA[SUPPLIER],MATCH(,INDIRECT(ADDRESS(ROW(NOTA[ID]),COLUMN(NOTA[ID]))&amp;":"&amp;ADDRESS(ROW(),COLUMN(NOTA[ID]))),-1)))</f>
        <v>ATALI MAKMUR</v>
      </c>
      <c r="AI360" s="42" t="str">
        <f ca="1">IF(NOTA[[#This Row],[ID_H]]="","",IF(NOTA[[#This Row],[FAKTUR]]="",INDIRECT(ADDRESS(ROW()-1,COLUMN())),NOTA[[#This Row],[FAKTUR]]))</f>
        <v>ARTO MORO</v>
      </c>
      <c r="AJ360" s="39">
        <f ca="1">IF(NOTA[[#This Row],[ID]]="","",COUNTIF(NOTA[ID_H],NOTA[[#This Row],[ID_H]]))</f>
        <v>2</v>
      </c>
      <c r="AK360" s="39">
        <f>IF(NOTA[[#This Row],[TGL.NOTA]]="",IF(NOTA[[#This Row],[SUPPLIER_H]]="","",AK359),MONTH(NOTA[[#This Row],[TGL.NOTA]]))</f>
        <v>7</v>
      </c>
      <c r="AL36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6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MOROSA23071191445118correctiontapect522ptljk</v>
      </c>
      <c r="AP360" s="39" t="e">
        <f>IF(NOTA[[#This Row],[CONCAT4]]="","",_xlfn.IFNA(MATCH(NOTA[[#This Row],[CONCAT4]],[2]!RAW[CONCAT_H],0),FALSE))</f>
        <v>#REF!</v>
      </c>
      <c r="AQ360" s="39">
        <f>IF(NOTA[[#This Row],[CONCAT1]]="","",MATCH(NOTA[[#This Row],[CONCAT1]],[3]!db[NB NOTA_C],0))</f>
        <v>2629</v>
      </c>
      <c r="AR360" s="39" t="str">
        <f>IF(NOTA[[#This Row],[QTY/ CTN]]="","",TRUE)</f>
        <v/>
      </c>
      <c r="AS360" s="39" t="str">
        <f ca="1">IF(NOTA[[#This Row],[ID_H]]="","",IF(NOTA[[#This Row],[Column3]]=TRUE,NOTA[[#This Row],[QTY/ CTN]],INDEX([3]!db[QTY/ CTN],NOTA[[#This Row],[//DB]])))</f>
        <v>60 LSN</v>
      </c>
      <c r="AT3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360" s="39" t="e">
        <f ca="1">IF(NOTA[[#This Row],[ID_H]]="","",MATCH(NOTA[[#This Row],[NB NOTA_C_QTY]],[4]!db[NB NOTA_C_QTY+F],0))</f>
        <v>#REF!</v>
      </c>
      <c r="AV360" s="55">
        <f ca="1">IF(NOTA[[#This Row],[NB NOTA_C_QTY]]="","",ROW()-2)</f>
        <v>358</v>
      </c>
    </row>
    <row r="361" spans="1:48" ht="20.100000000000001" customHeight="1" x14ac:dyDescent="0.25">
      <c r="A3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71</v>
      </c>
      <c r="E361" s="47"/>
      <c r="H361" s="48"/>
      <c r="L361" s="38" t="s">
        <v>314</v>
      </c>
      <c r="M361" s="41">
        <v>5</v>
      </c>
      <c r="N361" s="39">
        <v>150</v>
      </c>
      <c r="O361" s="38" t="s">
        <v>305</v>
      </c>
      <c r="P361" s="42">
        <v>104400</v>
      </c>
      <c r="Q361" s="43"/>
      <c r="R361" s="49"/>
      <c r="S361" s="50">
        <v>0.125</v>
      </c>
      <c r="T361" s="45">
        <v>0.05</v>
      </c>
      <c r="U361" s="51"/>
      <c r="V361" s="46"/>
      <c r="W361" s="51">
        <f>IF(NOTA[[#This Row],[HARGA/ CTN]]="",NOTA[[#This Row],[JUMLAH_H]],NOTA[[#This Row],[HARGA/ CTN]]*IF(NOTA[[#This Row],[C]]="",0,NOTA[[#This Row],[C]]))</f>
        <v>15660000</v>
      </c>
      <c r="X361" s="51">
        <f>IF(NOTA[[#This Row],[JUMLAH]]="","",NOTA[[#This Row],[JUMLAH]]*NOTA[[#This Row],[DISC 1]])</f>
        <v>1957500</v>
      </c>
      <c r="Y361" s="51">
        <f>IF(NOTA[[#This Row],[JUMLAH]]="","",(NOTA[[#This Row],[JUMLAH]]-NOTA[[#This Row],[DISC 1-]])*NOTA[[#This Row],[DISC 2]])</f>
        <v>685125</v>
      </c>
      <c r="Z361" s="51">
        <f>IF(NOTA[[#This Row],[JUMLAH]]="","",NOTA[[#This Row],[DISC 1-]]+NOTA[[#This Row],[DISC 2-]])</f>
        <v>2642625</v>
      </c>
      <c r="AA361" s="51">
        <f>IF(NOTA[[#This Row],[JUMLAH]]="","",NOTA[[#This Row],[JUMLAH]]-NOTA[[#This Row],[DISC]])</f>
        <v>13017375</v>
      </c>
      <c r="AB361" s="51"/>
      <c r="AC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5558625</v>
      </c>
      <c r="AD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27381375</v>
      </c>
      <c r="AE36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1" s="51">
        <f>IF(OR(NOTA[[#This Row],[QTY]]="",NOTA[[#This Row],[HARGA SATUAN]]="",),"",NOTA[[#This Row],[QTY]]*NOTA[[#This Row],[HARGA SATUAN]])</f>
        <v>15660000</v>
      </c>
      <c r="AG361" s="40">
        <f ca="1">IF(NOTA[ID_H]="","",INDEX(NOTA[TANGGAL],MATCH(,INDIRECT(ADDRESS(ROW(NOTA[TANGGAL]),COLUMN(NOTA[TANGGAL]))&amp;":"&amp;ADDRESS(ROW(),COLUMN(NOTA[TANGGAL]))),-1)))</f>
        <v>45121</v>
      </c>
      <c r="AH361" s="42" t="str">
        <f ca="1">IF(NOTA[[#This Row],[NAMA BARANG]]="","",INDEX(NOTA[SUPPLIER],MATCH(,INDIRECT(ADDRESS(ROW(NOTA[ID]),COLUMN(NOTA[ID]))&amp;":"&amp;ADDRESS(ROW(),COLUMN(NOTA[ID]))),-1)))</f>
        <v>ATALI MAKMUR</v>
      </c>
      <c r="AI361" s="42" t="str">
        <f ca="1">IF(NOTA[[#This Row],[ID_H]]="","",IF(NOTA[[#This Row],[FAKTUR]]="",INDIRECT(ADDRESS(ROW()-1,COLUMN())),NOTA[[#This Row],[FAKTUR]]))</f>
        <v>ARTO MORO</v>
      </c>
      <c r="AJ361" s="39" t="str">
        <f ca="1">IF(NOTA[[#This Row],[ID]]="","",COUNTIF(NOTA[ID_H],NOTA[[#This Row],[ID_H]]))</f>
        <v/>
      </c>
      <c r="AK361" s="39">
        <f ca="1">IF(NOTA[[#This Row],[TGL.NOTA]]="",IF(NOTA[[#This Row],[SUPPLIER_H]]="","",AK360),MONTH(NOTA[[#This Row],[TGL.NOTA]]))</f>
        <v>7</v>
      </c>
      <c r="AL36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3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9" t="str">
        <f>IF(NOTA[[#This Row],[CONCAT4]]="","",_xlfn.IFNA(MATCH(NOTA[[#This Row],[CONCAT4]],[2]!RAW[CONCAT_H],0),FALSE))</f>
        <v/>
      </c>
      <c r="AQ361" s="39">
        <f>IF(NOTA[[#This Row],[CONCAT1]]="","",MATCH(NOTA[[#This Row],[CONCAT1]],[3]!db[NB NOTA_C],0))</f>
        <v>2194</v>
      </c>
      <c r="AR361" s="39" t="str">
        <f>IF(NOTA[[#This Row],[QTY/ CTN]]="","",TRUE)</f>
        <v/>
      </c>
      <c r="AS361" s="39" t="str">
        <f ca="1">IF(NOTA[[#This Row],[ID_H]]="","",IF(NOTA[[#This Row],[Column3]]=TRUE,NOTA[[#This Row],[QTY/ CTN]],INDEX([3]!db[QTY/ CTN],NOTA[[#This Row],[//DB]])))</f>
        <v>30 GRS</v>
      </c>
      <c r="AT3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361" s="39" t="e">
        <f ca="1">IF(NOTA[[#This Row],[ID_H]]="","",MATCH(NOTA[[#This Row],[NB NOTA_C_QTY]],[4]!db[NB NOTA_C_QTY+F],0))</f>
        <v>#REF!</v>
      </c>
      <c r="AV361" s="55">
        <f ca="1">IF(NOTA[[#This Row],[NB NOTA_C_QTY]]="","",ROW()-2)</f>
        <v>359</v>
      </c>
    </row>
    <row r="362" spans="1:48" ht="20.100000000000001" customHeight="1" x14ac:dyDescent="0.25">
      <c r="A3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 t="str">
        <f ca="1">IF(NOTA[[#This Row],[NAMA BARANG]]="","",INDEX(NOTA[ID],MATCH(,INDIRECT(ADDRESS(ROW(NOTA[ID]),COLUMN(NOTA[ID]))&amp;":"&amp;ADDRESS(ROW(),COLUMN(NOTA[ID]))),-1)))</f>
        <v/>
      </c>
      <c r="E362" s="47"/>
      <c r="H362" s="48"/>
      <c r="N362" s="39"/>
      <c r="Q362" s="43"/>
      <c r="R362" s="49"/>
      <c r="S362" s="50"/>
      <c r="U362" s="51"/>
      <c r="V362" s="46"/>
      <c r="W362" s="51" t="str">
        <f>IF(NOTA[[#This Row],[HARGA/ CTN]]="",NOTA[[#This Row],[JUMLAH_H]],NOTA[[#This Row],[HARGA/ CTN]]*IF(NOTA[[#This Row],[C]]="",0,NOTA[[#This Row],[C]]))</f>
        <v/>
      </c>
      <c r="X362" s="51" t="str">
        <f>IF(NOTA[[#This Row],[JUMLAH]]="","",NOTA[[#This Row],[JUMLAH]]*NOTA[[#This Row],[DISC 1]])</f>
        <v/>
      </c>
      <c r="Y362" s="51" t="str">
        <f>IF(NOTA[[#This Row],[JUMLAH]]="","",(NOTA[[#This Row],[JUMLAH]]-NOTA[[#This Row],[DISC 1-]])*NOTA[[#This Row],[DISC 2]])</f>
        <v/>
      </c>
      <c r="Z362" s="51" t="str">
        <f>IF(NOTA[[#This Row],[JUMLAH]]="","",NOTA[[#This Row],[DISC 1-]]+NOTA[[#This Row],[DISC 2-]])</f>
        <v/>
      </c>
      <c r="AA362" s="51" t="str">
        <f>IF(NOTA[[#This Row],[JUMLAH]]="","",NOTA[[#This Row],[JUMLAH]]-NOTA[[#This Row],[DISC]])</f>
        <v/>
      </c>
      <c r="AB362" s="51"/>
      <c r="AC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1" t="str">
        <f>IF(OR(NOTA[[#This Row],[QTY]]="",NOTA[[#This Row],[HARGA SATUAN]]="",),"",NOTA[[#This Row],[QTY]]*NOTA[[#This Row],[HARGA SATUAN]])</f>
        <v/>
      </c>
      <c r="AG362" s="40" t="str">
        <f ca="1">IF(NOTA[ID_H]="","",INDEX(NOTA[TANGGAL],MATCH(,INDIRECT(ADDRESS(ROW(NOTA[TANGGAL]),COLUMN(NOTA[TANGGAL]))&amp;":"&amp;ADDRESS(ROW(),COLUMN(NOTA[TANGGAL]))),-1)))</f>
        <v/>
      </c>
      <c r="AH362" s="42" t="str">
        <f ca="1">IF(NOTA[[#This Row],[NAMA BARANG]]="","",INDEX(NOTA[SUPPLIER],MATCH(,INDIRECT(ADDRESS(ROW(NOTA[ID]),COLUMN(NOTA[ID]))&amp;":"&amp;ADDRESS(ROW(),COLUMN(NOTA[ID]))),-1)))</f>
        <v/>
      </c>
      <c r="AI362" s="42" t="str">
        <f ca="1">IF(NOTA[[#This Row],[ID_H]]="","",IF(NOTA[[#This Row],[FAKTUR]]="",INDIRECT(ADDRESS(ROW()-1,COLUMN())),NOTA[[#This Row],[FAKTUR]]))</f>
        <v/>
      </c>
      <c r="AJ362" s="39" t="str">
        <f ca="1">IF(NOTA[[#This Row],[ID]]="","",COUNTIF(NOTA[ID_H],NOTA[[#This Row],[ID_H]]))</f>
        <v/>
      </c>
      <c r="AK362" s="39" t="str">
        <f ca="1">IF(NOTA[[#This Row],[TGL.NOTA]]="",IF(NOTA[[#This Row],[SUPPLIER_H]]="","",AK361),MONTH(NOTA[[#This Row],[TGL.NOTA]]))</f>
        <v/>
      </c>
      <c r="AL362" s="39" t="str">
        <f>LOWER(SUBSTITUTE(SUBSTITUTE(SUBSTITUTE(SUBSTITUTE(SUBSTITUTE(SUBSTITUTE(SUBSTITUTE(SUBSTITUTE(SUBSTITUTE(NOTA[NAMA BARANG]," ",),".",""),"-",""),"(",""),")",""),",",""),"/",""),"""",""),"+",""))</f>
        <v/>
      </c>
      <c r="AM3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9" t="str">
        <f>IF(NOTA[[#This Row],[CONCAT4]]="","",_xlfn.IFNA(MATCH(NOTA[[#This Row],[CONCAT4]],[2]!RAW[CONCAT_H],0),FALSE))</f>
        <v/>
      </c>
      <c r="AQ362" s="39" t="str">
        <f>IF(NOTA[[#This Row],[CONCAT1]]="","",MATCH(NOTA[[#This Row],[CONCAT1]],[3]!db[NB NOTA_C],0))</f>
        <v/>
      </c>
      <c r="AR362" s="39" t="str">
        <f>IF(NOTA[[#This Row],[QTY/ CTN]]="","",TRUE)</f>
        <v/>
      </c>
      <c r="AS362" s="39" t="str">
        <f ca="1">IF(NOTA[[#This Row],[ID_H]]="","",IF(NOTA[[#This Row],[Column3]]=TRUE,NOTA[[#This Row],[QTY/ CTN]],INDEX([3]!db[QTY/ CTN],NOTA[[#This Row],[//DB]])))</f>
        <v/>
      </c>
      <c r="AT3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9" t="str">
        <f ca="1">IF(NOTA[[#This Row],[ID_H]]="","",MATCH(NOTA[[#This Row],[NB NOTA_C_QTY]],[4]!db[NB NOTA_C_QTY+F],0))</f>
        <v/>
      </c>
      <c r="AV362" s="55" t="str">
        <f ca="1">IF(NOTA[[#This Row],[NB NOTA_C_QTY]]="","",ROW()-2)</f>
        <v/>
      </c>
    </row>
    <row r="363" spans="1:48" ht="18.75" customHeight="1" x14ac:dyDescent="0.25">
      <c r="A363" s="42">
        <f ca="1">IF(INDIRECT(ADDRESS(ROW()-1,COLUMN(NOTA[[#Headers],[ID]])))="ID",1,IF(NOTA[[#This Row],[FAKTUR]]="","",COUNT(INDIRECT(ADDRESS(ROW(NOTA[ID]),COLUMN(NOTA[ID]))&amp;":"&amp;ADDRESS(ROW()-1,COLUMN(NOTA[ID]))))+1))</f>
        <v>72</v>
      </c>
      <c r="B3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ATA_1407_838-9</v>
      </c>
      <c r="C363" s="39" t="e">
        <f ca="1">IF(NOTA[[#This Row],[ID_P]]="","",MATCH(NOTA[[#This Row],[ID_P]],[1]!B_MSK[N_ID],0))</f>
        <v>#REF!</v>
      </c>
      <c r="D363" s="39">
        <f ca="1">IF(NOTA[[#This Row],[NAMA BARANG]]="","",INDEX(NOTA[ID],MATCH(,INDIRECT(ADDRESS(ROW(NOTA[ID]),COLUMN(NOTA[ID]))&amp;":"&amp;ADDRESS(ROW(),COLUMN(NOTA[ID]))),-1)))</f>
        <v>72</v>
      </c>
      <c r="E363" s="47"/>
      <c r="F363" s="38" t="s">
        <v>24</v>
      </c>
      <c r="G363" s="38" t="s">
        <v>23</v>
      </c>
      <c r="H363" s="48" t="s">
        <v>452</v>
      </c>
      <c r="J363" s="40">
        <v>45118</v>
      </c>
      <c r="L363" s="38" t="s">
        <v>104</v>
      </c>
      <c r="M363" s="41">
        <v>10</v>
      </c>
      <c r="N363" s="39">
        <v>500</v>
      </c>
      <c r="O363" s="38" t="s">
        <v>319</v>
      </c>
      <c r="P363" s="42">
        <v>34100</v>
      </c>
      <c r="Q363" s="43"/>
      <c r="R363" s="49"/>
      <c r="S363" s="50">
        <v>0.125</v>
      </c>
      <c r="T363" s="45">
        <v>0.05</v>
      </c>
      <c r="U363" s="51"/>
      <c r="V363" s="46"/>
      <c r="W363" s="51">
        <f>IF(NOTA[[#This Row],[HARGA/ CTN]]="",NOTA[[#This Row],[JUMLAH_H]],NOTA[[#This Row],[HARGA/ CTN]]*IF(NOTA[[#This Row],[C]]="",0,NOTA[[#This Row],[C]]))</f>
        <v>17050000</v>
      </c>
      <c r="X363" s="51">
        <f>IF(NOTA[[#This Row],[JUMLAH]]="","",NOTA[[#This Row],[JUMLAH]]*NOTA[[#This Row],[DISC 1]])</f>
        <v>2131250</v>
      </c>
      <c r="Y363" s="51">
        <f>IF(NOTA[[#This Row],[JUMLAH]]="","",(NOTA[[#This Row],[JUMLAH]]-NOTA[[#This Row],[DISC 1-]])*NOTA[[#This Row],[DISC 2]])</f>
        <v>745937.5</v>
      </c>
      <c r="Z363" s="51">
        <f>IF(NOTA[[#This Row],[JUMLAH]]="","",NOTA[[#This Row],[DISC 1-]]+NOTA[[#This Row],[DISC 2-]])</f>
        <v>2877187.5</v>
      </c>
      <c r="AA363" s="51">
        <f>IF(NOTA[[#This Row],[JUMLAH]]="","",NOTA[[#This Row],[JUMLAH]]-NOTA[[#This Row],[DISC]])</f>
        <v>14172812.5</v>
      </c>
      <c r="AB363" s="51"/>
      <c r="AC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3" s="51">
        <f>IF(OR(NOTA[[#This Row],[QTY]]="",NOTA[[#This Row],[HARGA SATUAN]]="",),"",NOTA[[#This Row],[QTY]]*NOTA[[#This Row],[HARGA SATUAN]])</f>
        <v>17050000</v>
      </c>
      <c r="AG363" s="40">
        <f ca="1">IF(NOTA[ID_H]="","",INDEX(NOTA[TANGGAL],MATCH(,INDIRECT(ADDRESS(ROW(NOTA[TANGGAL]),COLUMN(NOTA[TANGGAL]))&amp;":"&amp;ADDRESS(ROW(),COLUMN(NOTA[TANGGAL]))),-1)))</f>
        <v>45121</v>
      </c>
      <c r="AH363" s="42" t="str">
        <f ca="1">IF(NOTA[[#This Row],[NAMA BARANG]]="","",INDEX(NOTA[SUPPLIER],MATCH(,INDIRECT(ADDRESS(ROW(NOTA[ID]),COLUMN(NOTA[ID]))&amp;":"&amp;ADDRESS(ROW(),COLUMN(NOTA[ID]))),-1)))</f>
        <v>ATALI MAKMUR</v>
      </c>
      <c r="AI363" s="42" t="str">
        <f ca="1">IF(NOTA[[#This Row],[ID_H]]="","",IF(NOTA[[#This Row],[FAKTUR]]="",INDIRECT(ADDRESS(ROW()-1,COLUMN())),NOTA[[#This Row],[FAKTUR]]))</f>
        <v>ARTO MORO</v>
      </c>
      <c r="AJ363" s="39">
        <f ca="1">IF(NOTA[[#This Row],[ID]]="","",COUNTIF(NOTA[ID_H],NOTA[[#This Row],[ID_H]]))</f>
        <v>9</v>
      </c>
      <c r="AK363" s="39">
        <f>IF(NOTA[[#This Row],[TGL.NOTA]]="",IF(NOTA[[#This Row],[SUPPLIER_H]]="","",AK362),MONTH(NOTA[[#This Row],[TGL.NOTA]]))</f>
        <v>7</v>
      </c>
      <c r="AL3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3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6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MOROSA23071183845118eraser526b20jk</v>
      </c>
      <c r="AP363" s="39" t="e">
        <f>IF(NOTA[[#This Row],[CONCAT4]]="","",_xlfn.IFNA(MATCH(NOTA[[#This Row],[CONCAT4]],[2]!RAW[CONCAT_H],0),FALSE))</f>
        <v>#REF!</v>
      </c>
      <c r="AQ363" s="39">
        <f>IF(NOTA[[#This Row],[CONCAT1]]="","",MATCH(NOTA[[#This Row],[CONCAT1]],[3]!db[NB NOTA_C],0))</f>
        <v>2495</v>
      </c>
      <c r="AR363" s="39" t="str">
        <f>IF(NOTA[[#This Row],[QTY/ CTN]]="","",TRUE)</f>
        <v/>
      </c>
      <c r="AS363" s="39" t="str">
        <f ca="1">IF(NOTA[[#This Row],[ID_H]]="","",IF(NOTA[[#This Row],[Column3]]=TRUE,NOTA[[#This Row],[QTY/ CTN]],INDEX([3]!db[QTY/ CTN],NOTA[[#This Row],[//DB]])))</f>
        <v>50 BOX (20 PCS)</v>
      </c>
      <c r="AT3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363" s="39" t="e">
        <f ca="1">IF(NOTA[[#This Row],[ID_H]]="","",MATCH(NOTA[[#This Row],[NB NOTA_C_QTY]],[4]!db[NB NOTA_C_QTY+F],0))</f>
        <v>#REF!</v>
      </c>
      <c r="AV363" s="55">
        <f ca="1">IF(NOTA[[#This Row],[NB NOTA_C_QTY]]="","",ROW()-2)</f>
        <v>361</v>
      </c>
    </row>
    <row r="364" spans="1:48" ht="20.100000000000001" customHeight="1" x14ac:dyDescent="0.25">
      <c r="A3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72</v>
      </c>
      <c r="E364" s="47"/>
      <c r="H364" s="48"/>
      <c r="L364" s="38" t="s">
        <v>451</v>
      </c>
      <c r="M364" s="41">
        <v>5</v>
      </c>
      <c r="N364" s="39">
        <v>250</v>
      </c>
      <c r="O364" s="38" t="s">
        <v>319</v>
      </c>
      <c r="P364" s="42">
        <v>34100</v>
      </c>
      <c r="Q364" s="43"/>
      <c r="R364" s="49"/>
      <c r="S364" s="50">
        <v>0.125</v>
      </c>
      <c r="T364" s="45">
        <v>0.05</v>
      </c>
      <c r="U364" s="51"/>
      <c r="V364" s="46"/>
      <c r="W364" s="51">
        <f>IF(NOTA[[#This Row],[HARGA/ CTN]]="",NOTA[[#This Row],[JUMLAH_H]],NOTA[[#This Row],[HARGA/ CTN]]*IF(NOTA[[#This Row],[C]]="",0,NOTA[[#This Row],[C]]))</f>
        <v>8525000</v>
      </c>
      <c r="X364" s="51">
        <f>IF(NOTA[[#This Row],[JUMLAH]]="","",NOTA[[#This Row],[JUMLAH]]*NOTA[[#This Row],[DISC 1]])</f>
        <v>1065625</v>
      </c>
      <c r="Y364" s="51">
        <f>IF(NOTA[[#This Row],[JUMLAH]]="","",(NOTA[[#This Row],[JUMLAH]]-NOTA[[#This Row],[DISC 1-]])*NOTA[[#This Row],[DISC 2]])</f>
        <v>372968.75</v>
      </c>
      <c r="Z364" s="51">
        <f>IF(NOTA[[#This Row],[JUMLAH]]="","",NOTA[[#This Row],[DISC 1-]]+NOTA[[#This Row],[DISC 2-]])</f>
        <v>1438593.75</v>
      </c>
      <c r="AA364" s="51">
        <f>IF(NOTA[[#This Row],[JUMLAH]]="","",NOTA[[#This Row],[JUMLAH]]-NOTA[[#This Row],[DISC]])</f>
        <v>7086406.25</v>
      </c>
      <c r="AB364" s="51"/>
      <c r="AC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4" s="51">
        <f>IF(OR(NOTA[[#This Row],[QTY]]="",NOTA[[#This Row],[HARGA SATUAN]]="",),"",NOTA[[#This Row],[QTY]]*NOTA[[#This Row],[HARGA SATUAN]])</f>
        <v>8525000</v>
      </c>
      <c r="AG364" s="40">
        <f ca="1">IF(NOTA[ID_H]="","",INDEX(NOTA[TANGGAL],MATCH(,INDIRECT(ADDRESS(ROW(NOTA[TANGGAL]),COLUMN(NOTA[TANGGAL]))&amp;":"&amp;ADDRESS(ROW(),COLUMN(NOTA[TANGGAL]))),-1)))</f>
        <v>45121</v>
      </c>
      <c r="AH364" s="42" t="str">
        <f ca="1">IF(NOTA[[#This Row],[NAMA BARANG]]="","",INDEX(NOTA[SUPPLIER],MATCH(,INDIRECT(ADDRESS(ROW(NOTA[ID]),COLUMN(NOTA[ID]))&amp;":"&amp;ADDRESS(ROW(),COLUMN(NOTA[ID]))),-1)))</f>
        <v>ATALI MAKMUR</v>
      </c>
      <c r="AI364" s="42" t="str">
        <f ca="1">IF(NOTA[[#This Row],[ID_H]]="","",IF(NOTA[[#This Row],[FAKTUR]]="",INDIRECT(ADDRESS(ROW()-1,COLUMN())),NOTA[[#This Row],[FAKTUR]]))</f>
        <v>ARTO MORO</v>
      </c>
      <c r="AJ364" s="39" t="str">
        <f ca="1">IF(NOTA[[#This Row],[ID]]="","",COUNTIF(NOTA[ID_H],NOTA[[#This Row],[ID_H]]))</f>
        <v/>
      </c>
      <c r="AK364" s="39">
        <f ca="1">IF(NOTA[[#This Row],[TGL.NOTA]]="",IF(NOTA[[#This Row],[SUPPLIER_H]]="","",AK363),MONTH(NOTA[[#This Row],[TGL.NOTA]]))</f>
        <v>7</v>
      </c>
      <c r="AL364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3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9" t="str">
        <f>IF(NOTA[[#This Row],[CONCAT4]]="","",_xlfn.IFNA(MATCH(NOTA[[#This Row],[CONCAT4]],[2]!RAW[CONCAT_H],0),FALSE))</f>
        <v/>
      </c>
      <c r="AQ364" s="39">
        <f>IF(NOTA[[#This Row],[CONCAT1]]="","",MATCH(NOTA[[#This Row],[CONCAT1]],[3]!db[NB NOTA_C],0))</f>
        <v>2505</v>
      </c>
      <c r="AR364" s="39" t="str">
        <f>IF(NOTA[[#This Row],[QTY/ CTN]]="","",TRUE)</f>
        <v/>
      </c>
      <c r="AS364" s="39" t="str">
        <f ca="1">IF(NOTA[[#This Row],[ID_H]]="","",IF(NOTA[[#This Row],[Column3]]=TRUE,NOTA[[#This Row],[QTY/ CTN]],INDEX([3]!db[QTY/ CTN],NOTA[[#This Row],[//DB]])))</f>
        <v>50 BOX (20 PCS)</v>
      </c>
      <c r="AT3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364" s="39" t="e">
        <f ca="1">IF(NOTA[[#This Row],[ID_H]]="","",MATCH(NOTA[[#This Row],[NB NOTA_C_QTY]],[4]!db[NB NOTA_C_QTY+F],0))</f>
        <v>#REF!</v>
      </c>
      <c r="AV364" s="55">
        <f ca="1">IF(NOTA[[#This Row],[NB NOTA_C_QTY]]="","",ROW()-2)</f>
        <v>362</v>
      </c>
    </row>
    <row r="365" spans="1:48" ht="20.100000000000001" customHeight="1" x14ac:dyDescent="0.25">
      <c r="A3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72</v>
      </c>
      <c r="E365" s="47"/>
      <c r="H365" s="48"/>
      <c r="L365" s="38" t="s">
        <v>453</v>
      </c>
      <c r="M365" s="41">
        <v>5</v>
      </c>
      <c r="N365" s="39">
        <v>250</v>
      </c>
      <c r="O365" s="38" t="s">
        <v>319</v>
      </c>
      <c r="P365" s="42">
        <v>28300</v>
      </c>
      <c r="Q365" s="43"/>
      <c r="R365" s="49"/>
      <c r="S365" s="50">
        <v>0.125</v>
      </c>
      <c r="T365" s="45">
        <v>0.05</v>
      </c>
      <c r="U365" s="51"/>
      <c r="V365" s="46"/>
      <c r="W365" s="51">
        <f>IF(NOTA[[#This Row],[HARGA/ CTN]]="",NOTA[[#This Row],[JUMLAH_H]],NOTA[[#This Row],[HARGA/ CTN]]*IF(NOTA[[#This Row],[C]]="",0,NOTA[[#This Row],[C]]))</f>
        <v>7075000</v>
      </c>
      <c r="X365" s="51">
        <f>IF(NOTA[[#This Row],[JUMLAH]]="","",NOTA[[#This Row],[JUMLAH]]*NOTA[[#This Row],[DISC 1]])</f>
        <v>884375</v>
      </c>
      <c r="Y365" s="51">
        <f>IF(NOTA[[#This Row],[JUMLAH]]="","",(NOTA[[#This Row],[JUMLAH]]-NOTA[[#This Row],[DISC 1-]])*NOTA[[#This Row],[DISC 2]])</f>
        <v>309531.25</v>
      </c>
      <c r="Z365" s="51">
        <f>IF(NOTA[[#This Row],[JUMLAH]]="","",NOTA[[#This Row],[DISC 1-]]+NOTA[[#This Row],[DISC 2-]])</f>
        <v>1193906.25</v>
      </c>
      <c r="AA365" s="51">
        <f>IF(NOTA[[#This Row],[JUMLAH]]="","",NOTA[[#This Row],[JUMLAH]]-NOTA[[#This Row],[DISC]])</f>
        <v>5881093.75</v>
      </c>
      <c r="AB365" s="51"/>
      <c r="AC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5" s="51">
        <f>IF(OR(NOTA[[#This Row],[QTY]]="",NOTA[[#This Row],[HARGA SATUAN]]="",),"",NOTA[[#This Row],[QTY]]*NOTA[[#This Row],[HARGA SATUAN]])</f>
        <v>7075000</v>
      </c>
      <c r="AG365" s="40">
        <f ca="1">IF(NOTA[ID_H]="","",INDEX(NOTA[TANGGAL],MATCH(,INDIRECT(ADDRESS(ROW(NOTA[TANGGAL]),COLUMN(NOTA[TANGGAL]))&amp;":"&amp;ADDRESS(ROW(),COLUMN(NOTA[TANGGAL]))),-1)))</f>
        <v>45121</v>
      </c>
      <c r="AH365" s="42" t="str">
        <f ca="1">IF(NOTA[[#This Row],[NAMA BARANG]]="","",INDEX(NOTA[SUPPLIER],MATCH(,INDIRECT(ADDRESS(ROW(NOTA[ID]),COLUMN(NOTA[ID]))&amp;":"&amp;ADDRESS(ROW(),COLUMN(NOTA[ID]))),-1)))</f>
        <v>ATALI MAKMUR</v>
      </c>
      <c r="AI365" s="42" t="str">
        <f ca="1">IF(NOTA[[#This Row],[ID_H]]="","",IF(NOTA[[#This Row],[FAKTUR]]="",INDIRECT(ADDRESS(ROW()-1,COLUMN())),NOTA[[#This Row],[FAKTUR]]))</f>
        <v>ARTO MORO</v>
      </c>
      <c r="AJ365" s="39" t="str">
        <f ca="1">IF(NOTA[[#This Row],[ID]]="","",COUNTIF(NOTA[ID_H],NOTA[[#This Row],[ID_H]]))</f>
        <v/>
      </c>
      <c r="AK365" s="39">
        <f ca="1">IF(NOTA[[#This Row],[TGL.NOTA]]="",IF(NOTA[[#This Row],[SUPPLIER_H]]="","",AK364),MONTH(NOTA[[#This Row],[TGL.NOTA]]))</f>
        <v>7</v>
      </c>
      <c r="AL36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3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9" t="str">
        <f>IF(NOTA[[#This Row],[CONCAT4]]="","",_xlfn.IFNA(MATCH(NOTA[[#This Row],[CONCAT4]],[2]!RAW[CONCAT_H],0),FALSE))</f>
        <v/>
      </c>
      <c r="AQ365" s="39">
        <f>IF(NOTA[[#This Row],[CONCAT1]]="","",MATCH(NOTA[[#This Row],[CONCAT1]],[3]!db[NB NOTA_C],0))</f>
        <v>2498</v>
      </c>
      <c r="AR365" s="39" t="str">
        <f>IF(NOTA[[#This Row],[QTY/ CTN]]="","",TRUE)</f>
        <v/>
      </c>
      <c r="AS365" s="39" t="str">
        <f ca="1">IF(NOTA[[#This Row],[ID_H]]="","",IF(NOTA[[#This Row],[Column3]]=TRUE,NOTA[[#This Row],[QTY/ CTN]],INDEX([3]!db[QTY/ CTN],NOTA[[#This Row],[//DB]])))</f>
        <v>50 BOX (40 PCS)</v>
      </c>
      <c r="AT3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365" s="39" t="e">
        <f ca="1">IF(NOTA[[#This Row],[ID_H]]="","",MATCH(NOTA[[#This Row],[NB NOTA_C_QTY]],[4]!db[NB NOTA_C_QTY+F],0))</f>
        <v>#REF!</v>
      </c>
      <c r="AV365" s="55">
        <f ca="1">IF(NOTA[[#This Row],[NB NOTA_C_QTY]]="","",ROW()-2)</f>
        <v>363</v>
      </c>
    </row>
    <row r="366" spans="1:48" ht="20.100000000000001" customHeight="1" x14ac:dyDescent="0.25">
      <c r="A3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72</v>
      </c>
      <c r="E366" s="47"/>
      <c r="H366" s="48"/>
      <c r="L366" s="38" t="s">
        <v>454</v>
      </c>
      <c r="M366" s="41">
        <v>10</v>
      </c>
      <c r="N366" s="39">
        <v>500</v>
      </c>
      <c r="O366" s="38" t="s">
        <v>319</v>
      </c>
      <c r="P366" s="42">
        <v>28300</v>
      </c>
      <c r="Q366" s="43"/>
      <c r="R366" s="49"/>
      <c r="S366" s="50">
        <v>0.125</v>
      </c>
      <c r="T366" s="45">
        <v>0.05</v>
      </c>
      <c r="U366" s="51"/>
      <c r="V366" s="46"/>
      <c r="W366" s="51">
        <f>IF(NOTA[[#This Row],[HARGA/ CTN]]="",NOTA[[#This Row],[JUMLAH_H]],NOTA[[#This Row],[HARGA/ CTN]]*IF(NOTA[[#This Row],[C]]="",0,NOTA[[#This Row],[C]]))</f>
        <v>14150000</v>
      </c>
      <c r="X366" s="51">
        <f>IF(NOTA[[#This Row],[JUMLAH]]="","",NOTA[[#This Row],[JUMLAH]]*NOTA[[#This Row],[DISC 1]])</f>
        <v>1768750</v>
      </c>
      <c r="Y366" s="51">
        <f>IF(NOTA[[#This Row],[JUMLAH]]="","",(NOTA[[#This Row],[JUMLAH]]-NOTA[[#This Row],[DISC 1-]])*NOTA[[#This Row],[DISC 2]])</f>
        <v>619062.5</v>
      </c>
      <c r="Z366" s="51">
        <f>IF(NOTA[[#This Row],[JUMLAH]]="","",NOTA[[#This Row],[DISC 1-]]+NOTA[[#This Row],[DISC 2-]])</f>
        <v>2387812.5</v>
      </c>
      <c r="AA366" s="51">
        <f>IF(NOTA[[#This Row],[JUMLAH]]="","",NOTA[[#This Row],[JUMLAH]]-NOTA[[#This Row],[DISC]])</f>
        <v>11762187.5</v>
      </c>
      <c r="AB366" s="51"/>
      <c r="AC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6" s="51">
        <f>IF(OR(NOTA[[#This Row],[QTY]]="",NOTA[[#This Row],[HARGA SATUAN]]="",),"",NOTA[[#This Row],[QTY]]*NOTA[[#This Row],[HARGA SATUAN]])</f>
        <v>14150000</v>
      </c>
      <c r="AG366" s="40">
        <f ca="1">IF(NOTA[ID_H]="","",INDEX(NOTA[TANGGAL],MATCH(,INDIRECT(ADDRESS(ROW(NOTA[TANGGAL]),COLUMN(NOTA[TANGGAL]))&amp;":"&amp;ADDRESS(ROW(),COLUMN(NOTA[TANGGAL]))),-1)))</f>
        <v>45121</v>
      </c>
      <c r="AH366" s="42" t="str">
        <f ca="1">IF(NOTA[[#This Row],[NAMA BARANG]]="","",INDEX(NOTA[SUPPLIER],MATCH(,INDIRECT(ADDRESS(ROW(NOTA[ID]),COLUMN(NOTA[ID]))&amp;":"&amp;ADDRESS(ROW(),COLUMN(NOTA[ID]))),-1)))</f>
        <v>ATALI MAKMUR</v>
      </c>
      <c r="AI366" s="42" t="str">
        <f ca="1">IF(NOTA[[#This Row],[ID_H]]="","",IF(NOTA[[#This Row],[FAKTUR]]="",INDIRECT(ADDRESS(ROW()-1,COLUMN())),NOTA[[#This Row],[FAKTUR]]))</f>
        <v>ARTO MORO</v>
      </c>
      <c r="AJ366" s="39" t="str">
        <f ca="1">IF(NOTA[[#This Row],[ID]]="","",COUNTIF(NOTA[ID_H],NOTA[[#This Row],[ID_H]]))</f>
        <v/>
      </c>
      <c r="AK366" s="39">
        <f ca="1">IF(NOTA[[#This Row],[TGL.NOTA]]="",IF(NOTA[[#This Row],[SUPPLIER_H]]="","",AK365),MONTH(NOTA[[#This Row],[TGL.NOTA]]))</f>
        <v>7</v>
      </c>
      <c r="AL36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3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9" t="str">
        <f>IF(NOTA[[#This Row],[CONCAT4]]="","",_xlfn.IFNA(MATCH(NOTA[[#This Row],[CONCAT4]],[2]!RAW[CONCAT_H],0),FALSE))</f>
        <v/>
      </c>
      <c r="AQ366" s="39">
        <f>IF(NOTA[[#This Row],[CONCAT1]]="","",MATCH(NOTA[[#This Row],[CONCAT1]],[3]!db[NB NOTA_C],0))</f>
        <v>2499</v>
      </c>
      <c r="AR366" s="39" t="str">
        <f>IF(NOTA[[#This Row],[QTY/ CTN]]="","",TRUE)</f>
        <v/>
      </c>
      <c r="AS366" s="39" t="str">
        <f ca="1">IF(NOTA[[#This Row],[ID_H]]="","",IF(NOTA[[#This Row],[Column3]]=TRUE,NOTA[[#This Row],[QTY/ CTN]],INDEX([3]!db[QTY/ CTN],NOTA[[#This Row],[//DB]])))</f>
        <v>50 BOX (40 PCS)</v>
      </c>
      <c r="AT3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366" s="39" t="e">
        <f ca="1">IF(NOTA[[#This Row],[ID_H]]="","",MATCH(NOTA[[#This Row],[NB NOTA_C_QTY]],[4]!db[NB NOTA_C_QTY+F],0))</f>
        <v>#REF!</v>
      </c>
      <c r="AV366" s="55">
        <f ca="1">IF(NOTA[[#This Row],[NB NOTA_C_QTY]]="","",ROW()-2)</f>
        <v>364</v>
      </c>
    </row>
    <row r="367" spans="1:48" ht="20.100000000000001" customHeight="1" x14ac:dyDescent="0.25">
      <c r="A3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72</v>
      </c>
      <c r="E367" s="47"/>
      <c r="H367" s="48"/>
      <c r="L367" s="38" t="s">
        <v>106</v>
      </c>
      <c r="M367" s="41">
        <v>5</v>
      </c>
      <c r="N367" s="39">
        <v>250</v>
      </c>
      <c r="O367" s="38" t="s">
        <v>319</v>
      </c>
      <c r="P367" s="42">
        <v>32000</v>
      </c>
      <c r="Q367" s="43"/>
      <c r="R367" s="49"/>
      <c r="S367" s="50">
        <v>0.125</v>
      </c>
      <c r="T367" s="45">
        <v>0.05</v>
      </c>
      <c r="U367" s="51"/>
      <c r="V367" s="46"/>
      <c r="W367" s="51">
        <f>IF(NOTA[[#This Row],[HARGA/ CTN]]="",NOTA[[#This Row],[JUMLAH_H]],NOTA[[#This Row],[HARGA/ CTN]]*IF(NOTA[[#This Row],[C]]="",0,NOTA[[#This Row],[C]]))</f>
        <v>8000000</v>
      </c>
      <c r="X367" s="51">
        <f>IF(NOTA[[#This Row],[JUMLAH]]="","",NOTA[[#This Row],[JUMLAH]]*NOTA[[#This Row],[DISC 1]])</f>
        <v>1000000</v>
      </c>
      <c r="Y367" s="51">
        <f>IF(NOTA[[#This Row],[JUMLAH]]="","",(NOTA[[#This Row],[JUMLAH]]-NOTA[[#This Row],[DISC 1-]])*NOTA[[#This Row],[DISC 2]])</f>
        <v>350000</v>
      </c>
      <c r="Z367" s="51">
        <f>IF(NOTA[[#This Row],[JUMLAH]]="","",NOTA[[#This Row],[DISC 1-]]+NOTA[[#This Row],[DISC 2-]])</f>
        <v>1350000</v>
      </c>
      <c r="AA367" s="51">
        <f>IF(NOTA[[#This Row],[JUMLAH]]="","",NOTA[[#This Row],[JUMLAH]]-NOTA[[#This Row],[DISC]])</f>
        <v>6650000</v>
      </c>
      <c r="AB367" s="51"/>
      <c r="AC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7" s="51">
        <f>IF(OR(NOTA[[#This Row],[QTY]]="",NOTA[[#This Row],[HARGA SATUAN]]="",),"",NOTA[[#This Row],[QTY]]*NOTA[[#This Row],[HARGA SATUAN]])</f>
        <v>8000000</v>
      </c>
      <c r="AG367" s="40">
        <f ca="1">IF(NOTA[ID_H]="","",INDEX(NOTA[TANGGAL],MATCH(,INDIRECT(ADDRESS(ROW(NOTA[TANGGAL]),COLUMN(NOTA[TANGGAL]))&amp;":"&amp;ADDRESS(ROW(),COLUMN(NOTA[TANGGAL]))),-1)))</f>
        <v>45121</v>
      </c>
      <c r="AH367" s="42" t="str">
        <f ca="1">IF(NOTA[[#This Row],[NAMA BARANG]]="","",INDEX(NOTA[SUPPLIER],MATCH(,INDIRECT(ADDRESS(ROW(NOTA[ID]),COLUMN(NOTA[ID]))&amp;":"&amp;ADDRESS(ROW(),COLUMN(NOTA[ID]))),-1)))</f>
        <v>ATALI MAKMUR</v>
      </c>
      <c r="AI367" s="42" t="str">
        <f ca="1">IF(NOTA[[#This Row],[ID_H]]="","",IF(NOTA[[#This Row],[FAKTUR]]="",INDIRECT(ADDRESS(ROW()-1,COLUMN())),NOTA[[#This Row],[FAKTUR]]))</f>
        <v>ARTO MORO</v>
      </c>
      <c r="AJ367" s="39" t="str">
        <f ca="1">IF(NOTA[[#This Row],[ID]]="","",COUNTIF(NOTA[ID_H],NOTA[[#This Row],[ID_H]]))</f>
        <v/>
      </c>
      <c r="AK367" s="39">
        <f ca="1">IF(NOTA[[#This Row],[TGL.NOTA]]="",IF(NOTA[[#This Row],[SUPPLIER_H]]="","",AK366),MONTH(NOTA[[#This Row],[TGL.NOTA]]))</f>
        <v>7</v>
      </c>
      <c r="AL367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3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3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3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9" t="str">
        <f>IF(NOTA[[#This Row],[CONCAT4]]="","",_xlfn.IFNA(MATCH(NOTA[[#This Row],[CONCAT4]],[2]!RAW[CONCAT_H],0),FALSE))</f>
        <v/>
      </c>
      <c r="AQ367" s="39">
        <f>IF(NOTA[[#This Row],[CONCAT1]]="","",MATCH(NOTA[[#This Row],[CONCAT1]],[3]!db[NB NOTA_C],0))</f>
        <v>2497</v>
      </c>
      <c r="AR367" s="39" t="str">
        <f>IF(NOTA[[#This Row],[QTY/ CTN]]="","",TRUE)</f>
        <v/>
      </c>
      <c r="AS367" s="39" t="str">
        <f ca="1">IF(NOTA[[#This Row],[ID_H]]="","",IF(NOTA[[#This Row],[Column3]]=TRUE,NOTA[[#This Row],[QTY/ CTN]],INDEX([3]!db[QTY/ CTN],NOTA[[#This Row],[//DB]])))</f>
        <v>50 BOX (30 PCS)</v>
      </c>
      <c r="AT3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367" s="39" t="e">
        <f ca="1">IF(NOTA[[#This Row],[ID_H]]="","",MATCH(NOTA[[#This Row],[NB NOTA_C_QTY]],[4]!db[NB NOTA_C_QTY+F],0))</f>
        <v>#REF!</v>
      </c>
      <c r="AV367" s="55">
        <f ca="1">IF(NOTA[[#This Row],[NB NOTA_C_QTY]]="","",ROW()-2)</f>
        <v>365</v>
      </c>
    </row>
    <row r="368" spans="1:48" ht="20.100000000000001" customHeight="1" x14ac:dyDescent="0.25">
      <c r="A3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72</v>
      </c>
      <c r="E368" s="47"/>
      <c r="H368" s="48"/>
      <c r="L368" s="38" t="s">
        <v>322</v>
      </c>
      <c r="M368" s="41">
        <v>5</v>
      </c>
      <c r="N368" s="39">
        <v>250</v>
      </c>
      <c r="O368" s="38" t="s">
        <v>319</v>
      </c>
      <c r="P368" s="42">
        <v>32000</v>
      </c>
      <c r="Q368" s="43"/>
      <c r="R368" s="49"/>
      <c r="S368" s="50">
        <v>0.125</v>
      </c>
      <c r="T368" s="45">
        <v>0.05</v>
      </c>
      <c r="U368" s="51"/>
      <c r="V368" s="46"/>
      <c r="W368" s="51">
        <f>IF(NOTA[[#This Row],[HARGA/ CTN]]="",NOTA[[#This Row],[JUMLAH_H]],NOTA[[#This Row],[HARGA/ CTN]]*IF(NOTA[[#This Row],[C]]="",0,NOTA[[#This Row],[C]]))</f>
        <v>8000000</v>
      </c>
      <c r="X368" s="51">
        <f>IF(NOTA[[#This Row],[JUMLAH]]="","",NOTA[[#This Row],[JUMLAH]]*NOTA[[#This Row],[DISC 1]])</f>
        <v>1000000</v>
      </c>
      <c r="Y368" s="51">
        <f>IF(NOTA[[#This Row],[JUMLAH]]="","",(NOTA[[#This Row],[JUMLAH]]-NOTA[[#This Row],[DISC 1-]])*NOTA[[#This Row],[DISC 2]])</f>
        <v>350000</v>
      </c>
      <c r="Z368" s="51">
        <f>IF(NOTA[[#This Row],[JUMLAH]]="","",NOTA[[#This Row],[DISC 1-]]+NOTA[[#This Row],[DISC 2-]])</f>
        <v>1350000</v>
      </c>
      <c r="AA368" s="51">
        <f>IF(NOTA[[#This Row],[JUMLAH]]="","",NOTA[[#This Row],[JUMLAH]]-NOTA[[#This Row],[DISC]])</f>
        <v>6650000</v>
      </c>
      <c r="AB368" s="51"/>
      <c r="AC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8" s="51">
        <f>IF(OR(NOTA[[#This Row],[QTY]]="",NOTA[[#This Row],[HARGA SATUAN]]="",),"",NOTA[[#This Row],[QTY]]*NOTA[[#This Row],[HARGA SATUAN]])</f>
        <v>8000000</v>
      </c>
      <c r="AG368" s="40">
        <f ca="1">IF(NOTA[ID_H]="","",INDEX(NOTA[TANGGAL],MATCH(,INDIRECT(ADDRESS(ROW(NOTA[TANGGAL]),COLUMN(NOTA[TANGGAL]))&amp;":"&amp;ADDRESS(ROW(),COLUMN(NOTA[TANGGAL]))),-1)))</f>
        <v>45121</v>
      </c>
      <c r="AH368" s="42" t="str">
        <f ca="1">IF(NOTA[[#This Row],[NAMA BARANG]]="","",INDEX(NOTA[SUPPLIER],MATCH(,INDIRECT(ADDRESS(ROW(NOTA[ID]),COLUMN(NOTA[ID]))&amp;":"&amp;ADDRESS(ROW(),COLUMN(NOTA[ID]))),-1)))</f>
        <v>ATALI MAKMUR</v>
      </c>
      <c r="AI368" s="42" t="str">
        <f ca="1">IF(NOTA[[#This Row],[ID_H]]="","",IF(NOTA[[#This Row],[FAKTUR]]="",INDIRECT(ADDRESS(ROW()-1,COLUMN())),NOTA[[#This Row],[FAKTUR]]))</f>
        <v>ARTO MORO</v>
      </c>
      <c r="AJ368" s="39" t="str">
        <f ca="1">IF(NOTA[[#This Row],[ID]]="","",COUNTIF(NOTA[ID_H],NOTA[[#This Row],[ID_H]]))</f>
        <v/>
      </c>
      <c r="AK368" s="39">
        <f ca="1">IF(NOTA[[#This Row],[TGL.NOTA]]="",IF(NOTA[[#This Row],[SUPPLIER_H]]="","",AK367),MONTH(NOTA[[#This Row],[TGL.NOTA]]))</f>
        <v>7</v>
      </c>
      <c r="AL368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3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3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3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9" t="str">
        <f>IF(NOTA[[#This Row],[CONCAT4]]="","",_xlfn.IFNA(MATCH(NOTA[[#This Row],[CONCAT4]],[2]!RAW[CONCAT_H],0),FALSE))</f>
        <v/>
      </c>
      <c r="AQ368" s="39">
        <f>IF(NOTA[[#This Row],[CONCAT1]]="","",MATCH(NOTA[[#This Row],[CONCAT1]],[3]!db[NB NOTA_C],0))</f>
        <v>2496</v>
      </c>
      <c r="AR368" s="39" t="str">
        <f>IF(NOTA[[#This Row],[QTY/ CTN]]="","",TRUE)</f>
        <v/>
      </c>
      <c r="AS368" s="39" t="str">
        <f ca="1">IF(NOTA[[#This Row],[ID_H]]="","",IF(NOTA[[#This Row],[Column3]]=TRUE,NOTA[[#This Row],[QTY/ CTN]],INDEX([3]!db[QTY/ CTN],NOTA[[#This Row],[//DB]])))</f>
        <v>50 BOX (30 PCS)</v>
      </c>
      <c r="AT3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368" s="39" t="e">
        <f ca="1">IF(NOTA[[#This Row],[ID_H]]="","",MATCH(NOTA[[#This Row],[NB NOTA_C_QTY]],[4]!db[NB NOTA_C_QTY+F],0))</f>
        <v>#REF!</v>
      </c>
      <c r="AV368" s="55">
        <f ca="1">IF(NOTA[[#This Row],[NB NOTA_C_QTY]]="","",ROW()-2)</f>
        <v>366</v>
      </c>
    </row>
    <row r="369" spans="1:48" ht="20.100000000000001" customHeight="1" x14ac:dyDescent="0.25">
      <c r="A3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72</v>
      </c>
      <c r="E369" s="47"/>
      <c r="H369" s="48"/>
      <c r="L369" s="38" t="s">
        <v>112</v>
      </c>
      <c r="M369" s="41">
        <v>5</v>
      </c>
      <c r="N369" s="39">
        <v>720</v>
      </c>
      <c r="O369" s="38" t="s">
        <v>117</v>
      </c>
      <c r="P369" s="42">
        <v>9750</v>
      </c>
      <c r="Q369" s="43"/>
      <c r="R369" s="49"/>
      <c r="S369" s="50">
        <v>0.125</v>
      </c>
      <c r="T369" s="45">
        <v>0.05</v>
      </c>
      <c r="U369" s="51"/>
      <c r="V369" s="46"/>
      <c r="W369" s="51">
        <f>IF(NOTA[[#This Row],[HARGA/ CTN]]="",NOTA[[#This Row],[JUMLAH_H]],NOTA[[#This Row],[HARGA/ CTN]]*IF(NOTA[[#This Row],[C]]="",0,NOTA[[#This Row],[C]]))</f>
        <v>7020000</v>
      </c>
      <c r="X369" s="51">
        <f>IF(NOTA[[#This Row],[JUMLAH]]="","",NOTA[[#This Row],[JUMLAH]]*NOTA[[#This Row],[DISC 1]])</f>
        <v>877500</v>
      </c>
      <c r="Y369" s="51">
        <f>IF(NOTA[[#This Row],[JUMLAH]]="","",(NOTA[[#This Row],[JUMLAH]]-NOTA[[#This Row],[DISC 1-]])*NOTA[[#This Row],[DISC 2]])</f>
        <v>307125</v>
      </c>
      <c r="Z369" s="51">
        <f>IF(NOTA[[#This Row],[JUMLAH]]="","",NOTA[[#This Row],[DISC 1-]]+NOTA[[#This Row],[DISC 2-]])</f>
        <v>1184625</v>
      </c>
      <c r="AA369" s="51">
        <f>IF(NOTA[[#This Row],[JUMLAH]]="","",NOTA[[#This Row],[JUMLAH]]-NOTA[[#This Row],[DISC]])</f>
        <v>5835375</v>
      </c>
      <c r="AB369" s="51"/>
      <c r="AC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69" s="51">
        <f>IF(OR(NOTA[[#This Row],[QTY]]="",NOTA[[#This Row],[HARGA SATUAN]]="",),"",NOTA[[#This Row],[QTY]]*NOTA[[#This Row],[HARGA SATUAN]])</f>
        <v>7020000</v>
      </c>
      <c r="AG369" s="40">
        <f ca="1">IF(NOTA[ID_H]="","",INDEX(NOTA[TANGGAL],MATCH(,INDIRECT(ADDRESS(ROW(NOTA[TANGGAL]),COLUMN(NOTA[TANGGAL]))&amp;":"&amp;ADDRESS(ROW(),COLUMN(NOTA[TANGGAL]))),-1)))</f>
        <v>45121</v>
      </c>
      <c r="AH369" s="42" t="str">
        <f ca="1">IF(NOTA[[#This Row],[NAMA BARANG]]="","",INDEX(NOTA[SUPPLIER],MATCH(,INDIRECT(ADDRESS(ROW(NOTA[ID]),COLUMN(NOTA[ID]))&amp;":"&amp;ADDRESS(ROW(),COLUMN(NOTA[ID]))),-1)))</f>
        <v>ATALI MAKMUR</v>
      </c>
      <c r="AI369" s="42" t="str">
        <f ca="1">IF(NOTA[[#This Row],[ID_H]]="","",IF(NOTA[[#This Row],[FAKTUR]]="",INDIRECT(ADDRESS(ROW()-1,COLUMN())),NOTA[[#This Row],[FAKTUR]]))</f>
        <v>ARTO MORO</v>
      </c>
      <c r="AJ369" s="39" t="str">
        <f ca="1">IF(NOTA[[#This Row],[ID]]="","",COUNTIF(NOTA[ID_H],NOTA[[#This Row],[ID_H]]))</f>
        <v/>
      </c>
      <c r="AK369" s="39">
        <f ca="1">IF(NOTA[[#This Row],[TGL.NOTA]]="",IF(NOTA[[#This Row],[SUPPLIER_H]]="","",AK368),MONTH(NOTA[[#This Row],[TGL.NOTA]]))</f>
        <v>7</v>
      </c>
      <c r="AL369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9" t="str">
        <f>IF(NOTA[[#This Row],[CONCAT4]]="","",_xlfn.IFNA(MATCH(NOTA[[#This Row],[CONCAT4]],[2]!RAW[CONCAT_H],0),FALSE))</f>
        <v/>
      </c>
      <c r="AQ369" s="39">
        <f>IF(NOTA[[#This Row],[CONCAT1]]="","",MATCH(NOTA[[#This Row],[CONCAT1]],[3]!db[NB NOTA_C],0))</f>
        <v>1253</v>
      </c>
      <c r="AR369" s="39" t="str">
        <f>IF(NOTA[[#This Row],[QTY/ CTN]]="","",TRUE)</f>
        <v/>
      </c>
      <c r="AS369" s="39" t="str">
        <f ca="1">IF(NOTA[[#This Row],[ID_H]]="","",IF(NOTA[[#This Row],[Column3]]=TRUE,NOTA[[#This Row],[QTY/ CTN]],INDEX([3]!db[QTY/ CTN],NOTA[[#This Row],[//DB]])))</f>
        <v>12 LSN</v>
      </c>
      <c r="AT3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69" s="39" t="e">
        <f ca="1">IF(NOTA[[#This Row],[ID_H]]="","",MATCH(NOTA[[#This Row],[NB NOTA_C_QTY]],[4]!db[NB NOTA_C_QTY+F],0))</f>
        <v>#REF!</v>
      </c>
      <c r="AV369" s="55">
        <f ca="1">IF(NOTA[[#This Row],[NB NOTA_C_QTY]]="","",ROW()-2)</f>
        <v>367</v>
      </c>
    </row>
    <row r="370" spans="1:48" ht="20.100000000000001" customHeight="1" x14ac:dyDescent="0.25">
      <c r="A3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72</v>
      </c>
      <c r="E370" s="47"/>
      <c r="H370" s="48"/>
      <c r="L370" s="38" t="s">
        <v>455</v>
      </c>
      <c r="M370" s="41">
        <v>3</v>
      </c>
      <c r="N370" s="39">
        <v>288</v>
      </c>
      <c r="O370" s="38" t="s">
        <v>210</v>
      </c>
      <c r="P370" s="42">
        <v>7000</v>
      </c>
      <c r="Q370" s="43"/>
      <c r="R370" s="49"/>
      <c r="S370" s="50">
        <v>0.125</v>
      </c>
      <c r="T370" s="45">
        <v>0.05</v>
      </c>
      <c r="U370" s="51"/>
      <c r="V370" s="46"/>
      <c r="W370" s="51">
        <f>IF(NOTA[[#This Row],[HARGA/ CTN]]="",NOTA[[#This Row],[JUMLAH_H]],NOTA[[#This Row],[HARGA/ CTN]]*IF(NOTA[[#This Row],[C]]="",0,NOTA[[#This Row],[C]]))</f>
        <v>2016000</v>
      </c>
      <c r="X370" s="51">
        <f>IF(NOTA[[#This Row],[JUMLAH]]="","",NOTA[[#This Row],[JUMLAH]]*NOTA[[#This Row],[DISC 1]])</f>
        <v>252000</v>
      </c>
      <c r="Y370" s="51">
        <f>IF(NOTA[[#This Row],[JUMLAH]]="","",(NOTA[[#This Row],[JUMLAH]]-NOTA[[#This Row],[DISC 1-]])*NOTA[[#This Row],[DISC 2]])</f>
        <v>88200</v>
      </c>
      <c r="Z370" s="51">
        <f>IF(NOTA[[#This Row],[JUMLAH]]="","",NOTA[[#This Row],[DISC 1-]]+NOTA[[#This Row],[DISC 2-]])</f>
        <v>340200</v>
      </c>
      <c r="AA370" s="51">
        <f>IF(NOTA[[#This Row],[JUMLAH]]="","",NOTA[[#This Row],[JUMLAH]]-NOTA[[#This Row],[DISC]])</f>
        <v>1675800</v>
      </c>
      <c r="AB370" s="51"/>
      <c r="AC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370" s="51">
        <f>IF(OR(NOTA[[#This Row],[QTY]]="",NOTA[[#This Row],[HARGA SATUAN]]="",),"",NOTA[[#This Row],[QTY]]*NOTA[[#This Row],[HARGA SATUAN]])</f>
        <v>2016000</v>
      </c>
      <c r="AG370" s="40">
        <f ca="1">IF(NOTA[ID_H]="","",INDEX(NOTA[TANGGAL],MATCH(,INDIRECT(ADDRESS(ROW(NOTA[TANGGAL]),COLUMN(NOTA[TANGGAL]))&amp;":"&amp;ADDRESS(ROW(),COLUMN(NOTA[TANGGAL]))),-1)))</f>
        <v>45121</v>
      </c>
      <c r="AH370" s="42" t="str">
        <f ca="1">IF(NOTA[[#This Row],[NAMA BARANG]]="","",INDEX(NOTA[SUPPLIER],MATCH(,INDIRECT(ADDRESS(ROW(NOTA[ID]),COLUMN(NOTA[ID]))&amp;":"&amp;ADDRESS(ROW(),COLUMN(NOTA[ID]))),-1)))</f>
        <v>ATALI MAKMUR</v>
      </c>
      <c r="AI370" s="42" t="str">
        <f ca="1">IF(NOTA[[#This Row],[ID_H]]="","",IF(NOTA[[#This Row],[FAKTUR]]="",INDIRECT(ADDRESS(ROW()-1,COLUMN())),NOTA[[#This Row],[FAKTUR]]))</f>
        <v>ARTO MORO</v>
      </c>
      <c r="AJ370" s="39" t="str">
        <f ca="1">IF(NOTA[[#This Row],[ID]]="","",COUNTIF(NOTA[ID_H],NOTA[[#This Row],[ID_H]]))</f>
        <v/>
      </c>
      <c r="AK370" s="39">
        <f ca="1">IF(NOTA[[#This Row],[TGL.NOTA]]="",IF(NOTA[[#This Row],[SUPPLIER_H]]="","",AK369),MONTH(NOTA[[#This Row],[TGL.NOTA]]))</f>
        <v>7</v>
      </c>
      <c r="AL370" s="39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3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3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3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9" t="str">
        <f>IF(NOTA[[#This Row],[CONCAT4]]="","",_xlfn.IFNA(MATCH(NOTA[[#This Row],[CONCAT4]],[2]!RAW[CONCAT_H],0),FALSE))</f>
        <v/>
      </c>
      <c r="AQ370" s="39">
        <f>IF(NOTA[[#This Row],[CONCAT1]]="","",MATCH(NOTA[[#This Row],[CONCAT1]],[3]!db[NB NOTA_C],0))</f>
        <v>1456</v>
      </c>
      <c r="AR370" s="39" t="str">
        <f>IF(NOTA[[#This Row],[QTY/ CTN]]="","",TRUE)</f>
        <v/>
      </c>
      <c r="AS370" s="39" t="str">
        <f ca="1">IF(NOTA[[#This Row],[ID_H]]="","",IF(NOTA[[#This Row],[Column3]]=TRUE,NOTA[[#This Row],[QTY/ CTN]],INDEX([3]!db[QTY/ CTN],NOTA[[#This Row],[//DB]])))</f>
        <v>96 PAK</v>
      </c>
      <c r="AT3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U370" s="39" t="e">
        <f ca="1">IF(NOTA[[#This Row],[ID_H]]="","",MATCH(NOTA[[#This Row],[NB NOTA_C_QTY]],[4]!db[NB NOTA_C_QTY+F],0))</f>
        <v>#REF!</v>
      </c>
      <c r="AV370" s="55">
        <f ca="1">IF(NOTA[[#This Row],[NB NOTA_C_QTY]]="","",ROW()-2)</f>
        <v>368</v>
      </c>
    </row>
    <row r="371" spans="1:48" ht="20.100000000000001" customHeight="1" x14ac:dyDescent="0.25">
      <c r="A3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72</v>
      </c>
      <c r="E371" s="47"/>
      <c r="H371" s="48"/>
      <c r="L371" s="38" t="s">
        <v>456</v>
      </c>
      <c r="M371" s="41">
        <v>1</v>
      </c>
      <c r="N371" s="39">
        <v>144</v>
      </c>
      <c r="O371" s="38" t="s">
        <v>263</v>
      </c>
      <c r="P371" s="42">
        <v>23900</v>
      </c>
      <c r="Q371" s="43"/>
      <c r="R371" s="49"/>
      <c r="S371" s="50">
        <v>0.125</v>
      </c>
      <c r="T371" s="45">
        <v>0.05</v>
      </c>
      <c r="U371" s="51"/>
      <c r="V371" s="46"/>
      <c r="W371" s="51">
        <f>IF(NOTA[[#This Row],[HARGA/ CTN]]="",NOTA[[#This Row],[JUMLAH_H]],NOTA[[#This Row],[HARGA/ CTN]]*IF(NOTA[[#This Row],[C]]="",0,NOTA[[#This Row],[C]]))</f>
        <v>3441600</v>
      </c>
      <c r="X371" s="51">
        <f>IF(NOTA[[#This Row],[JUMLAH]]="","",NOTA[[#This Row],[JUMLAH]]*NOTA[[#This Row],[DISC 1]])</f>
        <v>430200</v>
      </c>
      <c r="Y371" s="51">
        <f>IF(NOTA[[#This Row],[JUMLAH]]="","",(NOTA[[#This Row],[JUMLAH]]-NOTA[[#This Row],[DISC 1-]])*NOTA[[#This Row],[DISC 2]])</f>
        <v>150570</v>
      </c>
      <c r="Z371" s="51">
        <f>IF(NOTA[[#This Row],[JUMLAH]]="","",NOTA[[#This Row],[DISC 1-]]+NOTA[[#This Row],[DISC 2-]])</f>
        <v>580770</v>
      </c>
      <c r="AA371" s="51">
        <f>IF(NOTA[[#This Row],[JUMLAH]]="","",NOTA[[#This Row],[JUMLAH]]-NOTA[[#This Row],[DISC]])</f>
        <v>2860830</v>
      </c>
      <c r="AB371" s="51"/>
      <c r="AC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12703095</v>
      </c>
      <c r="AD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62574505</v>
      </c>
      <c r="AE371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71" s="51">
        <f>IF(OR(NOTA[[#This Row],[QTY]]="",NOTA[[#This Row],[HARGA SATUAN]]="",),"",NOTA[[#This Row],[QTY]]*NOTA[[#This Row],[HARGA SATUAN]])</f>
        <v>3441600</v>
      </c>
      <c r="AG371" s="40">
        <f ca="1">IF(NOTA[ID_H]="","",INDEX(NOTA[TANGGAL],MATCH(,INDIRECT(ADDRESS(ROW(NOTA[TANGGAL]),COLUMN(NOTA[TANGGAL]))&amp;":"&amp;ADDRESS(ROW(),COLUMN(NOTA[TANGGAL]))),-1)))</f>
        <v>45121</v>
      </c>
      <c r="AH371" s="42" t="str">
        <f ca="1">IF(NOTA[[#This Row],[NAMA BARANG]]="","",INDEX(NOTA[SUPPLIER],MATCH(,INDIRECT(ADDRESS(ROW(NOTA[ID]),COLUMN(NOTA[ID]))&amp;":"&amp;ADDRESS(ROW(),COLUMN(NOTA[ID]))),-1)))</f>
        <v>ATALI MAKMUR</v>
      </c>
      <c r="AI371" s="42" t="str">
        <f ca="1">IF(NOTA[[#This Row],[ID_H]]="","",IF(NOTA[[#This Row],[FAKTUR]]="",INDIRECT(ADDRESS(ROW()-1,COLUMN())),NOTA[[#This Row],[FAKTUR]]))</f>
        <v>ARTO MORO</v>
      </c>
      <c r="AJ371" s="39" t="str">
        <f ca="1">IF(NOTA[[#This Row],[ID]]="","",COUNTIF(NOTA[ID_H],NOTA[[#This Row],[ID_H]]))</f>
        <v/>
      </c>
      <c r="AK371" s="39">
        <f ca="1">IF(NOTA[[#This Row],[TGL.NOTA]]="",IF(NOTA[[#This Row],[SUPPLIER_H]]="","",AK370),MONTH(NOTA[[#This Row],[TGL.NOTA]]))</f>
        <v>7</v>
      </c>
      <c r="AL371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9" t="str">
        <f>IF(NOTA[[#This Row],[CONCAT4]]="","",_xlfn.IFNA(MATCH(NOTA[[#This Row],[CONCAT4]],[2]!RAW[CONCAT_H],0),FALSE))</f>
        <v/>
      </c>
      <c r="AQ371" s="39">
        <f>IF(NOTA[[#This Row],[CONCAT1]]="","",MATCH(NOTA[[#This Row],[CONCAT1]],[3]!db[NB NOTA_C],0))</f>
        <v>920</v>
      </c>
      <c r="AR371" s="39" t="str">
        <f>IF(NOTA[[#This Row],[QTY/ CTN]]="","",TRUE)</f>
        <v/>
      </c>
      <c r="AS371" s="39" t="str">
        <f ca="1">IF(NOTA[[#This Row],[ID_H]]="","",IF(NOTA[[#This Row],[Column3]]=TRUE,NOTA[[#This Row],[QTY/ CTN]],INDEX([3]!db[QTY/ CTN],NOTA[[#This Row],[//DB]])))</f>
        <v>12 LSN</v>
      </c>
      <c r="AT3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71" s="39" t="e">
        <f ca="1">IF(NOTA[[#This Row],[ID_H]]="","",MATCH(NOTA[[#This Row],[NB NOTA_C_QTY]],[4]!db[NB NOTA_C_QTY+F],0))</f>
        <v>#REF!</v>
      </c>
      <c r="AV371" s="55">
        <f ca="1">IF(NOTA[[#This Row],[NB NOTA_C_QTY]]="","",ROW()-2)</f>
        <v>369</v>
      </c>
    </row>
    <row r="372" spans="1:48" ht="20.100000000000001" customHeight="1" x14ac:dyDescent="0.25">
      <c r="A3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 t="str">
        <f ca="1">IF(NOTA[[#This Row],[NAMA BARANG]]="","",INDEX(NOTA[ID],MATCH(,INDIRECT(ADDRESS(ROW(NOTA[ID]),COLUMN(NOTA[ID]))&amp;":"&amp;ADDRESS(ROW(),COLUMN(NOTA[ID]))),-1)))</f>
        <v/>
      </c>
      <c r="E372" s="47"/>
      <c r="H372" s="48"/>
      <c r="N372" s="39"/>
      <c r="Q372" s="43"/>
      <c r="R372" s="49"/>
      <c r="S372" s="50"/>
      <c r="U372" s="51"/>
      <c r="V372" s="46"/>
      <c r="W372" s="51" t="str">
        <f>IF(NOTA[[#This Row],[HARGA/ CTN]]="",NOTA[[#This Row],[JUMLAH_H]],NOTA[[#This Row],[HARGA/ CTN]]*IF(NOTA[[#This Row],[C]]="",0,NOTA[[#This Row],[C]]))</f>
        <v/>
      </c>
      <c r="X372" s="51" t="str">
        <f>IF(NOTA[[#This Row],[JUMLAH]]="","",NOTA[[#This Row],[JUMLAH]]*NOTA[[#This Row],[DISC 1]])</f>
        <v/>
      </c>
      <c r="Y372" s="51" t="str">
        <f>IF(NOTA[[#This Row],[JUMLAH]]="","",(NOTA[[#This Row],[JUMLAH]]-NOTA[[#This Row],[DISC 1-]])*NOTA[[#This Row],[DISC 2]])</f>
        <v/>
      </c>
      <c r="Z372" s="51" t="str">
        <f>IF(NOTA[[#This Row],[JUMLAH]]="","",NOTA[[#This Row],[DISC 1-]]+NOTA[[#This Row],[DISC 2-]])</f>
        <v/>
      </c>
      <c r="AA372" s="51" t="str">
        <f>IF(NOTA[[#This Row],[JUMLAH]]="","",NOTA[[#This Row],[JUMLAH]]-NOTA[[#This Row],[DISC]])</f>
        <v/>
      </c>
      <c r="AB372" s="51"/>
      <c r="AC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1" t="str">
        <f>IF(OR(NOTA[[#This Row],[QTY]]="",NOTA[[#This Row],[HARGA SATUAN]]="",),"",NOTA[[#This Row],[QTY]]*NOTA[[#This Row],[HARGA SATUAN]])</f>
        <v/>
      </c>
      <c r="AG372" s="40" t="str">
        <f ca="1">IF(NOTA[ID_H]="","",INDEX(NOTA[TANGGAL],MATCH(,INDIRECT(ADDRESS(ROW(NOTA[TANGGAL]),COLUMN(NOTA[TANGGAL]))&amp;":"&amp;ADDRESS(ROW(),COLUMN(NOTA[TANGGAL]))),-1)))</f>
        <v/>
      </c>
      <c r="AH372" s="42" t="str">
        <f ca="1">IF(NOTA[[#This Row],[NAMA BARANG]]="","",INDEX(NOTA[SUPPLIER],MATCH(,INDIRECT(ADDRESS(ROW(NOTA[ID]),COLUMN(NOTA[ID]))&amp;":"&amp;ADDRESS(ROW(),COLUMN(NOTA[ID]))),-1)))</f>
        <v/>
      </c>
      <c r="AI372" s="42" t="str">
        <f ca="1">IF(NOTA[[#This Row],[ID_H]]="","",IF(NOTA[[#This Row],[FAKTUR]]="",INDIRECT(ADDRESS(ROW()-1,COLUMN())),NOTA[[#This Row],[FAKTUR]]))</f>
        <v/>
      </c>
      <c r="AJ372" s="39" t="str">
        <f ca="1">IF(NOTA[[#This Row],[ID]]="","",COUNTIF(NOTA[ID_H],NOTA[[#This Row],[ID_H]]))</f>
        <v/>
      </c>
      <c r="AK372" s="39" t="str">
        <f ca="1">IF(NOTA[[#This Row],[TGL.NOTA]]="",IF(NOTA[[#This Row],[SUPPLIER_H]]="","",AK371),MONTH(NOTA[[#This Row],[TGL.NOTA]]))</f>
        <v/>
      </c>
      <c r="AL372" s="39" t="str">
        <f>LOWER(SUBSTITUTE(SUBSTITUTE(SUBSTITUTE(SUBSTITUTE(SUBSTITUTE(SUBSTITUTE(SUBSTITUTE(SUBSTITUTE(SUBSTITUTE(NOTA[NAMA BARANG]," ",),".",""),"-",""),"(",""),")",""),",",""),"/",""),"""",""),"+",""))</f>
        <v/>
      </c>
      <c r="AM3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9" t="str">
        <f>IF(NOTA[[#This Row],[CONCAT4]]="","",_xlfn.IFNA(MATCH(NOTA[[#This Row],[CONCAT4]],[2]!RAW[CONCAT_H],0),FALSE))</f>
        <v/>
      </c>
      <c r="AQ372" s="39" t="str">
        <f>IF(NOTA[[#This Row],[CONCAT1]]="","",MATCH(NOTA[[#This Row],[CONCAT1]],[3]!db[NB NOTA_C],0))</f>
        <v/>
      </c>
      <c r="AR372" s="39" t="str">
        <f>IF(NOTA[[#This Row],[QTY/ CTN]]="","",TRUE)</f>
        <v/>
      </c>
      <c r="AS372" s="39" t="str">
        <f ca="1">IF(NOTA[[#This Row],[ID_H]]="","",IF(NOTA[[#This Row],[Column3]]=TRUE,NOTA[[#This Row],[QTY/ CTN]],INDEX([3]!db[QTY/ CTN],NOTA[[#This Row],[//DB]])))</f>
        <v/>
      </c>
      <c r="AT3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9" t="str">
        <f ca="1">IF(NOTA[[#This Row],[ID_H]]="","",MATCH(NOTA[[#This Row],[NB NOTA_C_QTY]],[4]!db[NB NOTA_C_QTY+F],0))</f>
        <v/>
      </c>
      <c r="AV372" s="55" t="str">
        <f ca="1">IF(NOTA[[#This Row],[NB NOTA_C_QTY]]="","",ROW()-2)</f>
        <v/>
      </c>
    </row>
    <row r="373" spans="1:48" ht="20.100000000000001" customHeight="1" x14ac:dyDescent="0.25">
      <c r="A373" s="42">
        <f ca="1">IF(INDIRECT(ADDRESS(ROW()-1,COLUMN(NOTA[[#Headers],[ID]])))="ID",1,IF(NOTA[[#This Row],[FAKTUR]]="","",COUNT(INDIRECT(ADDRESS(ROW(NOTA[ID]),COLUMN(NOTA[ID]))&amp;":"&amp;ADDRESS(ROW()-1,COLUMN(NOTA[ID]))))+1))</f>
        <v>73</v>
      </c>
      <c r="B3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ATA_1407_938-2</v>
      </c>
      <c r="C373" s="39" t="e">
        <f ca="1">IF(NOTA[[#This Row],[ID_P]]="","",MATCH(NOTA[[#This Row],[ID_P]],[1]!B_MSK[N_ID],0))</f>
        <v>#REF!</v>
      </c>
      <c r="D373" s="39">
        <f ca="1">IF(NOTA[[#This Row],[NAMA BARANG]]="","",INDEX(NOTA[ID],MATCH(,INDIRECT(ADDRESS(ROW(NOTA[ID]),COLUMN(NOTA[ID]))&amp;":"&amp;ADDRESS(ROW(),COLUMN(NOTA[ID]))),-1)))</f>
        <v>73</v>
      </c>
      <c r="E373" s="47"/>
      <c r="F373" s="38" t="s">
        <v>24</v>
      </c>
      <c r="G373" s="38" t="s">
        <v>23</v>
      </c>
      <c r="H373" s="48" t="s">
        <v>457</v>
      </c>
      <c r="J373" s="40">
        <v>45119</v>
      </c>
      <c r="L373" s="38" t="s">
        <v>265</v>
      </c>
      <c r="M373" s="41">
        <v>10</v>
      </c>
      <c r="N373" s="39">
        <v>480</v>
      </c>
      <c r="O373" s="38" t="s">
        <v>263</v>
      </c>
      <c r="P373" s="42">
        <v>29600</v>
      </c>
      <c r="Q373" s="43"/>
      <c r="R373" s="49"/>
      <c r="S373" s="50">
        <v>0.125</v>
      </c>
      <c r="T373" s="45">
        <v>0.05</v>
      </c>
      <c r="U373" s="51"/>
      <c r="V373" s="46"/>
      <c r="W373" s="51">
        <f>IF(NOTA[[#This Row],[HARGA/ CTN]]="",NOTA[[#This Row],[JUMLAH_H]],NOTA[[#This Row],[HARGA/ CTN]]*IF(NOTA[[#This Row],[C]]="",0,NOTA[[#This Row],[C]]))</f>
        <v>14208000</v>
      </c>
      <c r="X373" s="51">
        <f>IF(NOTA[[#This Row],[JUMLAH]]="","",NOTA[[#This Row],[JUMLAH]]*NOTA[[#This Row],[DISC 1]])</f>
        <v>1776000</v>
      </c>
      <c r="Y373" s="51">
        <f>IF(NOTA[[#This Row],[JUMLAH]]="","",(NOTA[[#This Row],[JUMLAH]]-NOTA[[#This Row],[DISC 1-]])*NOTA[[#This Row],[DISC 2]])</f>
        <v>621600</v>
      </c>
      <c r="Z373" s="51">
        <f>IF(NOTA[[#This Row],[JUMLAH]]="","",NOTA[[#This Row],[DISC 1-]]+NOTA[[#This Row],[DISC 2-]])</f>
        <v>2397600</v>
      </c>
      <c r="AA373" s="51">
        <f>IF(NOTA[[#This Row],[JUMLAH]]="","",NOTA[[#This Row],[JUMLAH]]-NOTA[[#This Row],[DISC]])</f>
        <v>11810400</v>
      </c>
      <c r="AB373" s="51"/>
      <c r="AC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3" s="51">
        <f>IF(OR(NOTA[[#This Row],[QTY]]="",NOTA[[#This Row],[HARGA SATUAN]]="",),"",NOTA[[#This Row],[QTY]]*NOTA[[#This Row],[HARGA SATUAN]])</f>
        <v>14208000</v>
      </c>
      <c r="AG373" s="40">
        <f ca="1">IF(NOTA[ID_H]="","",INDEX(NOTA[TANGGAL],MATCH(,INDIRECT(ADDRESS(ROW(NOTA[TANGGAL]),COLUMN(NOTA[TANGGAL]))&amp;":"&amp;ADDRESS(ROW(),COLUMN(NOTA[TANGGAL]))),-1)))</f>
        <v>45121</v>
      </c>
      <c r="AH373" s="42" t="str">
        <f ca="1">IF(NOTA[[#This Row],[NAMA BARANG]]="","",INDEX(NOTA[SUPPLIER],MATCH(,INDIRECT(ADDRESS(ROW(NOTA[ID]),COLUMN(NOTA[ID]))&amp;":"&amp;ADDRESS(ROW(),COLUMN(NOTA[ID]))),-1)))</f>
        <v>ATALI MAKMUR</v>
      </c>
      <c r="AI373" s="42" t="str">
        <f ca="1">IF(NOTA[[#This Row],[ID_H]]="","",IF(NOTA[[#This Row],[FAKTUR]]="",INDIRECT(ADDRESS(ROW()-1,COLUMN())),NOTA[[#This Row],[FAKTUR]]))</f>
        <v>ARTO MORO</v>
      </c>
      <c r="AJ373" s="39">
        <f ca="1">IF(NOTA[[#This Row],[ID]]="","",COUNTIF(NOTA[ID_H],NOTA[[#This Row],[ID_H]]))</f>
        <v>2</v>
      </c>
      <c r="AK373" s="39">
        <f>IF(NOTA[[#This Row],[TGL.NOTA]]="",IF(NOTA[[#This Row],[SUPPLIER_H]]="","",AK372),MONTH(NOTA[[#This Row],[TGL.NOTA]]))</f>
        <v>7</v>
      </c>
      <c r="AL373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MOROSA23071193845119oilpastelop24sppcaseseaworldjk</v>
      </c>
      <c r="AP373" s="39" t="e">
        <f>IF(NOTA[[#This Row],[CONCAT4]]="","",_xlfn.IFNA(MATCH(NOTA[[#This Row],[CONCAT4]],[2]!RAW[CONCAT_H],0),FALSE))</f>
        <v>#REF!</v>
      </c>
      <c r="AQ373" s="39">
        <f>IF(NOTA[[#This Row],[CONCAT1]]="","",MATCH(NOTA[[#This Row],[CONCAT1]],[3]!db[NB NOTA_C],0))</f>
        <v>1778</v>
      </c>
      <c r="AR373" s="39" t="str">
        <f>IF(NOTA[[#This Row],[QTY/ CTN]]="","",TRUE)</f>
        <v/>
      </c>
      <c r="AS373" s="39" t="str">
        <f ca="1">IF(NOTA[[#This Row],[ID_H]]="","",IF(NOTA[[#This Row],[Column3]]=TRUE,NOTA[[#This Row],[QTY/ CTN]],INDEX([3]!db[QTY/ CTN],NOTA[[#This Row],[//DB]])))</f>
        <v>8 BOX (6 SET)</v>
      </c>
      <c r="AT3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3" s="39" t="e">
        <f ca="1">IF(NOTA[[#This Row],[ID_H]]="","",MATCH(NOTA[[#This Row],[NB NOTA_C_QTY]],[4]!db[NB NOTA_C_QTY+F],0))</f>
        <v>#REF!</v>
      </c>
      <c r="AV373" s="55">
        <f ca="1">IF(NOTA[[#This Row],[NB NOTA_C_QTY]]="","",ROW()-2)</f>
        <v>371</v>
      </c>
    </row>
    <row r="374" spans="1:48" ht="20.100000000000001" customHeight="1" x14ac:dyDescent="0.25">
      <c r="A3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73</v>
      </c>
      <c r="E374" s="47"/>
      <c r="H374" s="48"/>
      <c r="L374" s="38" t="s">
        <v>266</v>
      </c>
      <c r="M374" s="41">
        <v>10</v>
      </c>
      <c r="N374" s="39">
        <v>360</v>
      </c>
      <c r="O374" s="38" t="s">
        <v>263</v>
      </c>
      <c r="P374" s="42">
        <v>41500</v>
      </c>
      <c r="Q374" s="43"/>
      <c r="R374" s="49"/>
      <c r="S374" s="50">
        <v>0.125</v>
      </c>
      <c r="T374" s="45">
        <v>0.05</v>
      </c>
      <c r="U374" s="51"/>
      <c r="V374" s="46"/>
      <c r="W374" s="51">
        <f>IF(NOTA[[#This Row],[HARGA/ CTN]]="",NOTA[[#This Row],[JUMLAH_H]],NOTA[[#This Row],[HARGA/ CTN]]*IF(NOTA[[#This Row],[C]]="",0,NOTA[[#This Row],[C]]))</f>
        <v>14940000</v>
      </c>
      <c r="X374" s="51">
        <f>IF(NOTA[[#This Row],[JUMLAH]]="","",NOTA[[#This Row],[JUMLAH]]*NOTA[[#This Row],[DISC 1]])</f>
        <v>1867500</v>
      </c>
      <c r="Y374" s="51">
        <f>IF(NOTA[[#This Row],[JUMLAH]]="","",(NOTA[[#This Row],[JUMLAH]]-NOTA[[#This Row],[DISC 1-]])*NOTA[[#This Row],[DISC 2]])</f>
        <v>653625</v>
      </c>
      <c r="Z374" s="51">
        <f>IF(NOTA[[#This Row],[JUMLAH]]="","",NOTA[[#This Row],[DISC 1-]]+NOTA[[#This Row],[DISC 2-]])</f>
        <v>2521125</v>
      </c>
      <c r="AA374" s="51">
        <f>IF(NOTA[[#This Row],[JUMLAH]]="","",NOTA[[#This Row],[JUMLAH]]-NOTA[[#This Row],[DISC]])</f>
        <v>12418875</v>
      </c>
      <c r="AB374" s="51"/>
      <c r="AC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4918725</v>
      </c>
      <c r="AD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24229275</v>
      </c>
      <c r="AE374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74" s="51">
        <f>IF(OR(NOTA[[#This Row],[QTY]]="",NOTA[[#This Row],[HARGA SATUAN]]="",),"",NOTA[[#This Row],[QTY]]*NOTA[[#This Row],[HARGA SATUAN]])</f>
        <v>14940000</v>
      </c>
      <c r="AG374" s="40">
        <f ca="1">IF(NOTA[ID_H]="","",INDEX(NOTA[TANGGAL],MATCH(,INDIRECT(ADDRESS(ROW(NOTA[TANGGAL]),COLUMN(NOTA[TANGGAL]))&amp;":"&amp;ADDRESS(ROW(),COLUMN(NOTA[TANGGAL]))),-1)))</f>
        <v>45121</v>
      </c>
      <c r="AH374" s="42" t="str">
        <f ca="1">IF(NOTA[[#This Row],[NAMA BARANG]]="","",INDEX(NOTA[SUPPLIER],MATCH(,INDIRECT(ADDRESS(ROW(NOTA[ID]),COLUMN(NOTA[ID]))&amp;":"&amp;ADDRESS(ROW(),COLUMN(NOTA[ID]))),-1)))</f>
        <v>ATALI MAKMUR</v>
      </c>
      <c r="AI374" s="42" t="str">
        <f ca="1">IF(NOTA[[#This Row],[ID_H]]="","",IF(NOTA[[#This Row],[FAKTUR]]="",INDIRECT(ADDRESS(ROW()-1,COLUMN())),NOTA[[#This Row],[FAKTUR]]))</f>
        <v>ARTO MORO</v>
      </c>
      <c r="AJ374" s="39" t="str">
        <f ca="1">IF(NOTA[[#This Row],[ID]]="","",COUNTIF(NOTA[ID_H],NOTA[[#This Row],[ID_H]]))</f>
        <v/>
      </c>
      <c r="AK374" s="39">
        <f ca="1">IF(NOTA[[#This Row],[TGL.NOTA]]="",IF(NOTA[[#This Row],[SUPPLIER_H]]="","",AK373),MONTH(NOTA[[#This Row],[TGL.NOTA]]))</f>
        <v>7</v>
      </c>
      <c r="AL374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9" t="str">
        <f>IF(NOTA[[#This Row],[CONCAT4]]="","",_xlfn.IFNA(MATCH(NOTA[[#This Row],[CONCAT4]],[2]!RAW[CONCAT_H],0),FALSE))</f>
        <v/>
      </c>
      <c r="AQ374" s="39">
        <f>IF(NOTA[[#This Row],[CONCAT1]]="","",MATCH(NOTA[[#This Row],[CONCAT1]],[3]!db[NB NOTA_C],0))</f>
        <v>1779</v>
      </c>
      <c r="AR374" s="39" t="str">
        <f>IF(NOTA[[#This Row],[QTY/ CTN]]="","",TRUE)</f>
        <v/>
      </c>
      <c r="AS374" s="39" t="str">
        <f ca="1">IF(NOTA[[#This Row],[ID_H]]="","",IF(NOTA[[#This Row],[Column3]]=TRUE,NOTA[[#This Row],[QTY/ CTN]],INDEX([3]!db[QTY/ CTN],NOTA[[#This Row],[//DB]])))</f>
        <v>6 BOX (6 SET)</v>
      </c>
      <c r="AT3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374" s="39" t="e">
        <f ca="1">IF(NOTA[[#This Row],[ID_H]]="","",MATCH(NOTA[[#This Row],[NB NOTA_C_QTY]],[4]!db[NB NOTA_C_QTY+F],0))</f>
        <v>#REF!</v>
      </c>
      <c r="AV374" s="55">
        <f ca="1">IF(NOTA[[#This Row],[NB NOTA_C_QTY]]="","",ROW()-2)</f>
        <v>372</v>
      </c>
    </row>
    <row r="375" spans="1:48" ht="20.100000000000001" customHeight="1" x14ac:dyDescent="0.25">
      <c r="A3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 t="str">
        <f ca="1">IF(NOTA[[#This Row],[NAMA BARANG]]="","",INDEX(NOTA[ID],MATCH(,INDIRECT(ADDRESS(ROW(NOTA[ID]),COLUMN(NOTA[ID]))&amp;":"&amp;ADDRESS(ROW(),COLUMN(NOTA[ID]))),-1)))</f>
        <v/>
      </c>
      <c r="E375" s="47"/>
      <c r="H375" s="48"/>
      <c r="N375" s="39"/>
      <c r="Q375" s="43"/>
      <c r="R375" s="49"/>
      <c r="S375" s="50"/>
      <c r="U375" s="51"/>
      <c r="V375" s="46"/>
      <c r="W375" s="51" t="str">
        <f>IF(NOTA[[#This Row],[HARGA/ CTN]]="",NOTA[[#This Row],[JUMLAH_H]],NOTA[[#This Row],[HARGA/ CTN]]*IF(NOTA[[#This Row],[C]]="",0,NOTA[[#This Row],[C]]))</f>
        <v/>
      </c>
      <c r="X375" s="51" t="str">
        <f>IF(NOTA[[#This Row],[JUMLAH]]="","",NOTA[[#This Row],[JUMLAH]]*NOTA[[#This Row],[DISC 1]])</f>
        <v/>
      </c>
      <c r="Y375" s="51" t="str">
        <f>IF(NOTA[[#This Row],[JUMLAH]]="","",(NOTA[[#This Row],[JUMLAH]]-NOTA[[#This Row],[DISC 1-]])*NOTA[[#This Row],[DISC 2]])</f>
        <v/>
      </c>
      <c r="Z375" s="51" t="str">
        <f>IF(NOTA[[#This Row],[JUMLAH]]="","",NOTA[[#This Row],[DISC 1-]]+NOTA[[#This Row],[DISC 2-]])</f>
        <v/>
      </c>
      <c r="AA375" s="51" t="str">
        <f>IF(NOTA[[#This Row],[JUMLAH]]="","",NOTA[[#This Row],[JUMLAH]]-NOTA[[#This Row],[DISC]])</f>
        <v/>
      </c>
      <c r="AB375" s="51"/>
      <c r="AC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1" t="str">
        <f>IF(OR(NOTA[[#This Row],[QTY]]="",NOTA[[#This Row],[HARGA SATUAN]]="",),"",NOTA[[#This Row],[QTY]]*NOTA[[#This Row],[HARGA SATUAN]])</f>
        <v/>
      </c>
      <c r="AG375" s="40" t="str">
        <f ca="1">IF(NOTA[ID_H]="","",INDEX(NOTA[TANGGAL],MATCH(,INDIRECT(ADDRESS(ROW(NOTA[TANGGAL]),COLUMN(NOTA[TANGGAL]))&amp;":"&amp;ADDRESS(ROW(),COLUMN(NOTA[TANGGAL]))),-1)))</f>
        <v/>
      </c>
      <c r="AH375" s="42" t="str">
        <f ca="1">IF(NOTA[[#This Row],[NAMA BARANG]]="","",INDEX(NOTA[SUPPLIER],MATCH(,INDIRECT(ADDRESS(ROW(NOTA[ID]),COLUMN(NOTA[ID]))&amp;":"&amp;ADDRESS(ROW(),COLUMN(NOTA[ID]))),-1)))</f>
        <v/>
      </c>
      <c r="AI375" s="42" t="str">
        <f ca="1">IF(NOTA[[#This Row],[ID_H]]="","",IF(NOTA[[#This Row],[FAKTUR]]="",INDIRECT(ADDRESS(ROW()-1,COLUMN())),NOTA[[#This Row],[FAKTUR]]))</f>
        <v/>
      </c>
      <c r="AJ375" s="39" t="str">
        <f ca="1">IF(NOTA[[#This Row],[ID]]="","",COUNTIF(NOTA[ID_H],NOTA[[#This Row],[ID_H]]))</f>
        <v/>
      </c>
      <c r="AK375" s="39" t="str">
        <f ca="1">IF(NOTA[[#This Row],[TGL.NOTA]]="",IF(NOTA[[#This Row],[SUPPLIER_H]]="","",AK374),MONTH(NOTA[[#This Row],[TGL.NOTA]]))</f>
        <v/>
      </c>
      <c r="AL375" s="39" t="str">
        <f>LOWER(SUBSTITUTE(SUBSTITUTE(SUBSTITUTE(SUBSTITUTE(SUBSTITUTE(SUBSTITUTE(SUBSTITUTE(SUBSTITUTE(SUBSTITUTE(NOTA[NAMA BARANG]," ",),".",""),"-",""),"(",""),")",""),",",""),"/",""),"""",""),"+",""))</f>
        <v/>
      </c>
      <c r="AM3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9" t="str">
        <f>IF(NOTA[[#This Row],[CONCAT4]]="","",_xlfn.IFNA(MATCH(NOTA[[#This Row],[CONCAT4]],[2]!RAW[CONCAT_H],0),FALSE))</f>
        <v/>
      </c>
      <c r="AQ375" s="39" t="str">
        <f>IF(NOTA[[#This Row],[CONCAT1]]="","",MATCH(NOTA[[#This Row],[CONCAT1]],[3]!db[NB NOTA_C],0))</f>
        <v/>
      </c>
      <c r="AR375" s="39" t="str">
        <f>IF(NOTA[[#This Row],[QTY/ CTN]]="","",TRUE)</f>
        <v/>
      </c>
      <c r="AS375" s="39" t="str">
        <f ca="1">IF(NOTA[[#This Row],[ID_H]]="","",IF(NOTA[[#This Row],[Column3]]=TRUE,NOTA[[#This Row],[QTY/ CTN]],INDEX([3]!db[QTY/ CTN],NOTA[[#This Row],[//DB]])))</f>
        <v/>
      </c>
      <c r="AT3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9" t="str">
        <f ca="1">IF(NOTA[[#This Row],[ID_H]]="","",MATCH(NOTA[[#This Row],[NB NOTA_C_QTY]],[4]!db[NB NOTA_C_QTY+F],0))</f>
        <v/>
      </c>
      <c r="AV375" s="55" t="str">
        <f ca="1">IF(NOTA[[#This Row],[NB NOTA_C_QTY]]="","",ROW()-2)</f>
        <v/>
      </c>
    </row>
    <row r="376" spans="1:48" ht="20.100000000000001" customHeight="1" x14ac:dyDescent="0.25">
      <c r="A376" s="42">
        <f ca="1">IF(INDIRECT(ADDRESS(ROW()-1,COLUMN(NOTA[[#Headers],[ID]])))="ID",1,IF(NOTA[[#This Row],[FAKTUR]]="","",COUNT(INDIRECT(ADDRESS(ROW(NOTA[ID]),COLUMN(NOTA[ID]))&amp;":"&amp;ADDRESS(ROW()-1,COLUMN(NOTA[ID]))))+1))</f>
        <v>74</v>
      </c>
      <c r="B3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ATA_1407_734-3</v>
      </c>
      <c r="C376" s="39" t="e">
        <f ca="1">IF(NOTA[[#This Row],[ID_P]]="","",MATCH(NOTA[[#This Row],[ID_P]],[1]!B_MSK[N_ID],0))</f>
        <v>#REF!</v>
      </c>
      <c r="D376" s="39">
        <f ca="1">IF(NOTA[[#This Row],[NAMA BARANG]]="","",INDEX(NOTA[ID],MATCH(,INDIRECT(ADDRESS(ROW(NOTA[ID]),COLUMN(NOTA[ID]))&amp;":"&amp;ADDRESS(ROW(),COLUMN(NOTA[ID]))),-1)))</f>
        <v>74</v>
      </c>
      <c r="E376" s="47"/>
      <c r="F376" s="38" t="s">
        <v>24</v>
      </c>
      <c r="G376" s="38" t="s">
        <v>23</v>
      </c>
      <c r="H376" s="48" t="s">
        <v>458</v>
      </c>
      <c r="J376" s="40">
        <v>45117</v>
      </c>
      <c r="L376" s="38" t="s">
        <v>262</v>
      </c>
      <c r="M376" s="41">
        <v>20</v>
      </c>
      <c r="N376" s="39">
        <v>2880</v>
      </c>
      <c r="O376" s="38" t="s">
        <v>263</v>
      </c>
      <c r="P376" s="42">
        <v>11900</v>
      </c>
      <c r="Q376" s="43"/>
      <c r="R376" s="49"/>
      <c r="S376" s="50">
        <v>0.125</v>
      </c>
      <c r="T376" s="45">
        <v>0.05</v>
      </c>
      <c r="U376" s="51"/>
      <c r="V376" s="46"/>
      <c r="W376" s="51">
        <f>IF(NOTA[[#This Row],[HARGA/ CTN]]="",NOTA[[#This Row],[JUMLAH_H]],NOTA[[#This Row],[HARGA/ CTN]]*IF(NOTA[[#This Row],[C]]="",0,NOTA[[#This Row],[C]]))</f>
        <v>34272000</v>
      </c>
      <c r="X376" s="51">
        <f>IF(NOTA[[#This Row],[JUMLAH]]="","",NOTA[[#This Row],[JUMLAH]]*NOTA[[#This Row],[DISC 1]])</f>
        <v>4284000</v>
      </c>
      <c r="Y376" s="51">
        <f>IF(NOTA[[#This Row],[JUMLAH]]="","",(NOTA[[#This Row],[JUMLAH]]-NOTA[[#This Row],[DISC 1-]])*NOTA[[#This Row],[DISC 2]])</f>
        <v>1499400</v>
      </c>
      <c r="Z376" s="51">
        <f>IF(NOTA[[#This Row],[JUMLAH]]="","",NOTA[[#This Row],[DISC 1-]]+NOTA[[#This Row],[DISC 2-]])</f>
        <v>5783400</v>
      </c>
      <c r="AA376" s="51">
        <f>IF(NOTA[[#This Row],[JUMLAH]]="","",NOTA[[#This Row],[JUMLAH]]-NOTA[[#This Row],[DISC]])</f>
        <v>28488600</v>
      </c>
      <c r="AB376" s="51"/>
      <c r="AC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376" s="51">
        <f>IF(OR(NOTA[[#This Row],[QTY]]="",NOTA[[#This Row],[HARGA SATUAN]]="",),"",NOTA[[#This Row],[QTY]]*NOTA[[#This Row],[HARGA SATUAN]])</f>
        <v>34272000</v>
      </c>
      <c r="AG376" s="40">
        <f ca="1">IF(NOTA[ID_H]="","",INDEX(NOTA[TANGGAL],MATCH(,INDIRECT(ADDRESS(ROW(NOTA[TANGGAL]),COLUMN(NOTA[TANGGAL]))&amp;":"&amp;ADDRESS(ROW(),COLUMN(NOTA[TANGGAL]))),-1)))</f>
        <v>45121</v>
      </c>
      <c r="AH376" s="42" t="str">
        <f ca="1">IF(NOTA[[#This Row],[NAMA BARANG]]="","",INDEX(NOTA[SUPPLIER],MATCH(,INDIRECT(ADDRESS(ROW(NOTA[ID]),COLUMN(NOTA[ID]))&amp;":"&amp;ADDRESS(ROW(),COLUMN(NOTA[ID]))),-1)))</f>
        <v>ATALI MAKMUR</v>
      </c>
      <c r="AI376" s="42" t="str">
        <f ca="1">IF(NOTA[[#This Row],[ID_H]]="","",IF(NOTA[[#This Row],[FAKTUR]]="",INDIRECT(ADDRESS(ROW()-1,COLUMN())),NOTA[[#This Row],[FAKTUR]]))</f>
        <v>ARTO MORO</v>
      </c>
      <c r="AJ376" s="39">
        <f ca="1">IF(NOTA[[#This Row],[ID]]="","",COUNTIF(NOTA[ID_H],NOTA[[#This Row],[ID_H]]))</f>
        <v>3</v>
      </c>
      <c r="AK376" s="39">
        <f>IF(NOTA[[#This Row],[TGL.NOTA]]="",IF(NOTA[[#This Row],[SUPPLIER_H]]="","",AK375),MONTH(NOTA[[#This Row],[TGL.NOTA]]))</f>
        <v>7</v>
      </c>
      <c r="AL37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3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3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3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MOROSA23071173445117oilpastelop12sppcaseseaworldjk</v>
      </c>
      <c r="AP376" s="39" t="e">
        <f>IF(NOTA[[#This Row],[CONCAT4]]="","",_xlfn.IFNA(MATCH(NOTA[[#This Row],[CONCAT4]],[2]!RAW[CONCAT_H],0),FALSE))</f>
        <v>#REF!</v>
      </c>
      <c r="AQ376" s="39">
        <f>IF(NOTA[[#This Row],[CONCAT1]]="","",MATCH(NOTA[[#This Row],[CONCAT1]],[3]!db[NB NOTA_C],0))</f>
        <v>1775</v>
      </c>
      <c r="AR376" s="39" t="str">
        <f>IF(NOTA[[#This Row],[QTY/ CTN]]="","",TRUE)</f>
        <v/>
      </c>
      <c r="AS376" s="39" t="str">
        <f ca="1">IF(NOTA[[#This Row],[ID_H]]="","",IF(NOTA[[#This Row],[Column3]]=TRUE,NOTA[[#This Row],[QTY/ CTN]],INDEX([3]!db[QTY/ CTN],NOTA[[#This Row],[//DB]])))</f>
        <v>12 LSN</v>
      </c>
      <c r="AT3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376" s="39" t="e">
        <f ca="1">IF(NOTA[[#This Row],[ID_H]]="","",MATCH(NOTA[[#This Row],[NB NOTA_C_QTY]],[4]!db[NB NOTA_C_QTY+F],0))</f>
        <v>#REF!</v>
      </c>
      <c r="AV376" s="55">
        <f ca="1">IF(NOTA[[#This Row],[NB NOTA_C_QTY]]="","",ROW()-2)</f>
        <v>374</v>
      </c>
    </row>
    <row r="377" spans="1:48" ht="20.100000000000001" customHeight="1" x14ac:dyDescent="0.25">
      <c r="A3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74</v>
      </c>
      <c r="E377" s="47"/>
      <c r="H377" s="48"/>
      <c r="L377" s="38" t="s">
        <v>264</v>
      </c>
      <c r="M377" s="41">
        <v>10</v>
      </c>
      <c r="N377" s="39">
        <v>720</v>
      </c>
      <c r="O377" s="38" t="s">
        <v>263</v>
      </c>
      <c r="P377" s="42">
        <v>23000</v>
      </c>
      <c r="Q377" s="43"/>
      <c r="R377" s="49"/>
      <c r="S377" s="50">
        <v>0.125</v>
      </c>
      <c r="T377" s="45">
        <v>0.05</v>
      </c>
      <c r="U377" s="51"/>
      <c r="V377" s="46"/>
      <c r="W377" s="51">
        <f>IF(NOTA[[#This Row],[HARGA/ CTN]]="",NOTA[[#This Row],[JUMLAH_H]],NOTA[[#This Row],[HARGA/ CTN]]*IF(NOTA[[#This Row],[C]]="",0,NOTA[[#This Row],[C]]))</f>
        <v>16560000</v>
      </c>
      <c r="X377" s="51">
        <f>IF(NOTA[[#This Row],[JUMLAH]]="","",NOTA[[#This Row],[JUMLAH]]*NOTA[[#This Row],[DISC 1]])</f>
        <v>2070000</v>
      </c>
      <c r="Y377" s="51">
        <f>IF(NOTA[[#This Row],[JUMLAH]]="","",(NOTA[[#This Row],[JUMLAH]]-NOTA[[#This Row],[DISC 1-]])*NOTA[[#This Row],[DISC 2]])</f>
        <v>724500</v>
      </c>
      <c r="Z377" s="51">
        <f>IF(NOTA[[#This Row],[JUMLAH]]="","",NOTA[[#This Row],[DISC 1-]]+NOTA[[#This Row],[DISC 2-]])</f>
        <v>2794500</v>
      </c>
      <c r="AA377" s="51">
        <f>IF(NOTA[[#This Row],[JUMLAH]]="","",NOTA[[#This Row],[JUMLAH]]-NOTA[[#This Row],[DISC]])</f>
        <v>13765500</v>
      </c>
      <c r="AB377" s="51"/>
      <c r="AC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377" s="51">
        <f>IF(OR(NOTA[[#This Row],[QTY]]="",NOTA[[#This Row],[HARGA SATUAN]]="",),"",NOTA[[#This Row],[QTY]]*NOTA[[#This Row],[HARGA SATUAN]])</f>
        <v>16560000</v>
      </c>
      <c r="AG377" s="40">
        <f ca="1">IF(NOTA[ID_H]="","",INDEX(NOTA[TANGGAL],MATCH(,INDIRECT(ADDRESS(ROW(NOTA[TANGGAL]),COLUMN(NOTA[TANGGAL]))&amp;":"&amp;ADDRESS(ROW(),COLUMN(NOTA[TANGGAL]))),-1)))</f>
        <v>45121</v>
      </c>
      <c r="AH377" s="42" t="str">
        <f ca="1">IF(NOTA[[#This Row],[NAMA BARANG]]="","",INDEX(NOTA[SUPPLIER],MATCH(,INDIRECT(ADDRESS(ROW(NOTA[ID]),COLUMN(NOTA[ID]))&amp;":"&amp;ADDRESS(ROW(),COLUMN(NOTA[ID]))),-1)))</f>
        <v>ATALI MAKMUR</v>
      </c>
      <c r="AI377" s="42" t="str">
        <f ca="1">IF(NOTA[[#This Row],[ID_H]]="","",IF(NOTA[[#This Row],[FAKTUR]]="",INDIRECT(ADDRESS(ROW()-1,COLUMN())),NOTA[[#This Row],[FAKTUR]]))</f>
        <v>ARTO MORO</v>
      </c>
      <c r="AJ377" s="39" t="str">
        <f ca="1">IF(NOTA[[#This Row],[ID]]="","",COUNTIF(NOTA[ID_H],NOTA[[#This Row],[ID_H]]))</f>
        <v/>
      </c>
      <c r="AK377" s="39">
        <f ca="1">IF(NOTA[[#This Row],[TGL.NOTA]]="",IF(NOTA[[#This Row],[SUPPLIER_H]]="","",AK376),MONTH(NOTA[[#This Row],[TGL.NOTA]]))</f>
        <v>7</v>
      </c>
      <c r="AL377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3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3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3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9" t="str">
        <f>IF(NOTA[[#This Row],[CONCAT4]]="","",_xlfn.IFNA(MATCH(NOTA[[#This Row],[CONCAT4]],[2]!RAW[CONCAT_H],0),FALSE))</f>
        <v/>
      </c>
      <c r="AQ377" s="39">
        <f>IF(NOTA[[#This Row],[CONCAT1]]="","",MATCH(NOTA[[#This Row],[CONCAT1]],[3]!db[NB NOTA_C],0))</f>
        <v>1777</v>
      </c>
      <c r="AR377" s="39" t="str">
        <f>IF(NOTA[[#This Row],[QTY/ CTN]]="","",TRUE)</f>
        <v/>
      </c>
      <c r="AS377" s="39" t="str">
        <f ca="1">IF(NOTA[[#This Row],[ID_H]]="","",IF(NOTA[[#This Row],[Column3]]=TRUE,NOTA[[#This Row],[QTY/ CTN]],INDEX([3]!db[QTY/ CTN],NOTA[[#This Row],[//DB]])))</f>
        <v>6 LSN</v>
      </c>
      <c r="AT3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377" s="39" t="e">
        <f ca="1">IF(NOTA[[#This Row],[ID_H]]="","",MATCH(NOTA[[#This Row],[NB NOTA_C_QTY]],[4]!db[NB NOTA_C_QTY+F],0))</f>
        <v>#REF!</v>
      </c>
      <c r="AV377" s="55">
        <f ca="1">IF(NOTA[[#This Row],[NB NOTA_C_QTY]]="","",ROW()-2)</f>
        <v>375</v>
      </c>
    </row>
    <row r="378" spans="1:48" ht="20.100000000000001" customHeight="1" x14ac:dyDescent="0.25">
      <c r="A3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74</v>
      </c>
      <c r="E378" s="47"/>
      <c r="H378" s="48"/>
      <c r="L378" s="38" t="s">
        <v>265</v>
      </c>
      <c r="M378" s="41">
        <v>10</v>
      </c>
      <c r="N378" s="39">
        <v>480</v>
      </c>
      <c r="O378" s="38" t="s">
        <v>263</v>
      </c>
      <c r="P378" s="42">
        <v>29600</v>
      </c>
      <c r="Q378" s="43"/>
      <c r="R378" s="49"/>
      <c r="S378" s="50">
        <v>0.125</v>
      </c>
      <c r="T378" s="45">
        <v>0.05</v>
      </c>
      <c r="U378" s="51"/>
      <c r="V378" s="46"/>
      <c r="W378" s="51">
        <f>IF(NOTA[[#This Row],[HARGA/ CTN]]="",NOTA[[#This Row],[JUMLAH_H]],NOTA[[#This Row],[HARGA/ CTN]]*IF(NOTA[[#This Row],[C]]="",0,NOTA[[#This Row],[C]]))</f>
        <v>14208000</v>
      </c>
      <c r="X378" s="51">
        <f>IF(NOTA[[#This Row],[JUMLAH]]="","",NOTA[[#This Row],[JUMLAH]]*NOTA[[#This Row],[DISC 1]])</f>
        <v>1776000</v>
      </c>
      <c r="Y378" s="51">
        <f>IF(NOTA[[#This Row],[JUMLAH]]="","",(NOTA[[#This Row],[JUMLAH]]-NOTA[[#This Row],[DISC 1-]])*NOTA[[#This Row],[DISC 2]])</f>
        <v>621600</v>
      </c>
      <c r="Z378" s="51">
        <f>IF(NOTA[[#This Row],[JUMLAH]]="","",NOTA[[#This Row],[DISC 1-]]+NOTA[[#This Row],[DISC 2-]])</f>
        <v>2397600</v>
      </c>
      <c r="AA378" s="51">
        <f>IF(NOTA[[#This Row],[JUMLAH]]="","",NOTA[[#This Row],[JUMLAH]]-NOTA[[#This Row],[DISC]])</f>
        <v>11810400</v>
      </c>
      <c r="AB378" s="51"/>
      <c r="AC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10975500</v>
      </c>
      <c r="AD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54064500</v>
      </c>
      <c r="AE378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8" s="51">
        <f>IF(OR(NOTA[[#This Row],[QTY]]="",NOTA[[#This Row],[HARGA SATUAN]]="",),"",NOTA[[#This Row],[QTY]]*NOTA[[#This Row],[HARGA SATUAN]])</f>
        <v>14208000</v>
      </c>
      <c r="AG378" s="40">
        <f ca="1">IF(NOTA[ID_H]="","",INDEX(NOTA[TANGGAL],MATCH(,INDIRECT(ADDRESS(ROW(NOTA[TANGGAL]),COLUMN(NOTA[TANGGAL]))&amp;":"&amp;ADDRESS(ROW(),COLUMN(NOTA[TANGGAL]))),-1)))</f>
        <v>45121</v>
      </c>
      <c r="AH378" s="42" t="str">
        <f ca="1">IF(NOTA[[#This Row],[NAMA BARANG]]="","",INDEX(NOTA[SUPPLIER],MATCH(,INDIRECT(ADDRESS(ROW(NOTA[ID]),COLUMN(NOTA[ID]))&amp;":"&amp;ADDRESS(ROW(),COLUMN(NOTA[ID]))),-1)))</f>
        <v>ATALI MAKMUR</v>
      </c>
      <c r="AI378" s="42" t="str">
        <f ca="1">IF(NOTA[[#This Row],[ID_H]]="","",IF(NOTA[[#This Row],[FAKTUR]]="",INDIRECT(ADDRESS(ROW()-1,COLUMN())),NOTA[[#This Row],[FAKTUR]]))</f>
        <v>ARTO MORO</v>
      </c>
      <c r="AJ378" s="39" t="str">
        <f ca="1">IF(NOTA[[#This Row],[ID]]="","",COUNTIF(NOTA[ID_H],NOTA[[#This Row],[ID_H]]))</f>
        <v/>
      </c>
      <c r="AK378" s="39">
        <f ca="1">IF(NOTA[[#This Row],[TGL.NOTA]]="",IF(NOTA[[#This Row],[SUPPLIER_H]]="","",AK377),MONTH(NOTA[[#This Row],[TGL.NOTA]]))</f>
        <v>7</v>
      </c>
      <c r="AL378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9" t="str">
        <f>IF(NOTA[[#This Row],[CONCAT4]]="","",_xlfn.IFNA(MATCH(NOTA[[#This Row],[CONCAT4]],[2]!RAW[CONCAT_H],0),FALSE))</f>
        <v/>
      </c>
      <c r="AQ378" s="39">
        <f>IF(NOTA[[#This Row],[CONCAT1]]="","",MATCH(NOTA[[#This Row],[CONCAT1]],[3]!db[NB NOTA_C],0))</f>
        <v>1778</v>
      </c>
      <c r="AR378" s="39" t="str">
        <f>IF(NOTA[[#This Row],[QTY/ CTN]]="","",TRUE)</f>
        <v/>
      </c>
      <c r="AS378" s="39" t="str">
        <f ca="1">IF(NOTA[[#This Row],[ID_H]]="","",IF(NOTA[[#This Row],[Column3]]=TRUE,NOTA[[#This Row],[QTY/ CTN]],INDEX([3]!db[QTY/ CTN],NOTA[[#This Row],[//DB]])))</f>
        <v>8 BOX (6 SET)</v>
      </c>
      <c r="AT3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8" s="39" t="e">
        <f ca="1">IF(NOTA[[#This Row],[ID_H]]="","",MATCH(NOTA[[#This Row],[NB NOTA_C_QTY]],[4]!db[NB NOTA_C_QTY+F],0))</f>
        <v>#REF!</v>
      </c>
      <c r="AV378" s="55">
        <f ca="1">IF(NOTA[[#This Row],[NB NOTA_C_QTY]]="","",ROW()-2)</f>
        <v>376</v>
      </c>
    </row>
    <row r="379" spans="1:48" ht="20.100000000000001" customHeight="1" x14ac:dyDescent="0.25">
      <c r="A3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 t="str">
        <f ca="1">IF(NOTA[[#This Row],[NAMA BARANG]]="","",INDEX(NOTA[ID],MATCH(,INDIRECT(ADDRESS(ROW(NOTA[ID]),COLUMN(NOTA[ID]))&amp;":"&amp;ADDRESS(ROW(),COLUMN(NOTA[ID]))),-1)))</f>
        <v/>
      </c>
      <c r="E379" s="47"/>
      <c r="H379" s="48"/>
      <c r="N379" s="39"/>
      <c r="Q379" s="43"/>
      <c r="R379" s="49"/>
      <c r="S379" s="50"/>
      <c r="U379" s="51"/>
      <c r="V379" s="46"/>
      <c r="W379" s="51" t="str">
        <f>IF(NOTA[[#This Row],[HARGA/ CTN]]="",NOTA[[#This Row],[JUMLAH_H]],NOTA[[#This Row],[HARGA/ CTN]]*IF(NOTA[[#This Row],[C]]="",0,NOTA[[#This Row],[C]]))</f>
        <v/>
      </c>
      <c r="X379" s="51" t="str">
        <f>IF(NOTA[[#This Row],[JUMLAH]]="","",NOTA[[#This Row],[JUMLAH]]*NOTA[[#This Row],[DISC 1]])</f>
        <v/>
      </c>
      <c r="Y379" s="51" t="str">
        <f>IF(NOTA[[#This Row],[JUMLAH]]="","",(NOTA[[#This Row],[JUMLAH]]-NOTA[[#This Row],[DISC 1-]])*NOTA[[#This Row],[DISC 2]])</f>
        <v/>
      </c>
      <c r="Z379" s="51" t="str">
        <f>IF(NOTA[[#This Row],[JUMLAH]]="","",NOTA[[#This Row],[DISC 1-]]+NOTA[[#This Row],[DISC 2-]])</f>
        <v/>
      </c>
      <c r="AA379" s="51" t="str">
        <f>IF(NOTA[[#This Row],[JUMLAH]]="","",NOTA[[#This Row],[JUMLAH]]-NOTA[[#This Row],[DISC]])</f>
        <v/>
      </c>
      <c r="AB379" s="51"/>
      <c r="AC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1" t="str">
        <f>IF(OR(NOTA[[#This Row],[QTY]]="",NOTA[[#This Row],[HARGA SATUAN]]="",),"",NOTA[[#This Row],[QTY]]*NOTA[[#This Row],[HARGA SATUAN]])</f>
        <v/>
      </c>
      <c r="AG379" s="40" t="str">
        <f ca="1">IF(NOTA[ID_H]="","",INDEX(NOTA[TANGGAL],MATCH(,INDIRECT(ADDRESS(ROW(NOTA[TANGGAL]),COLUMN(NOTA[TANGGAL]))&amp;":"&amp;ADDRESS(ROW(),COLUMN(NOTA[TANGGAL]))),-1)))</f>
        <v/>
      </c>
      <c r="AH379" s="42" t="str">
        <f ca="1">IF(NOTA[[#This Row],[NAMA BARANG]]="","",INDEX(NOTA[SUPPLIER],MATCH(,INDIRECT(ADDRESS(ROW(NOTA[ID]),COLUMN(NOTA[ID]))&amp;":"&amp;ADDRESS(ROW(),COLUMN(NOTA[ID]))),-1)))</f>
        <v/>
      </c>
      <c r="AI379" s="42" t="str">
        <f ca="1">IF(NOTA[[#This Row],[ID_H]]="","",IF(NOTA[[#This Row],[FAKTUR]]="",INDIRECT(ADDRESS(ROW()-1,COLUMN())),NOTA[[#This Row],[FAKTUR]]))</f>
        <v/>
      </c>
      <c r="AJ379" s="39" t="str">
        <f ca="1">IF(NOTA[[#This Row],[ID]]="","",COUNTIF(NOTA[ID_H],NOTA[[#This Row],[ID_H]]))</f>
        <v/>
      </c>
      <c r="AK379" s="39" t="str">
        <f ca="1">IF(NOTA[[#This Row],[TGL.NOTA]]="",IF(NOTA[[#This Row],[SUPPLIER_H]]="","",AK378),MONTH(NOTA[[#This Row],[TGL.NOTA]]))</f>
        <v/>
      </c>
      <c r="AL379" s="39" t="str">
        <f>LOWER(SUBSTITUTE(SUBSTITUTE(SUBSTITUTE(SUBSTITUTE(SUBSTITUTE(SUBSTITUTE(SUBSTITUTE(SUBSTITUTE(SUBSTITUTE(NOTA[NAMA BARANG]," ",),".",""),"-",""),"(",""),")",""),",",""),"/",""),"""",""),"+",""))</f>
        <v/>
      </c>
      <c r="AM3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9" t="str">
        <f>IF(NOTA[[#This Row],[CONCAT4]]="","",_xlfn.IFNA(MATCH(NOTA[[#This Row],[CONCAT4]],[2]!RAW[CONCAT_H],0),FALSE))</f>
        <v/>
      </c>
      <c r="AQ379" s="39" t="str">
        <f>IF(NOTA[[#This Row],[CONCAT1]]="","",MATCH(NOTA[[#This Row],[CONCAT1]],[3]!db[NB NOTA_C],0))</f>
        <v/>
      </c>
      <c r="AR379" s="39" t="str">
        <f>IF(NOTA[[#This Row],[QTY/ CTN]]="","",TRUE)</f>
        <v/>
      </c>
      <c r="AS379" s="39" t="str">
        <f ca="1">IF(NOTA[[#This Row],[ID_H]]="","",IF(NOTA[[#This Row],[Column3]]=TRUE,NOTA[[#This Row],[QTY/ CTN]],INDEX([3]!db[QTY/ CTN],NOTA[[#This Row],[//DB]])))</f>
        <v/>
      </c>
      <c r="AT3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9" t="str">
        <f ca="1">IF(NOTA[[#This Row],[ID_H]]="","",MATCH(NOTA[[#This Row],[NB NOTA_C_QTY]],[4]!db[NB NOTA_C_QTY+F],0))</f>
        <v/>
      </c>
      <c r="AV379" s="55" t="str">
        <f ca="1">IF(NOTA[[#This Row],[NB NOTA_C_QTY]]="","",ROW()-2)</f>
        <v/>
      </c>
    </row>
    <row r="380" spans="1:48" ht="20.100000000000001" customHeight="1" x14ac:dyDescent="0.25">
      <c r="A380" s="42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ATA_1407_735-2</v>
      </c>
      <c r="C380" s="39" t="e">
        <f ca="1">IF(NOTA[[#This Row],[ID_P]]="","",MATCH(NOTA[[#This Row],[ID_P]],[1]!B_MSK[N_ID],0))</f>
        <v>#REF!</v>
      </c>
      <c r="D380" s="39">
        <f ca="1">IF(NOTA[[#This Row],[NAMA BARANG]]="","",INDEX(NOTA[ID],MATCH(,INDIRECT(ADDRESS(ROW(NOTA[ID]),COLUMN(NOTA[ID]))&amp;":"&amp;ADDRESS(ROW(),COLUMN(NOTA[ID]))),-1)))</f>
        <v>75</v>
      </c>
      <c r="E380" s="47"/>
      <c r="F380" s="38" t="s">
        <v>24</v>
      </c>
      <c r="G380" s="38" t="s">
        <v>23</v>
      </c>
      <c r="H380" s="48" t="s">
        <v>459</v>
      </c>
      <c r="J380" s="40">
        <v>45117</v>
      </c>
      <c r="L380" s="38" t="s">
        <v>460</v>
      </c>
      <c r="M380" s="41">
        <v>5</v>
      </c>
      <c r="N380" s="39">
        <v>180</v>
      </c>
      <c r="O380" s="38" t="s">
        <v>152</v>
      </c>
      <c r="P380" s="42">
        <v>41400</v>
      </c>
      <c r="Q380" s="43"/>
      <c r="R380" s="49"/>
      <c r="S380" s="50">
        <v>0.125</v>
      </c>
      <c r="T380" s="45">
        <v>0.05</v>
      </c>
      <c r="U380" s="51"/>
      <c r="V380" s="46"/>
      <c r="W380" s="51">
        <f>IF(NOTA[[#This Row],[HARGA/ CTN]]="",NOTA[[#This Row],[JUMLAH_H]],NOTA[[#This Row],[HARGA/ CTN]]*IF(NOTA[[#This Row],[C]]="",0,NOTA[[#This Row],[C]]))</f>
        <v>7452000</v>
      </c>
      <c r="X380" s="51">
        <f>IF(NOTA[[#This Row],[JUMLAH]]="","",NOTA[[#This Row],[JUMLAH]]*NOTA[[#This Row],[DISC 1]])</f>
        <v>931500</v>
      </c>
      <c r="Y380" s="51">
        <f>IF(NOTA[[#This Row],[JUMLAH]]="","",(NOTA[[#This Row],[JUMLAH]]-NOTA[[#This Row],[DISC 1-]])*NOTA[[#This Row],[DISC 2]])</f>
        <v>326025</v>
      </c>
      <c r="Z380" s="51">
        <f>IF(NOTA[[#This Row],[JUMLAH]]="","",NOTA[[#This Row],[DISC 1-]]+NOTA[[#This Row],[DISC 2-]])</f>
        <v>1257525</v>
      </c>
      <c r="AA380" s="51">
        <f>IF(NOTA[[#This Row],[JUMLAH]]="","",NOTA[[#This Row],[JUMLAH]]-NOTA[[#This Row],[DISC]])</f>
        <v>6194475</v>
      </c>
      <c r="AB380" s="51"/>
      <c r="AC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380" s="51">
        <f>IF(OR(NOTA[[#This Row],[QTY]]="",NOTA[[#This Row],[HARGA SATUAN]]="",),"",NOTA[[#This Row],[QTY]]*NOTA[[#This Row],[HARGA SATUAN]])</f>
        <v>7452000</v>
      </c>
      <c r="AG380" s="40">
        <f ca="1">IF(NOTA[ID_H]="","",INDEX(NOTA[TANGGAL],MATCH(,INDIRECT(ADDRESS(ROW(NOTA[TANGGAL]),COLUMN(NOTA[TANGGAL]))&amp;":"&amp;ADDRESS(ROW(),COLUMN(NOTA[TANGGAL]))),-1)))</f>
        <v>45121</v>
      </c>
      <c r="AH380" s="42" t="str">
        <f ca="1">IF(NOTA[[#This Row],[NAMA BARANG]]="","",INDEX(NOTA[SUPPLIER],MATCH(,INDIRECT(ADDRESS(ROW(NOTA[ID]),COLUMN(NOTA[ID]))&amp;":"&amp;ADDRESS(ROW(),COLUMN(NOTA[ID]))),-1)))</f>
        <v>ATALI MAKMUR</v>
      </c>
      <c r="AI380" s="42" t="str">
        <f ca="1">IF(NOTA[[#This Row],[ID_H]]="","",IF(NOTA[[#This Row],[FAKTUR]]="",INDIRECT(ADDRESS(ROW()-1,COLUMN())),NOTA[[#This Row],[FAKTUR]]))</f>
        <v>ARTO MORO</v>
      </c>
      <c r="AJ380" s="39">
        <f ca="1">IF(NOTA[[#This Row],[ID]]="","",COUNTIF(NOTA[ID_H],NOTA[[#This Row],[ID_H]]))</f>
        <v>2</v>
      </c>
      <c r="AK380" s="39">
        <f>IF(NOTA[[#This Row],[TGL.NOTA]]="",IF(NOTA[[#This Row],[SUPPLIER_H]]="","",AK379),MONTH(NOTA[[#This Row],[TGL.NOTA]]))</f>
        <v>7</v>
      </c>
      <c r="AL380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3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3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3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MOROSA23071173545117correctionfluidcfs209jk</v>
      </c>
      <c r="AP380" s="39" t="e">
        <f>IF(NOTA[[#This Row],[CONCAT4]]="","",_xlfn.IFNA(MATCH(NOTA[[#This Row],[CONCAT4]],[2]!RAW[CONCAT_H],0),FALSE))</f>
        <v>#REF!</v>
      </c>
      <c r="AQ380" s="39">
        <f>IF(NOTA[[#This Row],[CONCAT1]]="","",MATCH(NOTA[[#This Row],[CONCAT1]],[3]!db[NB NOTA_C],0))</f>
        <v>2616</v>
      </c>
      <c r="AR380" s="39" t="str">
        <f>IF(NOTA[[#This Row],[QTY/ CTN]]="","",TRUE)</f>
        <v/>
      </c>
      <c r="AS380" s="39" t="str">
        <f ca="1">IF(NOTA[[#This Row],[ID_H]]="","",IF(NOTA[[#This Row],[Column3]]=TRUE,NOTA[[#This Row],[QTY/ CTN]],INDEX([3]!db[QTY/ CTN],NOTA[[#This Row],[//DB]])))</f>
        <v>36 LSN</v>
      </c>
      <c r="AT3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380" s="39" t="e">
        <f ca="1">IF(NOTA[[#This Row],[ID_H]]="","",MATCH(NOTA[[#This Row],[NB NOTA_C_QTY]],[4]!db[NB NOTA_C_QTY+F],0))</f>
        <v>#REF!</v>
      </c>
      <c r="AV380" s="55">
        <f ca="1">IF(NOTA[[#This Row],[NB NOTA_C_QTY]]="","",ROW()-2)</f>
        <v>378</v>
      </c>
    </row>
    <row r="381" spans="1:48" ht="20.100000000000001" customHeight="1" x14ac:dyDescent="0.25">
      <c r="A3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75</v>
      </c>
      <c r="E381" s="47"/>
      <c r="H381" s="48"/>
      <c r="L381" s="38" t="s">
        <v>461</v>
      </c>
      <c r="M381" s="41">
        <v>5</v>
      </c>
      <c r="N381" s="39">
        <v>180</v>
      </c>
      <c r="O381" s="38" t="s">
        <v>152</v>
      </c>
      <c r="P381" s="42">
        <v>43200</v>
      </c>
      <c r="Q381" s="43"/>
      <c r="R381" s="49"/>
      <c r="S381" s="50">
        <v>0.125</v>
      </c>
      <c r="T381" s="45">
        <v>0.05</v>
      </c>
      <c r="U381" s="51"/>
      <c r="V381" s="46"/>
      <c r="W381" s="51">
        <f>IF(NOTA[[#This Row],[HARGA/ CTN]]="",NOTA[[#This Row],[JUMLAH_H]],NOTA[[#This Row],[HARGA/ CTN]]*IF(NOTA[[#This Row],[C]]="",0,NOTA[[#This Row],[C]]))</f>
        <v>7776000</v>
      </c>
      <c r="X381" s="51">
        <f>IF(NOTA[[#This Row],[JUMLAH]]="","",NOTA[[#This Row],[JUMLAH]]*NOTA[[#This Row],[DISC 1]])</f>
        <v>972000</v>
      </c>
      <c r="Y381" s="51">
        <f>IF(NOTA[[#This Row],[JUMLAH]]="","",(NOTA[[#This Row],[JUMLAH]]-NOTA[[#This Row],[DISC 1-]])*NOTA[[#This Row],[DISC 2]])</f>
        <v>340200</v>
      </c>
      <c r="Z381" s="51">
        <f>IF(NOTA[[#This Row],[JUMLAH]]="","",NOTA[[#This Row],[DISC 1-]]+NOTA[[#This Row],[DISC 2-]])</f>
        <v>1312200</v>
      </c>
      <c r="AA381" s="51">
        <f>IF(NOTA[[#This Row],[JUMLAH]]="","",NOTA[[#This Row],[JUMLAH]]-NOTA[[#This Row],[DISC]])</f>
        <v>6463800</v>
      </c>
      <c r="AB381" s="51"/>
      <c r="AC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2569725</v>
      </c>
      <c r="AD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12658275</v>
      </c>
      <c r="AE381" s="4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381" s="51">
        <f>IF(OR(NOTA[[#This Row],[QTY]]="",NOTA[[#This Row],[HARGA SATUAN]]="",),"",NOTA[[#This Row],[QTY]]*NOTA[[#This Row],[HARGA SATUAN]])</f>
        <v>7776000</v>
      </c>
      <c r="AG381" s="40">
        <f ca="1">IF(NOTA[ID_H]="","",INDEX(NOTA[TANGGAL],MATCH(,INDIRECT(ADDRESS(ROW(NOTA[TANGGAL]),COLUMN(NOTA[TANGGAL]))&amp;":"&amp;ADDRESS(ROW(),COLUMN(NOTA[TANGGAL]))),-1)))</f>
        <v>45121</v>
      </c>
      <c r="AH381" s="42" t="str">
        <f ca="1">IF(NOTA[[#This Row],[NAMA BARANG]]="","",INDEX(NOTA[SUPPLIER],MATCH(,INDIRECT(ADDRESS(ROW(NOTA[ID]),COLUMN(NOTA[ID]))&amp;":"&amp;ADDRESS(ROW(),COLUMN(NOTA[ID]))),-1)))</f>
        <v>ATALI MAKMUR</v>
      </c>
      <c r="AI381" s="42" t="str">
        <f ca="1">IF(NOTA[[#This Row],[ID_H]]="","",IF(NOTA[[#This Row],[FAKTUR]]="",INDIRECT(ADDRESS(ROW()-1,COLUMN())),NOTA[[#This Row],[FAKTUR]]))</f>
        <v>ARTO MORO</v>
      </c>
      <c r="AJ381" s="39" t="str">
        <f ca="1">IF(NOTA[[#This Row],[ID]]="","",COUNTIF(NOTA[ID_H],NOTA[[#This Row],[ID_H]]))</f>
        <v/>
      </c>
      <c r="AK381" s="39">
        <f ca="1">IF(NOTA[[#This Row],[TGL.NOTA]]="",IF(NOTA[[#This Row],[SUPPLIER_H]]="","",AK380),MONTH(NOTA[[#This Row],[TGL.NOTA]]))</f>
        <v>7</v>
      </c>
      <c r="AL381" s="39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3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3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3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9" t="str">
        <f>IF(NOTA[[#This Row],[CONCAT4]]="","",_xlfn.IFNA(MATCH(NOTA[[#This Row],[CONCAT4]],[2]!RAW[CONCAT_H],0),FALSE))</f>
        <v/>
      </c>
      <c r="AQ381" s="39">
        <f>IF(NOTA[[#This Row],[CONCAT1]]="","",MATCH(NOTA[[#This Row],[CONCAT1]],[3]!db[NB NOTA_C],0))</f>
        <v>2618</v>
      </c>
      <c r="AR381" s="39" t="str">
        <f>IF(NOTA[[#This Row],[QTY/ CTN]]="","",TRUE)</f>
        <v/>
      </c>
      <c r="AS381" s="39" t="str">
        <f ca="1">IF(NOTA[[#This Row],[ID_H]]="","",IF(NOTA[[#This Row],[Column3]]=TRUE,NOTA[[#This Row],[QTY/ CTN]],INDEX([3]!db[QTY/ CTN],NOTA[[#This Row],[//DB]])))</f>
        <v>36 LSN</v>
      </c>
      <c r="AT3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correctionfluidcfs210jk36lsnartomoro</v>
      </c>
      <c r="AU381" s="39" t="e">
        <f ca="1">IF(NOTA[[#This Row],[ID_H]]="","",MATCH(NOTA[[#This Row],[NB NOTA_C_QTY]],[4]!db[NB NOTA_C_QTY+F],0))</f>
        <v>#REF!</v>
      </c>
      <c r="AV381" s="55">
        <f ca="1">IF(NOTA[[#This Row],[NB NOTA_C_QTY]]="","",ROW()-2)</f>
        <v>379</v>
      </c>
    </row>
    <row r="382" spans="1:48" ht="20.100000000000001" customHeight="1" x14ac:dyDescent="0.25">
      <c r="A3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47"/>
      <c r="H382" s="48"/>
      <c r="N382" s="39"/>
      <c r="Q382" s="43"/>
      <c r="R382" s="49"/>
      <c r="S382" s="50"/>
      <c r="U382" s="51"/>
      <c r="V382" s="46"/>
      <c r="W382" s="51" t="str">
        <f>IF(NOTA[[#This Row],[HARGA/ CTN]]="",NOTA[[#This Row],[JUMLAH_H]],NOTA[[#This Row],[HARGA/ CTN]]*IF(NOTA[[#This Row],[C]]="",0,NOTA[[#This Row],[C]]))</f>
        <v/>
      </c>
      <c r="X382" s="51" t="str">
        <f>IF(NOTA[[#This Row],[JUMLAH]]="","",NOTA[[#This Row],[JUMLAH]]*NOTA[[#This Row],[DISC 1]])</f>
        <v/>
      </c>
      <c r="Y382" s="51" t="str">
        <f>IF(NOTA[[#This Row],[JUMLAH]]="","",(NOTA[[#This Row],[JUMLAH]]-NOTA[[#This Row],[DISC 1-]])*NOTA[[#This Row],[DISC 2]])</f>
        <v/>
      </c>
      <c r="Z382" s="51" t="str">
        <f>IF(NOTA[[#This Row],[JUMLAH]]="","",NOTA[[#This Row],[DISC 1-]]+NOTA[[#This Row],[DISC 2-]])</f>
        <v/>
      </c>
      <c r="AA382" s="51" t="str">
        <f>IF(NOTA[[#This Row],[JUMLAH]]="","",NOTA[[#This Row],[JUMLAH]]-NOTA[[#This Row],[DISC]])</f>
        <v/>
      </c>
      <c r="AB382" s="51"/>
      <c r="AC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1" t="str">
        <f>IF(OR(NOTA[[#This Row],[QTY]]="",NOTA[[#This Row],[HARGA SATUAN]]="",),"",NOTA[[#This Row],[QTY]]*NOTA[[#This Row],[HARGA SATUAN]])</f>
        <v/>
      </c>
      <c r="AG382" s="40" t="str">
        <f ca="1">IF(NOTA[ID_H]="","",INDEX(NOTA[TANGGAL],MATCH(,INDIRECT(ADDRESS(ROW(NOTA[TANGGAL]),COLUMN(NOTA[TANGGAL]))&amp;":"&amp;ADDRESS(ROW(),COLUMN(NOTA[TANGGAL]))),-1)))</f>
        <v/>
      </c>
      <c r="AH382" s="42" t="str">
        <f ca="1">IF(NOTA[[#This Row],[NAMA BARANG]]="","",INDEX(NOTA[SUPPLIER],MATCH(,INDIRECT(ADDRESS(ROW(NOTA[ID]),COLUMN(NOTA[ID]))&amp;":"&amp;ADDRESS(ROW(),COLUMN(NOTA[ID]))),-1)))</f>
        <v/>
      </c>
      <c r="AI382" s="42" t="str">
        <f ca="1">IF(NOTA[[#This Row],[ID_H]]="","",IF(NOTA[[#This Row],[FAKTUR]]="",INDIRECT(ADDRESS(ROW()-1,COLUMN())),NOTA[[#This Row],[FAKTUR]]))</f>
        <v/>
      </c>
      <c r="AJ382" s="39" t="str">
        <f ca="1">IF(NOTA[[#This Row],[ID]]="","",COUNTIF(NOTA[ID_H],NOTA[[#This Row],[ID_H]]))</f>
        <v/>
      </c>
      <c r="AK382" s="39" t="str">
        <f ca="1">IF(NOTA[[#This Row],[TGL.NOTA]]="",IF(NOTA[[#This Row],[SUPPLIER_H]]="","",AK381),MONTH(NOTA[[#This Row],[TGL.NOTA]]))</f>
        <v/>
      </c>
      <c r="AL382" s="39" t="str">
        <f>LOWER(SUBSTITUTE(SUBSTITUTE(SUBSTITUTE(SUBSTITUTE(SUBSTITUTE(SUBSTITUTE(SUBSTITUTE(SUBSTITUTE(SUBSTITUTE(NOTA[NAMA BARANG]," ",),".",""),"-",""),"(",""),")",""),",",""),"/",""),"""",""),"+",""))</f>
        <v/>
      </c>
      <c r="AM3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9" t="str">
        <f>IF(NOTA[[#This Row],[CONCAT4]]="","",_xlfn.IFNA(MATCH(NOTA[[#This Row],[CONCAT4]],[2]!RAW[CONCAT_H],0),FALSE))</f>
        <v/>
      </c>
      <c r="AQ382" s="39" t="str">
        <f>IF(NOTA[[#This Row],[CONCAT1]]="","",MATCH(NOTA[[#This Row],[CONCAT1]],[3]!db[NB NOTA_C],0))</f>
        <v/>
      </c>
      <c r="AR382" s="39" t="str">
        <f>IF(NOTA[[#This Row],[QTY/ CTN]]="","",TRUE)</f>
        <v/>
      </c>
      <c r="AS382" s="39" t="str">
        <f ca="1">IF(NOTA[[#This Row],[ID_H]]="","",IF(NOTA[[#This Row],[Column3]]=TRUE,NOTA[[#This Row],[QTY/ CTN]],INDEX([3]!db[QTY/ CTN],NOTA[[#This Row],[//DB]])))</f>
        <v/>
      </c>
      <c r="AT3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9" t="str">
        <f ca="1">IF(NOTA[[#This Row],[ID_H]]="","",MATCH(NOTA[[#This Row],[NB NOTA_C_QTY]],[4]!db[NB NOTA_C_QTY+F],0))</f>
        <v/>
      </c>
      <c r="AV382" s="55" t="str">
        <f ca="1">IF(NOTA[[#This Row],[NB NOTA_C_QTY]]="","",ROW()-2)</f>
        <v/>
      </c>
    </row>
    <row r="383" spans="1:48" ht="20.100000000000001" customHeight="1" x14ac:dyDescent="0.25">
      <c r="A383" s="42">
        <f ca="1">IF(INDIRECT(ADDRESS(ROW()-1,COLUMN(NOTA[[#Headers],[ID]])))="ID",1,IF(NOTA[[#This Row],[FAKTUR]]="","",COUNT(INDIRECT(ADDRESS(ROW(NOTA[ID]),COLUMN(NOTA[ID]))&amp;":"&amp;ADDRESS(ROW()-1,COLUMN(NOTA[ID]))))+1))</f>
        <v>76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ATA_1407_783-5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76</v>
      </c>
      <c r="E383" s="47"/>
      <c r="F383" s="38" t="s">
        <v>24</v>
      </c>
      <c r="G383" s="38" t="s">
        <v>23</v>
      </c>
      <c r="H383" s="48" t="s">
        <v>462</v>
      </c>
      <c r="J383" s="40">
        <v>45117</v>
      </c>
      <c r="L383" s="38" t="s">
        <v>463</v>
      </c>
      <c r="M383" s="41">
        <v>1</v>
      </c>
      <c r="N383" s="39">
        <v>576</v>
      </c>
      <c r="O383" s="38" t="s">
        <v>117</v>
      </c>
      <c r="P383" s="42">
        <v>3300</v>
      </c>
      <c r="Q383" s="43"/>
      <c r="R383" s="49"/>
      <c r="S383" s="50">
        <v>0.125</v>
      </c>
      <c r="T383" s="45">
        <v>0.05</v>
      </c>
      <c r="U383" s="51"/>
      <c r="V383" s="46"/>
      <c r="W383" s="51">
        <f>IF(NOTA[[#This Row],[HARGA/ CTN]]="",NOTA[[#This Row],[JUMLAH_H]],NOTA[[#This Row],[HARGA/ CTN]]*IF(NOTA[[#This Row],[C]]="",0,NOTA[[#This Row],[C]]))</f>
        <v>1900800</v>
      </c>
      <c r="X383" s="51">
        <f>IF(NOTA[[#This Row],[JUMLAH]]="","",NOTA[[#This Row],[JUMLAH]]*NOTA[[#This Row],[DISC 1]])</f>
        <v>237600</v>
      </c>
      <c r="Y383" s="51">
        <f>IF(NOTA[[#This Row],[JUMLAH]]="","",(NOTA[[#This Row],[JUMLAH]]-NOTA[[#This Row],[DISC 1-]])*NOTA[[#This Row],[DISC 2]])</f>
        <v>83160</v>
      </c>
      <c r="Z383" s="51">
        <f>IF(NOTA[[#This Row],[JUMLAH]]="","",NOTA[[#This Row],[DISC 1-]]+NOTA[[#This Row],[DISC 2-]])</f>
        <v>320760</v>
      </c>
      <c r="AA383" s="51">
        <f>IF(NOTA[[#This Row],[JUMLAH]]="","",NOTA[[#This Row],[JUMLAH]]-NOTA[[#This Row],[DISC]])</f>
        <v>1580040</v>
      </c>
      <c r="AB383" s="51"/>
      <c r="AC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83" s="51">
        <f>IF(OR(NOTA[[#This Row],[QTY]]="",NOTA[[#This Row],[HARGA SATUAN]]="",),"",NOTA[[#This Row],[QTY]]*NOTA[[#This Row],[HARGA SATUAN]])</f>
        <v>1900800</v>
      </c>
      <c r="AG383" s="40">
        <f ca="1">IF(NOTA[ID_H]="","",INDEX(NOTA[TANGGAL],MATCH(,INDIRECT(ADDRESS(ROW(NOTA[TANGGAL]),COLUMN(NOTA[TANGGAL]))&amp;":"&amp;ADDRESS(ROW(),COLUMN(NOTA[TANGGAL]))),-1)))</f>
        <v>45121</v>
      </c>
      <c r="AH383" s="42" t="str">
        <f ca="1">IF(NOTA[[#This Row],[NAMA BARANG]]="","",INDEX(NOTA[SUPPLIER],MATCH(,INDIRECT(ADDRESS(ROW(NOTA[ID]),COLUMN(NOTA[ID]))&amp;":"&amp;ADDRESS(ROW(),COLUMN(NOTA[ID]))),-1)))</f>
        <v>ATALI MAKMUR</v>
      </c>
      <c r="AI383" s="42" t="str">
        <f ca="1">IF(NOTA[[#This Row],[ID_H]]="","",IF(NOTA[[#This Row],[FAKTUR]]="",INDIRECT(ADDRESS(ROW()-1,COLUMN())),NOTA[[#This Row],[FAKTUR]]))</f>
        <v>ARTO MORO</v>
      </c>
      <c r="AJ383" s="39">
        <f ca="1">IF(NOTA[[#This Row],[ID]]="","",COUNTIF(NOTA[ID_H],NOTA[[#This Row],[ID_H]]))</f>
        <v>5</v>
      </c>
      <c r="AK383" s="39">
        <f>IF(NOTA[[#This Row],[TGL.NOTA]]="",IF(NOTA[[#This Row],[SUPPLIER_H]]="","",AK382),MONTH(NOTA[[#This Row],[TGL.NOTA]]))</f>
        <v>7</v>
      </c>
      <c r="AL383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8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MOROSA23071178345117gluestickgs10215gramjk</v>
      </c>
      <c r="AP383" s="39" t="e">
        <f>IF(NOTA[[#This Row],[CONCAT4]]="","",_xlfn.IFNA(MATCH(NOTA[[#This Row],[CONCAT4]],[2]!RAW[CONCAT_H],0),FALSE))</f>
        <v>#REF!</v>
      </c>
      <c r="AQ383" s="39">
        <f>IF(NOTA[[#This Row],[CONCAT1]]="","",MATCH(NOTA[[#This Row],[CONCAT1]],[3]!db[NB NOTA_C],0))</f>
        <v>1500</v>
      </c>
      <c r="AR383" s="39" t="str">
        <f>IF(NOTA[[#This Row],[QTY/ CTN]]="","",TRUE)</f>
        <v/>
      </c>
      <c r="AS383" s="39" t="str">
        <f ca="1">IF(NOTA[[#This Row],[ID_H]]="","",IF(NOTA[[#This Row],[Column3]]=TRUE,NOTA[[#This Row],[QTY/ CTN]],INDEX([3]!db[QTY/ CTN],NOTA[[#This Row],[//DB]])))</f>
        <v>24 BOX (24 PCS)</v>
      </c>
      <c r="AT3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83" s="39" t="e">
        <f ca="1">IF(NOTA[[#This Row],[ID_H]]="","",MATCH(NOTA[[#This Row],[NB NOTA_C_QTY]],[4]!db[NB NOTA_C_QTY+F],0))</f>
        <v>#REF!</v>
      </c>
      <c r="AV383" s="55">
        <f ca="1">IF(NOTA[[#This Row],[NB NOTA_C_QTY]]="","",ROW()-2)</f>
        <v>381</v>
      </c>
    </row>
    <row r="384" spans="1:48" ht="20.100000000000001" customHeight="1" x14ac:dyDescent="0.25">
      <c r="A3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76</v>
      </c>
      <c r="E384" s="47"/>
      <c r="H384" s="48"/>
      <c r="L384" s="38" t="s">
        <v>103</v>
      </c>
      <c r="M384" s="41">
        <v>1</v>
      </c>
      <c r="N384" s="39">
        <v>864</v>
      </c>
      <c r="O384" s="38" t="s">
        <v>117</v>
      </c>
      <c r="P384" s="42">
        <v>2300</v>
      </c>
      <c r="Q384" s="43"/>
      <c r="R384" s="49"/>
      <c r="S384" s="50">
        <v>0.125</v>
      </c>
      <c r="T384" s="45">
        <v>0.05</v>
      </c>
      <c r="U384" s="51"/>
      <c r="V384" s="46"/>
      <c r="W384" s="51">
        <f>IF(NOTA[[#This Row],[HARGA/ CTN]]="",NOTA[[#This Row],[JUMLAH_H]],NOTA[[#This Row],[HARGA/ CTN]]*IF(NOTA[[#This Row],[C]]="",0,NOTA[[#This Row],[C]]))</f>
        <v>1987200</v>
      </c>
      <c r="X384" s="51">
        <f>IF(NOTA[[#This Row],[JUMLAH]]="","",NOTA[[#This Row],[JUMLAH]]*NOTA[[#This Row],[DISC 1]])</f>
        <v>248400</v>
      </c>
      <c r="Y384" s="51">
        <f>IF(NOTA[[#This Row],[JUMLAH]]="","",(NOTA[[#This Row],[JUMLAH]]-NOTA[[#This Row],[DISC 1-]])*NOTA[[#This Row],[DISC 2]])</f>
        <v>86940</v>
      </c>
      <c r="Z384" s="51">
        <f>IF(NOTA[[#This Row],[JUMLAH]]="","",NOTA[[#This Row],[DISC 1-]]+NOTA[[#This Row],[DISC 2-]])</f>
        <v>335340</v>
      </c>
      <c r="AA384" s="51">
        <f>IF(NOTA[[#This Row],[JUMLAH]]="","",NOTA[[#This Row],[JUMLAH]]-NOTA[[#This Row],[DISC]])</f>
        <v>1651860</v>
      </c>
      <c r="AB384" s="51"/>
      <c r="AC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4" s="51">
        <f>IF(OR(NOTA[[#This Row],[QTY]]="",NOTA[[#This Row],[HARGA SATUAN]]="",),"",NOTA[[#This Row],[QTY]]*NOTA[[#This Row],[HARGA SATUAN]])</f>
        <v>1987200</v>
      </c>
      <c r="AG384" s="40">
        <f ca="1">IF(NOTA[ID_H]="","",INDEX(NOTA[TANGGAL],MATCH(,INDIRECT(ADDRESS(ROW(NOTA[TANGGAL]),COLUMN(NOTA[TANGGAL]))&amp;":"&amp;ADDRESS(ROW(),COLUMN(NOTA[TANGGAL]))),-1)))</f>
        <v>45121</v>
      </c>
      <c r="AH384" s="42" t="str">
        <f ca="1">IF(NOTA[[#This Row],[NAMA BARANG]]="","",INDEX(NOTA[SUPPLIER],MATCH(,INDIRECT(ADDRESS(ROW(NOTA[ID]),COLUMN(NOTA[ID]))&amp;":"&amp;ADDRESS(ROW(),COLUMN(NOTA[ID]))),-1)))</f>
        <v>ATALI MAKMUR</v>
      </c>
      <c r="AI384" s="42" t="str">
        <f ca="1">IF(NOTA[[#This Row],[ID_H]]="","",IF(NOTA[[#This Row],[FAKTUR]]="",INDIRECT(ADDRESS(ROW()-1,COLUMN())),NOTA[[#This Row],[FAKTUR]]))</f>
        <v>ARTO MORO</v>
      </c>
      <c r="AJ384" s="39" t="str">
        <f ca="1">IF(NOTA[[#This Row],[ID]]="","",COUNTIF(NOTA[ID_H],NOTA[[#This Row],[ID_H]]))</f>
        <v/>
      </c>
      <c r="AK384" s="39">
        <f ca="1">IF(NOTA[[#This Row],[TGL.NOTA]]="",IF(NOTA[[#This Row],[SUPPLIER_H]]="","",AK383),MONTH(NOTA[[#This Row],[TGL.NOTA]]))</f>
        <v>7</v>
      </c>
      <c r="AL384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9" t="str">
        <f>IF(NOTA[[#This Row],[CONCAT4]]="","",_xlfn.IFNA(MATCH(NOTA[[#This Row],[CONCAT4]],[2]!RAW[CONCAT_H],0),FALSE))</f>
        <v/>
      </c>
      <c r="AQ384" s="39">
        <f>IF(NOTA[[#This Row],[CONCAT1]]="","",MATCH(NOTA[[#This Row],[CONCAT1]],[3]!db[NB NOTA_C],0))</f>
        <v>1501</v>
      </c>
      <c r="AR384" s="39" t="str">
        <f>IF(NOTA[[#This Row],[QTY/ CTN]]="","",TRUE)</f>
        <v/>
      </c>
      <c r="AS384" s="39" t="str">
        <f ca="1">IF(NOTA[[#This Row],[ID_H]]="","",IF(NOTA[[#This Row],[Column3]]=TRUE,NOTA[[#This Row],[QTY/ CTN]],INDEX([3]!db[QTY/ CTN],NOTA[[#This Row],[//DB]])))</f>
        <v>36 BOX (24 PCS)</v>
      </c>
      <c r="AT3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84" s="39" t="e">
        <f ca="1">IF(NOTA[[#This Row],[ID_H]]="","",MATCH(NOTA[[#This Row],[NB NOTA_C_QTY]],[4]!db[NB NOTA_C_QTY+F],0))</f>
        <v>#REF!</v>
      </c>
      <c r="AV384" s="55">
        <f ca="1">IF(NOTA[[#This Row],[NB NOTA_C_QTY]]="","",ROW()-2)</f>
        <v>382</v>
      </c>
    </row>
    <row r="385" spans="1:48" ht="20.100000000000001" customHeight="1" x14ac:dyDescent="0.25">
      <c r="A3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76</v>
      </c>
      <c r="E385" s="47"/>
      <c r="H385" s="48"/>
      <c r="L385" s="38" t="s">
        <v>111</v>
      </c>
      <c r="M385" s="41">
        <v>5</v>
      </c>
      <c r="N385" s="39">
        <v>720</v>
      </c>
      <c r="O385" s="38" t="s">
        <v>117</v>
      </c>
      <c r="P385" s="42">
        <v>4350</v>
      </c>
      <c r="Q385" s="43"/>
      <c r="R385" s="49"/>
      <c r="S385" s="50">
        <v>0.125</v>
      </c>
      <c r="T385" s="45">
        <v>0.05</v>
      </c>
      <c r="U385" s="51"/>
      <c r="V385" s="46"/>
      <c r="W385" s="51">
        <f>IF(NOTA[[#This Row],[HARGA/ CTN]]="",NOTA[[#This Row],[JUMLAH_H]],NOTA[[#This Row],[HARGA/ CTN]]*IF(NOTA[[#This Row],[C]]="",0,NOTA[[#This Row],[C]]))</f>
        <v>3132000</v>
      </c>
      <c r="X385" s="51">
        <f>IF(NOTA[[#This Row],[JUMLAH]]="","",NOTA[[#This Row],[JUMLAH]]*NOTA[[#This Row],[DISC 1]])</f>
        <v>391500</v>
      </c>
      <c r="Y385" s="51">
        <f>IF(NOTA[[#This Row],[JUMLAH]]="","",(NOTA[[#This Row],[JUMLAH]]-NOTA[[#This Row],[DISC 1-]])*NOTA[[#This Row],[DISC 2]])</f>
        <v>137025</v>
      </c>
      <c r="Z385" s="51">
        <f>IF(NOTA[[#This Row],[JUMLAH]]="","",NOTA[[#This Row],[DISC 1-]]+NOTA[[#This Row],[DISC 2-]])</f>
        <v>528525</v>
      </c>
      <c r="AA385" s="51">
        <f>IF(NOTA[[#This Row],[JUMLAH]]="","",NOTA[[#This Row],[JUMLAH]]-NOTA[[#This Row],[DISC]])</f>
        <v>2603475</v>
      </c>
      <c r="AB385" s="51"/>
      <c r="AC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85" s="51">
        <f>IF(OR(NOTA[[#This Row],[QTY]]="",NOTA[[#This Row],[HARGA SATUAN]]="",),"",NOTA[[#This Row],[QTY]]*NOTA[[#This Row],[HARGA SATUAN]])</f>
        <v>3132000</v>
      </c>
      <c r="AG385" s="40">
        <f ca="1">IF(NOTA[ID_H]="","",INDEX(NOTA[TANGGAL],MATCH(,INDIRECT(ADDRESS(ROW(NOTA[TANGGAL]),COLUMN(NOTA[TANGGAL]))&amp;":"&amp;ADDRESS(ROW(),COLUMN(NOTA[TANGGAL]))),-1)))</f>
        <v>45121</v>
      </c>
      <c r="AH385" s="42" t="str">
        <f ca="1">IF(NOTA[[#This Row],[NAMA BARANG]]="","",INDEX(NOTA[SUPPLIER],MATCH(,INDIRECT(ADDRESS(ROW(NOTA[ID]),COLUMN(NOTA[ID]))&amp;":"&amp;ADDRESS(ROW(),COLUMN(NOTA[ID]))),-1)))</f>
        <v>ATALI MAKMUR</v>
      </c>
      <c r="AI385" s="42" t="str">
        <f ca="1">IF(NOTA[[#This Row],[ID_H]]="","",IF(NOTA[[#This Row],[FAKTUR]]="",INDIRECT(ADDRESS(ROW()-1,COLUMN())),NOTA[[#This Row],[FAKTUR]]))</f>
        <v>ARTO MORO</v>
      </c>
      <c r="AJ385" s="39" t="str">
        <f ca="1">IF(NOTA[[#This Row],[ID]]="","",COUNTIF(NOTA[ID_H],NOTA[[#This Row],[ID_H]]))</f>
        <v/>
      </c>
      <c r="AK385" s="39">
        <f ca="1">IF(NOTA[[#This Row],[TGL.NOTA]]="",IF(NOTA[[#This Row],[SUPPLIER_H]]="","",AK384),MONTH(NOTA[[#This Row],[TGL.NOTA]]))</f>
        <v>7</v>
      </c>
      <c r="AL385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3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9" t="str">
        <f>IF(NOTA[[#This Row],[CONCAT4]]="","",_xlfn.IFNA(MATCH(NOTA[[#This Row],[CONCAT4]],[2]!RAW[CONCAT_H],0),FALSE))</f>
        <v/>
      </c>
      <c r="AQ385" s="39">
        <f>IF(NOTA[[#This Row],[CONCAT1]]="","",MATCH(NOTA[[#This Row],[CONCAT1]],[3]!db[NB NOTA_C],0))</f>
        <v>1249</v>
      </c>
      <c r="AR385" s="39" t="str">
        <f>IF(NOTA[[#This Row],[QTY/ CTN]]="","",TRUE)</f>
        <v/>
      </c>
      <c r="AS385" s="39" t="str">
        <f ca="1">IF(NOTA[[#This Row],[ID_H]]="","",IF(NOTA[[#This Row],[Column3]]=TRUE,NOTA[[#This Row],[QTY/ CTN]],INDEX([3]!db[QTY/ CTN],NOTA[[#This Row],[//DB]])))</f>
        <v>12 LSN</v>
      </c>
      <c r="AT3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385" s="39" t="e">
        <f ca="1">IF(NOTA[[#This Row],[ID_H]]="","",MATCH(NOTA[[#This Row],[NB NOTA_C_QTY]],[4]!db[NB NOTA_C_QTY+F],0))</f>
        <v>#REF!</v>
      </c>
      <c r="AV385" s="55">
        <f ca="1">IF(NOTA[[#This Row],[NB NOTA_C_QTY]]="","",ROW()-2)</f>
        <v>383</v>
      </c>
    </row>
    <row r="386" spans="1:48" ht="20.100000000000001" customHeight="1" x14ac:dyDescent="0.25">
      <c r="A3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76</v>
      </c>
      <c r="E386" s="47"/>
      <c r="H386" s="48"/>
      <c r="L386" s="38" t="s">
        <v>113</v>
      </c>
      <c r="M386" s="41">
        <v>5</v>
      </c>
      <c r="N386" s="39">
        <v>720</v>
      </c>
      <c r="O386" s="38" t="s">
        <v>117</v>
      </c>
      <c r="P386" s="42">
        <v>6500</v>
      </c>
      <c r="Q386" s="43"/>
      <c r="R386" s="49"/>
      <c r="S386" s="50">
        <v>0.125</v>
      </c>
      <c r="T386" s="45">
        <v>0.05</v>
      </c>
      <c r="U386" s="51"/>
      <c r="V386" s="46"/>
      <c r="W386" s="51">
        <f>IF(NOTA[[#This Row],[HARGA/ CTN]]="",NOTA[[#This Row],[JUMLAH_H]],NOTA[[#This Row],[HARGA/ CTN]]*IF(NOTA[[#This Row],[C]]="",0,NOTA[[#This Row],[C]]))</f>
        <v>4680000</v>
      </c>
      <c r="X386" s="51">
        <f>IF(NOTA[[#This Row],[JUMLAH]]="","",NOTA[[#This Row],[JUMLAH]]*NOTA[[#This Row],[DISC 1]])</f>
        <v>585000</v>
      </c>
      <c r="Y386" s="51">
        <f>IF(NOTA[[#This Row],[JUMLAH]]="","",(NOTA[[#This Row],[JUMLAH]]-NOTA[[#This Row],[DISC 1-]])*NOTA[[#This Row],[DISC 2]])</f>
        <v>204750</v>
      </c>
      <c r="Z386" s="51">
        <f>IF(NOTA[[#This Row],[JUMLAH]]="","",NOTA[[#This Row],[DISC 1-]]+NOTA[[#This Row],[DISC 2-]])</f>
        <v>789750</v>
      </c>
      <c r="AA386" s="51">
        <f>IF(NOTA[[#This Row],[JUMLAH]]="","",NOTA[[#This Row],[JUMLAH]]-NOTA[[#This Row],[DISC]])</f>
        <v>3890250</v>
      </c>
      <c r="AB386" s="51"/>
      <c r="AC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86" s="51">
        <f>IF(OR(NOTA[[#This Row],[QTY]]="",NOTA[[#This Row],[HARGA SATUAN]]="",),"",NOTA[[#This Row],[QTY]]*NOTA[[#This Row],[HARGA SATUAN]])</f>
        <v>4680000</v>
      </c>
      <c r="AG386" s="40">
        <f ca="1">IF(NOTA[ID_H]="","",INDEX(NOTA[TANGGAL],MATCH(,INDIRECT(ADDRESS(ROW(NOTA[TANGGAL]),COLUMN(NOTA[TANGGAL]))&amp;":"&amp;ADDRESS(ROW(),COLUMN(NOTA[TANGGAL]))),-1)))</f>
        <v>45121</v>
      </c>
      <c r="AH386" s="42" t="str">
        <f ca="1">IF(NOTA[[#This Row],[NAMA BARANG]]="","",INDEX(NOTA[SUPPLIER],MATCH(,INDIRECT(ADDRESS(ROW(NOTA[ID]),COLUMN(NOTA[ID]))&amp;":"&amp;ADDRESS(ROW(),COLUMN(NOTA[ID]))),-1)))</f>
        <v>ATALI MAKMUR</v>
      </c>
      <c r="AI386" s="42" t="str">
        <f ca="1">IF(NOTA[[#This Row],[ID_H]]="","",IF(NOTA[[#This Row],[FAKTUR]]="",INDIRECT(ADDRESS(ROW()-1,COLUMN())),NOTA[[#This Row],[FAKTUR]]))</f>
        <v>ARTO MORO</v>
      </c>
      <c r="AJ386" s="39" t="str">
        <f ca="1">IF(NOTA[[#This Row],[ID]]="","",COUNTIF(NOTA[ID_H],NOTA[[#This Row],[ID_H]]))</f>
        <v/>
      </c>
      <c r="AK386" s="39">
        <f ca="1">IF(NOTA[[#This Row],[TGL.NOTA]]="",IF(NOTA[[#This Row],[SUPPLIER_H]]="","",AK385),MONTH(NOTA[[#This Row],[TGL.NOTA]]))</f>
        <v>7</v>
      </c>
      <c r="AL386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3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9" t="str">
        <f>IF(NOTA[[#This Row],[CONCAT4]]="","",_xlfn.IFNA(MATCH(NOTA[[#This Row],[CONCAT4]],[2]!RAW[CONCAT_H],0),FALSE))</f>
        <v/>
      </c>
      <c r="AQ386" s="39">
        <f>IF(NOTA[[#This Row],[CONCAT1]]="","",MATCH(NOTA[[#This Row],[CONCAT1]],[3]!db[NB NOTA_C],0))</f>
        <v>1251</v>
      </c>
      <c r="AR386" s="39" t="str">
        <f>IF(NOTA[[#This Row],[QTY/ CTN]]="","",TRUE)</f>
        <v/>
      </c>
      <c r="AS386" s="39" t="str">
        <f ca="1">IF(NOTA[[#This Row],[ID_H]]="","",IF(NOTA[[#This Row],[Column3]]=TRUE,NOTA[[#This Row],[QTY/ CTN]],INDEX([3]!db[QTY/ CTN],NOTA[[#This Row],[//DB]])))</f>
        <v>12 LSN</v>
      </c>
      <c r="AT3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386" s="39" t="e">
        <f ca="1">IF(NOTA[[#This Row],[ID_H]]="","",MATCH(NOTA[[#This Row],[NB NOTA_C_QTY]],[4]!db[NB NOTA_C_QTY+F],0))</f>
        <v>#REF!</v>
      </c>
      <c r="AV386" s="55">
        <f ca="1">IF(NOTA[[#This Row],[NB NOTA_C_QTY]]="","",ROW()-2)</f>
        <v>384</v>
      </c>
    </row>
    <row r="387" spans="1:48" ht="20.100000000000001" customHeight="1" x14ac:dyDescent="0.25">
      <c r="A3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76</v>
      </c>
      <c r="E387" s="47"/>
      <c r="H387" s="48"/>
      <c r="L387" s="38" t="s">
        <v>112</v>
      </c>
      <c r="M387" s="41">
        <v>2</v>
      </c>
      <c r="N387" s="39">
        <v>288</v>
      </c>
      <c r="O387" s="38" t="s">
        <v>117</v>
      </c>
      <c r="P387" s="42">
        <v>9750</v>
      </c>
      <c r="Q387" s="43"/>
      <c r="R387" s="49"/>
      <c r="S387" s="50">
        <v>0.125</v>
      </c>
      <c r="T387" s="45">
        <v>0.05</v>
      </c>
      <c r="U387" s="51"/>
      <c r="V387" s="46"/>
      <c r="W387" s="51">
        <f>IF(NOTA[[#This Row],[HARGA/ CTN]]="",NOTA[[#This Row],[JUMLAH_H]],NOTA[[#This Row],[HARGA/ CTN]]*IF(NOTA[[#This Row],[C]]="",0,NOTA[[#This Row],[C]]))</f>
        <v>2808000</v>
      </c>
      <c r="X387" s="51">
        <f>IF(NOTA[[#This Row],[JUMLAH]]="","",NOTA[[#This Row],[JUMLAH]]*NOTA[[#This Row],[DISC 1]])</f>
        <v>351000</v>
      </c>
      <c r="Y387" s="51">
        <f>IF(NOTA[[#This Row],[JUMLAH]]="","",(NOTA[[#This Row],[JUMLAH]]-NOTA[[#This Row],[DISC 1-]])*NOTA[[#This Row],[DISC 2]])</f>
        <v>122850</v>
      </c>
      <c r="Z387" s="51">
        <f>IF(NOTA[[#This Row],[JUMLAH]]="","",NOTA[[#This Row],[DISC 1-]]+NOTA[[#This Row],[DISC 2-]])</f>
        <v>473850</v>
      </c>
      <c r="AA387" s="51">
        <f>IF(NOTA[[#This Row],[JUMLAH]]="","",NOTA[[#This Row],[JUMLAH]]-NOTA[[#This Row],[DISC]])</f>
        <v>2334150</v>
      </c>
      <c r="AB387" s="51"/>
      <c r="AC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2448225</v>
      </c>
      <c r="AD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12059775</v>
      </c>
      <c r="AE387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87" s="51">
        <f>IF(OR(NOTA[[#This Row],[QTY]]="",NOTA[[#This Row],[HARGA SATUAN]]="",),"",NOTA[[#This Row],[QTY]]*NOTA[[#This Row],[HARGA SATUAN]])</f>
        <v>2808000</v>
      </c>
      <c r="AG387" s="40">
        <f ca="1">IF(NOTA[ID_H]="","",INDEX(NOTA[TANGGAL],MATCH(,INDIRECT(ADDRESS(ROW(NOTA[TANGGAL]),COLUMN(NOTA[TANGGAL]))&amp;":"&amp;ADDRESS(ROW(),COLUMN(NOTA[TANGGAL]))),-1)))</f>
        <v>45121</v>
      </c>
      <c r="AH387" s="42" t="str">
        <f ca="1">IF(NOTA[[#This Row],[NAMA BARANG]]="","",INDEX(NOTA[SUPPLIER],MATCH(,INDIRECT(ADDRESS(ROW(NOTA[ID]),COLUMN(NOTA[ID]))&amp;":"&amp;ADDRESS(ROW(),COLUMN(NOTA[ID]))),-1)))</f>
        <v>ATALI MAKMUR</v>
      </c>
      <c r="AI387" s="42" t="str">
        <f ca="1">IF(NOTA[[#This Row],[ID_H]]="","",IF(NOTA[[#This Row],[FAKTUR]]="",INDIRECT(ADDRESS(ROW()-1,COLUMN())),NOTA[[#This Row],[FAKTUR]]))</f>
        <v>ARTO MORO</v>
      </c>
      <c r="AJ387" s="39" t="str">
        <f ca="1">IF(NOTA[[#This Row],[ID]]="","",COUNTIF(NOTA[ID_H],NOTA[[#This Row],[ID_H]]))</f>
        <v/>
      </c>
      <c r="AK387" s="39">
        <f ca="1">IF(NOTA[[#This Row],[TGL.NOTA]]="",IF(NOTA[[#This Row],[SUPPLIER_H]]="","",AK386),MONTH(NOTA[[#This Row],[TGL.NOTA]]))</f>
        <v>7</v>
      </c>
      <c r="AL387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9" t="str">
        <f>IF(NOTA[[#This Row],[CONCAT4]]="","",_xlfn.IFNA(MATCH(NOTA[[#This Row],[CONCAT4]],[2]!RAW[CONCAT_H],0),FALSE))</f>
        <v/>
      </c>
      <c r="AQ387" s="39">
        <f>IF(NOTA[[#This Row],[CONCAT1]]="","",MATCH(NOTA[[#This Row],[CONCAT1]],[3]!db[NB NOTA_C],0))</f>
        <v>1253</v>
      </c>
      <c r="AR387" s="39" t="str">
        <f>IF(NOTA[[#This Row],[QTY/ CTN]]="","",TRUE)</f>
        <v/>
      </c>
      <c r="AS387" s="39" t="str">
        <f ca="1">IF(NOTA[[#This Row],[ID_H]]="","",IF(NOTA[[#This Row],[Column3]]=TRUE,NOTA[[#This Row],[QTY/ CTN]],INDEX([3]!db[QTY/ CTN],NOTA[[#This Row],[//DB]])))</f>
        <v>12 LSN</v>
      </c>
      <c r="AT3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87" s="39" t="e">
        <f ca="1">IF(NOTA[[#This Row],[ID_H]]="","",MATCH(NOTA[[#This Row],[NB NOTA_C_QTY]],[4]!db[NB NOTA_C_QTY+F],0))</f>
        <v>#REF!</v>
      </c>
      <c r="AV387" s="55">
        <f ca="1">IF(NOTA[[#This Row],[NB NOTA_C_QTY]]="","",ROW()-2)</f>
        <v>385</v>
      </c>
    </row>
    <row r="388" spans="1:48" ht="20.100000000000001" customHeight="1" x14ac:dyDescent="0.25">
      <c r="A3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47"/>
      <c r="H388" s="48"/>
      <c r="N388" s="39"/>
      <c r="Q388" s="43"/>
      <c r="R388" s="49"/>
      <c r="S388" s="50"/>
      <c r="U388" s="51"/>
      <c r="V388" s="46"/>
      <c r="W388" s="51" t="str">
        <f>IF(NOTA[[#This Row],[HARGA/ CTN]]="",NOTA[[#This Row],[JUMLAH_H]],NOTA[[#This Row],[HARGA/ CTN]]*IF(NOTA[[#This Row],[C]]="",0,NOTA[[#This Row],[C]]))</f>
        <v/>
      </c>
      <c r="X388" s="51" t="str">
        <f>IF(NOTA[[#This Row],[JUMLAH]]="","",NOTA[[#This Row],[JUMLAH]]*NOTA[[#This Row],[DISC 1]])</f>
        <v/>
      </c>
      <c r="Y388" s="51" t="str">
        <f>IF(NOTA[[#This Row],[JUMLAH]]="","",(NOTA[[#This Row],[JUMLAH]]-NOTA[[#This Row],[DISC 1-]])*NOTA[[#This Row],[DISC 2]])</f>
        <v/>
      </c>
      <c r="Z388" s="51" t="str">
        <f>IF(NOTA[[#This Row],[JUMLAH]]="","",NOTA[[#This Row],[DISC 1-]]+NOTA[[#This Row],[DISC 2-]])</f>
        <v/>
      </c>
      <c r="AA388" s="51" t="str">
        <f>IF(NOTA[[#This Row],[JUMLAH]]="","",NOTA[[#This Row],[JUMLAH]]-NOTA[[#This Row],[DISC]])</f>
        <v/>
      </c>
      <c r="AB388" s="51"/>
      <c r="AC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1" t="str">
        <f>IF(OR(NOTA[[#This Row],[QTY]]="",NOTA[[#This Row],[HARGA SATUAN]]="",),"",NOTA[[#This Row],[QTY]]*NOTA[[#This Row],[HARGA SATUAN]])</f>
        <v/>
      </c>
      <c r="AG388" s="40" t="str">
        <f ca="1">IF(NOTA[ID_H]="","",INDEX(NOTA[TANGGAL],MATCH(,INDIRECT(ADDRESS(ROW(NOTA[TANGGAL]),COLUMN(NOTA[TANGGAL]))&amp;":"&amp;ADDRESS(ROW(),COLUMN(NOTA[TANGGAL]))),-1)))</f>
        <v/>
      </c>
      <c r="AH388" s="42" t="str">
        <f ca="1">IF(NOTA[[#This Row],[NAMA BARANG]]="","",INDEX(NOTA[SUPPLIER],MATCH(,INDIRECT(ADDRESS(ROW(NOTA[ID]),COLUMN(NOTA[ID]))&amp;":"&amp;ADDRESS(ROW(),COLUMN(NOTA[ID]))),-1)))</f>
        <v/>
      </c>
      <c r="AI388" s="42" t="str">
        <f ca="1">IF(NOTA[[#This Row],[ID_H]]="","",IF(NOTA[[#This Row],[FAKTUR]]="",INDIRECT(ADDRESS(ROW()-1,COLUMN())),NOTA[[#This Row],[FAKTUR]]))</f>
        <v/>
      </c>
      <c r="AJ388" s="39" t="str">
        <f ca="1">IF(NOTA[[#This Row],[ID]]="","",COUNTIF(NOTA[ID_H],NOTA[[#This Row],[ID_H]]))</f>
        <v/>
      </c>
      <c r="AK388" s="39" t="str">
        <f ca="1">IF(NOTA[[#This Row],[TGL.NOTA]]="",IF(NOTA[[#This Row],[SUPPLIER_H]]="","",AK387),MONTH(NOTA[[#This Row],[TGL.NOTA]]))</f>
        <v/>
      </c>
      <c r="AL388" s="39" t="str">
        <f>LOWER(SUBSTITUTE(SUBSTITUTE(SUBSTITUTE(SUBSTITUTE(SUBSTITUTE(SUBSTITUTE(SUBSTITUTE(SUBSTITUTE(SUBSTITUTE(NOTA[NAMA BARANG]," ",),".",""),"-",""),"(",""),")",""),",",""),"/",""),"""",""),"+",""))</f>
        <v/>
      </c>
      <c r="AM3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9" t="str">
        <f>IF(NOTA[[#This Row],[CONCAT4]]="","",_xlfn.IFNA(MATCH(NOTA[[#This Row],[CONCAT4]],[2]!RAW[CONCAT_H],0),FALSE))</f>
        <v/>
      </c>
      <c r="AQ388" s="39" t="str">
        <f>IF(NOTA[[#This Row],[CONCAT1]]="","",MATCH(NOTA[[#This Row],[CONCAT1]],[3]!db[NB NOTA_C],0))</f>
        <v/>
      </c>
      <c r="AR388" s="39" t="str">
        <f>IF(NOTA[[#This Row],[QTY/ CTN]]="","",TRUE)</f>
        <v/>
      </c>
      <c r="AS388" s="39" t="str">
        <f ca="1">IF(NOTA[[#This Row],[ID_H]]="","",IF(NOTA[[#This Row],[Column3]]=TRUE,NOTA[[#This Row],[QTY/ CTN]],INDEX([3]!db[QTY/ CTN],NOTA[[#This Row],[//DB]])))</f>
        <v/>
      </c>
      <c r="AT3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9" t="str">
        <f ca="1">IF(NOTA[[#This Row],[ID_H]]="","",MATCH(NOTA[[#This Row],[NB NOTA_C_QTY]],[4]!db[NB NOTA_C_QTY+F],0))</f>
        <v/>
      </c>
      <c r="AV388" s="55" t="str">
        <f ca="1">IF(NOTA[[#This Row],[NB NOTA_C_QTY]]="","",ROW()-2)</f>
        <v/>
      </c>
    </row>
    <row r="389" spans="1:48" ht="20.100000000000001" customHeight="1" x14ac:dyDescent="0.25">
      <c r="A389" s="4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ATA_1407_666-4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77</v>
      </c>
      <c r="E389" s="47"/>
      <c r="F389" s="38" t="s">
        <v>24</v>
      </c>
      <c r="G389" s="38" t="s">
        <v>23</v>
      </c>
      <c r="H389" s="48" t="s">
        <v>464</v>
      </c>
      <c r="J389" s="40">
        <v>45115</v>
      </c>
      <c r="L389" s="38" t="s">
        <v>465</v>
      </c>
      <c r="M389" s="41">
        <v>12</v>
      </c>
      <c r="N389" s="39">
        <v>6912</v>
      </c>
      <c r="O389" s="38" t="s">
        <v>117</v>
      </c>
      <c r="P389" s="42">
        <v>1550</v>
      </c>
      <c r="Q389" s="43"/>
      <c r="R389" s="49"/>
      <c r="S389" s="50">
        <v>0.125</v>
      </c>
      <c r="T389" s="45">
        <v>0.05</v>
      </c>
      <c r="U389" s="51"/>
      <c r="V389" s="46"/>
      <c r="W389" s="51">
        <f>IF(NOTA[[#This Row],[HARGA/ CTN]]="",NOTA[[#This Row],[JUMLAH_H]],NOTA[[#This Row],[HARGA/ CTN]]*IF(NOTA[[#This Row],[C]]="",0,NOTA[[#This Row],[C]]))</f>
        <v>10713600</v>
      </c>
      <c r="X389" s="51">
        <f>IF(NOTA[[#This Row],[JUMLAH]]="","",NOTA[[#This Row],[JUMLAH]]*NOTA[[#This Row],[DISC 1]])</f>
        <v>1339200</v>
      </c>
      <c r="Y389" s="51">
        <f>IF(NOTA[[#This Row],[JUMLAH]]="","",(NOTA[[#This Row],[JUMLAH]]-NOTA[[#This Row],[DISC 1-]])*NOTA[[#This Row],[DISC 2]])</f>
        <v>468720</v>
      </c>
      <c r="Z389" s="51">
        <f>IF(NOTA[[#This Row],[JUMLAH]]="","",NOTA[[#This Row],[DISC 1-]]+NOTA[[#This Row],[DISC 2-]])</f>
        <v>1807920</v>
      </c>
      <c r="AA389" s="51">
        <f>IF(NOTA[[#This Row],[JUMLAH]]="","",NOTA[[#This Row],[JUMLAH]]-NOTA[[#This Row],[DISC]])</f>
        <v>8905680</v>
      </c>
      <c r="AB389" s="51"/>
      <c r="AC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89" s="51">
        <f>IF(OR(NOTA[[#This Row],[QTY]]="",NOTA[[#This Row],[HARGA SATUAN]]="",),"",NOTA[[#This Row],[QTY]]*NOTA[[#This Row],[HARGA SATUAN]])</f>
        <v>10713600</v>
      </c>
      <c r="AG389" s="40">
        <f ca="1">IF(NOTA[ID_H]="","",INDEX(NOTA[TANGGAL],MATCH(,INDIRECT(ADDRESS(ROW(NOTA[TANGGAL]),COLUMN(NOTA[TANGGAL]))&amp;":"&amp;ADDRESS(ROW(),COLUMN(NOTA[TANGGAL]))),-1)))</f>
        <v>45121</v>
      </c>
      <c r="AH389" s="42" t="str">
        <f ca="1">IF(NOTA[[#This Row],[NAMA BARANG]]="","",INDEX(NOTA[SUPPLIER],MATCH(,INDIRECT(ADDRESS(ROW(NOTA[ID]),COLUMN(NOTA[ID]))&amp;":"&amp;ADDRESS(ROW(),COLUMN(NOTA[ID]))),-1)))</f>
        <v>ATALI MAKMUR</v>
      </c>
      <c r="AI389" s="42" t="str">
        <f ca="1">IF(NOTA[[#This Row],[ID_H]]="","",IF(NOTA[[#This Row],[FAKTUR]]="",INDIRECT(ADDRESS(ROW()-1,COLUMN())),NOTA[[#This Row],[FAKTUR]]))</f>
        <v>ARTO MORO</v>
      </c>
      <c r="AJ389" s="39">
        <f ca="1">IF(NOTA[[#This Row],[ID]]="","",COUNTIF(NOTA[ID_H],NOTA[[#This Row],[ID_H]]))</f>
        <v>4</v>
      </c>
      <c r="AK389" s="39">
        <f>IF(NOTA[[#This Row],[TGL.NOTA]]="",IF(NOTA[[#This Row],[SUPPLIER_H]]="","",AK388),MONTH(NOTA[[#This Row],[TGL.NOTA]]))</f>
        <v>7</v>
      </c>
      <c r="AL389" s="39" t="str">
        <f>LOWER(SUBSTITUTE(SUBSTITUTE(SUBSTITUTE(SUBSTITUTE(SUBSTITUTE(SUBSTITUTE(SUBSTITUTE(SUBSTITUTE(SUBSTITUTE(NOTA[NAMA BARANG]," ",),".",""),"-",""),"(",""),")",""),",",""),"/",""),"""",""),"+",""))</f>
        <v>glueglr35jk</v>
      </c>
      <c r="AM3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3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3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MOROSA23071166645115glueglr35jk</v>
      </c>
      <c r="AP389" s="39" t="e">
        <f>IF(NOTA[[#This Row],[CONCAT4]]="","",_xlfn.IFNA(MATCH(NOTA[[#This Row],[CONCAT4]],[2]!RAW[CONCAT_H],0),FALSE))</f>
        <v>#REF!</v>
      </c>
      <c r="AQ389" s="39">
        <f>IF(NOTA[[#This Row],[CONCAT1]]="","",MATCH(NOTA[[#This Row],[CONCAT1]],[3]!db[NB NOTA_C],0))</f>
        <v>1488</v>
      </c>
      <c r="AR389" s="39" t="str">
        <f>IF(NOTA[[#This Row],[QTY/ CTN]]="","",TRUE)</f>
        <v/>
      </c>
      <c r="AS389" s="39" t="str">
        <f ca="1">IF(NOTA[[#This Row],[ID_H]]="","",IF(NOTA[[#This Row],[Column3]]=TRUE,NOTA[[#This Row],[QTY/ CTN]],INDEX([3]!db[QTY/ CTN],NOTA[[#This Row],[//DB]])))</f>
        <v>48 LSN</v>
      </c>
      <c r="AT3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U389" s="39" t="e">
        <f ca="1">IF(NOTA[[#This Row],[ID_H]]="","",MATCH(NOTA[[#This Row],[NB NOTA_C_QTY]],[4]!db[NB NOTA_C_QTY+F],0))</f>
        <v>#REF!</v>
      </c>
      <c r="AV389" s="55">
        <f ca="1">IF(NOTA[[#This Row],[NB NOTA_C_QTY]]="","",ROW()-2)</f>
        <v>387</v>
      </c>
    </row>
    <row r="390" spans="1:48" ht="20.100000000000001" customHeight="1" x14ac:dyDescent="0.25">
      <c r="A3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77</v>
      </c>
      <c r="E390" s="47"/>
      <c r="H390" s="48"/>
      <c r="L390" s="38" t="s">
        <v>467</v>
      </c>
      <c r="M390" s="41">
        <v>2</v>
      </c>
      <c r="N390" s="39">
        <v>96</v>
      </c>
      <c r="O390" s="38" t="s">
        <v>263</v>
      </c>
      <c r="P390" s="42">
        <v>35000</v>
      </c>
      <c r="Q390" s="43"/>
      <c r="R390" s="49"/>
      <c r="S390" s="50">
        <v>0.125</v>
      </c>
      <c r="T390" s="45">
        <v>0.05</v>
      </c>
      <c r="U390" s="51"/>
      <c r="V390" s="46"/>
      <c r="W390" s="51">
        <f>IF(NOTA[[#This Row],[HARGA/ CTN]]="",NOTA[[#This Row],[JUMLAH_H]],NOTA[[#This Row],[HARGA/ CTN]]*IF(NOTA[[#This Row],[C]]="",0,NOTA[[#This Row],[C]]))</f>
        <v>3360000</v>
      </c>
      <c r="X390" s="51">
        <f>IF(NOTA[[#This Row],[JUMLAH]]="","",NOTA[[#This Row],[JUMLAH]]*NOTA[[#This Row],[DISC 1]])</f>
        <v>420000</v>
      </c>
      <c r="Y390" s="51">
        <f>IF(NOTA[[#This Row],[JUMLAH]]="","",(NOTA[[#This Row],[JUMLAH]]-NOTA[[#This Row],[DISC 1-]])*NOTA[[#This Row],[DISC 2]])</f>
        <v>147000</v>
      </c>
      <c r="Z390" s="51">
        <f>IF(NOTA[[#This Row],[JUMLAH]]="","",NOTA[[#This Row],[DISC 1-]]+NOTA[[#This Row],[DISC 2-]])</f>
        <v>567000</v>
      </c>
      <c r="AA390" s="51">
        <f>IF(NOTA[[#This Row],[JUMLAH]]="","",NOTA[[#This Row],[JUMLAH]]-NOTA[[#This Row],[DISC]])</f>
        <v>2793000</v>
      </c>
      <c r="AB390" s="51"/>
      <c r="AC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90" s="51">
        <f>IF(OR(NOTA[[#This Row],[QTY]]="",NOTA[[#This Row],[HARGA SATUAN]]="",),"",NOTA[[#This Row],[QTY]]*NOTA[[#This Row],[HARGA SATUAN]])</f>
        <v>3360000</v>
      </c>
      <c r="AG390" s="40">
        <f ca="1">IF(NOTA[ID_H]="","",INDEX(NOTA[TANGGAL],MATCH(,INDIRECT(ADDRESS(ROW(NOTA[TANGGAL]),COLUMN(NOTA[TANGGAL]))&amp;":"&amp;ADDRESS(ROW(),COLUMN(NOTA[TANGGAL]))),-1)))</f>
        <v>45121</v>
      </c>
      <c r="AH390" s="42" t="str">
        <f ca="1">IF(NOTA[[#This Row],[NAMA BARANG]]="","",INDEX(NOTA[SUPPLIER],MATCH(,INDIRECT(ADDRESS(ROW(NOTA[ID]),COLUMN(NOTA[ID]))&amp;":"&amp;ADDRESS(ROW(),COLUMN(NOTA[ID]))),-1)))</f>
        <v>ATALI MAKMUR</v>
      </c>
      <c r="AI390" s="42" t="str">
        <f ca="1">IF(NOTA[[#This Row],[ID_H]]="","",IF(NOTA[[#This Row],[FAKTUR]]="",INDIRECT(ADDRESS(ROW()-1,COLUMN())),NOTA[[#This Row],[FAKTUR]]))</f>
        <v>ARTO MORO</v>
      </c>
      <c r="AJ390" s="39" t="str">
        <f ca="1">IF(NOTA[[#This Row],[ID]]="","",COUNTIF(NOTA[ID_H],NOTA[[#This Row],[ID_H]]))</f>
        <v/>
      </c>
      <c r="AK390" s="39">
        <f ca="1">IF(NOTA[[#This Row],[TGL.NOTA]]="",IF(NOTA[[#This Row],[SUPPLIER_H]]="","",AK389),MONTH(NOTA[[#This Row],[TGL.NOTA]]))</f>
        <v>7</v>
      </c>
      <c r="AL390" s="39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3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3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3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9" t="str">
        <f>IF(NOTA[[#This Row],[CONCAT4]]="","",_xlfn.IFNA(MATCH(NOTA[[#This Row],[CONCAT4]],[2]!RAW[CONCAT_H],0),FALSE))</f>
        <v/>
      </c>
      <c r="AQ390" s="39">
        <f>IF(NOTA[[#This Row],[CONCAT1]]="","",MATCH(NOTA[[#This Row],[CONCAT1]],[3]!db[NB NOTA_C],0))</f>
        <v>2328</v>
      </c>
      <c r="AR390" s="39" t="str">
        <f>IF(NOTA[[#This Row],[QTY/ CTN]]="","",TRUE)</f>
        <v/>
      </c>
      <c r="AS390" s="39" t="str">
        <f ca="1">IF(NOTA[[#This Row],[ID_H]]="","",IF(NOTA[[#This Row],[Column3]]=TRUE,NOTA[[#This Row],[QTY/ CTN]],INDEX([3]!db[QTY/ CTN],NOTA[[#This Row],[//DB]])))</f>
        <v>8 BOX (6 SET)</v>
      </c>
      <c r="AT3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U390" s="39" t="e">
        <f ca="1">IF(NOTA[[#This Row],[ID_H]]="","",MATCH(NOTA[[#This Row],[NB NOTA_C_QTY]],[4]!db[NB NOTA_C_QTY+F],0))</f>
        <v>#REF!</v>
      </c>
      <c r="AV390" s="55">
        <f ca="1">IF(NOTA[[#This Row],[NB NOTA_C_QTY]]="","",ROW()-2)</f>
        <v>388</v>
      </c>
    </row>
    <row r="391" spans="1:48" ht="20.100000000000001" customHeight="1" x14ac:dyDescent="0.25">
      <c r="A3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77</v>
      </c>
      <c r="E391" s="47"/>
      <c r="H391" s="48"/>
      <c r="L391" s="38" t="s">
        <v>466</v>
      </c>
      <c r="M391" s="41">
        <v>1</v>
      </c>
      <c r="N391" s="39">
        <v>576</v>
      </c>
      <c r="O391" s="38" t="s">
        <v>117</v>
      </c>
      <c r="P391" s="42">
        <v>3300</v>
      </c>
      <c r="Q391" s="43"/>
      <c r="R391" s="49"/>
      <c r="S391" s="50">
        <v>0.125</v>
      </c>
      <c r="T391" s="45">
        <v>0.05</v>
      </c>
      <c r="U391" s="51"/>
      <c r="V391" s="46"/>
      <c r="W391" s="51">
        <f>IF(NOTA[[#This Row],[HARGA/ CTN]]="",NOTA[[#This Row],[JUMLAH_H]],NOTA[[#This Row],[HARGA/ CTN]]*IF(NOTA[[#This Row],[C]]="",0,NOTA[[#This Row],[C]]))</f>
        <v>1900800</v>
      </c>
      <c r="X391" s="51">
        <f>IF(NOTA[[#This Row],[JUMLAH]]="","",NOTA[[#This Row],[JUMLAH]]*NOTA[[#This Row],[DISC 1]])</f>
        <v>237600</v>
      </c>
      <c r="Y391" s="51">
        <f>IF(NOTA[[#This Row],[JUMLAH]]="","",(NOTA[[#This Row],[JUMLAH]]-NOTA[[#This Row],[DISC 1-]])*NOTA[[#This Row],[DISC 2]])</f>
        <v>83160</v>
      </c>
      <c r="Z391" s="51">
        <f>IF(NOTA[[#This Row],[JUMLAH]]="","",NOTA[[#This Row],[DISC 1-]]+NOTA[[#This Row],[DISC 2-]])</f>
        <v>320760</v>
      </c>
      <c r="AA391" s="51">
        <f>IF(NOTA[[#This Row],[JUMLAH]]="","",NOTA[[#This Row],[JUMLAH]]-NOTA[[#This Row],[DISC]])</f>
        <v>1580040</v>
      </c>
      <c r="AB391" s="51"/>
      <c r="AC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91" s="51">
        <f>IF(OR(NOTA[[#This Row],[QTY]]="",NOTA[[#This Row],[HARGA SATUAN]]="",),"",NOTA[[#This Row],[QTY]]*NOTA[[#This Row],[HARGA SATUAN]])</f>
        <v>1900800</v>
      </c>
      <c r="AG391" s="40">
        <f ca="1">IF(NOTA[ID_H]="","",INDEX(NOTA[TANGGAL],MATCH(,INDIRECT(ADDRESS(ROW(NOTA[TANGGAL]),COLUMN(NOTA[TANGGAL]))&amp;":"&amp;ADDRESS(ROW(),COLUMN(NOTA[TANGGAL]))),-1)))</f>
        <v>45121</v>
      </c>
      <c r="AH391" s="42" t="str">
        <f ca="1">IF(NOTA[[#This Row],[NAMA BARANG]]="","",INDEX(NOTA[SUPPLIER],MATCH(,INDIRECT(ADDRESS(ROW(NOTA[ID]),COLUMN(NOTA[ID]))&amp;":"&amp;ADDRESS(ROW(),COLUMN(NOTA[ID]))),-1)))</f>
        <v>ATALI MAKMUR</v>
      </c>
      <c r="AI391" s="42" t="str">
        <f ca="1">IF(NOTA[[#This Row],[ID_H]]="","",IF(NOTA[[#This Row],[FAKTUR]]="",INDIRECT(ADDRESS(ROW()-1,COLUMN())),NOTA[[#This Row],[FAKTUR]]))</f>
        <v>ARTO MORO</v>
      </c>
      <c r="AJ391" s="39" t="str">
        <f ca="1">IF(NOTA[[#This Row],[ID]]="","",COUNTIF(NOTA[ID_H],NOTA[[#This Row],[ID_H]]))</f>
        <v/>
      </c>
      <c r="AK391" s="39">
        <f ca="1">IF(NOTA[[#This Row],[TGL.NOTA]]="",IF(NOTA[[#This Row],[SUPPLIER_H]]="","",AK390),MONTH(NOTA[[#This Row],[TGL.NOTA]]))</f>
        <v>7</v>
      </c>
      <c r="AL391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9" t="str">
        <f>IF(NOTA[[#This Row],[CONCAT4]]="","",_xlfn.IFNA(MATCH(NOTA[[#This Row],[CONCAT4]],[2]!RAW[CONCAT_H],0),FALSE))</f>
        <v/>
      </c>
      <c r="AQ391" s="39">
        <f>IF(NOTA[[#This Row],[CONCAT1]]="","",MATCH(NOTA[[#This Row],[CONCAT1]],[3]!db[NB NOTA_C],0))</f>
        <v>1500</v>
      </c>
      <c r="AR391" s="39" t="str">
        <f>IF(NOTA[[#This Row],[QTY/ CTN]]="","",TRUE)</f>
        <v/>
      </c>
      <c r="AS391" s="39" t="str">
        <f ca="1">IF(NOTA[[#This Row],[ID_H]]="","",IF(NOTA[[#This Row],[Column3]]=TRUE,NOTA[[#This Row],[QTY/ CTN]],INDEX([3]!db[QTY/ CTN],NOTA[[#This Row],[//DB]])))</f>
        <v>24 BOX (24 PCS)</v>
      </c>
      <c r="AT3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91" s="39" t="e">
        <f ca="1">IF(NOTA[[#This Row],[ID_H]]="","",MATCH(NOTA[[#This Row],[NB NOTA_C_QTY]],[4]!db[NB NOTA_C_QTY+F],0))</f>
        <v>#REF!</v>
      </c>
      <c r="AV391" s="55">
        <f ca="1">IF(NOTA[[#This Row],[NB NOTA_C_QTY]]="","",ROW()-2)</f>
        <v>389</v>
      </c>
    </row>
    <row r="392" spans="1:48" ht="20.100000000000001" customHeight="1" x14ac:dyDescent="0.25">
      <c r="A3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77</v>
      </c>
      <c r="E392" s="47"/>
      <c r="H392" s="48"/>
      <c r="L392" s="38" t="s">
        <v>103</v>
      </c>
      <c r="M392" s="41">
        <v>1</v>
      </c>
      <c r="N392" s="39">
        <v>864</v>
      </c>
      <c r="O392" s="38" t="s">
        <v>117</v>
      </c>
      <c r="P392" s="42">
        <v>2300</v>
      </c>
      <c r="Q392" s="43"/>
      <c r="R392" s="49"/>
      <c r="S392" s="50">
        <v>0.125</v>
      </c>
      <c r="T392" s="45">
        <v>0.05</v>
      </c>
      <c r="U392" s="51"/>
      <c r="V392" s="46"/>
      <c r="W392" s="51">
        <f>IF(NOTA[[#This Row],[HARGA/ CTN]]="",NOTA[[#This Row],[JUMLAH_H]],NOTA[[#This Row],[HARGA/ CTN]]*IF(NOTA[[#This Row],[C]]="",0,NOTA[[#This Row],[C]]))</f>
        <v>1987200</v>
      </c>
      <c r="X392" s="51">
        <f>IF(NOTA[[#This Row],[JUMLAH]]="","",NOTA[[#This Row],[JUMLAH]]*NOTA[[#This Row],[DISC 1]])</f>
        <v>248400</v>
      </c>
      <c r="Y392" s="51">
        <f>IF(NOTA[[#This Row],[JUMLAH]]="","",(NOTA[[#This Row],[JUMLAH]]-NOTA[[#This Row],[DISC 1-]])*NOTA[[#This Row],[DISC 2]])</f>
        <v>86940</v>
      </c>
      <c r="Z392" s="51">
        <f>IF(NOTA[[#This Row],[JUMLAH]]="","",NOTA[[#This Row],[DISC 1-]]+NOTA[[#This Row],[DISC 2-]])</f>
        <v>335340</v>
      </c>
      <c r="AA392" s="51">
        <f>IF(NOTA[[#This Row],[JUMLAH]]="","",NOTA[[#This Row],[JUMLAH]]-NOTA[[#This Row],[DISC]])</f>
        <v>1651860</v>
      </c>
      <c r="AB392" s="51"/>
      <c r="AC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3031020</v>
      </c>
      <c r="AD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14930580</v>
      </c>
      <c r="AE39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92" s="51">
        <f>IF(OR(NOTA[[#This Row],[QTY]]="",NOTA[[#This Row],[HARGA SATUAN]]="",),"",NOTA[[#This Row],[QTY]]*NOTA[[#This Row],[HARGA SATUAN]])</f>
        <v>1987200</v>
      </c>
      <c r="AG392" s="40">
        <f ca="1">IF(NOTA[ID_H]="","",INDEX(NOTA[TANGGAL],MATCH(,INDIRECT(ADDRESS(ROW(NOTA[TANGGAL]),COLUMN(NOTA[TANGGAL]))&amp;":"&amp;ADDRESS(ROW(),COLUMN(NOTA[TANGGAL]))),-1)))</f>
        <v>45121</v>
      </c>
      <c r="AH392" s="42" t="str">
        <f ca="1">IF(NOTA[[#This Row],[NAMA BARANG]]="","",INDEX(NOTA[SUPPLIER],MATCH(,INDIRECT(ADDRESS(ROW(NOTA[ID]),COLUMN(NOTA[ID]))&amp;":"&amp;ADDRESS(ROW(),COLUMN(NOTA[ID]))),-1)))</f>
        <v>ATALI MAKMUR</v>
      </c>
      <c r="AI392" s="42" t="str">
        <f ca="1">IF(NOTA[[#This Row],[ID_H]]="","",IF(NOTA[[#This Row],[FAKTUR]]="",INDIRECT(ADDRESS(ROW()-1,COLUMN())),NOTA[[#This Row],[FAKTUR]]))</f>
        <v>ARTO MORO</v>
      </c>
      <c r="AJ392" s="39" t="str">
        <f ca="1">IF(NOTA[[#This Row],[ID]]="","",COUNTIF(NOTA[ID_H],NOTA[[#This Row],[ID_H]]))</f>
        <v/>
      </c>
      <c r="AK392" s="39">
        <f ca="1">IF(NOTA[[#This Row],[TGL.NOTA]]="",IF(NOTA[[#This Row],[SUPPLIER_H]]="","",AK391),MONTH(NOTA[[#This Row],[TGL.NOTA]]))</f>
        <v>7</v>
      </c>
      <c r="AL392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9" t="str">
        <f>IF(NOTA[[#This Row],[CONCAT4]]="","",_xlfn.IFNA(MATCH(NOTA[[#This Row],[CONCAT4]],[2]!RAW[CONCAT_H],0),FALSE))</f>
        <v/>
      </c>
      <c r="AQ392" s="39">
        <f>IF(NOTA[[#This Row],[CONCAT1]]="","",MATCH(NOTA[[#This Row],[CONCAT1]],[3]!db[NB NOTA_C],0))</f>
        <v>1501</v>
      </c>
      <c r="AR392" s="39" t="str">
        <f>IF(NOTA[[#This Row],[QTY/ CTN]]="","",TRUE)</f>
        <v/>
      </c>
      <c r="AS392" s="39" t="str">
        <f ca="1">IF(NOTA[[#This Row],[ID_H]]="","",IF(NOTA[[#This Row],[Column3]]=TRUE,NOTA[[#This Row],[QTY/ CTN]],INDEX([3]!db[QTY/ CTN],NOTA[[#This Row],[//DB]])))</f>
        <v>36 BOX (24 PCS)</v>
      </c>
      <c r="AT3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92" s="39" t="e">
        <f ca="1">IF(NOTA[[#This Row],[ID_H]]="","",MATCH(NOTA[[#This Row],[NB NOTA_C_QTY]],[4]!db[NB NOTA_C_QTY+F],0))</f>
        <v>#REF!</v>
      </c>
      <c r="AV392" s="55">
        <f ca="1">IF(NOTA[[#This Row],[NB NOTA_C_QTY]]="","",ROW()-2)</f>
        <v>390</v>
      </c>
    </row>
    <row r="393" spans="1:48" ht="20.100000000000001" customHeight="1" x14ac:dyDescent="0.25">
      <c r="A3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 t="str">
        <f ca="1">IF(NOTA[[#This Row],[NAMA BARANG]]="","",INDEX(NOTA[ID],MATCH(,INDIRECT(ADDRESS(ROW(NOTA[ID]),COLUMN(NOTA[ID]))&amp;":"&amp;ADDRESS(ROW(),COLUMN(NOTA[ID]))),-1)))</f>
        <v/>
      </c>
      <c r="E393" s="47"/>
      <c r="H393" s="48"/>
      <c r="N393" s="39"/>
      <c r="Q393" s="43"/>
      <c r="R393" s="49"/>
      <c r="S393" s="50"/>
      <c r="U393" s="51"/>
      <c r="V393" s="46"/>
      <c r="W393" s="51" t="str">
        <f>IF(NOTA[[#This Row],[HARGA/ CTN]]="",NOTA[[#This Row],[JUMLAH_H]],NOTA[[#This Row],[HARGA/ CTN]]*IF(NOTA[[#This Row],[C]]="",0,NOTA[[#This Row],[C]]))</f>
        <v/>
      </c>
      <c r="X393" s="51" t="str">
        <f>IF(NOTA[[#This Row],[JUMLAH]]="","",NOTA[[#This Row],[JUMLAH]]*NOTA[[#This Row],[DISC 1]])</f>
        <v/>
      </c>
      <c r="Y393" s="51" t="str">
        <f>IF(NOTA[[#This Row],[JUMLAH]]="","",(NOTA[[#This Row],[JUMLAH]]-NOTA[[#This Row],[DISC 1-]])*NOTA[[#This Row],[DISC 2]])</f>
        <v/>
      </c>
      <c r="Z393" s="51" t="str">
        <f>IF(NOTA[[#This Row],[JUMLAH]]="","",NOTA[[#This Row],[DISC 1-]]+NOTA[[#This Row],[DISC 2-]])</f>
        <v/>
      </c>
      <c r="AA393" s="51" t="str">
        <f>IF(NOTA[[#This Row],[JUMLAH]]="","",NOTA[[#This Row],[JUMLAH]]-NOTA[[#This Row],[DISC]])</f>
        <v/>
      </c>
      <c r="AB393" s="51"/>
      <c r="AC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1" t="str">
        <f>IF(OR(NOTA[[#This Row],[QTY]]="",NOTA[[#This Row],[HARGA SATUAN]]="",),"",NOTA[[#This Row],[QTY]]*NOTA[[#This Row],[HARGA SATUAN]])</f>
        <v/>
      </c>
      <c r="AG393" s="40" t="str">
        <f ca="1">IF(NOTA[ID_H]="","",INDEX(NOTA[TANGGAL],MATCH(,INDIRECT(ADDRESS(ROW(NOTA[TANGGAL]),COLUMN(NOTA[TANGGAL]))&amp;":"&amp;ADDRESS(ROW(),COLUMN(NOTA[TANGGAL]))),-1)))</f>
        <v/>
      </c>
      <c r="AH393" s="42" t="str">
        <f ca="1">IF(NOTA[[#This Row],[NAMA BARANG]]="","",INDEX(NOTA[SUPPLIER],MATCH(,INDIRECT(ADDRESS(ROW(NOTA[ID]),COLUMN(NOTA[ID]))&amp;":"&amp;ADDRESS(ROW(),COLUMN(NOTA[ID]))),-1)))</f>
        <v/>
      </c>
      <c r="AI393" s="42" t="str">
        <f ca="1">IF(NOTA[[#This Row],[ID_H]]="","",IF(NOTA[[#This Row],[FAKTUR]]="",INDIRECT(ADDRESS(ROW()-1,COLUMN())),NOTA[[#This Row],[FAKTUR]]))</f>
        <v/>
      </c>
      <c r="AJ393" s="39" t="str">
        <f ca="1">IF(NOTA[[#This Row],[ID]]="","",COUNTIF(NOTA[ID_H],NOTA[[#This Row],[ID_H]]))</f>
        <v/>
      </c>
      <c r="AK393" s="39" t="str">
        <f ca="1">IF(NOTA[[#This Row],[TGL.NOTA]]="",IF(NOTA[[#This Row],[SUPPLIER_H]]="","",AK392),MONTH(NOTA[[#This Row],[TGL.NOTA]]))</f>
        <v/>
      </c>
      <c r="AL393" s="39" t="str">
        <f>LOWER(SUBSTITUTE(SUBSTITUTE(SUBSTITUTE(SUBSTITUTE(SUBSTITUTE(SUBSTITUTE(SUBSTITUTE(SUBSTITUTE(SUBSTITUTE(NOTA[NAMA BARANG]," ",),".",""),"-",""),"(",""),")",""),",",""),"/",""),"""",""),"+",""))</f>
        <v/>
      </c>
      <c r="AM3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9" t="str">
        <f>IF(NOTA[[#This Row],[CONCAT4]]="","",_xlfn.IFNA(MATCH(NOTA[[#This Row],[CONCAT4]],[2]!RAW[CONCAT_H],0),FALSE))</f>
        <v/>
      </c>
      <c r="AQ393" s="39" t="str">
        <f>IF(NOTA[[#This Row],[CONCAT1]]="","",MATCH(NOTA[[#This Row],[CONCAT1]],[3]!db[NB NOTA_C],0))</f>
        <v/>
      </c>
      <c r="AR393" s="39" t="str">
        <f>IF(NOTA[[#This Row],[QTY/ CTN]]="","",TRUE)</f>
        <v/>
      </c>
      <c r="AS393" s="39" t="str">
        <f ca="1">IF(NOTA[[#This Row],[ID_H]]="","",IF(NOTA[[#This Row],[Column3]]=TRUE,NOTA[[#This Row],[QTY/ CTN]],INDEX([3]!db[QTY/ CTN],NOTA[[#This Row],[//DB]])))</f>
        <v/>
      </c>
      <c r="AT3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9" t="str">
        <f ca="1">IF(NOTA[[#This Row],[ID_H]]="","",MATCH(NOTA[[#This Row],[NB NOTA_C_QTY]],[4]!db[NB NOTA_C_QTY+F],0))</f>
        <v/>
      </c>
      <c r="AV393" s="55" t="str">
        <f ca="1">IF(NOTA[[#This Row],[NB NOTA_C_QTY]]="","",ROW()-2)</f>
        <v/>
      </c>
    </row>
    <row r="394" spans="1:48" ht="20.100000000000001" customHeight="1" x14ac:dyDescent="0.25">
      <c r="A394" s="42">
        <f ca="1">IF(INDIRECT(ADDRESS(ROW()-1,COLUMN(NOTA[[#Headers],[ID]])))="ID",1,IF(NOTA[[#This Row],[FAKTUR]]="","",COUNT(INDIRECT(ADDRESS(ROW(NOTA[ID]),COLUMN(NOTA[ID]))&amp;":"&amp;ADDRESS(ROW()-1,COLUMN(NOTA[ID]))))+1))</f>
        <v>78</v>
      </c>
      <c r="B3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PPW_1407_I23-1</v>
      </c>
      <c r="C394" s="39" t="e">
        <f ca="1">IF(NOTA[[#This Row],[ID_P]]="","",MATCH(NOTA[[#This Row],[ID_P]],[1]!B_MSK[N_ID],0))</f>
        <v>#REF!</v>
      </c>
      <c r="D394" s="39">
        <f ca="1">IF(NOTA[[#This Row],[NAMA BARANG]]="","",INDEX(NOTA[ID],MATCH(,INDIRECT(ADDRESS(ROW(NOTA[ID]),COLUMN(NOTA[ID]))&amp;":"&amp;ADDRESS(ROW(),COLUMN(NOTA[ID]))),-1)))</f>
        <v>78</v>
      </c>
      <c r="E394" s="47"/>
      <c r="F394" s="38" t="s">
        <v>172</v>
      </c>
      <c r="G394" s="38" t="s">
        <v>145</v>
      </c>
      <c r="H394" s="48" t="s">
        <v>468</v>
      </c>
      <c r="J394" s="40">
        <v>45119</v>
      </c>
      <c r="L394" s="38" t="s">
        <v>177</v>
      </c>
      <c r="M394" s="41">
        <v>5</v>
      </c>
      <c r="N394" s="39">
        <v>500</v>
      </c>
      <c r="O394" s="38" t="s">
        <v>152</v>
      </c>
      <c r="P394" s="42">
        <v>26780</v>
      </c>
      <c r="Q394" s="43"/>
      <c r="R394" s="49"/>
      <c r="S394" s="50">
        <v>0.2</v>
      </c>
      <c r="T394" s="45">
        <v>0.04</v>
      </c>
      <c r="U394" s="51"/>
      <c r="V394" s="46"/>
      <c r="W394" s="51">
        <f>IF(NOTA[[#This Row],[HARGA/ CTN]]="",NOTA[[#This Row],[JUMLAH_H]],NOTA[[#This Row],[HARGA/ CTN]]*IF(NOTA[[#This Row],[C]]="",0,NOTA[[#This Row],[C]]))</f>
        <v>13390000</v>
      </c>
      <c r="X394" s="51">
        <f>IF(NOTA[[#This Row],[JUMLAH]]="","",NOTA[[#This Row],[JUMLAH]]*NOTA[[#This Row],[DISC 1]])</f>
        <v>2678000</v>
      </c>
      <c r="Y394" s="51">
        <f>IF(NOTA[[#This Row],[JUMLAH]]="","",(NOTA[[#This Row],[JUMLAH]]-NOTA[[#This Row],[DISC 1-]])*NOTA[[#This Row],[DISC 2]])</f>
        <v>428480</v>
      </c>
      <c r="Z394" s="51">
        <f>IF(NOTA[[#This Row],[JUMLAH]]="","",NOTA[[#This Row],[DISC 1-]]+NOTA[[#This Row],[DISC 2-]])</f>
        <v>3106480</v>
      </c>
      <c r="AA394" s="51">
        <f>IF(NOTA[[#This Row],[JUMLAH]]="","",NOTA[[#This Row],[JUMLAH]]-NOTA[[#This Row],[DISC]])</f>
        <v>10283520</v>
      </c>
      <c r="AB394" s="51"/>
      <c r="AC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94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94" s="51">
        <f>IF(OR(NOTA[[#This Row],[QTY]]="",NOTA[[#This Row],[HARGA SATUAN]]="",),"",NOTA[[#This Row],[QTY]]*NOTA[[#This Row],[HARGA SATUAN]])</f>
        <v>13390000</v>
      </c>
      <c r="AG394" s="40">
        <f ca="1">IF(NOTA[ID_H]="","",INDEX(NOTA[TANGGAL],MATCH(,INDIRECT(ADDRESS(ROW(NOTA[TANGGAL]),COLUMN(NOTA[TANGGAL]))&amp;":"&amp;ADDRESS(ROW(),COLUMN(NOTA[TANGGAL]))),-1)))</f>
        <v>45121</v>
      </c>
      <c r="AH394" s="42" t="str">
        <f ca="1">IF(NOTA[[#This Row],[NAMA BARANG]]="","",INDEX(NOTA[SUPPLIER],MATCH(,INDIRECT(ADDRESS(ROW(NOTA[ID]),COLUMN(NOTA[ID]))&amp;":"&amp;ADDRESS(ROW(),COLUMN(NOTA[ID]))),-1)))</f>
        <v>PPW</v>
      </c>
      <c r="AI394" s="42" t="str">
        <f ca="1">IF(NOTA[[#This Row],[ID_H]]="","",IF(NOTA[[#This Row],[FAKTUR]]="",INDIRECT(ADDRESS(ROW()-1,COLUMN())),NOTA[[#This Row],[FAKTUR]]))</f>
        <v>UNTANA</v>
      </c>
      <c r="AJ394" s="39">
        <f ca="1">IF(NOTA[[#This Row],[ID]]="","",COUNTIF(NOTA[ID_H],NOTA[[#This Row],[ID_H]]))</f>
        <v>1</v>
      </c>
      <c r="AK394" s="39">
        <f>IF(NOTA[[#This Row],[TGL.NOTA]]="",IF(NOTA[[#This Row],[SUPPLIER_H]]="","",AK393),MONTH(NOTA[[#This Row],[TGL.NOTA]]))</f>
        <v>7</v>
      </c>
      <c r="AL394" s="39" t="str">
        <f>LOWER(SUBSTITUTE(SUBSTITUTE(SUBSTITUTE(SUBSTITUTE(SUBSTITUTE(SUBSTITUTE(SUBSTITUTE(SUBSTITUTE(SUBSTITUTE(NOTA[NAMA BARANG]," ",),".",""),"-",""),"(",""),")",""),",",""),"/",""),"""",""),"+",""))</f>
        <v>bt30cm</v>
      </c>
      <c r="AM3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94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PPWUNTANA0195/HW/VII/2345119bt30cm</v>
      </c>
      <c r="AP394" s="39" t="e">
        <f>IF(NOTA[[#This Row],[CONCAT4]]="","",_xlfn.IFNA(MATCH(NOTA[[#This Row],[CONCAT4]],[2]!RAW[CONCAT_H],0),FALSE))</f>
        <v>#REF!</v>
      </c>
      <c r="AQ394" s="39">
        <f>IF(NOTA[[#This Row],[CONCAT1]]="","",MATCH(NOTA[[#This Row],[CONCAT1]],[3]!db[NB NOTA_C],0))</f>
        <v>1102</v>
      </c>
      <c r="AR394" s="39" t="str">
        <f>IF(NOTA[[#This Row],[QTY/ CTN]]="","",TRUE)</f>
        <v/>
      </c>
      <c r="AS394" s="39" t="str">
        <f ca="1">IF(NOTA[[#This Row],[ID_H]]="","",IF(NOTA[[#This Row],[Column3]]=TRUE,NOTA[[#This Row],[QTY/ CTN]],INDEX([3]!db[QTY/ CTN],NOTA[[#This Row],[//DB]])))</f>
        <v>100 LSN</v>
      </c>
      <c r="AT3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94" s="39" t="e">
        <f ca="1">IF(NOTA[[#This Row],[ID_H]]="","",MATCH(NOTA[[#This Row],[NB NOTA_C_QTY]],[4]!db[NB NOTA_C_QTY+F],0))</f>
        <v>#REF!</v>
      </c>
      <c r="AV394" s="55">
        <f ca="1">IF(NOTA[[#This Row],[NB NOTA_C_QTY]]="","",ROW()-2)</f>
        <v>392</v>
      </c>
    </row>
    <row r="395" spans="1:48" ht="20.100000000000001" customHeight="1" x14ac:dyDescent="0.25">
      <c r="A3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47"/>
      <c r="H395" s="48"/>
      <c r="N395" s="39"/>
      <c r="Q395" s="43"/>
      <c r="R395" s="49"/>
      <c r="S395" s="50"/>
      <c r="U395" s="51"/>
      <c r="V395" s="46"/>
      <c r="W395" s="51" t="str">
        <f>IF(NOTA[[#This Row],[HARGA/ CTN]]="",NOTA[[#This Row],[JUMLAH_H]],NOTA[[#This Row],[HARGA/ CTN]]*IF(NOTA[[#This Row],[C]]="",0,NOTA[[#This Row],[C]]))</f>
        <v/>
      </c>
      <c r="X395" s="51" t="str">
        <f>IF(NOTA[[#This Row],[JUMLAH]]="","",NOTA[[#This Row],[JUMLAH]]*NOTA[[#This Row],[DISC 1]])</f>
        <v/>
      </c>
      <c r="Y395" s="51" t="str">
        <f>IF(NOTA[[#This Row],[JUMLAH]]="","",(NOTA[[#This Row],[JUMLAH]]-NOTA[[#This Row],[DISC 1-]])*NOTA[[#This Row],[DISC 2]])</f>
        <v/>
      </c>
      <c r="Z395" s="51" t="str">
        <f>IF(NOTA[[#This Row],[JUMLAH]]="","",NOTA[[#This Row],[DISC 1-]]+NOTA[[#This Row],[DISC 2-]])</f>
        <v/>
      </c>
      <c r="AA395" s="51" t="str">
        <f>IF(NOTA[[#This Row],[JUMLAH]]="","",NOTA[[#This Row],[JUMLAH]]-NOTA[[#This Row],[DISC]])</f>
        <v/>
      </c>
      <c r="AB395" s="51"/>
      <c r="AC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1" t="str">
        <f>IF(OR(NOTA[[#This Row],[QTY]]="",NOTA[[#This Row],[HARGA SATUAN]]="",),"",NOTA[[#This Row],[QTY]]*NOTA[[#This Row],[HARGA SATUAN]])</f>
        <v/>
      </c>
      <c r="AG395" s="40" t="str">
        <f ca="1">IF(NOTA[ID_H]="","",INDEX(NOTA[TANGGAL],MATCH(,INDIRECT(ADDRESS(ROW(NOTA[TANGGAL]),COLUMN(NOTA[TANGGAL]))&amp;":"&amp;ADDRESS(ROW(),COLUMN(NOTA[TANGGAL]))),-1)))</f>
        <v/>
      </c>
      <c r="AH395" s="42" t="str">
        <f ca="1">IF(NOTA[[#This Row],[NAMA BARANG]]="","",INDEX(NOTA[SUPPLIER],MATCH(,INDIRECT(ADDRESS(ROW(NOTA[ID]),COLUMN(NOTA[ID]))&amp;":"&amp;ADDRESS(ROW(),COLUMN(NOTA[ID]))),-1)))</f>
        <v/>
      </c>
      <c r="AI395" s="42" t="str">
        <f ca="1">IF(NOTA[[#This Row],[ID_H]]="","",IF(NOTA[[#This Row],[FAKTUR]]="",INDIRECT(ADDRESS(ROW()-1,COLUMN())),NOTA[[#This Row],[FAKTUR]]))</f>
        <v/>
      </c>
      <c r="AJ395" s="39" t="str">
        <f ca="1">IF(NOTA[[#This Row],[ID]]="","",COUNTIF(NOTA[ID_H],NOTA[[#This Row],[ID_H]]))</f>
        <v/>
      </c>
      <c r="AK395" s="39" t="str">
        <f ca="1">IF(NOTA[[#This Row],[TGL.NOTA]]="",IF(NOTA[[#This Row],[SUPPLIER_H]]="","",AK394),MONTH(NOTA[[#This Row],[TGL.NOTA]]))</f>
        <v/>
      </c>
      <c r="AL395" s="39" t="str">
        <f>LOWER(SUBSTITUTE(SUBSTITUTE(SUBSTITUTE(SUBSTITUTE(SUBSTITUTE(SUBSTITUTE(SUBSTITUTE(SUBSTITUTE(SUBSTITUTE(NOTA[NAMA BARANG]," ",),".",""),"-",""),"(",""),")",""),",",""),"/",""),"""",""),"+",""))</f>
        <v/>
      </c>
      <c r="AM3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9" t="str">
        <f>IF(NOTA[[#This Row],[CONCAT4]]="","",_xlfn.IFNA(MATCH(NOTA[[#This Row],[CONCAT4]],[2]!RAW[CONCAT_H],0),FALSE))</f>
        <v/>
      </c>
      <c r="AQ395" s="39" t="str">
        <f>IF(NOTA[[#This Row],[CONCAT1]]="","",MATCH(NOTA[[#This Row],[CONCAT1]],[3]!db[NB NOTA_C],0))</f>
        <v/>
      </c>
      <c r="AR395" s="39" t="str">
        <f>IF(NOTA[[#This Row],[QTY/ CTN]]="","",TRUE)</f>
        <v/>
      </c>
      <c r="AS395" s="39" t="str">
        <f ca="1">IF(NOTA[[#This Row],[ID_H]]="","",IF(NOTA[[#This Row],[Column3]]=TRUE,NOTA[[#This Row],[QTY/ CTN]],INDEX([3]!db[QTY/ CTN],NOTA[[#This Row],[//DB]])))</f>
        <v/>
      </c>
      <c r="AT3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9" t="str">
        <f ca="1">IF(NOTA[[#This Row],[ID_H]]="","",MATCH(NOTA[[#This Row],[NB NOTA_C_QTY]],[4]!db[NB NOTA_C_QTY+F],0))</f>
        <v/>
      </c>
      <c r="AV395" s="55" t="str">
        <f ca="1">IF(NOTA[[#This Row],[NB NOTA_C_QTY]]="","",ROW()-2)</f>
        <v/>
      </c>
    </row>
    <row r="396" spans="1:48" ht="20.100000000000001" customHeight="1" x14ac:dyDescent="0.25">
      <c r="A396" s="42">
        <f ca="1">IF(INDIRECT(ADDRESS(ROW()-1,COLUMN(NOTA[[#Headers],[ID]])))="ID",1,IF(NOTA[[#This Row],[FAKTUR]]="","",COUNT(INDIRECT(ADDRESS(ROW(NOTA[ID]),COLUMN(NOTA[ID]))&amp;":"&amp;ADDRESS(ROW()-1,COLUMN(NOTA[ID]))))+1))</f>
        <v>79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PAR_1507_018-2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79</v>
      </c>
      <c r="E396" s="47">
        <v>45122</v>
      </c>
      <c r="F396" s="38" t="s">
        <v>144</v>
      </c>
      <c r="G396" s="38" t="s">
        <v>23</v>
      </c>
      <c r="H396" s="48" t="s">
        <v>883</v>
      </c>
      <c r="J396" s="40">
        <v>45120</v>
      </c>
      <c r="L396" s="38" t="s">
        <v>258</v>
      </c>
      <c r="M396" s="41">
        <v>5</v>
      </c>
      <c r="N396" s="39">
        <f>240*5</f>
        <v>1200</v>
      </c>
      <c r="O396" s="38" t="s">
        <v>117</v>
      </c>
      <c r="P396" s="38">
        <f>1316400/240</f>
        <v>5485</v>
      </c>
      <c r="Q396" s="43"/>
      <c r="R396" s="49" t="s">
        <v>259</v>
      </c>
      <c r="S396" s="50">
        <v>0.1</v>
      </c>
      <c r="T396" s="45">
        <v>0.1</v>
      </c>
      <c r="U396" s="51"/>
      <c r="V396" s="46"/>
      <c r="W396" s="51">
        <f>IF(NOTA[[#This Row],[HARGA/ CTN]]="",NOTA[[#This Row],[JUMLAH_H]],NOTA[[#This Row],[HARGA/ CTN]]*IF(NOTA[[#This Row],[C]]="",0,NOTA[[#This Row],[C]]))</f>
        <v>6582000</v>
      </c>
      <c r="X396" s="51">
        <f>IF(NOTA[[#This Row],[JUMLAH]]="","",NOTA[[#This Row],[JUMLAH]]*NOTA[[#This Row],[DISC 1]])</f>
        <v>658200</v>
      </c>
      <c r="Y396" s="51">
        <f>IF(NOTA[[#This Row],[JUMLAH]]="","",(NOTA[[#This Row],[JUMLAH]]-NOTA[[#This Row],[DISC 1-]])*NOTA[[#This Row],[DISC 2]])</f>
        <v>592380</v>
      </c>
      <c r="Z396" s="51">
        <f>IF(NOTA[[#This Row],[JUMLAH]]="","",NOTA[[#This Row],[DISC 1-]]+NOTA[[#This Row],[DISC 2-]])</f>
        <v>1250580</v>
      </c>
      <c r="AA396" s="51">
        <f>IF(NOTA[[#This Row],[JUMLAH]]="","",NOTA[[#This Row],[JUMLAH]]-NOTA[[#This Row],[DISC]])</f>
        <v>5331420</v>
      </c>
      <c r="AB396" s="51"/>
      <c r="AC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96" s="51">
        <f>IF(OR(NOTA[[#This Row],[QTY]]="",NOTA[[#This Row],[HARGA SATUAN]]="",),"",NOTA[[#This Row],[QTY]]*NOTA[[#This Row],[HARGA SATUAN]])</f>
        <v>6582000</v>
      </c>
      <c r="AG396" s="40">
        <f ca="1">IF(NOTA[ID_H]="","",INDEX(NOTA[TANGGAL],MATCH(,INDIRECT(ADDRESS(ROW(NOTA[TANGGAL]),COLUMN(NOTA[TANGGAL]))&amp;":"&amp;ADDRESS(ROW(),COLUMN(NOTA[TANGGAL]))),-1)))</f>
        <v>45122</v>
      </c>
      <c r="AH396" s="42" t="str">
        <f ca="1">IF(NOTA[[#This Row],[NAMA BARANG]]="","",INDEX(NOTA[SUPPLIER],MATCH(,INDIRECT(ADDRESS(ROW(NOTA[ID]),COLUMN(NOTA[ID]))&amp;":"&amp;ADDRESS(ROW(),COLUMN(NOTA[ID]))),-1)))</f>
        <v>PARAMA</v>
      </c>
      <c r="AI396" s="42" t="str">
        <f ca="1">IF(NOTA[[#This Row],[ID_H]]="","",IF(NOTA[[#This Row],[FAKTUR]]="",INDIRECT(ADDRESS(ROW()-1,COLUMN())),NOTA[[#This Row],[FAKTUR]]))</f>
        <v>ARTO MORO</v>
      </c>
      <c r="AJ396" s="39">
        <f ca="1">IF(NOTA[[#This Row],[ID]]="","",COUNTIF(NOTA[ID_H],NOTA[[#This Row],[ID_H]]))</f>
        <v>2</v>
      </c>
      <c r="AK396" s="39">
        <f>IF(NOTA[[#This Row],[TGL.NOTA]]="",IF(NOTA[[#This Row],[SUPPLIER_H]]="","",AK395),MONTH(NOTA[[#This Row],[TGL.NOTA]]))</f>
        <v>7</v>
      </c>
      <c r="AL39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3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3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396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MOROCV-29 / UTN-01845120sampulsamsonkwartobatik</v>
      </c>
      <c r="AP396" s="39" t="e">
        <f>IF(NOTA[[#This Row],[CONCAT4]]="","",_xlfn.IFNA(MATCH(NOTA[[#This Row],[CONCAT4]],[2]!RAW[CONCAT_H],0),FALSE))</f>
        <v>#REF!</v>
      </c>
      <c r="AQ396" s="39">
        <f>IF(NOTA[[#This Row],[CONCAT1]]="","",MATCH(NOTA[[#This Row],[CONCAT1]],[3]!db[NB NOTA_C],0))</f>
        <v>2373</v>
      </c>
      <c r="AR396" s="39" t="b">
        <f>IF(NOTA[[#This Row],[QTY/ CTN]]="","",TRUE)</f>
        <v>1</v>
      </c>
      <c r="AS396" s="39" t="str">
        <f ca="1">IF(NOTA[[#This Row],[ID_H]]="","",IF(NOTA[[#This Row],[Column3]]=TRUE,NOTA[[#This Row],[QTY/ CTN]],INDEX([3]!db[QTY/ CTN],NOTA[[#This Row],[//DB]])))</f>
        <v>240 PCS</v>
      </c>
      <c r="AT3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396" s="39" t="e">
        <f ca="1">IF(NOTA[[#This Row],[ID_H]]="","",MATCH(NOTA[[#This Row],[NB NOTA_C_QTY]],[4]!db[NB NOTA_C_QTY+F],0))</f>
        <v>#REF!</v>
      </c>
      <c r="AV396" s="55">
        <f ca="1">IF(NOTA[[#This Row],[NB NOTA_C_QTY]]="","",ROW()-2)</f>
        <v>394</v>
      </c>
    </row>
    <row r="397" spans="1:48" ht="20.100000000000001" customHeight="1" x14ac:dyDescent="0.25">
      <c r="A3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79</v>
      </c>
      <c r="E397" s="47"/>
      <c r="H397" s="48"/>
      <c r="L397" s="38" t="s">
        <v>146</v>
      </c>
      <c r="M397" s="41">
        <v>5</v>
      </c>
      <c r="N397" s="39">
        <f>180*5</f>
        <v>900</v>
      </c>
      <c r="O397" s="38" t="s">
        <v>117</v>
      </c>
      <c r="P397" s="42">
        <f>1359900/180</f>
        <v>7555</v>
      </c>
      <c r="Q397" s="43"/>
      <c r="R397" s="49" t="s">
        <v>260</v>
      </c>
      <c r="S397" s="50">
        <v>0.1</v>
      </c>
      <c r="T397" s="45">
        <v>0.1</v>
      </c>
      <c r="U397" s="51"/>
      <c r="V397" s="46"/>
      <c r="W397" s="51">
        <f>IF(NOTA[[#This Row],[HARGA/ CTN]]="",NOTA[[#This Row],[JUMLAH_H]],NOTA[[#This Row],[HARGA/ CTN]]*IF(NOTA[[#This Row],[C]]="",0,NOTA[[#This Row],[C]]))</f>
        <v>6799500</v>
      </c>
      <c r="X397" s="51">
        <f>IF(NOTA[[#This Row],[JUMLAH]]="","",NOTA[[#This Row],[JUMLAH]]*NOTA[[#This Row],[DISC 1]])</f>
        <v>679950</v>
      </c>
      <c r="Y397" s="51">
        <f>IF(NOTA[[#This Row],[JUMLAH]]="","",(NOTA[[#This Row],[JUMLAH]]-NOTA[[#This Row],[DISC 1-]])*NOTA[[#This Row],[DISC 2]])</f>
        <v>611955</v>
      </c>
      <c r="Z397" s="51">
        <f>IF(NOTA[[#This Row],[JUMLAH]]="","",NOTA[[#This Row],[DISC 1-]]+NOTA[[#This Row],[DISC 2-]])</f>
        <v>1291905</v>
      </c>
      <c r="AA397" s="51">
        <f>IF(NOTA[[#This Row],[JUMLAH]]="","",NOTA[[#This Row],[JUMLAH]]-NOTA[[#This Row],[DISC]])</f>
        <v>5507595</v>
      </c>
      <c r="AB397" s="51"/>
      <c r="AC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397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97" s="51">
        <f>IF(OR(NOTA[[#This Row],[QTY]]="",NOTA[[#This Row],[HARGA SATUAN]]="",),"",NOTA[[#This Row],[QTY]]*NOTA[[#This Row],[HARGA SATUAN]])</f>
        <v>6799500</v>
      </c>
      <c r="AG397" s="40">
        <f ca="1">IF(NOTA[ID_H]="","",INDEX(NOTA[TANGGAL],MATCH(,INDIRECT(ADDRESS(ROW(NOTA[TANGGAL]),COLUMN(NOTA[TANGGAL]))&amp;":"&amp;ADDRESS(ROW(),COLUMN(NOTA[TANGGAL]))),-1)))</f>
        <v>45122</v>
      </c>
      <c r="AH397" s="42" t="str">
        <f ca="1">IF(NOTA[[#This Row],[NAMA BARANG]]="","",INDEX(NOTA[SUPPLIER],MATCH(,INDIRECT(ADDRESS(ROW(NOTA[ID]),COLUMN(NOTA[ID]))&amp;":"&amp;ADDRESS(ROW(),COLUMN(NOTA[ID]))),-1)))</f>
        <v>PARAMA</v>
      </c>
      <c r="AI397" s="42" t="str">
        <f ca="1">IF(NOTA[[#This Row],[ID_H]]="","",IF(NOTA[[#This Row],[FAKTUR]]="",INDIRECT(ADDRESS(ROW()-1,COLUMN())),NOTA[[#This Row],[FAKTUR]]))</f>
        <v>ARTO MORO</v>
      </c>
      <c r="AJ397" s="39" t="str">
        <f ca="1">IF(NOTA[[#This Row],[ID]]="","",COUNTIF(NOTA[ID_H],NOTA[[#This Row],[ID_H]]))</f>
        <v/>
      </c>
      <c r="AK397" s="39">
        <f ca="1">IF(NOTA[[#This Row],[TGL.NOTA]]="",IF(NOTA[[#This Row],[SUPPLIER_H]]="","",AK396),MONTH(NOTA[[#This Row],[TGL.NOTA]]))</f>
        <v>7</v>
      </c>
      <c r="AL39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9" t="str">
        <f>IF(NOTA[[#This Row],[CONCAT4]]="","",_xlfn.IFNA(MATCH(NOTA[[#This Row],[CONCAT4]],[2]!RAW[CONCAT_H],0),FALSE))</f>
        <v/>
      </c>
      <c r="AQ397" s="39">
        <f>IF(NOTA[[#This Row],[CONCAT1]]="","",MATCH(NOTA[[#This Row],[CONCAT1]],[3]!db[NB NOTA_C],0))</f>
        <v>2367</v>
      </c>
      <c r="AR397" s="39" t="b">
        <f>IF(NOTA[[#This Row],[QTY/ CTN]]="","",TRUE)</f>
        <v>1</v>
      </c>
      <c r="AS397" s="39" t="str">
        <f ca="1">IF(NOTA[[#This Row],[ID_H]]="","",IF(NOTA[[#This Row],[Column3]]=TRUE,NOTA[[#This Row],[QTY/ CTN]],INDEX([3]!db[QTY/ CTN],NOTA[[#This Row],[//DB]])))</f>
        <v>180 PCS</v>
      </c>
      <c r="AT3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397" s="39" t="e">
        <f ca="1">IF(NOTA[[#This Row],[ID_H]]="","",MATCH(NOTA[[#This Row],[NB NOTA_C_QTY]],[4]!db[NB NOTA_C_QTY+F],0))</f>
        <v>#REF!</v>
      </c>
      <c r="AV397" s="55">
        <f ca="1">IF(NOTA[[#This Row],[NB NOTA_C_QTY]]="","",ROW()-2)</f>
        <v>395</v>
      </c>
    </row>
    <row r="398" spans="1:48" ht="20.100000000000001" customHeight="1" x14ac:dyDescent="0.25">
      <c r="A3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 t="str">
        <f ca="1">IF(NOTA[[#This Row],[NAMA BARANG]]="","",INDEX(NOTA[ID],MATCH(,INDIRECT(ADDRESS(ROW(NOTA[ID]),COLUMN(NOTA[ID]))&amp;":"&amp;ADDRESS(ROW(),COLUMN(NOTA[ID]))),-1)))</f>
        <v/>
      </c>
      <c r="E398" s="47"/>
      <c r="H398" s="48"/>
      <c r="N398" s="39"/>
      <c r="Q398" s="43"/>
      <c r="R398" s="49"/>
      <c r="S398" s="50"/>
      <c r="U398" s="51"/>
      <c r="V398" s="46"/>
      <c r="W398" s="51" t="str">
        <f>IF(NOTA[[#This Row],[HARGA/ CTN]]="",NOTA[[#This Row],[JUMLAH_H]],NOTA[[#This Row],[HARGA/ CTN]]*IF(NOTA[[#This Row],[C]]="",0,NOTA[[#This Row],[C]]))</f>
        <v/>
      </c>
      <c r="X398" s="51" t="str">
        <f>IF(NOTA[[#This Row],[JUMLAH]]="","",NOTA[[#This Row],[JUMLAH]]*NOTA[[#This Row],[DISC 1]])</f>
        <v/>
      </c>
      <c r="Y398" s="51" t="str">
        <f>IF(NOTA[[#This Row],[JUMLAH]]="","",(NOTA[[#This Row],[JUMLAH]]-NOTA[[#This Row],[DISC 1-]])*NOTA[[#This Row],[DISC 2]])</f>
        <v/>
      </c>
      <c r="Z398" s="51" t="str">
        <f>IF(NOTA[[#This Row],[JUMLAH]]="","",NOTA[[#This Row],[DISC 1-]]+NOTA[[#This Row],[DISC 2-]])</f>
        <v/>
      </c>
      <c r="AA398" s="51" t="str">
        <f>IF(NOTA[[#This Row],[JUMLAH]]="","",NOTA[[#This Row],[JUMLAH]]-NOTA[[#This Row],[DISC]])</f>
        <v/>
      </c>
      <c r="AB398" s="51"/>
      <c r="AC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1" t="str">
        <f>IF(OR(NOTA[[#This Row],[QTY]]="",NOTA[[#This Row],[HARGA SATUAN]]="",),"",NOTA[[#This Row],[QTY]]*NOTA[[#This Row],[HARGA SATUAN]])</f>
        <v/>
      </c>
      <c r="AG398" s="40" t="str">
        <f ca="1">IF(NOTA[ID_H]="","",INDEX(NOTA[TANGGAL],MATCH(,INDIRECT(ADDRESS(ROW(NOTA[TANGGAL]),COLUMN(NOTA[TANGGAL]))&amp;":"&amp;ADDRESS(ROW(),COLUMN(NOTA[TANGGAL]))),-1)))</f>
        <v/>
      </c>
      <c r="AH398" s="42" t="str">
        <f ca="1">IF(NOTA[[#This Row],[NAMA BARANG]]="","",INDEX(NOTA[SUPPLIER],MATCH(,INDIRECT(ADDRESS(ROW(NOTA[ID]),COLUMN(NOTA[ID]))&amp;":"&amp;ADDRESS(ROW(),COLUMN(NOTA[ID]))),-1)))</f>
        <v/>
      </c>
      <c r="AI398" s="42" t="str">
        <f ca="1">IF(NOTA[[#This Row],[ID_H]]="","",IF(NOTA[[#This Row],[FAKTUR]]="",INDIRECT(ADDRESS(ROW()-1,COLUMN())),NOTA[[#This Row],[FAKTUR]]))</f>
        <v/>
      </c>
      <c r="AJ398" s="39" t="str">
        <f ca="1">IF(NOTA[[#This Row],[ID]]="","",COUNTIF(NOTA[ID_H],NOTA[[#This Row],[ID_H]]))</f>
        <v/>
      </c>
      <c r="AK398" s="39" t="str">
        <f ca="1">IF(NOTA[[#This Row],[TGL.NOTA]]="",IF(NOTA[[#This Row],[SUPPLIER_H]]="","",AK397),MONTH(NOTA[[#This Row],[TGL.NOTA]]))</f>
        <v/>
      </c>
      <c r="AL398" s="39" t="str">
        <f>LOWER(SUBSTITUTE(SUBSTITUTE(SUBSTITUTE(SUBSTITUTE(SUBSTITUTE(SUBSTITUTE(SUBSTITUTE(SUBSTITUTE(SUBSTITUTE(NOTA[NAMA BARANG]," ",),".",""),"-",""),"(",""),")",""),",",""),"/",""),"""",""),"+",""))</f>
        <v/>
      </c>
      <c r="AM3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9" t="str">
        <f>IF(NOTA[[#This Row],[CONCAT4]]="","",_xlfn.IFNA(MATCH(NOTA[[#This Row],[CONCAT4]],[2]!RAW[CONCAT_H],0),FALSE))</f>
        <v/>
      </c>
      <c r="AQ398" s="39" t="str">
        <f>IF(NOTA[[#This Row],[CONCAT1]]="","",MATCH(NOTA[[#This Row],[CONCAT1]],[3]!db[NB NOTA_C],0))</f>
        <v/>
      </c>
      <c r="AR398" s="39" t="str">
        <f>IF(NOTA[[#This Row],[QTY/ CTN]]="","",TRUE)</f>
        <v/>
      </c>
      <c r="AS398" s="39" t="str">
        <f ca="1">IF(NOTA[[#This Row],[ID_H]]="","",IF(NOTA[[#This Row],[Column3]]=TRUE,NOTA[[#This Row],[QTY/ CTN]],INDEX([3]!db[QTY/ CTN],NOTA[[#This Row],[//DB]])))</f>
        <v/>
      </c>
      <c r="AT3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9" t="str">
        <f ca="1">IF(NOTA[[#This Row],[ID_H]]="","",MATCH(NOTA[[#This Row],[NB NOTA_C_QTY]],[4]!db[NB NOTA_C_QTY+F],0))</f>
        <v/>
      </c>
      <c r="AV398" s="55" t="str">
        <f ca="1">IF(NOTA[[#This Row],[NB NOTA_C_QTY]]="","",ROW()-2)</f>
        <v/>
      </c>
    </row>
    <row r="399" spans="1:48" ht="20.100000000000001" customHeight="1" x14ac:dyDescent="0.25">
      <c r="A399" s="42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ALP_1407_N03-1</v>
      </c>
      <c r="C399" s="39" t="e">
        <f ca="1">IF(NOTA[[#This Row],[ID_P]]="","",MATCH(NOTA[[#This Row],[ID_P]],[1]!B_MSK[N_ID],0))</f>
        <v>#REF!</v>
      </c>
      <c r="D399" s="39">
        <f ca="1">IF(NOTA[[#This Row],[NAMA BARANG]]="","",INDEX(NOTA[ID],MATCH(,INDIRECT(ADDRESS(ROW(NOTA[ID]),COLUMN(NOTA[ID]))&amp;":"&amp;ADDRESS(ROW(),COLUMN(NOTA[ID]))),-1)))</f>
        <v>80</v>
      </c>
      <c r="E399" s="47">
        <v>45121</v>
      </c>
      <c r="F399" s="38" t="s">
        <v>469</v>
      </c>
      <c r="G399" s="38" t="s">
        <v>145</v>
      </c>
      <c r="H399" s="48" t="s">
        <v>470</v>
      </c>
      <c r="J399" s="40">
        <v>45119</v>
      </c>
      <c r="L399" s="38" t="s">
        <v>479</v>
      </c>
      <c r="M399" s="41">
        <v>5</v>
      </c>
      <c r="N399" s="39">
        <v>1500</v>
      </c>
      <c r="O399" s="38" t="s">
        <v>210</v>
      </c>
      <c r="P399" s="42">
        <v>8500</v>
      </c>
      <c r="Q399" s="43"/>
      <c r="R399" s="49" t="s">
        <v>471</v>
      </c>
      <c r="S399" s="50"/>
      <c r="U399" s="51"/>
      <c r="V399" s="46"/>
      <c r="W399" s="51">
        <f>IF(NOTA[[#This Row],[HARGA/ CTN]]="",NOTA[[#This Row],[JUMLAH_H]],NOTA[[#This Row],[HARGA/ CTN]]*IF(NOTA[[#This Row],[C]]="",0,NOTA[[#This Row],[C]]))</f>
        <v>12750000</v>
      </c>
      <c r="X399" s="51">
        <f>IF(NOTA[[#This Row],[JUMLAH]]="","",NOTA[[#This Row],[JUMLAH]]*NOTA[[#This Row],[DISC 1]])</f>
        <v>0</v>
      </c>
      <c r="Y399" s="51">
        <f>IF(NOTA[[#This Row],[JUMLAH]]="","",(NOTA[[#This Row],[JUMLAH]]-NOTA[[#This Row],[DISC 1-]])*NOTA[[#This Row],[DISC 2]])</f>
        <v>0</v>
      </c>
      <c r="Z399" s="51">
        <f>IF(NOTA[[#This Row],[JUMLAH]]="","",NOTA[[#This Row],[DISC 1-]]+NOTA[[#This Row],[DISC 2-]])</f>
        <v>0</v>
      </c>
      <c r="AA399" s="51">
        <f>IF(NOTA[[#This Row],[JUMLAH]]="","",NOTA[[#This Row],[JUMLAH]]-NOTA[[#This Row],[DISC]])</f>
        <v>12750000</v>
      </c>
      <c r="AB399" s="51"/>
      <c r="AC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E399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399" s="51">
        <f>IF(OR(NOTA[[#This Row],[QTY]]="",NOTA[[#This Row],[HARGA SATUAN]]="",),"",NOTA[[#This Row],[QTY]]*NOTA[[#This Row],[HARGA SATUAN]])</f>
        <v>12750000</v>
      </c>
      <c r="AG399" s="40">
        <f ca="1">IF(NOTA[ID_H]="","",INDEX(NOTA[TANGGAL],MATCH(,INDIRECT(ADDRESS(ROW(NOTA[TANGGAL]),COLUMN(NOTA[TANGGAL]))&amp;":"&amp;ADDRESS(ROW(),COLUMN(NOTA[TANGGAL]))),-1)))</f>
        <v>45121</v>
      </c>
      <c r="AH399" s="42" t="str">
        <f ca="1">IF(NOTA[[#This Row],[NAMA BARANG]]="","",INDEX(NOTA[SUPPLIER],MATCH(,INDIRECT(ADDRESS(ROW(NOTA[ID]),COLUMN(NOTA[ID]))&amp;":"&amp;ADDRESS(ROW(),COLUMN(NOTA[ID]))),-1)))</f>
        <v>ALPINDO</v>
      </c>
      <c r="AI399" s="42" t="str">
        <f ca="1">IF(NOTA[[#This Row],[ID_H]]="","",IF(NOTA[[#This Row],[FAKTUR]]="",INDIRECT(ADDRESS(ROW()-1,COLUMN())),NOTA[[#This Row],[FAKTUR]]))</f>
        <v>UNTANA</v>
      </c>
      <c r="AJ399" s="39">
        <f ca="1">IF(NOTA[[#This Row],[ID]]="","",COUNTIF(NOTA[ID_H],NOTA[[#This Row],[ID_H]]))</f>
        <v>1</v>
      </c>
      <c r="AK399" s="39">
        <f>IF(NOTA[[#This Row],[TGL.NOTA]]="",IF(NOTA[[#This Row],[SUPPLIER_H]]="","",AK398),MONTH(NOTA[[#This Row],[TGL.NOTA]]))</f>
        <v>7</v>
      </c>
      <c r="AL399" s="39" t="str">
        <f>LOWER(SUBSTITUTE(SUBSTITUTE(SUBSTITUTE(SUBSTITUTE(SUBSTITUTE(SUBSTITUTE(SUBSTITUTE(SUBSTITUTE(SUBSTITUTE(NOTA[NAMA BARANG]," ",),".",""),"-",""),"(",""),")",""),",",""),"/",""),"""",""),"+",""))</f>
        <v>sampuloppalexanderboxy</v>
      </c>
      <c r="AM3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sampuloppalexanderboxy2550000</v>
      </c>
      <c r="AN3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sampuloppalexanderboxy2550000</v>
      </c>
      <c r="AO399" s="39" t="str">
        <f>IF(NOTA[[#This Row],[SUPPLIER]]="","",NOTA[[#This Row],[SUPPLIER]]&amp;NOTA[[#This Row],[FAKTUR]]&amp;NOTA[[#This Row],[NO.NOTA]]&amp;NOTA[[#This Row],[NO.SJ]]&amp;NOTA[[#This Row],[TGL.NOTA]]&amp;NOTA[[#This Row],[CONCAT1]])</f>
        <v>ALPINDOUNTANASYN0345119sampuloppalexanderboxy</v>
      </c>
      <c r="AP399" s="39" t="e">
        <f>IF(NOTA[[#This Row],[CONCAT4]]="","",_xlfn.IFNA(MATCH(NOTA[[#This Row],[CONCAT4]],[2]!RAW[CONCAT_H],0),FALSE))</f>
        <v>#REF!</v>
      </c>
      <c r="AQ399" s="39">
        <f>IF(NOTA[[#This Row],[CONCAT1]]="","",MATCH(NOTA[[#This Row],[CONCAT1]],[3]!db[NB NOTA_C],0))</f>
        <v>2376</v>
      </c>
      <c r="AR399" s="39" t="b">
        <f>IF(NOTA[[#This Row],[QTY/ CTN]]="","",TRUE)</f>
        <v>1</v>
      </c>
      <c r="AS399" s="39" t="str">
        <f ca="1">IF(NOTA[[#This Row],[ID_H]]="","",IF(NOTA[[#This Row],[Column3]]=TRUE,NOTA[[#This Row],[QTY/ CTN]],INDEX([3]!db[QTY/ CTN],NOTA[[#This Row],[//DB]])))</f>
        <v>300 PAK</v>
      </c>
      <c r="AT3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sampuloppalexanderboxy300pakuntana</v>
      </c>
      <c r="AU399" s="39" t="e">
        <f ca="1">IF(NOTA[[#This Row],[ID_H]]="","",MATCH(NOTA[[#This Row],[NB NOTA_C_QTY]],[4]!db[NB NOTA_C_QTY+F],0))</f>
        <v>#REF!</v>
      </c>
      <c r="AV399" s="55">
        <f ca="1">IF(NOTA[[#This Row],[NB NOTA_C_QTY]]="","",ROW()-2)</f>
        <v>397</v>
      </c>
    </row>
    <row r="400" spans="1:48" ht="20.100000000000001" customHeight="1" x14ac:dyDescent="0.25">
      <c r="A4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 t="str">
        <f ca="1">IF(NOTA[[#This Row],[NAMA BARANG]]="","",INDEX(NOTA[ID],MATCH(,INDIRECT(ADDRESS(ROW(NOTA[ID]),COLUMN(NOTA[ID]))&amp;":"&amp;ADDRESS(ROW(),COLUMN(NOTA[ID]))),-1)))</f>
        <v/>
      </c>
      <c r="E400" s="47"/>
      <c r="H400" s="48"/>
      <c r="N400" s="39"/>
      <c r="Q400" s="43"/>
      <c r="R400" s="49"/>
      <c r="S400" s="50"/>
      <c r="U400" s="51"/>
      <c r="V400" s="46"/>
      <c r="W400" s="51" t="str">
        <f>IF(NOTA[[#This Row],[HARGA/ CTN]]="",NOTA[[#This Row],[JUMLAH_H]],NOTA[[#This Row],[HARGA/ CTN]]*IF(NOTA[[#This Row],[C]]="",0,NOTA[[#This Row],[C]]))</f>
        <v/>
      </c>
      <c r="X400" s="51" t="str">
        <f>IF(NOTA[[#This Row],[JUMLAH]]="","",NOTA[[#This Row],[JUMLAH]]*NOTA[[#This Row],[DISC 1]])</f>
        <v/>
      </c>
      <c r="Y400" s="51" t="str">
        <f>IF(NOTA[[#This Row],[JUMLAH]]="","",(NOTA[[#This Row],[JUMLAH]]-NOTA[[#This Row],[DISC 1-]])*NOTA[[#This Row],[DISC 2]])</f>
        <v/>
      </c>
      <c r="Z400" s="51" t="str">
        <f>IF(NOTA[[#This Row],[JUMLAH]]="","",NOTA[[#This Row],[DISC 1-]]+NOTA[[#This Row],[DISC 2-]])</f>
        <v/>
      </c>
      <c r="AA400" s="51" t="str">
        <f>IF(NOTA[[#This Row],[JUMLAH]]="","",NOTA[[#This Row],[JUMLAH]]-NOTA[[#This Row],[DISC]])</f>
        <v/>
      </c>
      <c r="AB400" s="51"/>
      <c r="AC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1" t="str">
        <f>IF(OR(NOTA[[#This Row],[QTY]]="",NOTA[[#This Row],[HARGA SATUAN]]="",),"",NOTA[[#This Row],[QTY]]*NOTA[[#This Row],[HARGA SATUAN]])</f>
        <v/>
      </c>
      <c r="AG400" s="40" t="str">
        <f ca="1">IF(NOTA[ID_H]="","",INDEX(NOTA[TANGGAL],MATCH(,INDIRECT(ADDRESS(ROW(NOTA[TANGGAL]),COLUMN(NOTA[TANGGAL]))&amp;":"&amp;ADDRESS(ROW(),COLUMN(NOTA[TANGGAL]))),-1)))</f>
        <v/>
      </c>
      <c r="AH400" s="42" t="str">
        <f ca="1">IF(NOTA[[#This Row],[NAMA BARANG]]="","",INDEX(NOTA[SUPPLIER],MATCH(,INDIRECT(ADDRESS(ROW(NOTA[ID]),COLUMN(NOTA[ID]))&amp;":"&amp;ADDRESS(ROW(),COLUMN(NOTA[ID]))),-1)))</f>
        <v/>
      </c>
      <c r="AI400" s="42" t="str">
        <f ca="1">IF(NOTA[[#This Row],[ID_H]]="","",IF(NOTA[[#This Row],[FAKTUR]]="",INDIRECT(ADDRESS(ROW()-1,COLUMN())),NOTA[[#This Row],[FAKTUR]]))</f>
        <v/>
      </c>
      <c r="AJ400" s="39" t="str">
        <f ca="1">IF(NOTA[[#This Row],[ID]]="","",COUNTIF(NOTA[ID_H],NOTA[[#This Row],[ID_H]]))</f>
        <v/>
      </c>
      <c r="AK400" s="39" t="str">
        <f ca="1">IF(NOTA[[#This Row],[TGL.NOTA]]="",IF(NOTA[[#This Row],[SUPPLIER_H]]="","",AK399),MONTH(NOTA[[#This Row],[TGL.NOTA]]))</f>
        <v/>
      </c>
      <c r="AL400" s="39" t="str">
        <f>LOWER(SUBSTITUTE(SUBSTITUTE(SUBSTITUTE(SUBSTITUTE(SUBSTITUTE(SUBSTITUTE(SUBSTITUTE(SUBSTITUTE(SUBSTITUTE(NOTA[NAMA BARANG]," ",),".",""),"-",""),"(",""),")",""),",",""),"/",""),"""",""),"+",""))</f>
        <v/>
      </c>
      <c r="AM4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9" t="str">
        <f>IF(NOTA[[#This Row],[CONCAT4]]="","",_xlfn.IFNA(MATCH(NOTA[[#This Row],[CONCAT4]],[2]!RAW[CONCAT_H],0),FALSE))</f>
        <v/>
      </c>
      <c r="AQ400" s="39" t="str">
        <f>IF(NOTA[[#This Row],[CONCAT1]]="","",MATCH(NOTA[[#This Row],[CONCAT1]],[3]!db[NB NOTA_C],0))</f>
        <v/>
      </c>
      <c r="AR400" s="39" t="str">
        <f>IF(NOTA[[#This Row],[QTY/ CTN]]="","",TRUE)</f>
        <v/>
      </c>
      <c r="AS400" s="39" t="str">
        <f ca="1">IF(NOTA[[#This Row],[ID_H]]="","",IF(NOTA[[#This Row],[Column3]]=TRUE,NOTA[[#This Row],[QTY/ CTN]],INDEX([3]!db[QTY/ CTN],NOTA[[#This Row],[//DB]])))</f>
        <v/>
      </c>
      <c r="AT4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9" t="str">
        <f ca="1">IF(NOTA[[#This Row],[ID_H]]="","",MATCH(NOTA[[#This Row],[NB NOTA_C_QTY]],[4]!db[NB NOTA_C_QTY+F],0))</f>
        <v/>
      </c>
      <c r="AV400" s="55" t="str">
        <f ca="1">IF(NOTA[[#This Row],[NB NOTA_C_QTY]]="","",ROW()-2)</f>
        <v/>
      </c>
    </row>
    <row r="401" spans="1:48" ht="20.100000000000001" customHeight="1" x14ac:dyDescent="0.25">
      <c r="A401" s="42">
        <f ca="1">IF(INDIRECT(ADDRESS(ROW()-1,COLUMN(NOTA[[#Headers],[ID]])))="ID",1,IF(NOTA[[#This Row],[FAKTUR]]="","",COUNT(INDIRECT(ADDRESS(ROW(NOTA[ID]),COLUMN(NOTA[ID]))&amp;":"&amp;ADDRESS(ROW()-1,COLUMN(NOTA[ID]))))+1))</f>
        <v>81</v>
      </c>
      <c r="B40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KEN_1807_355-2</v>
      </c>
      <c r="C401" s="39" t="e">
        <f ca="1">IF(NOTA[[#This Row],[ID_P]]="","",MATCH(NOTA[[#This Row],[ID_P]],[1]!B_MSK[N_ID],0))</f>
        <v>#REF!</v>
      </c>
      <c r="D401" s="39">
        <f ca="1">IF(NOTA[[#This Row],[NAMA BARANG]]="","",INDEX(NOTA[ID],MATCH(,INDIRECT(ADDRESS(ROW(NOTA[ID]),COLUMN(NOTA[ID]))&amp;":"&amp;ADDRESS(ROW(),COLUMN(NOTA[ID]))),-1)))</f>
        <v>81</v>
      </c>
      <c r="E401" s="47">
        <v>45125</v>
      </c>
      <c r="F401" s="38" t="s">
        <v>22</v>
      </c>
      <c r="G401" s="38" t="s">
        <v>23</v>
      </c>
      <c r="H401" s="48" t="s">
        <v>496</v>
      </c>
      <c r="J401" s="40">
        <v>45122</v>
      </c>
      <c r="K401" s="38">
        <v>1</v>
      </c>
      <c r="L401" s="38" t="s">
        <v>108</v>
      </c>
      <c r="M401" s="41">
        <v>2</v>
      </c>
      <c r="N401" s="39"/>
      <c r="Q401" s="43">
        <v>1710000</v>
      </c>
      <c r="R401" s="49"/>
      <c r="S401" s="50">
        <v>0.17</v>
      </c>
      <c r="U401" s="51"/>
      <c r="V401" s="46"/>
      <c r="W401" s="51">
        <f>IF(NOTA[[#This Row],[HARGA/ CTN]]="",NOTA[[#This Row],[JUMLAH_H]],NOTA[[#This Row],[HARGA/ CTN]]*IF(NOTA[[#This Row],[C]]="",0,NOTA[[#This Row],[C]]))</f>
        <v>3420000</v>
      </c>
      <c r="X401" s="51">
        <f>IF(NOTA[[#This Row],[JUMLAH]]="","",NOTA[[#This Row],[JUMLAH]]*NOTA[[#This Row],[DISC 1]])</f>
        <v>581400</v>
      </c>
      <c r="Y401" s="51">
        <f>IF(NOTA[[#This Row],[JUMLAH]]="","",(NOTA[[#This Row],[JUMLAH]]-NOTA[[#This Row],[DISC 1-]])*NOTA[[#This Row],[DISC 2]])</f>
        <v>0</v>
      </c>
      <c r="Z401" s="51">
        <f>IF(NOTA[[#This Row],[JUMLAH]]="","",NOTA[[#This Row],[DISC 1-]]+NOTA[[#This Row],[DISC 2-]])</f>
        <v>581400</v>
      </c>
      <c r="AA401" s="51">
        <f>IF(NOTA[[#This Row],[JUMLAH]]="","",NOTA[[#This Row],[JUMLAH]]-NOTA[[#This Row],[DISC]])</f>
        <v>2838600</v>
      </c>
      <c r="AB401" s="51"/>
      <c r="AC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01" s="51" t="str">
        <f>IF(OR(NOTA[[#This Row],[QTY]]="",NOTA[[#This Row],[HARGA SATUAN]]="",),"",NOTA[[#This Row],[QTY]]*NOTA[[#This Row],[HARGA SATUAN]])</f>
        <v/>
      </c>
      <c r="AG401" s="40">
        <f ca="1">IF(NOTA[ID_H]="","",INDEX(NOTA[TANGGAL],MATCH(,INDIRECT(ADDRESS(ROW(NOTA[TANGGAL]),COLUMN(NOTA[TANGGAL]))&amp;":"&amp;ADDRESS(ROW(),COLUMN(NOTA[TANGGAL]))),-1)))</f>
        <v>45125</v>
      </c>
      <c r="AH401" s="42" t="str">
        <f ca="1">IF(NOTA[[#This Row],[NAMA BARANG]]="","",INDEX(NOTA[SUPPLIER],MATCH(,INDIRECT(ADDRESS(ROW(NOTA[ID]),COLUMN(NOTA[ID]))&amp;":"&amp;ADDRESS(ROW(),COLUMN(NOTA[ID]))),-1)))</f>
        <v>KENKO SINAR INDONESIA</v>
      </c>
      <c r="AI401" s="42" t="str">
        <f ca="1">IF(NOTA[[#This Row],[ID_H]]="","",IF(NOTA[[#This Row],[FAKTUR]]="",INDIRECT(ADDRESS(ROW()-1,COLUMN())),NOTA[[#This Row],[FAKTUR]]))</f>
        <v>ARTO MORO</v>
      </c>
      <c r="AJ401" s="39">
        <f ca="1">IF(NOTA[[#This Row],[ID]]="","",COUNTIF(NOTA[ID_H],NOTA[[#This Row],[ID_H]]))</f>
        <v>2</v>
      </c>
      <c r="AK401" s="39">
        <f>IF(NOTA[[#This Row],[TGL.NOTA]]="",IF(NOTA[[#This Row],[SUPPLIER_H]]="","",AK400),MONTH(NOTA[[#This Row],[TGL.NOTA]]))</f>
        <v>7</v>
      </c>
      <c r="AL401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4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4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40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MORO2307135545122kenkocuttera3009mmblade</v>
      </c>
      <c r="AP401" s="39" t="e">
        <f>IF(NOTA[[#This Row],[CONCAT4]]="","",_xlfn.IFNA(MATCH(NOTA[[#This Row],[CONCAT4]],[2]!RAW[CONCAT_H],0),FALSE))</f>
        <v>#REF!</v>
      </c>
      <c r="AQ401" s="39">
        <f>IF(NOTA[[#This Row],[CONCAT1]]="","",MATCH(NOTA[[#This Row],[CONCAT1]],[3]!db[NB NOTA_C],0))</f>
        <v>947</v>
      </c>
      <c r="AR401" s="39" t="str">
        <f>IF(NOTA[[#This Row],[QTY/ CTN]]="","",TRUE)</f>
        <v/>
      </c>
      <c r="AS401" s="39" t="str">
        <f ca="1">IF(NOTA[[#This Row],[ID_H]]="","",IF(NOTA[[#This Row],[Column3]]=TRUE,NOTA[[#This Row],[QTY/ CTN]],INDEX([3]!db[QTY/ CTN],NOTA[[#This Row],[//DB]])))</f>
        <v>30 LSN</v>
      </c>
      <c r="AT4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401" s="39" t="e">
        <f ca="1">IF(NOTA[[#This Row],[ID_H]]="","",MATCH(NOTA[[#This Row],[NB NOTA_C_QTY]],[4]!db[NB NOTA_C_QTY+F],0))</f>
        <v>#REF!</v>
      </c>
      <c r="AV401" s="55">
        <f ca="1">IF(NOTA[[#This Row],[NB NOTA_C_QTY]]="","",ROW()-2)</f>
        <v>399</v>
      </c>
    </row>
    <row r="402" spans="1:48" ht="20.100000000000001" customHeight="1" x14ac:dyDescent="0.25">
      <c r="A4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81</v>
      </c>
      <c r="E402" s="47"/>
      <c r="H402" s="48"/>
      <c r="L402" s="38" t="s">
        <v>109</v>
      </c>
      <c r="M402" s="41">
        <v>2</v>
      </c>
      <c r="N402" s="39"/>
      <c r="Q402" s="43">
        <v>2952000</v>
      </c>
      <c r="R402" s="49"/>
      <c r="S402" s="50">
        <v>0.17</v>
      </c>
      <c r="U402" s="51"/>
      <c r="V402" s="46"/>
      <c r="W402" s="51">
        <f>IF(NOTA[[#This Row],[HARGA/ CTN]]="",NOTA[[#This Row],[JUMLAH_H]],NOTA[[#This Row],[HARGA/ CTN]]*IF(NOTA[[#This Row],[C]]="",0,NOTA[[#This Row],[C]]))</f>
        <v>5904000</v>
      </c>
      <c r="X402" s="51">
        <f>IF(NOTA[[#This Row],[JUMLAH]]="","",NOTA[[#This Row],[JUMLAH]]*NOTA[[#This Row],[DISC 1]])</f>
        <v>1003680.0000000001</v>
      </c>
      <c r="Y402" s="51">
        <f>IF(NOTA[[#This Row],[JUMLAH]]="","",(NOTA[[#This Row],[JUMLAH]]-NOTA[[#This Row],[DISC 1-]])*NOTA[[#This Row],[DISC 2]])</f>
        <v>0</v>
      </c>
      <c r="Z402" s="51">
        <f>IF(NOTA[[#This Row],[JUMLAH]]="","",NOTA[[#This Row],[DISC 1-]]+NOTA[[#This Row],[DISC 2-]])</f>
        <v>1003680.0000000001</v>
      </c>
      <c r="AA402" s="51">
        <f>IF(NOTA[[#This Row],[JUMLAH]]="","",NOTA[[#This Row],[JUMLAH]]-NOTA[[#This Row],[DISC]])</f>
        <v>4900320</v>
      </c>
      <c r="AB402" s="51"/>
      <c r="AC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1585080</v>
      </c>
      <c r="AD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7738920</v>
      </c>
      <c r="AE402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2" s="51" t="str">
        <f>IF(OR(NOTA[[#This Row],[QTY]]="",NOTA[[#This Row],[HARGA SATUAN]]="",),"",NOTA[[#This Row],[QTY]]*NOTA[[#This Row],[HARGA SATUAN]])</f>
        <v/>
      </c>
      <c r="AG402" s="40">
        <f ca="1">IF(NOTA[ID_H]="","",INDEX(NOTA[TANGGAL],MATCH(,INDIRECT(ADDRESS(ROW(NOTA[TANGGAL]),COLUMN(NOTA[TANGGAL]))&amp;":"&amp;ADDRESS(ROW(),COLUMN(NOTA[TANGGAL]))),-1)))</f>
        <v>45125</v>
      </c>
      <c r="AH402" s="42" t="str">
        <f ca="1">IF(NOTA[[#This Row],[NAMA BARANG]]="","",INDEX(NOTA[SUPPLIER],MATCH(,INDIRECT(ADDRESS(ROW(NOTA[ID]),COLUMN(NOTA[ID]))&amp;":"&amp;ADDRESS(ROW(),COLUMN(NOTA[ID]))),-1)))</f>
        <v>KENKO SINAR INDONESIA</v>
      </c>
      <c r="AI402" s="42" t="str">
        <f ca="1">IF(NOTA[[#This Row],[ID_H]]="","",IF(NOTA[[#This Row],[FAKTUR]]="",INDIRECT(ADDRESS(ROW()-1,COLUMN())),NOTA[[#This Row],[FAKTUR]]))</f>
        <v>ARTO MORO</v>
      </c>
      <c r="AJ402" s="39" t="str">
        <f ca="1">IF(NOTA[[#This Row],[ID]]="","",COUNTIF(NOTA[ID_H],NOTA[[#This Row],[ID_H]]))</f>
        <v/>
      </c>
      <c r="AK402" s="39">
        <f ca="1">IF(NOTA[[#This Row],[TGL.NOTA]]="",IF(NOTA[[#This Row],[SUPPLIER_H]]="","",AK401),MONTH(NOTA[[#This Row],[TGL.NOTA]]))</f>
        <v>7</v>
      </c>
      <c r="AL402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4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4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4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9" t="str">
        <f>IF(NOTA[[#This Row],[CONCAT4]]="","",_xlfn.IFNA(MATCH(NOTA[[#This Row],[CONCAT4]],[2]!RAW[CONCAT_H],0),FALSE))</f>
        <v/>
      </c>
      <c r="AQ402" s="39">
        <f>IF(NOTA[[#This Row],[CONCAT1]]="","",MATCH(NOTA[[#This Row],[CONCAT1]],[3]!db[NB NOTA_C],0))</f>
        <v>950</v>
      </c>
      <c r="AR402" s="39" t="str">
        <f>IF(NOTA[[#This Row],[QTY/ CTN]]="","",TRUE)</f>
        <v/>
      </c>
      <c r="AS402" s="39" t="str">
        <f ca="1">IF(NOTA[[#This Row],[ID_H]]="","",IF(NOTA[[#This Row],[Column3]]=TRUE,NOTA[[#This Row],[QTY/ CTN]],INDEX([3]!db[QTY/ CTN],NOTA[[#This Row],[//DB]])))</f>
        <v>20 LSN</v>
      </c>
      <c r="AT4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402" s="39" t="e">
        <f ca="1">IF(NOTA[[#This Row],[ID_H]]="","",MATCH(NOTA[[#This Row],[NB NOTA_C_QTY]],[4]!db[NB NOTA_C_QTY+F],0))</f>
        <v>#REF!</v>
      </c>
      <c r="AV402" s="55">
        <f ca="1">IF(NOTA[[#This Row],[NB NOTA_C_QTY]]="","",ROW()-2)</f>
        <v>400</v>
      </c>
    </row>
    <row r="403" spans="1:48" ht="20.100000000000001" customHeight="1" x14ac:dyDescent="0.25">
      <c r="A4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47"/>
      <c r="H403" s="48"/>
      <c r="N403" s="39"/>
      <c r="Q403" s="43"/>
      <c r="R403" s="49"/>
      <c r="S403" s="50"/>
      <c r="U403" s="51"/>
      <c r="V403" s="46"/>
      <c r="W403" s="51" t="str">
        <f>IF(NOTA[[#This Row],[HARGA/ CTN]]="",NOTA[[#This Row],[JUMLAH_H]],NOTA[[#This Row],[HARGA/ CTN]]*IF(NOTA[[#This Row],[C]]="",0,NOTA[[#This Row],[C]]))</f>
        <v/>
      </c>
      <c r="X403" s="51" t="str">
        <f>IF(NOTA[[#This Row],[JUMLAH]]="","",NOTA[[#This Row],[JUMLAH]]*NOTA[[#This Row],[DISC 1]])</f>
        <v/>
      </c>
      <c r="Y403" s="51" t="str">
        <f>IF(NOTA[[#This Row],[JUMLAH]]="","",(NOTA[[#This Row],[JUMLAH]]-NOTA[[#This Row],[DISC 1-]])*NOTA[[#This Row],[DISC 2]])</f>
        <v/>
      </c>
      <c r="Z403" s="51" t="str">
        <f>IF(NOTA[[#This Row],[JUMLAH]]="","",NOTA[[#This Row],[DISC 1-]]+NOTA[[#This Row],[DISC 2-]])</f>
        <v/>
      </c>
      <c r="AA403" s="51" t="str">
        <f>IF(NOTA[[#This Row],[JUMLAH]]="","",NOTA[[#This Row],[JUMLAH]]-NOTA[[#This Row],[DISC]])</f>
        <v/>
      </c>
      <c r="AB403" s="51"/>
      <c r="AC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1" t="str">
        <f>IF(OR(NOTA[[#This Row],[QTY]]="",NOTA[[#This Row],[HARGA SATUAN]]="",),"",NOTA[[#This Row],[QTY]]*NOTA[[#This Row],[HARGA SATUAN]])</f>
        <v/>
      </c>
      <c r="AG403" s="40" t="str">
        <f ca="1">IF(NOTA[ID_H]="","",INDEX(NOTA[TANGGAL],MATCH(,INDIRECT(ADDRESS(ROW(NOTA[TANGGAL]),COLUMN(NOTA[TANGGAL]))&amp;":"&amp;ADDRESS(ROW(),COLUMN(NOTA[TANGGAL]))),-1)))</f>
        <v/>
      </c>
      <c r="AH403" s="42" t="str">
        <f ca="1">IF(NOTA[[#This Row],[NAMA BARANG]]="","",INDEX(NOTA[SUPPLIER],MATCH(,INDIRECT(ADDRESS(ROW(NOTA[ID]),COLUMN(NOTA[ID]))&amp;":"&amp;ADDRESS(ROW(),COLUMN(NOTA[ID]))),-1)))</f>
        <v/>
      </c>
      <c r="AI403" s="42" t="str">
        <f ca="1">IF(NOTA[[#This Row],[ID_H]]="","",IF(NOTA[[#This Row],[FAKTUR]]="",INDIRECT(ADDRESS(ROW()-1,COLUMN())),NOTA[[#This Row],[FAKTUR]]))</f>
        <v/>
      </c>
      <c r="AJ403" s="39" t="str">
        <f ca="1">IF(NOTA[[#This Row],[ID]]="","",COUNTIF(NOTA[ID_H],NOTA[[#This Row],[ID_H]]))</f>
        <v/>
      </c>
      <c r="AK403" s="39" t="str">
        <f ca="1">IF(NOTA[[#This Row],[TGL.NOTA]]="",IF(NOTA[[#This Row],[SUPPLIER_H]]="","",AK402),MONTH(NOTA[[#This Row],[TGL.NOTA]]))</f>
        <v/>
      </c>
      <c r="AL403" s="39" t="str">
        <f>LOWER(SUBSTITUTE(SUBSTITUTE(SUBSTITUTE(SUBSTITUTE(SUBSTITUTE(SUBSTITUTE(SUBSTITUTE(SUBSTITUTE(SUBSTITUTE(NOTA[NAMA BARANG]," ",),".",""),"-",""),"(",""),")",""),",",""),"/",""),"""",""),"+",""))</f>
        <v/>
      </c>
      <c r="AM4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9" t="str">
        <f>IF(NOTA[[#This Row],[CONCAT4]]="","",_xlfn.IFNA(MATCH(NOTA[[#This Row],[CONCAT4]],[2]!RAW[CONCAT_H],0),FALSE))</f>
        <v/>
      </c>
      <c r="AQ403" s="39" t="str">
        <f>IF(NOTA[[#This Row],[CONCAT1]]="","",MATCH(NOTA[[#This Row],[CONCAT1]],[3]!db[NB NOTA_C],0))</f>
        <v/>
      </c>
      <c r="AR403" s="39" t="str">
        <f>IF(NOTA[[#This Row],[QTY/ CTN]]="","",TRUE)</f>
        <v/>
      </c>
      <c r="AS403" s="39" t="str">
        <f ca="1">IF(NOTA[[#This Row],[ID_H]]="","",IF(NOTA[[#This Row],[Column3]]=TRUE,NOTA[[#This Row],[QTY/ CTN]],INDEX([3]!db[QTY/ CTN],NOTA[[#This Row],[//DB]])))</f>
        <v/>
      </c>
      <c r="AT4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9" t="str">
        <f ca="1">IF(NOTA[[#This Row],[ID_H]]="","",MATCH(NOTA[[#This Row],[NB NOTA_C_QTY]],[4]!db[NB NOTA_C_QTY+F],0))</f>
        <v/>
      </c>
      <c r="AV403" s="55" t="str">
        <f ca="1">IF(NOTA[[#This Row],[NB NOTA_C_QTY]]="","",ROW()-2)</f>
        <v/>
      </c>
    </row>
    <row r="404" spans="1:48" ht="20.100000000000001" customHeight="1" x14ac:dyDescent="0.25">
      <c r="A404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KEN_1807_464-8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82</v>
      </c>
      <c r="E404" s="47"/>
      <c r="F404" s="38" t="s">
        <v>22</v>
      </c>
      <c r="G404" s="38" t="s">
        <v>23</v>
      </c>
      <c r="H404" s="48" t="s">
        <v>497</v>
      </c>
      <c r="J404" s="40">
        <v>45124</v>
      </c>
      <c r="K404" s="38">
        <v>1</v>
      </c>
      <c r="L404" s="38" t="s">
        <v>401</v>
      </c>
      <c r="M404" s="41">
        <v>2</v>
      </c>
      <c r="N404" s="39"/>
      <c r="Q404" s="43">
        <v>1695600</v>
      </c>
      <c r="R404" s="49"/>
      <c r="S404" s="50">
        <v>0.17</v>
      </c>
      <c r="U404" s="51"/>
      <c r="V404" s="46"/>
      <c r="W404" s="51">
        <f>IF(NOTA[[#This Row],[HARGA/ CTN]]="",NOTA[[#This Row],[JUMLAH_H]],NOTA[[#This Row],[HARGA/ CTN]]*IF(NOTA[[#This Row],[C]]="",0,NOTA[[#This Row],[C]]))</f>
        <v>3391200</v>
      </c>
      <c r="X404" s="51">
        <f>IF(NOTA[[#This Row],[JUMLAH]]="","",NOTA[[#This Row],[JUMLAH]]*NOTA[[#This Row],[DISC 1]])</f>
        <v>576504</v>
      </c>
      <c r="Y404" s="51">
        <f>IF(NOTA[[#This Row],[JUMLAH]]="","",(NOTA[[#This Row],[JUMLAH]]-NOTA[[#This Row],[DISC 1-]])*NOTA[[#This Row],[DISC 2]])</f>
        <v>0</v>
      </c>
      <c r="Z404" s="51">
        <f>IF(NOTA[[#This Row],[JUMLAH]]="","",NOTA[[#This Row],[DISC 1-]]+NOTA[[#This Row],[DISC 2-]])</f>
        <v>576504</v>
      </c>
      <c r="AA404" s="51">
        <f>IF(NOTA[[#This Row],[JUMLAH]]="","",NOTA[[#This Row],[JUMLAH]]-NOTA[[#This Row],[DISC]])</f>
        <v>2814696</v>
      </c>
      <c r="AB404" s="51"/>
      <c r="AC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04" s="51" t="str">
        <f>IF(OR(NOTA[[#This Row],[QTY]]="",NOTA[[#This Row],[HARGA SATUAN]]="",),"",NOTA[[#This Row],[QTY]]*NOTA[[#This Row],[HARGA SATUAN]])</f>
        <v/>
      </c>
      <c r="AG404" s="40">
        <f ca="1">IF(NOTA[ID_H]="","",INDEX(NOTA[TANGGAL],MATCH(,INDIRECT(ADDRESS(ROW(NOTA[TANGGAL]),COLUMN(NOTA[TANGGAL]))&amp;":"&amp;ADDRESS(ROW(),COLUMN(NOTA[TANGGAL]))),-1)))</f>
        <v>45125</v>
      </c>
      <c r="AH404" s="42" t="str">
        <f ca="1">IF(NOTA[[#This Row],[NAMA BARANG]]="","",INDEX(NOTA[SUPPLIER],MATCH(,INDIRECT(ADDRESS(ROW(NOTA[ID]),COLUMN(NOTA[ID]))&amp;":"&amp;ADDRESS(ROW(),COLUMN(NOTA[ID]))),-1)))</f>
        <v>KENKO SINAR INDONESIA</v>
      </c>
      <c r="AI404" s="42" t="str">
        <f ca="1">IF(NOTA[[#This Row],[ID_H]]="","",IF(NOTA[[#This Row],[FAKTUR]]="",INDIRECT(ADDRESS(ROW()-1,COLUMN())),NOTA[[#This Row],[FAKTUR]]))</f>
        <v>ARTO MORO</v>
      </c>
      <c r="AJ404" s="39">
        <f ca="1">IF(NOTA[[#This Row],[ID]]="","",COUNTIF(NOTA[ID_H],NOTA[[#This Row],[ID_H]]))</f>
        <v>8</v>
      </c>
      <c r="AK404" s="39">
        <f>IF(NOTA[[#This Row],[TGL.NOTA]]="",IF(NOTA[[#This Row],[SUPPLIER_H]]="","",AK403),MONTH(NOTA[[#This Row],[TGL.NOTA]]))</f>
        <v>7</v>
      </c>
      <c r="AL404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MORO2307146445124kenkocorrectionfluidke108</v>
      </c>
      <c r="AP404" s="39" t="e">
        <f>IF(NOTA[[#This Row],[CONCAT4]]="","",_xlfn.IFNA(MATCH(NOTA[[#This Row],[CONCAT4]],[2]!RAW[CONCAT_H],0),FALSE))</f>
        <v>#REF!</v>
      </c>
      <c r="AQ404" s="39">
        <f>IF(NOTA[[#This Row],[CONCAT1]]="","",MATCH(NOTA[[#This Row],[CONCAT1]],[3]!db[NB NOTA_C],0))</f>
        <v>2680</v>
      </c>
      <c r="AR404" s="39" t="str">
        <f>IF(NOTA[[#This Row],[QTY/ CTN]]="","",TRUE)</f>
        <v/>
      </c>
      <c r="AS404" s="39" t="str">
        <f ca="1">IF(NOTA[[#This Row],[ID_H]]="","",IF(NOTA[[#This Row],[Column3]]=TRUE,NOTA[[#This Row],[QTY/ CTN]],INDEX([3]!db[QTY/ CTN],NOTA[[#This Row],[//DB]])))</f>
        <v>36 LSN</v>
      </c>
      <c r="AT4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04" s="39" t="e">
        <f ca="1">IF(NOTA[[#This Row],[ID_H]]="","",MATCH(NOTA[[#This Row],[NB NOTA_C_QTY]],[4]!db[NB NOTA_C_QTY+F],0))</f>
        <v>#REF!</v>
      </c>
      <c r="AV404" s="55">
        <f ca="1">IF(NOTA[[#This Row],[NB NOTA_C_QTY]]="","",ROW()-2)</f>
        <v>402</v>
      </c>
    </row>
    <row r="405" spans="1:48" ht="20.100000000000001" customHeight="1" x14ac:dyDescent="0.25">
      <c r="A4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82</v>
      </c>
      <c r="E405" s="47"/>
      <c r="H405" s="48"/>
      <c r="K405" s="38">
        <v>1</v>
      </c>
      <c r="L405" s="38" t="s">
        <v>498</v>
      </c>
      <c r="M405" s="41">
        <v>1</v>
      </c>
      <c r="N405" s="39"/>
      <c r="Q405" s="43">
        <v>980000</v>
      </c>
      <c r="R405" s="49"/>
      <c r="S405" s="50">
        <v>0.17</v>
      </c>
      <c r="U405" s="51"/>
      <c r="V405" s="46"/>
      <c r="W405" s="51">
        <f>IF(NOTA[[#This Row],[HARGA/ CTN]]="",NOTA[[#This Row],[JUMLAH_H]],NOTA[[#This Row],[HARGA/ CTN]]*IF(NOTA[[#This Row],[C]]="",0,NOTA[[#This Row],[C]]))</f>
        <v>980000</v>
      </c>
      <c r="X405" s="51">
        <f>IF(NOTA[[#This Row],[JUMLAH]]="","",NOTA[[#This Row],[JUMLAH]]*NOTA[[#This Row],[DISC 1]])</f>
        <v>166600</v>
      </c>
      <c r="Y405" s="51">
        <f>IF(NOTA[[#This Row],[JUMLAH]]="","",(NOTA[[#This Row],[JUMLAH]]-NOTA[[#This Row],[DISC 1-]])*NOTA[[#This Row],[DISC 2]])</f>
        <v>0</v>
      </c>
      <c r="Z405" s="51">
        <f>IF(NOTA[[#This Row],[JUMLAH]]="","",NOTA[[#This Row],[DISC 1-]]+NOTA[[#This Row],[DISC 2-]])</f>
        <v>166600</v>
      </c>
      <c r="AA405" s="51">
        <f>IF(NOTA[[#This Row],[JUMLAH]]="","",NOTA[[#This Row],[JUMLAH]]-NOTA[[#This Row],[DISC]])</f>
        <v>813400</v>
      </c>
      <c r="AB405" s="51"/>
      <c r="AC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405" s="51" t="str">
        <f>IF(OR(NOTA[[#This Row],[QTY]]="",NOTA[[#This Row],[HARGA SATUAN]]="",),"",NOTA[[#This Row],[QTY]]*NOTA[[#This Row],[HARGA SATUAN]])</f>
        <v/>
      </c>
      <c r="AG405" s="40">
        <f ca="1">IF(NOTA[ID_H]="","",INDEX(NOTA[TANGGAL],MATCH(,INDIRECT(ADDRESS(ROW(NOTA[TANGGAL]),COLUMN(NOTA[TANGGAL]))&amp;":"&amp;ADDRESS(ROW(),COLUMN(NOTA[TANGGAL]))),-1)))</f>
        <v>45125</v>
      </c>
      <c r="AH405" s="42" t="str">
        <f ca="1">IF(NOTA[[#This Row],[NAMA BARANG]]="","",INDEX(NOTA[SUPPLIER],MATCH(,INDIRECT(ADDRESS(ROW(NOTA[ID]),COLUMN(NOTA[ID]))&amp;":"&amp;ADDRESS(ROW(),COLUMN(NOTA[ID]))),-1)))</f>
        <v>KENKO SINAR INDONESIA</v>
      </c>
      <c r="AI405" s="42" t="str">
        <f ca="1">IF(NOTA[[#This Row],[ID_H]]="","",IF(NOTA[[#This Row],[FAKTUR]]="",INDIRECT(ADDRESS(ROW()-1,COLUMN())),NOTA[[#This Row],[FAKTUR]]))</f>
        <v>ARTO MORO</v>
      </c>
      <c r="AJ405" s="39" t="str">
        <f ca="1">IF(NOTA[[#This Row],[ID]]="","",COUNTIF(NOTA[ID_H],NOTA[[#This Row],[ID_H]]))</f>
        <v/>
      </c>
      <c r="AK405" s="39">
        <f ca="1">IF(NOTA[[#This Row],[TGL.NOTA]]="",IF(NOTA[[#This Row],[SUPPLIER_H]]="","",AK404),MONTH(NOTA[[#This Row],[TGL.NOTA]]))</f>
        <v>7</v>
      </c>
      <c r="AL405" s="39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M4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4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4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9" t="str">
        <f>IF(NOTA[[#This Row],[CONCAT4]]="","",_xlfn.IFNA(MATCH(NOTA[[#This Row],[CONCAT4]],[2]!RAW[CONCAT_H],0),FALSE))</f>
        <v/>
      </c>
      <c r="AQ405" s="39">
        <f>IF(NOTA[[#This Row],[CONCAT1]]="","",MATCH(NOTA[[#This Row],[CONCAT1]],[3]!db[NB NOTA_C],0))</f>
        <v>1824</v>
      </c>
      <c r="AR405" s="39" t="str">
        <f>IF(NOTA[[#This Row],[QTY/ CTN]]="","",TRUE)</f>
        <v/>
      </c>
      <c r="AS405" s="39" t="str">
        <f ca="1">IF(NOTA[[#This Row],[ID_H]]="","",IF(NOTA[[#This Row],[Column3]]=TRUE,NOTA[[#This Row],[QTY/ CTN]],INDEX([3]!db[QTY/ CTN],NOTA[[#This Row],[//DB]])))</f>
        <v>100 BOX</v>
      </c>
      <c r="AT4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U405" s="39" t="e">
        <f ca="1">IF(NOTA[[#This Row],[ID_H]]="","",MATCH(NOTA[[#This Row],[NB NOTA_C_QTY]],[4]!db[NB NOTA_C_QTY+F],0))</f>
        <v>#REF!</v>
      </c>
      <c r="AV405" s="55">
        <f ca="1">IF(NOTA[[#This Row],[NB NOTA_C_QTY]]="","",ROW()-2)</f>
        <v>403</v>
      </c>
    </row>
    <row r="406" spans="1:48" ht="20.100000000000001" customHeight="1" x14ac:dyDescent="0.25">
      <c r="A4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82</v>
      </c>
      <c r="E406" s="47"/>
      <c r="H406" s="48"/>
      <c r="K406" s="38">
        <v>1</v>
      </c>
      <c r="L406" s="38" t="s">
        <v>499</v>
      </c>
      <c r="M406" s="41">
        <v>1</v>
      </c>
      <c r="N406" s="39"/>
      <c r="Q406" s="43">
        <v>1566000</v>
      </c>
      <c r="R406" s="49"/>
      <c r="S406" s="50">
        <v>0.17</v>
      </c>
      <c r="U406" s="51"/>
      <c r="V406" s="46"/>
      <c r="W406" s="51">
        <f>IF(NOTA[[#This Row],[HARGA/ CTN]]="",NOTA[[#This Row],[JUMLAH_H]],NOTA[[#This Row],[HARGA/ CTN]]*IF(NOTA[[#This Row],[C]]="",0,NOTA[[#This Row],[C]]))</f>
        <v>1566000</v>
      </c>
      <c r="X406" s="51">
        <f>IF(NOTA[[#This Row],[JUMLAH]]="","",NOTA[[#This Row],[JUMLAH]]*NOTA[[#This Row],[DISC 1]])</f>
        <v>266220</v>
      </c>
      <c r="Y406" s="51">
        <f>IF(NOTA[[#This Row],[JUMLAH]]="","",(NOTA[[#This Row],[JUMLAH]]-NOTA[[#This Row],[DISC 1-]])*NOTA[[#This Row],[DISC 2]])</f>
        <v>0</v>
      </c>
      <c r="Z406" s="51">
        <f>IF(NOTA[[#This Row],[JUMLAH]]="","",NOTA[[#This Row],[DISC 1-]]+NOTA[[#This Row],[DISC 2-]])</f>
        <v>266220</v>
      </c>
      <c r="AA406" s="51">
        <f>IF(NOTA[[#This Row],[JUMLAH]]="","",NOTA[[#This Row],[JUMLAH]]-NOTA[[#This Row],[DISC]])</f>
        <v>1299780</v>
      </c>
      <c r="AB406" s="51"/>
      <c r="AC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2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06" s="51" t="str">
        <f>IF(OR(NOTA[[#This Row],[QTY]]="",NOTA[[#This Row],[HARGA SATUAN]]="",),"",NOTA[[#This Row],[QTY]]*NOTA[[#This Row],[HARGA SATUAN]])</f>
        <v/>
      </c>
      <c r="AG406" s="40">
        <f ca="1">IF(NOTA[ID_H]="","",INDEX(NOTA[TANGGAL],MATCH(,INDIRECT(ADDRESS(ROW(NOTA[TANGGAL]),COLUMN(NOTA[TANGGAL]))&amp;":"&amp;ADDRESS(ROW(),COLUMN(NOTA[TANGGAL]))),-1)))</f>
        <v>45125</v>
      </c>
      <c r="AH406" s="42" t="str">
        <f ca="1">IF(NOTA[[#This Row],[NAMA BARANG]]="","",INDEX(NOTA[SUPPLIER],MATCH(,INDIRECT(ADDRESS(ROW(NOTA[ID]),COLUMN(NOTA[ID]))&amp;":"&amp;ADDRESS(ROW(),COLUMN(NOTA[ID]))),-1)))</f>
        <v>KENKO SINAR INDONESIA</v>
      </c>
      <c r="AI406" s="42" t="str">
        <f ca="1">IF(NOTA[[#This Row],[ID_H]]="","",IF(NOTA[[#This Row],[FAKTUR]]="",INDIRECT(ADDRESS(ROW()-1,COLUMN())),NOTA[[#This Row],[FAKTUR]]))</f>
        <v>ARTO MORO</v>
      </c>
      <c r="AJ406" s="39" t="str">
        <f ca="1">IF(NOTA[[#This Row],[ID]]="","",COUNTIF(NOTA[ID_H],NOTA[[#This Row],[ID_H]]))</f>
        <v/>
      </c>
      <c r="AK406" s="39">
        <f ca="1">IF(NOTA[[#This Row],[TGL.NOTA]]="",IF(NOTA[[#This Row],[SUPPLIER_H]]="","",AK405),MONTH(NOTA[[#This Row],[TGL.NOTA]]))</f>
        <v>7</v>
      </c>
      <c r="AL406" s="39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9" t="str">
        <f>IF(NOTA[[#This Row],[CONCAT4]]="","",_xlfn.IFNA(MATCH(NOTA[[#This Row],[CONCAT4]],[2]!RAW[CONCAT_H],0),FALSE))</f>
        <v/>
      </c>
      <c r="AQ406" s="39">
        <f>IF(NOTA[[#This Row],[CONCAT1]]="","",MATCH(NOTA[[#This Row],[CONCAT1]],[3]!db[NB NOTA_C],0))</f>
        <v>948</v>
      </c>
      <c r="AR406" s="39" t="str">
        <f>IF(NOTA[[#This Row],[QTY/ CTN]]="","",TRUE)</f>
        <v/>
      </c>
      <c r="AS406" s="39" t="str">
        <f ca="1">IF(NOTA[[#This Row],[ID_H]]="","",IF(NOTA[[#This Row],[Column3]]=TRUE,NOTA[[#This Row],[QTY/ CTN]],INDEX([3]!db[QTY/ CTN],NOTA[[#This Row],[//DB]])))</f>
        <v>30 LSN</v>
      </c>
      <c r="AT4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406" s="39" t="e">
        <f ca="1">IF(NOTA[[#This Row],[ID_H]]="","",MATCH(NOTA[[#This Row],[NB NOTA_C_QTY]],[4]!db[NB NOTA_C_QTY+F],0))</f>
        <v>#REF!</v>
      </c>
      <c r="AV406" s="55">
        <f ca="1">IF(NOTA[[#This Row],[NB NOTA_C_QTY]]="","",ROW()-2)</f>
        <v>404</v>
      </c>
    </row>
    <row r="407" spans="1:48" ht="20.100000000000001" customHeight="1" x14ac:dyDescent="0.25">
      <c r="A4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>
        <f ca="1">IF(NOTA[[#This Row],[NAMA BARANG]]="","",INDEX(NOTA[ID],MATCH(,INDIRECT(ADDRESS(ROW(NOTA[ID]),COLUMN(NOTA[ID]))&amp;":"&amp;ADDRESS(ROW(),COLUMN(NOTA[ID]))),-1)))</f>
        <v>82</v>
      </c>
      <c r="E407" s="47"/>
      <c r="H407" s="48"/>
      <c r="K407" s="38">
        <v>2</v>
      </c>
      <c r="L407" s="38" t="s">
        <v>500</v>
      </c>
      <c r="M407" s="41">
        <v>2</v>
      </c>
      <c r="N407" s="39"/>
      <c r="Q407" s="43">
        <v>1188000</v>
      </c>
      <c r="R407" s="49"/>
      <c r="S407" s="50">
        <v>0.17</v>
      </c>
      <c r="U407" s="51"/>
      <c r="V407" s="46"/>
      <c r="W407" s="51">
        <f>IF(NOTA[[#This Row],[HARGA/ CTN]]="",NOTA[[#This Row],[JUMLAH_H]],NOTA[[#This Row],[HARGA/ CTN]]*IF(NOTA[[#This Row],[C]]="",0,NOTA[[#This Row],[C]]))</f>
        <v>2376000</v>
      </c>
      <c r="X407" s="51">
        <f>IF(NOTA[[#This Row],[JUMLAH]]="","",NOTA[[#This Row],[JUMLAH]]*NOTA[[#This Row],[DISC 1]])</f>
        <v>403920</v>
      </c>
      <c r="Y407" s="51">
        <f>IF(NOTA[[#This Row],[JUMLAH]]="","",(NOTA[[#This Row],[JUMLAH]]-NOTA[[#This Row],[DISC 1-]])*NOTA[[#This Row],[DISC 2]])</f>
        <v>0</v>
      </c>
      <c r="Z407" s="51">
        <f>IF(NOTA[[#This Row],[JUMLAH]]="","",NOTA[[#This Row],[DISC 1-]]+NOTA[[#This Row],[DISC 2-]])</f>
        <v>403920</v>
      </c>
      <c r="AA407" s="51">
        <f>IF(NOTA[[#This Row],[JUMLAH]]="","",NOTA[[#This Row],[JUMLAH]]-NOTA[[#This Row],[DISC]])</f>
        <v>1972080</v>
      </c>
      <c r="AB407" s="51"/>
      <c r="AC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07" s="51" t="str">
        <f>IF(OR(NOTA[[#This Row],[QTY]]="",NOTA[[#This Row],[HARGA SATUAN]]="",),"",NOTA[[#This Row],[QTY]]*NOTA[[#This Row],[HARGA SATUAN]])</f>
        <v/>
      </c>
      <c r="AG407" s="40">
        <f ca="1">IF(NOTA[ID_H]="","",INDEX(NOTA[TANGGAL],MATCH(,INDIRECT(ADDRESS(ROW(NOTA[TANGGAL]),COLUMN(NOTA[TANGGAL]))&amp;":"&amp;ADDRESS(ROW(),COLUMN(NOTA[TANGGAL]))),-1)))</f>
        <v>45125</v>
      </c>
      <c r="AH407" s="42" t="str">
        <f ca="1">IF(NOTA[[#This Row],[NAMA BARANG]]="","",INDEX(NOTA[SUPPLIER],MATCH(,INDIRECT(ADDRESS(ROW(NOTA[ID]),COLUMN(NOTA[ID]))&amp;":"&amp;ADDRESS(ROW(),COLUMN(NOTA[ID]))),-1)))</f>
        <v>KENKO SINAR INDONESIA</v>
      </c>
      <c r="AI407" s="42" t="str">
        <f ca="1">IF(NOTA[[#This Row],[ID_H]]="","",IF(NOTA[[#This Row],[FAKTUR]]="",INDIRECT(ADDRESS(ROW()-1,COLUMN())),NOTA[[#This Row],[FAKTUR]]))</f>
        <v>ARTO MORO</v>
      </c>
      <c r="AJ407" s="39" t="str">
        <f ca="1">IF(NOTA[[#This Row],[ID]]="","",COUNTIF(NOTA[ID_H],NOTA[[#This Row],[ID_H]]))</f>
        <v/>
      </c>
      <c r="AK407" s="39">
        <f ca="1">IF(NOTA[[#This Row],[TGL.NOTA]]="",IF(NOTA[[#This Row],[SUPPLIER_H]]="","",AK406),MONTH(NOTA[[#This Row],[TGL.NOTA]]))</f>
        <v>7</v>
      </c>
      <c r="AL407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9" t="str">
        <f>IF(NOTA[[#This Row],[CONCAT4]]="","",_xlfn.IFNA(MATCH(NOTA[[#This Row],[CONCAT4]],[2]!RAW[CONCAT_H],0),FALSE))</f>
        <v/>
      </c>
      <c r="AQ407" s="39">
        <f>IF(NOTA[[#This Row],[CONCAT1]]="","",MATCH(NOTA[[#This Row],[CONCAT1]],[3]!db[NB NOTA_C],0))</f>
        <v>1266</v>
      </c>
      <c r="AR407" s="39" t="str">
        <f>IF(NOTA[[#This Row],[QTY/ CTN]]="","",TRUE)</f>
        <v/>
      </c>
      <c r="AS407" s="39" t="str">
        <f ca="1">IF(NOTA[[#This Row],[ID_H]]="","",IF(NOTA[[#This Row],[Column3]]=TRUE,NOTA[[#This Row],[QTY/ CTN]],INDEX([3]!db[QTY/ CTN],NOTA[[#This Row],[//DB]])))</f>
        <v>10 LSN</v>
      </c>
      <c r="AT4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407" s="39" t="e">
        <f ca="1">IF(NOTA[[#This Row],[ID_H]]="","",MATCH(NOTA[[#This Row],[NB NOTA_C_QTY]],[4]!db[NB NOTA_C_QTY+F],0))</f>
        <v>#REF!</v>
      </c>
      <c r="AV407" s="55">
        <f ca="1">IF(NOTA[[#This Row],[NB NOTA_C_QTY]]="","",ROW()-2)</f>
        <v>405</v>
      </c>
    </row>
    <row r="408" spans="1:48" ht="20.100000000000001" customHeight="1" x14ac:dyDescent="0.25">
      <c r="A4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>
        <f ca="1">IF(NOTA[[#This Row],[NAMA BARANG]]="","",INDEX(NOTA[ID],MATCH(,INDIRECT(ADDRESS(ROW(NOTA[ID]),COLUMN(NOTA[ID]))&amp;":"&amp;ADDRESS(ROW(),COLUMN(NOTA[ID]))),-1)))</f>
        <v>82</v>
      </c>
      <c r="E408" s="47"/>
      <c r="H408" s="48"/>
      <c r="L408" s="38" t="s">
        <v>501</v>
      </c>
      <c r="M408" s="41">
        <v>3</v>
      </c>
      <c r="N408" s="39"/>
      <c r="Q408" s="43">
        <v>396000</v>
      </c>
      <c r="R408" s="49"/>
      <c r="S408" s="50">
        <v>0.17</v>
      </c>
      <c r="U408" s="51"/>
      <c r="V408" s="46"/>
      <c r="W408" s="51">
        <f>IF(NOTA[[#This Row],[HARGA/ CTN]]="",NOTA[[#This Row],[JUMLAH_H]],NOTA[[#This Row],[HARGA/ CTN]]*IF(NOTA[[#This Row],[C]]="",0,NOTA[[#This Row],[C]]))</f>
        <v>1188000</v>
      </c>
      <c r="X408" s="51">
        <f>IF(NOTA[[#This Row],[JUMLAH]]="","",NOTA[[#This Row],[JUMLAH]]*NOTA[[#This Row],[DISC 1]])</f>
        <v>201960</v>
      </c>
      <c r="Y408" s="51">
        <f>IF(NOTA[[#This Row],[JUMLAH]]="","",(NOTA[[#This Row],[JUMLAH]]-NOTA[[#This Row],[DISC 1-]])*NOTA[[#This Row],[DISC 2]])</f>
        <v>0</v>
      </c>
      <c r="Z408" s="51">
        <f>IF(NOTA[[#This Row],[JUMLAH]]="","",NOTA[[#This Row],[DISC 1-]]+NOTA[[#This Row],[DISC 2-]])</f>
        <v>201960</v>
      </c>
      <c r="AA408" s="51">
        <f>IF(NOTA[[#This Row],[JUMLAH]]="","",NOTA[[#This Row],[JUMLAH]]-NOTA[[#This Row],[DISC]])</f>
        <v>986040</v>
      </c>
      <c r="AB408" s="51"/>
      <c r="AC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08" s="51" t="str">
        <f>IF(OR(NOTA[[#This Row],[QTY]]="",NOTA[[#This Row],[HARGA SATUAN]]="",),"",NOTA[[#This Row],[QTY]]*NOTA[[#This Row],[HARGA SATUAN]])</f>
        <v/>
      </c>
      <c r="AG408" s="40">
        <f ca="1">IF(NOTA[ID_H]="","",INDEX(NOTA[TANGGAL],MATCH(,INDIRECT(ADDRESS(ROW(NOTA[TANGGAL]),COLUMN(NOTA[TANGGAL]))&amp;":"&amp;ADDRESS(ROW(),COLUMN(NOTA[TANGGAL]))),-1)))</f>
        <v>45125</v>
      </c>
      <c r="AH408" s="42" t="str">
        <f ca="1">IF(NOTA[[#This Row],[NAMA BARANG]]="","",INDEX(NOTA[SUPPLIER],MATCH(,INDIRECT(ADDRESS(ROW(NOTA[ID]),COLUMN(NOTA[ID]))&amp;":"&amp;ADDRESS(ROW(),COLUMN(NOTA[ID]))),-1)))</f>
        <v>KENKO SINAR INDONESIA</v>
      </c>
      <c r="AI408" s="42" t="str">
        <f ca="1">IF(NOTA[[#This Row],[ID_H]]="","",IF(NOTA[[#This Row],[FAKTUR]]="",INDIRECT(ADDRESS(ROW()-1,COLUMN())),NOTA[[#This Row],[FAKTUR]]))</f>
        <v>ARTO MORO</v>
      </c>
      <c r="AJ408" s="39" t="str">
        <f ca="1">IF(NOTA[[#This Row],[ID]]="","",COUNTIF(NOTA[ID_H],NOTA[[#This Row],[ID_H]]))</f>
        <v/>
      </c>
      <c r="AK408" s="39">
        <f ca="1">IF(NOTA[[#This Row],[TGL.NOTA]]="",IF(NOTA[[#This Row],[SUPPLIER_H]]="","",AK407),MONTH(NOTA[[#This Row],[TGL.NOTA]]))</f>
        <v>7</v>
      </c>
      <c r="AL408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9" t="str">
        <f>IF(NOTA[[#This Row],[CONCAT4]]="","",_xlfn.IFNA(MATCH(NOTA[[#This Row],[CONCAT4]],[2]!RAW[CONCAT_H],0),FALSE))</f>
        <v/>
      </c>
      <c r="AQ408" s="39">
        <f>IF(NOTA[[#This Row],[CONCAT1]]="","",MATCH(NOTA[[#This Row],[CONCAT1]],[3]!db[NB NOTA_C],0))</f>
        <v>1492</v>
      </c>
      <c r="AR408" s="39" t="str">
        <f>IF(NOTA[[#This Row],[QTY/ CTN]]="","",TRUE)</f>
        <v/>
      </c>
      <c r="AS408" s="39" t="str">
        <f ca="1">IF(NOTA[[#This Row],[ID_H]]="","",IF(NOTA[[#This Row],[Column3]]=TRUE,NOTA[[#This Row],[QTY/ CTN]],INDEX([3]!db[QTY/ CTN],NOTA[[#This Row],[//DB]])))</f>
        <v>20 LSN</v>
      </c>
      <c r="AT4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08" s="39" t="e">
        <f ca="1">IF(NOTA[[#This Row],[ID_H]]="","",MATCH(NOTA[[#This Row],[NB NOTA_C_QTY]],[4]!db[NB NOTA_C_QTY+F],0))</f>
        <v>#REF!</v>
      </c>
      <c r="AV408" s="55">
        <f ca="1">IF(NOTA[[#This Row],[NB NOTA_C_QTY]]="","",ROW()-2)</f>
        <v>406</v>
      </c>
    </row>
    <row r="409" spans="1:48" ht="20.100000000000001" customHeight="1" x14ac:dyDescent="0.25">
      <c r="A4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82</v>
      </c>
      <c r="E409" s="47"/>
      <c r="H409" s="48"/>
      <c r="L409" s="38" t="s">
        <v>397</v>
      </c>
      <c r="M409" s="41">
        <v>2</v>
      </c>
      <c r="N409" s="39"/>
      <c r="Q409" s="43">
        <v>1860000</v>
      </c>
      <c r="R409" s="49"/>
      <c r="S409" s="50">
        <v>0.17</v>
      </c>
      <c r="U409" s="51"/>
      <c r="V409" s="46"/>
      <c r="W409" s="51">
        <f>IF(NOTA[[#This Row],[HARGA/ CTN]]="",NOTA[[#This Row],[JUMLAH_H]],NOTA[[#This Row],[HARGA/ CTN]]*IF(NOTA[[#This Row],[C]]="",0,NOTA[[#This Row],[C]]))</f>
        <v>3720000</v>
      </c>
      <c r="X409" s="51">
        <f>IF(NOTA[[#This Row],[JUMLAH]]="","",NOTA[[#This Row],[JUMLAH]]*NOTA[[#This Row],[DISC 1]])</f>
        <v>632400</v>
      </c>
      <c r="Y409" s="51">
        <f>IF(NOTA[[#This Row],[JUMLAH]]="","",(NOTA[[#This Row],[JUMLAH]]-NOTA[[#This Row],[DISC 1-]])*NOTA[[#This Row],[DISC 2]])</f>
        <v>0</v>
      </c>
      <c r="Z409" s="51">
        <f>IF(NOTA[[#This Row],[JUMLAH]]="","",NOTA[[#This Row],[DISC 1-]]+NOTA[[#This Row],[DISC 2-]])</f>
        <v>632400</v>
      </c>
      <c r="AA409" s="51">
        <f>IF(NOTA[[#This Row],[JUMLAH]]="","",NOTA[[#This Row],[JUMLAH]]-NOTA[[#This Row],[DISC]])</f>
        <v>3087600</v>
      </c>
      <c r="AB409" s="51"/>
      <c r="AC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09" s="51" t="str">
        <f>IF(OR(NOTA[[#This Row],[QTY]]="",NOTA[[#This Row],[HARGA SATUAN]]="",),"",NOTA[[#This Row],[QTY]]*NOTA[[#This Row],[HARGA SATUAN]])</f>
        <v/>
      </c>
      <c r="AG409" s="40">
        <f ca="1">IF(NOTA[ID_H]="","",INDEX(NOTA[TANGGAL],MATCH(,INDIRECT(ADDRESS(ROW(NOTA[TANGGAL]),COLUMN(NOTA[TANGGAL]))&amp;":"&amp;ADDRESS(ROW(),COLUMN(NOTA[TANGGAL]))),-1)))</f>
        <v>45125</v>
      </c>
      <c r="AH409" s="42" t="str">
        <f ca="1">IF(NOTA[[#This Row],[NAMA BARANG]]="","",INDEX(NOTA[SUPPLIER],MATCH(,INDIRECT(ADDRESS(ROW(NOTA[ID]),COLUMN(NOTA[ID]))&amp;":"&amp;ADDRESS(ROW(),COLUMN(NOTA[ID]))),-1)))</f>
        <v>KENKO SINAR INDONESIA</v>
      </c>
      <c r="AI409" s="42" t="str">
        <f ca="1">IF(NOTA[[#This Row],[ID_H]]="","",IF(NOTA[[#This Row],[FAKTUR]]="",INDIRECT(ADDRESS(ROW()-1,COLUMN())),NOTA[[#This Row],[FAKTUR]]))</f>
        <v>ARTO MORO</v>
      </c>
      <c r="AJ409" s="39" t="str">
        <f ca="1">IF(NOTA[[#This Row],[ID]]="","",COUNTIF(NOTA[ID_H],NOTA[[#This Row],[ID_H]]))</f>
        <v/>
      </c>
      <c r="AK409" s="39">
        <f ca="1">IF(NOTA[[#This Row],[TGL.NOTA]]="",IF(NOTA[[#This Row],[SUPPLIER_H]]="","",AK408),MONTH(NOTA[[#This Row],[TGL.NOTA]]))</f>
        <v>7</v>
      </c>
      <c r="AL409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9" t="str">
        <f>IF(NOTA[[#This Row],[CONCAT4]]="","",_xlfn.IFNA(MATCH(NOTA[[#This Row],[CONCAT4]],[2]!RAW[CONCAT_H],0),FALSE))</f>
        <v/>
      </c>
      <c r="AQ409" s="39">
        <f>IF(NOTA[[#This Row],[CONCAT1]]="","",MATCH(NOTA[[#This Row],[CONCAT1]],[3]!db[NB NOTA_C],0))</f>
        <v>2467</v>
      </c>
      <c r="AR409" s="39" t="str">
        <f>IF(NOTA[[#This Row],[QTY/ CTN]]="","",TRUE)</f>
        <v/>
      </c>
      <c r="AS409" s="39" t="str">
        <f ca="1">IF(NOTA[[#This Row],[ID_H]]="","",IF(NOTA[[#This Row],[Column3]]=TRUE,NOTA[[#This Row],[QTY/ CTN]],INDEX([3]!db[QTY/ CTN],NOTA[[#This Row],[//DB]])))</f>
        <v>25 LSN</v>
      </c>
      <c r="AT4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09" s="39" t="e">
        <f ca="1">IF(NOTA[[#This Row],[ID_H]]="","",MATCH(NOTA[[#This Row],[NB NOTA_C_QTY]],[4]!db[NB NOTA_C_QTY+F],0))</f>
        <v>#REF!</v>
      </c>
      <c r="AV409" s="55">
        <f ca="1">IF(NOTA[[#This Row],[NB NOTA_C_QTY]]="","",ROW()-2)</f>
        <v>407</v>
      </c>
    </row>
    <row r="410" spans="1:48" ht="20.100000000000001" customHeight="1" x14ac:dyDescent="0.25">
      <c r="A4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82</v>
      </c>
      <c r="E410" s="47"/>
      <c r="H410" s="48"/>
      <c r="L410" s="38" t="s">
        <v>503</v>
      </c>
      <c r="M410" s="41">
        <v>2</v>
      </c>
      <c r="N410" s="39"/>
      <c r="Q410" s="43">
        <v>1814400</v>
      </c>
      <c r="R410" s="49"/>
      <c r="S410" s="50">
        <v>0.17</v>
      </c>
      <c r="U410" s="51"/>
      <c r="V410" s="46"/>
      <c r="W410" s="51">
        <f>IF(NOTA[[#This Row],[HARGA/ CTN]]="",NOTA[[#This Row],[JUMLAH_H]],NOTA[[#This Row],[HARGA/ CTN]]*IF(NOTA[[#This Row],[C]]="",0,NOTA[[#This Row],[C]]))</f>
        <v>3628800</v>
      </c>
      <c r="X410" s="51">
        <f>IF(NOTA[[#This Row],[JUMLAH]]="","",NOTA[[#This Row],[JUMLAH]]*NOTA[[#This Row],[DISC 1]])</f>
        <v>616896</v>
      </c>
      <c r="Y410" s="51">
        <f>IF(NOTA[[#This Row],[JUMLAH]]="","",(NOTA[[#This Row],[JUMLAH]]-NOTA[[#This Row],[DISC 1-]])*NOTA[[#This Row],[DISC 2]])</f>
        <v>0</v>
      </c>
      <c r="Z410" s="51">
        <f>IF(NOTA[[#This Row],[JUMLAH]]="","",NOTA[[#This Row],[DISC 1-]]+NOTA[[#This Row],[DISC 2-]])</f>
        <v>616896</v>
      </c>
      <c r="AA410" s="51">
        <f>IF(NOTA[[#This Row],[JUMLAH]]="","",NOTA[[#This Row],[JUMLAH]]-NOTA[[#This Row],[DISC]])</f>
        <v>3011904</v>
      </c>
      <c r="AB410" s="51"/>
      <c r="AC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0" s="51" t="str">
        <f>IF(OR(NOTA[[#This Row],[QTY]]="",NOTA[[#This Row],[HARGA SATUAN]]="",),"",NOTA[[#This Row],[QTY]]*NOTA[[#This Row],[HARGA SATUAN]])</f>
        <v/>
      </c>
      <c r="AG410" s="40">
        <f ca="1">IF(NOTA[ID_H]="","",INDEX(NOTA[TANGGAL],MATCH(,INDIRECT(ADDRESS(ROW(NOTA[TANGGAL]),COLUMN(NOTA[TANGGAL]))&amp;":"&amp;ADDRESS(ROW(),COLUMN(NOTA[TANGGAL]))),-1)))</f>
        <v>45125</v>
      </c>
      <c r="AH410" s="42" t="str">
        <f ca="1">IF(NOTA[[#This Row],[NAMA BARANG]]="","",INDEX(NOTA[SUPPLIER],MATCH(,INDIRECT(ADDRESS(ROW(NOTA[ID]),COLUMN(NOTA[ID]))&amp;":"&amp;ADDRESS(ROW(),COLUMN(NOTA[ID]))),-1)))</f>
        <v>KENKO SINAR INDONESIA</v>
      </c>
      <c r="AI410" s="42" t="str">
        <f ca="1">IF(NOTA[[#This Row],[ID_H]]="","",IF(NOTA[[#This Row],[FAKTUR]]="",INDIRECT(ADDRESS(ROW()-1,COLUMN())),NOTA[[#This Row],[FAKTUR]]))</f>
        <v>ARTO MORO</v>
      </c>
      <c r="AJ410" s="39" t="str">
        <f ca="1">IF(NOTA[[#This Row],[ID]]="","",COUNTIF(NOTA[ID_H],NOTA[[#This Row],[ID_H]]))</f>
        <v/>
      </c>
      <c r="AK410" s="39">
        <f ca="1">IF(NOTA[[#This Row],[TGL.NOTA]]="",IF(NOTA[[#This Row],[SUPPLIER_H]]="","",AK409),MONTH(NOTA[[#This Row],[TGL.NOTA]]))</f>
        <v>7</v>
      </c>
      <c r="AL410" s="39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M4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4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O4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9" t="str">
        <f>IF(NOTA[[#This Row],[CONCAT4]]="","",_xlfn.IFNA(MATCH(NOTA[[#This Row],[CONCAT4]],[2]!RAW[CONCAT_H],0),FALSE))</f>
        <v/>
      </c>
      <c r="AQ410" s="39">
        <f>IF(NOTA[[#This Row],[CONCAT1]]="","",MATCH(NOTA[[#This Row],[CONCAT1]],[3]!db[NB NOTA_C],0))</f>
        <v>2664</v>
      </c>
      <c r="AR410" s="39" t="str">
        <f>IF(NOTA[[#This Row],[QTY/ CTN]]="","",TRUE)</f>
        <v/>
      </c>
      <c r="AS410" s="39" t="str">
        <f ca="1">IF(NOTA[[#This Row],[ID_H]]="","",IF(NOTA[[#This Row],[Column3]]=TRUE,NOTA[[#This Row],[QTY/ CTN]],INDEX([3]!db[QTY/ CTN],NOTA[[#This Row],[//DB]])))</f>
        <v>36 LSN</v>
      </c>
      <c r="AT4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kenkocorrectiontapect8198mx5mm36lsnartomoro</v>
      </c>
      <c r="AU410" s="39" t="e">
        <f ca="1">IF(NOTA[[#This Row],[ID_H]]="","",MATCH(NOTA[[#This Row],[NB NOTA_C_QTY]],[4]!db[NB NOTA_C_QTY+F],0))</f>
        <v>#REF!</v>
      </c>
      <c r="AV410" s="55">
        <f ca="1">IF(NOTA[[#This Row],[NB NOTA_C_QTY]]="","",ROW()-2)</f>
        <v>408</v>
      </c>
    </row>
    <row r="411" spans="1:48" ht="20.100000000000001" customHeight="1" x14ac:dyDescent="0.25">
      <c r="A4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82</v>
      </c>
      <c r="E411" s="47"/>
      <c r="H411" s="48"/>
      <c r="L411" s="38" t="s">
        <v>502</v>
      </c>
      <c r="M411" s="41">
        <v>2</v>
      </c>
      <c r="N411" s="39"/>
      <c r="Q411" s="43">
        <v>2008800</v>
      </c>
      <c r="R411" s="49"/>
      <c r="S411" s="50">
        <v>0.17</v>
      </c>
      <c r="U411" s="51"/>
      <c r="V411" s="46"/>
      <c r="W411" s="51">
        <f>IF(NOTA[[#This Row],[HARGA/ CTN]]="",NOTA[[#This Row],[JUMLAH_H]],NOTA[[#This Row],[HARGA/ CTN]]*IF(NOTA[[#This Row],[C]]="",0,NOTA[[#This Row],[C]]))</f>
        <v>4017600</v>
      </c>
      <c r="X411" s="51">
        <f>IF(NOTA[[#This Row],[JUMLAH]]="","",NOTA[[#This Row],[JUMLAH]]*NOTA[[#This Row],[DISC 1]])</f>
        <v>682992</v>
      </c>
      <c r="Y411" s="51">
        <f>IF(NOTA[[#This Row],[JUMLAH]]="","",(NOTA[[#This Row],[JUMLAH]]-NOTA[[#This Row],[DISC 1-]])*NOTA[[#This Row],[DISC 2]])</f>
        <v>0</v>
      </c>
      <c r="Z411" s="51">
        <f>IF(NOTA[[#This Row],[JUMLAH]]="","",NOTA[[#This Row],[DISC 1-]]+NOTA[[#This Row],[DISC 2-]])</f>
        <v>682992</v>
      </c>
      <c r="AA411" s="51">
        <f>IF(NOTA[[#This Row],[JUMLAH]]="","",NOTA[[#This Row],[JUMLAH]]-NOTA[[#This Row],[DISC]])</f>
        <v>3334608</v>
      </c>
      <c r="AB411" s="51"/>
      <c r="AC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3547492</v>
      </c>
      <c r="AD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17320108</v>
      </c>
      <c r="AE41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11" s="51" t="str">
        <f>IF(OR(NOTA[[#This Row],[QTY]]="",NOTA[[#This Row],[HARGA SATUAN]]="",),"",NOTA[[#This Row],[QTY]]*NOTA[[#This Row],[HARGA SATUAN]])</f>
        <v/>
      </c>
      <c r="AG411" s="40">
        <f ca="1">IF(NOTA[ID_H]="","",INDEX(NOTA[TANGGAL],MATCH(,INDIRECT(ADDRESS(ROW(NOTA[TANGGAL]),COLUMN(NOTA[TANGGAL]))&amp;":"&amp;ADDRESS(ROW(),COLUMN(NOTA[TANGGAL]))),-1)))</f>
        <v>45125</v>
      </c>
      <c r="AH411" s="42" t="str">
        <f ca="1">IF(NOTA[[#This Row],[NAMA BARANG]]="","",INDEX(NOTA[SUPPLIER],MATCH(,INDIRECT(ADDRESS(ROW(NOTA[ID]),COLUMN(NOTA[ID]))&amp;":"&amp;ADDRESS(ROW(),COLUMN(NOTA[ID]))),-1)))</f>
        <v>KENKO SINAR INDONESIA</v>
      </c>
      <c r="AI411" s="42" t="str">
        <f ca="1">IF(NOTA[[#This Row],[ID_H]]="","",IF(NOTA[[#This Row],[FAKTUR]]="",INDIRECT(ADDRESS(ROW()-1,COLUMN())),NOTA[[#This Row],[FAKTUR]]))</f>
        <v>ARTO MORO</v>
      </c>
      <c r="AJ411" s="39" t="str">
        <f ca="1">IF(NOTA[[#This Row],[ID]]="","",COUNTIF(NOTA[ID_H],NOTA[[#This Row],[ID_H]]))</f>
        <v/>
      </c>
      <c r="AK411" s="39">
        <f ca="1">IF(NOTA[[#This Row],[TGL.NOTA]]="",IF(NOTA[[#This Row],[SUPPLIER_H]]="","",AK410),MONTH(NOTA[[#This Row],[TGL.NOTA]]))</f>
        <v>7</v>
      </c>
      <c r="AL411" s="39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M4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4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O4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9" t="str">
        <f>IF(NOTA[[#This Row],[CONCAT4]]="","",_xlfn.IFNA(MATCH(NOTA[[#This Row],[CONCAT4]],[2]!RAW[CONCAT_H],0),FALSE))</f>
        <v/>
      </c>
      <c r="AQ411" s="39">
        <f>IF(NOTA[[#This Row],[CONCAT1]]="","",MATCH(NOTA[[#This Row],[CONCAT1]],[3]!db[NB NOTA_C],0))</f>
        <v>2675</v>
      </c>
      <c r="AR411" s="39" t="str">
        <f>IF(NOTA[[#This Row],[QTY/ CTN]]="","",TRUE)</f>
        <v/>
      </c>
      <c r="AS411" s="39" t="str">
        <f ca="1">IF(NOTA[[#This Row],[ID_H]]="","",IF(NOTA[[#This Row],[Column3]]=TRUE,NOTA[[#This Row],[QTY/ CTN]],INDEX([3]!db[QTY/ CTN],NOTA[[#This Row],[//DB]])))</f>
        <v>36 LSN</v>
      </c>
      <c r="AT4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kenkocorrectiontapect91912mx5mm36lsnartomoro</v>
      </c>
      <c r="AU411" s="39" t="e">
        <f ca="1">IF(NOTA[[#This Row],[ID_H]]="","",MATCH(NOTA[[#This Row],[NB NOTA_C_QTY]],[4]!db[NB NOTA_C_QTY+F],0))</f>
        <v>#REF!</v>
      </c>
      <c r="AV411" s="55">
        <f ca="1">IF(NOTA[[#This Row],[NB NOTA_C_QTY]]="","",ROW()-2)</f>
        <v>409</v>
      </c>
    </row>
    <row r="412" spans="1:48" ht="20.100000000000001" customHeight="1" x14ac:dyDescent="0.25">
      <c r="A4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 t="str">
        <f ca="1">IF(NOTA[[#This Row],[NAMA BARANG]]="","",INDEX(NOTA[ID],MATCH(,INDIRECT(ADDRESS(ROW(NOTA[ID]),COLUMN(NOTA[ID]))&amp;":"&amp;ADDRESS(ROW(),COLUMN(NOTA[ID]))),-1)))</f>
        <v/>
      </c>
      <c r="E412" s="47"/>
      <c r="H412" s="48"/>
      <c r="N412" s="39"/>
      <c r="Q412" s="43"/>
      <c r="R412" s="49"/>
      <c r="S412" s="50"/>
      <c r="U412" s="51"/>
      <c r="V412" s="46"/>
      <c r="W412" s="51" t="str">
        <f>IF(NOTA[[#This Row],[HARGA/ CTN]]="",NOTA[[#This Row],[JUMLAH_H]],NOTA[[#This Row],[HARGA/ CTN]]*IF(NOTA[[#This Row],[C]]="",0,NOTA[[#This Row],[C]]))</f>
        <v/>
      </c>
      <c r="X412" s="51" t="str">
        <f>IF(NOTA[[#This Row],[JUMLAH]]="","",NOTA[[#This Row],[JUMLAH]]*NOTA[[#This Row],[DISC 1]])</f>
        <v/>
      </c>
      <c r="Y412" s="51" t="str">
        <f>IF(NOTA[[#This Row],[JUMLAH]]="","",(NOTA[[#This Row],[JUMLAH]]-NOTA[[#This Row],[DISC 1-]])*NOTA[[#This Row],[DISC 2]])</f>
        <v/>
      </c>
      <c r="Z412" s="51" t="str">
        <f>IF(NOTA[[#This Row],[JUMLAH]]="","",NOTA[[#This Row],[DISC 1-]]+NOTA[[#This Row],[DISC 2-]])</f>
        <v/>
      </c>
      <c r="AA412" s="51" t="str">
        <f>IF(NOTA[[#This Row],[JUMLAH]]="","",NOTA[[#This Row],[JUMLAH]]-NOTA[[#This Row],[DISC]])</f>
        <v/>
      </c>
      <c r="AB412" s="51"/>
      <c r="AC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1" t="str">
        <f>IF(OR(NOTA[[#This Row],[QTY]]="",NOTA[[#This Row],[HARGA SATUAN]]="",),"",NOTA[[#This Row],[QTY]]*NOTA[[#This Row],[HARGA SATUAN]])</f>
        <v/>
      </c>
      <c r="AG412" s="40" t="str">
        <f ca="1">IF(NOTA[ID_H]="","",INDEX(NOTA[TANGGAL],MATCH(,INDIRECT(ADDRESS(ROW(NOTA[TANGGAL]),COLUMN(NOTA[TANGGAL]))&amp;":"&amp;ADDRESS(ROW(),COLUMN(NOTA[TANGGAL]))),-1)))</f>
        <v/>
      </c>
      <c r="AH412" s="42" t="str">
        <f ca="1">IF(NOTA[[#This Row],[NAMA BARANG]]="","",INDEX(NOTA[SUPPLIER],MATCH(,INDIRECT(ADDRESS(ROW(NOTA[ID]),COLUMN(NOTA[ID]))&amp;":"&amp;ADDRESS(ROW(),COLUMN(NOTA[ID]))),-1)))</f>
        <v/>
      </c>
      <c r="AI412" s="42" t="str">
        <f ca="1">IF(NOTA[[#This Row],[ID_H]]="","",IF(NOTA[[#This Row],[FAKTUR]]="",INDIRECT(ADDRESS(ROW()-1,COLUMN())),NOTA[[#This Row],[FAKTUR]]))</f>
        <v/>
      </c>
      <c r="AJ412" s="39" t="str">
        <f ca="1">IF(NOTA[[#This Row],[ID]]="","",COUNTIF(NOTA[ID_H],NOTA[[#This Row],[ID_H]]))</f>
        <v/>
      </c>
      <c r="AK412" s="39" t="str">
        <f ca="1">IF(NOTA[[#This Row],[TGL.NOTA]]="",IF(NOTA[[#This Row],[SUPPLIER_H]]="","",AK411),MONTH(NOTA[[#This Row],[TGL.NOTA]]))</f>
        <v/>
      </c>
      <c r="AL412" s="39" t="str">
        <f>LOWER(SUBSTITUTE(SUBSTITUTE(SUBSTITUTE(SUBSTITUTE(SUBSTITUTE(SUBSTITUTE(SUBSTITUTE(SUBSTITUTE(SUBSTITUTE(NOTA[NAMA BARANG]," ",),".",""),"-",""),"(",""),")",""),",",""),"/",""),"""",""),"+",""))</f>
        <v/>
      </c>
      <c r="AM4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9" t="str">
        <f>IF(NOTA[[#This Row],[CONCAT4]]="","",_xlfn.IFNA(MATCH(NOTA[[#This Row],[CONCAT4]],[2]!RAW[CONCAT_H],0),FALSE))</f>
        <v/>
      </c>
      <c r="AQ412" s="39" t="str">
        <f>IF(NOTA[[#This Row],[CONCAT1]]="","",MATCH(NOTA[[#This Row],[CONCAT1]],[3]!db[NB NOTA_C],0))</f>
        <v/>
      </c>
      <c r="AR412" s="39" t="str">
        <f>IF(NOTA[[#This Row],[QTY/ CTN]]="","",TRUE)</f>
        <v/>
      </c>
      <c r="AS412" s="39" t="str">
        <f ca="1">IF(NOTA[[#This Row],[ID_H]]="","",IF(NOTA[[#This Row],[Column3]]=TRUE,NOTA[[#This Row],[QTY/ CTN]],INDEX([3]!db[QTY/ CTN],NOTA[[#This Row],[//DB]])))</f>
        <v/>
      </c>
      <c r="AT4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9" t="str">
        <f ca="1">IF(NOTA[[#This Row],[ID_H]]="","",MATCH(NOTA[[#This Row],[NB NOTA_C_QTY]],[4]!db[NB NOTA_C_QTY+F],0))</f>
        <v/>
      </c>
      <c r="AV412" s="55" t="str">
        <f ca="1">IF(NOTA[[#This Row],[NB NOTA_C_QTY]]="","",ROW()-2)</f>
        <v/>
      </c>
    </row>
    <row r="413" spans="1:48" ht="20.100000000000001" customHeight="1" x14ac:dyDescent="0.25">
      <c r="A413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4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DUT_1807_23H-4</v>
      </c>
      <c r="C413" s="39" t="e">
        <f ca="1">IF(NOTA[[#This Row],[ID_P]]="","",MATCH(NOTA[[#This Row],[ID_P]],[1]!B_MSK[N_ID],0))</f>
        <v>#REF!</v>
      </c>
      <c r="D413" s="39">
        <f ca="1">IF(NOTA[[#This Row],[NAMA BARANG]]="","",INDEX(NOTA[ID],MATCH(,INDIRECT(ADDRESS(ROW(NOTA[ID]),COLUMN(NOTA[ID]))&amp;":"&amp;ADDRESS(ROW(),COLUMN(NOTA[ID]))),-1)))</f>
        <v>83</v>
      </c>
      <c r="E413" s="47"/>
      <c r="F413" s="38" t="s">
        <v>156</v>
      </c>
      <c r="G413" s="38" t="s">
        <v>145</v>
      </c>
      <c r="H413" s="48" t="s">
        <v>504</v>
      </c>
      <c r="J413" s="40">
        <v>45124</v>
      </c>
      <c r="L413" s="38" t="s">
        <v>505</v>
      </c>
      <c r="M413" s="41">
        <v>2</v>
      </c>
      <c r="N413" s="39">
        <v>100</v>
      </c>
      <c r="O413" s="38" t="s">
        <v>152</v>
      </c>
      <c r="P413" s="42">
        <v>44000</v>
      </c>
      <c r="Q413" s="43"/>
      <c r="R413" s="49" t="s">
        <v>483</v>
      </c>
      <c r="S413" s="50">
        <v>0.03</v>
      </c>
      <c r="U413" s="51"/>
      <c r="V413" s="46"/>
      <c r="W413" s="51">
        <f>IF(NOTA[[#This Row],[HARGA/ CTN]]="",NOTA[[#This Row],[JUMLAH_H]],NOTA[[#This Row],[HARGA/ CTN]]*IF(NOTA[[#This Row],[C]]="",0,NOTA[[#This Row],[C]]))</f>
        <v>4400000</v>
      </c>
      <c r="X413" s="51">
        <f>IF(NOTA[[#This Row],[JUMLAH]]="","",NOTA[[#This Row],[JUMLAH]]*NOTA[[#This Row],[DISC 1]])</f>
        <v>132000</v>
      </c>
      <c r="Y413" s="51">
        <f>IF(NOTA[[#This Row],[JUMLAH]]="","",(NOTA[[#This Row],[JUMLAH]]-NOTA[[#This Row],[DISC 1-]])*NOTA[[#This Row],[DISC 2]])</f>
        <v>0</v>
      </c>
      <c r="Z413" s="51">
        <f>IF(NOTA[[#This Row],[JUMLAH]]="","",NOTA[[#This Row],[DISC 1-]]+NOTA[[#This Row],[DISC 2-]])</f>
        <v>132000</v>
      </c>
      <c r="AA413" s="51">
        <f>IF(NOTA[[#This Row],[JUMLAH]]="","",NOTA[[#This Row],[JUMLAH]]-NOTA[[#This Row],[DISC]])</f>
        <v>4268000</v>
      </c>
      <c r="AB413" s="51"/>
      <c r="AC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413" s="51">
        <f>IF(OR(NOTA[[#This Row],[QTY]]="",NOTA[[#This Row],[HARGA SATUAN]]="",),"",NOTA[[#This Row],[QTY]]*NOTA[[#This Row],[HARGA SATUAN]])</f>
        <v>4400000</v>
      </c>
      <c r="AG413" s="40">
        <f ca="1">IF(NOTA[ID_H]="","",INDEX(NOTA[TANGGAL],MATCH(,INDIRECT(ADDRESS(ROW(NOTA[TANGGAL]),COLUMN(NOTA[TANGGAL]))&amp;":"&amp;ADDRESS(ROW(),COLUMN(NOTA[TANGGAL]))),-1)))</f>
        <v>45125</v>
      </c>
      <c r="AH413" s="42" t="str">
        <f ca="1">IF(NOTA[[#This Row],[NAMA BARANG]]="","",INDEX(NOTA[SUPPLIER],MATCH(,INDIRECT(ADDRESS(ROW(NOTA[ID]),COLUMN(NOTA[ID]))&amp;":"&amp;ADDRESS(ROW(),COLUMN(NOTA[ID]))),-1)))</f>
        <v>DUTA BUANA</v>
      </c>
      <c r="AI413" s="42" t="str">
        <f ca="1">IF(NOTA[[#This Row],[ID_H]]="","",IF(NOTA[[#This Row],[FAKTUR]]="",INDIRECT(ADDRESS(ROW()-1,COLUMN())),NOTA[[#This Row],[FAKTUR]]))</f>
        <v>UNTANA</v>
      </c>
      <c r="AJ413" s="39">
        <f ca="1">IF(NOTA[[#This Row],[ID]]="","",COUNTIF(NOTA[ID_H],NOTA[[#This Row],[ID_H]]))</f>
        <v>4</v>
      </c>
      <c r="AK413" s="39">
        <f>IF(NOTA[[#This Row],[TGL.NOTA]]="",IF(NOTA[[#This Row],[SUPPLIER_H]]="","",AK412),MONTH(NOTA[[#This Row],[TGL.NOTA]]))</f>
        <v>7</v>
      </c>
      <c r="AL413" s="39" t="str">
        <f>LOWER(SUBSTITUTE(SUBSTITUTE(SUBSTITUTE(SUBSTITUTE(SUBSTITUTE(SUBSTITUTE(SUBSTITUTE(SUBSTITUTE(SUBSTITUTE(NOTA[NAMA BARANG]," ",),".",""),"-",""),"(",""),")",""),",",""),"/",""),"""",""),"+",""))</f>
        <v>garisanbesi30cmtf</v>
      </c>
      <c r="AM4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4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41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BUANAUNTANAHM/304/07-23H45124garisanbesi30cmtf</v>
      </c>
      <c r="AP413" s="39" t="e">
        <f>IF(NOTA[[#This Row],[CONCAT4]]="","",_xlfn.IFNA(MATCH(NOTA[[#This Row],[CONCAT4]],[2]!RAW[CONCAT_H],0),FALSE))</f>
        <v>#REF!</v>
      </c>
      <c r="AQ413" s="39">
        <f>IF(NOTA[[#This Row],[CONCAT1]]="","",MATCH(NOTA[[#This Row],[CONCAT1]],[3]!db[NB NOTA_C],0))</f>
        <v>1073</v>
      </c>
      <c r="AR413" s="39" t="b">
        <f>IF(NOTA[[#This Row],[QTY/ CTN]]="","",TRUE)</f>
        <v>1</v>
      </c>
      <c r="AS413" s="39" t="str">
        <f ca="1">IF(NOTA[[#This Row],[ID_H]]="","",IF(NOTA[[#This Row],[Column3]]=TRUE,NOTA[[#This Row],[QTY/ CTN]],INDEX([3]!db[QTY/ CTN],NOTA[[#This Row],[//DB]])))</f>
        <v>50 LSN</v>
      </c>
      <c r="AT4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413" s="39" t="e">
        <f ca="1">IF(NOTA[[#This Row],[ID_H]]="","",MATCH(NOTA[[#This Row],[NB NOTA_C_QTY]],[4]!db[NB NOTA_C_QTY+F],0))</f>
        <v>#REF!</v>
      </c>
      <c r="AV413" s="55">
        <f ca="1">IF(NOTA[[#This Row],[NB NOTA_C_QTY]]="","",ROW()-2)</f>
        <v>411</v>
      </c>
    </row>
    <row r="414" spans="1:48" ht="20.100000000000001" customHeight="1" x14ac:dyDescent="0.25">
      <c r="A4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83</v>
      </c>
      <c r="E414" s="47"/>
      <c r="H414" s="48"/>
      <c r="L414" s="38" t="s">
        <v>506</v>
      </c>
      <c r="M414" s="41">
        <v>1</v>
      </c>
      <c r="N414" s="39">
        <v>25</v>
      </c>
      <c r="O414" s="38" t="s">
        <v>152</v>
      </c>
      <c r="P414" s="42">
        <v>87500</v>
      </c>
      <c r="Q414" s="43"/>
      <c r="R414" s="49" t="s">
        <v>507</v>
      </c>
      <c r="S414" s="50">
        <v>0.03</v>
      </c>
      <c r="U414" s="51"/>
      <c r="V414" s="46"/>
      <c r="W414" s="51">
        <f>IF(NOTA[[#This Row],[HARGA/ CTN]]="",NOTA[[#This Row],[JUMLAH_H]],NOTA[[#This Row],[HARGA/ CTN]]*IF(NOTA[[#This Row],[C]]="",0,NOTA[[#This Row],[C]]))</f>
        <v>2187500</v>
      </c>
      <c r="X414" s="51">
        <f>IF(NOTA[[#This Row],[JUMLAH]]="","",NOTA[[#This Row],[JUMLAH]]*NOTA[[#This Row],[DISC 1]])</f>
        <v>65625</v>
      </c>
      <c r="Y414" s="51">
        <f>IF(NOTA[[#This Row],[JUMLAH]]="","",(NOTA[[#This Row],[JUMLAH]]-NOTA[[#This Row],[DISC 1-]])*NOTA[[#This Row],[DISC 2]])</f>
        <v>0</v>
      </c>
      <c r="Z414" s="51">
        <f>IF(NOTA[[#This Row],[JUMLAH]]="","",NOTA[[#This Row],[DISC 1-]]+NOTA[[#This Row],[DISC 2-]])</f>
        <v>65625</v>
      </c>
      <c r="AA414" s="51">
        <f>IF(NOTA[[#This Row],[JUMLAH]]="","",NOTA[[#This Row],[JUMLAH]]-NOTA[[#This Row],[DISC]])</f>
        <v>2121875</v>
      </c>
      <c r="AB414" s="51"/>
      <c r="AC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2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F414" s="51">
        <f>IF(OR(NOTA[[#This Row],[QTY]]="",NOTA[[#This Row],[HARGA SATUAN]]="",),"",NOTA[[#This Row],[QTY]]*NOTA[[#This Row],[HARGA SATUAN]])</f>
        <v>2187500</v>
      </c>
      <c r="AG414" s="40">
        <f ca="1">IF(NOTA[ID_H]="","",INDEX(NOTA[TANGGAL],MATCH(,INDIRECT(ADDRESS(ROW(NOTA[TANGGAL]),COLUMN(NOTA[TANGGAL]))&amp;":"&amp;ADDRESS(ROW(),COLUMN(NOTA[TANGGAL]))),-1)))</f>
        <v>45125</v>
      </c>
      <c r="AH414" s="42" t="str">
        <f ca="1">IF(NOTA[[#This Row],[NAMA BARANG]]="","",INDEX(NOTA[SUPPLIER],MATCH(,INDIRECT(ADDRESS(ROW(NOTA[ID]),COLUMN(NOTA[ID]))&amp;":"&amp;ADDRESS(ROW(),COLUMN(NOTA[ID]))),-1)))</f>
        <v>DUTA BUANA</v>
      </c>
      <c r="AI414" s="42" t="str">
        <f ca="1">IF(NOTA[[#This Row],[ID_H]]="","",IF(NOTA[[#This Row],[FAKTUR]]="",INDIRECT(ADDRESS(ROW()-1,COLUMN())),NOTA[[#This Row],[FAKTUR]]))</f>
        <v>UNTANA</v>
      </c>
      <c r="AJ414" s="39" t="str">
        <f ca="1">IF(NOTA[[#This Row],[ID]]="","",COUNTIF(NOTA[ID_H],NOTA[[#This Row],[ID_H]]))</f>
        <v/>
      </c>
      <c r="AK414" s="39">
        <f ca="1">IF(NOTA[[#This Row],[TGL.NOTA]]="",IF(NOTA[[#This Row],[SUPPLIER_H]]="","",AK413),MONTH(NOTA[[#This Row],[TGL.NOTA]]))</f>
        <v>7</v>
      </c>
      <c r="AL414" s="39" t="str">
        <f>LOWER(SUBSTITUTE(SUBSTITUTE(SUBSTITUTE(SUBSTITUTE(SUBSTITUTE(SUBSTITUTE(SUBSTITUTE(SUBSTITUTE(SUBSTITUTE(NOTA[NAMA BARANG]," ",),".",""),"-",""),"(",""),")",""),",",""),"/",""),"""",""),"+",""))</f>
        <v>garisanbesi40cmtf</v>
      </c>
      <c r="AM4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N4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O4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9" t="str">
        <f>IF(NOTA[[#This Row],[CONCAT4]]="","",_xlfn.IFNA(MATCH(NOTA[[#This Row],[CONCAT4]],[2]!RAW[CONCAT_H],0),FALSE))</f>
        <v/>
      </c>
      <c r="AQ414" s="39">
        <f>IF(NOTA[[#This Row],[CONCAT1]]="","",MATCH(NOTA[[#This Row],[CONCAT1]],[3]!db[NB NOTA_C],0))</f>
        <v>1082</v>
      </c>
      <c r="AR414" s="39" t="b">
        <f>IF(NOTA[[#This Row],[QTY/ CTN]]="","",TRUE)</f>
        <v>1</v>
      </c>
      <c r="AS414" s="39" t="str">
        <f ca="1">IF(NOTA[[#This Row],[ID_H]]="","",IF(NOTA[[#This Row],[Column3]]=TRUE,NOTA[[#This Row],[QTY/ CTN]],INDEX([3]!db[QTY/ CTN],NOTA[[#This Row],[//DB]])))</f>
        <v>25 LSN</v>
      </c>
      <c r="AT4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U414" s="39" t="e">
        <f ca="1">IF(NOTA[[#This Row],[ID_H]]="","",MATCH(NOTA[[#This Row],[NB NOTA_C_QTY]],[4]!db[NB NOTA_C_QTY+F],0))</f>
        <v>#REF!</v>
      </c>
      <c r="AV414" s="55">
        <f ca="1">IF(NOTA[[#This Row],[NB NOTA_C_QTY]]="","",ROW()-2)</f>
        <v>412</v>
      </c>
    </row>
    <row r="415" spans="1:48" ht="20.100000000000001" customHeight="1" x14ac:dyDescent="0.25">
      <c r="A4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83</v>
      </c>
      <c r="E415" s="47"/>
      <c r="H415" s="48"/>
      <c r="L415" s="38" t="s">
        <v>508</v>
      </c>
      <c r="M415" s="41">
        <v>1</v>
      </c>
      <c r="N415" s="39">
        <v>25</v>
      </c>
      <c r="O415" s="38" t="s">
        <v>152</v>
      </c>
      <c r="P415" s="42">
        <v>102000</v>
      </c>
      <c r="Q415" s="43"/>
      <c r="R415" s="49" t="s">
        <v>507</v>
      </c>
      <c r="S415" s="50">
        <v>0.03</v>
      </c>
      <c r="U415" s="51"/>
      <c r="V415" s="46"/>
      <c r="W415" s="51">
        <f>IF(NOTA[[#This Row],[HARGA/ CTN]]="",NOTA[[#This Row],[JUMLAH_H]],NOTA[[#This Row],[HARGA/ CTN]]*IF(NOTA[[#This Row],[C]]="",0,NOTA[[#This Row],[C]]))</f>
        <v>2550000</v>
      </c>
      <c r="X415" s="51">
        <f>IF(NOTA[[#This Row],[JUMLAH]]="","",NOTA[[#This Row],[JUMLAH]]*NOTA[[#This Row],[DISC 1]])</f>
        <v>76500</v>
      </c>
      <c r="Y415" s="51">
        <f>IF(NOTA[[#This Row],[JUMLAH]]="","",(NOTA[[#This Row],[JUMLAH]]-NOTA[[#This Row],[DISC 1-]])*NOTA[[#This Row],[DISC 2]])</f>
        <v>0</v>
      </c>
      <c r="Z415" s="51">
        <f>IF(NOTA[[#This Row],[JUMLAH]]="","",NOTA[[#This Row],[DISC 1-]]+NOTA[[#This Row],[DISC 2-]])</f>
        <v>76500</v>
      </c>
      <c r="AA415" s="51">
        <f>IF(NOTA[[#This Row],[JUMLAH]]="","",NOTA[[#This Row],[JUMLAH]]-NOTA[[#This Row],[DISC]])</f>
        <v>2473500</v>
      </c>
      <c r="AB415" s="51"/>
      <c r="AC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415" s="51">
        <f>IF(OR(NOTA[[#This Row],[QTY]]="",NOTA[[#This Row],[HARGA SATUAN]]="",),"",NOTA[[#This Row],[QTY]]*NOTA[[#This Row],[HARGA SATUAN]])</f>
        <v>2550000</v>
      </c>
      <c r="AG415" s="40">
        <f ca="1">IF(NOTA[ID_H]="","",INDEX(NOTA[TANGGAL],MATCH(,INDIRECT(ADDRESS(ROW(NOTA[TANGGAL]),COLUMN(NOTA[TANGGAL]))&amp;":"&amp;ADDRESS(ROW(),COLUMN(NOTA[TANGGAL]))),-1)))</f>
        <v>45125</v>
      </c>
      <c r="AH415" s="42" t="str">
        <f ca="1">IF(NOTA[[#This Row],[NAMA BARANG]]="","",INDEX(NOTA[SUPPLIER],MATCH(,INDIRECT(ADDRESS(ROW(NOTA[ID]),COLUMN(NOTA[ID]))&amp;":"&amp;ADDRESS(ROW(),COLUMN(NOTA[ID]))),-1)))</f>
        <v>DUTA BUANA</v>
      </c>
      <c r="AI415" s="42" t="str">
        <f ca="1">IF(NOTA[[#This Row],[ID_H]]="","",IF(NOTA[[#This Row],[FAKTUR]]="",INDIRECT(ADDRESS(ROW()-1,COLUMN())),NOTA[[#This Row],[FAKTUR]]))</f>
        <v>UNTANA</v>
      </c>
      <c r="AJ415" s="39" t="str">
        <f ca="1">IF(NOTA[[#This Row],[ID]]="","",COUNTIF(NOTA[ID_H],NOTA[[#This Row],[ID_H]]))</f>
        <v/>
      </c>
      <c r="AK415" s="39">
        <f ca="1">IF(NOTA[[#This Row],[TGL.NOTA]]="",IF(NOTA[[#This Row],[SUPPLIER_H]]="","",AK414),MONTH(NOTA[[#This Row],[TGL.NOTA]]))</f>
        <v>7</v>
      </c>
      <c r="AL415" s="39" t="str">
        <f>LOWER(SUBSTITUTE(SUBSTITUTE(SUBSTITUTE(SUBSTITUTE(SUBSTITUTE(SUBSTITUTE(SUBSTITUTE(SUBSTITUTE(SUBSTITUTE(NOTA[NAMA BARANG]," ",),".",""),"-",""),"(",""),")",""),",",""),"/",""),"""",""),"+",""))</f>
        <v>garisabbesi50cmtf</v>
      </c>
      <c r="AM4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garisabbesi50cmtf25500000.03</v>
      </c>
      <c r="AN4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garisabbesi50cmtf25500000.03</v>
      </c>
      <c r="AO4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9" t="str">
        <f>IF(NOTA[[#This Row],[CONCAT4]]="","",_xlfn.IFNA(MATCH(NOTA[[#This Row],[CONCAT4]],[2]!RAW[CONCAT_H],0),FALSE))</f>
        <v/>
      </c>
      <c r="AQ415" s="39">
        <f>IF(NOTA[[#This Row],[CONCAT1]]="","",MATCH(NOTA[[#This Row],[CONCAT1]],[3]!db[NB NOTA_C],0))</f>
        <v>1083</v>
      </c>
      <c r="AR415" s="39" t="b">
        <f>IF(NOTA[[#This Row],[QTY/ CTN]]="","",TRUE)</f>
        <v>1</v>
      </c>
      <c r="AS415" s="39" t="str">
        <f ca="1">IF(NOTA[[#This Row],[ID_H]]="","",IF(NOTA[[#This Row],[Column3]]=TRUE,NOTA[[#This Row],[QTY/ CTN]],INDEX([3]!db[QTY/ CTN],NOTA[[#This Row],[//DB]])))</f>
        <v>25 LSN</v>
      </c>
      <c r="AT4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garisabbesi50cmtf25lsnuntana</v>
      </c>
      <c r="AU415" s="39" t="e">
        <f ca="1">IF(NOTA[[#This Row],[ID_H]]="","",MATCH(NOTA[[#This Row],[NB NOTA_C_QTY]],[4]!db[NB NOTA_C_QTY+F],0))</f>
        <v>#REF!</v>
      </c>
      <c r="AV415" s="55">
        <f ca="1">IF(NOTA[[#This Row],[NB NOTA_C_QTY]]="","",ROW()-2)</f>
        <v>413</v>
      </c>
    </row>
    <row r="416" spans="1:48" ht="20.100000000000001" customHeight="1" x14ac:dyDescent="0.25">
      <c r="A4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83</v>
      </c>
      <c r="E416" s="47"/>
      <c r="H416" s="48"/>
      <c r="L416" s="38" t="s">
        <v>509</v>
      </c>
      <c r="M416" s="41">
        <v>1</v>
      </c>
      <c r="N416" s="39">
        <v>25</v>
      </c>
      <c r="O416" s="38" t="s">
        <v>152</v>
      </c>
      <c r="P416" s="42">
        <v>104500</v>
      </c>
      <c r="Q416" s="43"/>
      <c r="R416" s="49" t="s">
        <v>507</v>
      </c>
      <c r="S416" s="50">
        <v>0.03</v>
      </c>
      <c r="U416" s="51"/>
      <c r="V416" s="46"/>
      <c r="W416" s="51">
        <f>IF(NOTA[[#This Row],[HARGA/ CTN]]="",NOTA[[#This Row],[JUMLAH_H]],NOTA[[#This Row],[HARGA/ CTN]]*IF(NOTA[[#This Row],[C]]="",0,NOTA[[#This Row],[C]]))</f>
        <v>2612500</v>
      </c>
      <c r="X416" s="51">
        <f>IF(NOTA[[#This Row],[JUMLAH]]="","",NOTA[[#This Row],[JUMLAH]]*NOTA[[#This Row],[DISC 1]])</f>
        <v>78375</v>
      </c>
      <c r="Y416" s="51">
        <f>IF(NOTA[[#This Row],[JUMLAH]]="","",(NOTA[[#This Row],[JUMLAH]]-NOTA[[#This Row],[DISC 1-]])*NOTA[[#This Row],[DISC 2]])</f>
        <v>0</v>
      </c>
      <c r="Z416" s="51">
        <f>IF(NOTA[[#This Row],[JUMLAH]]="","",NOTA[[#This Row],[DISC 1-]]+NOTA[[#This Row],[DISC 2-]])</f>
        <v>78375</v>
      </c>
      <c r="AA416" s="51">
        <f>IF(NOTA[[#This Row],[JUMLAH]]="","",NOTA[[#This Row],[JUMLAH]]-NOTA[[#This Row],[DISC]])</f>
        <v>2534125</v>
      </c>
      <c r="AB416" s="51"/>
      <c r="AC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352500</v>
      </c>
      <c r="AD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11397500</v>
      </c>
      <c r="AE416" s="42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F416" s="51">
        <f>IF(OR(NOTA[[#This Row],[QTY]]="",NOTA[[#This Row],[HARGA SATUAN]]="",),"",NOTA[[#This Row],[QTY]]*NOTA[[#This Row],[HARGA SATUAN]])</f>
        <v>2612500</v>
      </c>
      <c r="AG416" s="40">
        <f ca="1">IF(NOTA[ID_H]="","",INDEX(NOTA[TANGGAL],MATCH(,INDIRECT(ADDRESS(ROW(NOTA[TANGGAL]),COLUMN(NOTA[TANGGAL]))&amp;":"&amp;ADDRESS(ROW(),COLUMN(NOTA[TANGGAL]))),-1)))</f>
        <v>45125</v>
      </c>
      <c r="AH416" s="42" t="str">
        <f ca="1">IF(NOTA[[#This Row],[NAMA BARANG]]="","",INDEX(NOTA[SUPPLIER],MATCH(,INDIRECT(ADDRESS(ROW(NOTA[ID]),COLUMN(NOTA[ID]))&amp;":"&amp;ADDRESS(ROW(),COLUMN(NOTA[ID]))),-1)))</f>
        <v>DUTA BUANA</v>
      </c>
      <c r="AI416" s="42" t="str">
        <f ca="1">IF(NOTA[[#This Row],[ID_H]]="","",IF(NOTA[[#This Row],[FAKTUR]]="",INDIRECT(ADDRESS(ROW()-1,COLUMN())),NOTA[[#This Row],[FAKTUR]]))</f>
        <v>UNTANA</v>
      </c>
      <c r="AJ416" s="39" t="str">
        <f ca="1">IF(NOTA[[#This Row],[ID]]="","",COUNTIF(NOTA[ID_H],NOTA[[#This Row],[ID_H]]))</f>
        <v/>
      </c>
      <c r="AK416" s="39">
        <f ca="1">IF(NOTA[[#This Row],[TGL.NOTA]]="",IF(NOTA[[#This Row],[SUPPLIER_H]]="","",AK415),MONTH(NOTA[[#This Row],[TGL.NOTA]]))</f>
        <v>7</v>
      </c>
      <c r="AL416" s="39" t="str">
        <f>LOWER(SUBSTITUTE(SUBSTITUTE(SUBSTITUTE(SUBSTITUTE(SUBSTITUTE(SUBSTITUTE(SUBSTITUTE(SUBSTITUTE(SUBSTITUTE(NOTA[NAMA BARANG]," ",),".",""),"-",""),"(",""),")",""),",",""),"/",""),"""",""),"+",""))</f>
        <v>garisanbesi60cmtf</v>
      </c>
      <c r="AM4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N4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O4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9" t="str">
        <f>IF(NOTA[[#This Row],[CONCAT4]]="","",_xlfn.IFNA(MATCH(NOTA[[#This Row],[CONCAT4]],[2]!RAW[CONCAT_H],0),FALSE))</f>
        <v/>
      </c>
      <c r="AQ416" s="39">
        <f>IF(NOTA[[#This Row],[CONCAT1]]="","",MATCH(NOTA[[#This Row],[CONCAT1]],[3]!db[NB NOTA_C],0))</f>
        <v>1084</v>
      </c>
      <c r="AR416" s="39" t="b">
        <f>IF(NOTA[[#This Row],[QTY/ CTN]]="","",TRUE)</f>
        <v>1</v>
      </c>
      <c r="AS416" s="39" t="str">
        <f ca="1">IF(NOTA[[#This Row],[ID_H]]="","",IF(NOTA[[#This Row],[Column3]]=TRUE,NOTA[[#This Row],[QTY/ CTN]],INDEX([3]!db[QTY/ CTN],NOTA[[#This Row],[//DB]])))</f>
        <v>25 LSN</v>
      </c>
      <c r="AT4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U416" s="39" t="e">
        <f ca="1">IF(NOTA[[#This Row],[ID_H]]="","",MATCH(NOTA[[#This Row],[NB NOTA_C_QTY]],[4]!db[NB NOTA_C_QTY+F],0))</f>
        <v>#REF!</v>
      </c>
      <c r="AV416" s="55">
        <f ca="1">IF(NOTA[[#This Row],[NB NOTA_C_QTY]]="","",ROW()-2)</f>
        <v>414</v>
      </c>
    </row>
    <row r="417" spans="1:48" ht="20.100000000000001" customHeight="1" x14ac:dyDescent="0.25">
      <c r="A4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 t="str">
        <f ca="1">IF(NOTA[[#This Row],[NAMA BARANG]]="","",INDEX(NOTA[ID],MATCH(,INDIRECT(ADDRESS(ROW(NOTA[ID]),COLUMN(NOTA[ID]))&amp;":"&amp;ADDRESS(ROW(),COLUMN(NOTA[ID]))),-1)))</f>
        <v/>
      </c>
      <c r="E417" s="47"/>
      <c r="H417" s="48"/>
      <c r="N417" s="39"/>
      <c r="Q417" s="43"/>
      <c r="R417" s="49"/>
      <c r="S417" s="50"/>
      <c r="U417" s="51"/>
      <c r="V417" s="46"/>
      <c r="W417" s="51" t="str">
        <f>IF(NOTA[[#This Row],[HARGA/ CTN]]="",NOTA[[#This Row],[JUMLAH_H]],NOTA[[#This Row],[HARGA/ CTN]]*IF(NOTA[[#This Row],[C]]="",0,NOTA[[#This Row],[C]]))</f>
        <v/>
      </c>
      <c r="X417" s="51" t="str">
        <f>IF(NOTA[[#This Row],[JUMLAH]]="","",NOTA[[#This Row],[JUMLAH]]*NOTA[[#This Row],[DISC 1]])</f>
        <v/>
      </c>
      <c r="Y417" s="51" t="str">
        <f>IF(NOTA[[#This Row],[JUMLAH]]="","",(NOTA[[#This Row],[JUMLAH]]-NOTA[[#This Row],[DISC 1-]])*NOTA[[#This Row],[DISC 2]])</f>
        <v/>
      </c>
      <c r="Z417" s="51" t="str">
        <f>IF(NOTA[[#This Row],[JUMLAH]]="","",NOTA[[#This Row],[DISC 1-]]+NOTA[[#This Row],[DISC 2-]])</f>
        <v/>
      </c>
      <c r="AA417" s="51" t="str">
        <f>IF(NOTA[[#This Row],[JUMLAH]]="","",NOTA[[#This Row],[JUMLAH]]-NOTA[[#This Row],[DISC]])</f>
        <v/>
      </c>
      <c r="AB417" s="51"/>
      <c r="AC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1" t="str">
        <f>IF(OR(NOTA[[#This Row],[QTY]]="",NOTA[[#This Row],[HARGA SATUAN]]="",),"",NOTA[[#This Row],[QTY]]*NOTA[[#This Row],[HARGA SATUAN]])</f>
        <v/>
      </c>
      <c r="AG417" s="40" t="str">
        <f ca="1">IF(NOTA[ID_H]="","",INDEX(NOTA[TANGGAL],MATCH(,INDIRECT(ADDRESS(ROW(NOTA[TANGGAL]),COLUMN(NOTA[TANGGAL]))&amp;":"&amp;ADDRESS(ROW(),COLUMN(NOTA[TANGGAL]))),-1)))</f>
        <v/>
      </c>
      <c r="AH417" s="42" t="str">
        <f ca="1">IF(NOTA[[#This Row],[NAMA BARANG]]="","",INDEX(NOTA[SUPPLIER],MATCH(,INDIRECT(ADDRESS(ROW(NOTA[ID]),COLUMN(NOTA[ID]))&amp;":"&amp;ADDRESS(ROW(),COLUMN(NOTA[ID]))),-1)))</f>
        <v/>
      </c>
      <c r="AI417" s="42" t="str">
        <f ca="1">IF(NOTA[[#This Row],[ID_H]]="","",IF(NOTA[[#This Row],[FAKTUR]]="",INDIRECT(ADDRESS(ROW()-1,COLUMN())),NOTA[[#This Row],[FAKTUR]]))</f>
        <v/>
      </c>
      <c r="AJ417" s="39" t="str">
        <f ca="1">IF(NOTA[[#This Row],[ID]]="","",COUNTIF(NOTA[ID_H],NOTA[[#This Row],[ID_H]]))</f>
        <v/>
      </c>
      <c r="AK417" s="39" t="str">
        <f ca="1">IF(NOTA[[#This Row],[TGL.NOTA]]="",IF(NOTA[[#This Row],[SUPPLIER_H]]="","",AK416),MONTH(NOTA[[#This Row],[TGL.NOTA]]))</f>
        <v/>
      </c>
      <c r="AL417" s="39" t="str">
        <f>LOWER(SUBSTITUTE(SUBSTITUTE(SUBSTITUTE(SUBSTITUTE(SUBSTITUTE(SUBSTITUTE(SUBSTITUTE(SUBSTITUTE(SUBSTITUTE(NOTA[NAMA BARANG]," ",),".",""),"-",""),"(",""),")",""),",",""),"/",""),"""",""),"+",""))</f>
        <v/>
      </c>
      <c r="AM4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9" t="str">
        <f>IF(NOTA[[#This Row],[CONCAT4]]="","",_xlfn.IFNA(MATCH(NOTA[[#This Row],[CONCAT4]],[2]!RAW[CONCAT_H],0),FALSE))</f>
        <v/>
      </c>
      <c r="AQ417" s="39" t="str">
        <f>IF(NOTA[[#This Row],[CONCAT1]]="","",MATCH(NOTA[[#This Row],[CONCAT1]],[3]!db[NB NOTA_C],0))</f>
        <v/>
      </c>
      <c r="AR417" s="39" t="str">
        <f>IF(NOTA[[#This Row],[QTY/ CTN]]="","",TRUE)</f>
        <v/>
      </c>
      <c r="AS417" s="39" t="str">
        <f ca="1">IF(NOTA[[#This Row],[ID_H]]="","",IF(NOTA[[#This Row],[Column3]]=TRUE,NOTA[[#This Row],[QTY/ CTN]],INDEX([3]!db[QTY/ CTN],NOTA[[#This Row],[//DB]])))</f>
        <v/>
      </c>
      <c r="AT4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9" t="str">
        <f ca="1">IF(NOTA[[#This Row],[ID_H]]="","",MATCH(NOTA[[#This Row],[NB NOTA_C_QTY]],[4]!db[NB NOTA_C_QTY+F],0))</f>
        <v/>
      </c>
      <c r="AV417" s="55" t="str">
        <f ca="1">IF(NOTA[[#This Row],[NB NOTA_C_QTY]]="","",ROW()-2)</f>
        <v/>
      </c>
    </row>
    <row r="418" spans="1:48" ht="20.100000000000001" customHeight="1" x14ac:dyDescent="0.25">
      <c r="A418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4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DUT_1807_23H-1</v>
      </c>
      <c r="C418" s="39" t="e">
        <f ca="1">IF(NOTA[[#This Row],[ID_P]]="","",MATCH(NOTA[[#This Row],[ID_P]],[1]!B_MSK[N_ID],0))</f>
        <v>#REF!</v>
      </c>
      <c r="D418" s="39">
        <f ca="1">IF(NOTA[[#This Row],[NAMA BARANG]]="","",INDEX(NOTA[ID],MATCH(,INDIRECT(ADDRESS(ROW(NOTA[ID]),COLUMN(NOTA[ID]))&amp;":"&amp;ADDRESS(ROW(),COLUMN(NOTA[ID]))),-1)))</f>
        <v>84</v>
      </c>
      <c r="E418" s="47"/>
      <c r="F418" s="38" t="s">
        <v>156</v>
      </c>
      <c r="G418" s="38" t="s">
        <v>145</v>
      </c>
      <c r="H418" s="48" t="s">
        <v>510</v>
      </c>
      <c r="J418" s="40">
        <v>45122</v>
      </c>
      <c r="L418" s="38" t="s">
        <v>511</v>
      </c>
      <c r="M418" s="41">
        <v>5</v>
      </c>
      <c r="N418" s="39">
        <v>480</v>
      </c>
      <c r="O418" s="38" t="s">
        <v>152</v>
      </c>
      <c r="P418" s="42">
        <v>30500</v>
      </c>
      <c r="Q418" s="43"/>
      <c r="R418" s="49" t="s">
        <v>161</v>
      </c>
      <c r="S418" s="50">
        <v>0.03</v>
      </c>
      <c r="U418" s="51"/>
      <c r="V418" s="46"/>
      <c r="W418" s="51">
        <f>IF(NOTA[[#This Row],[HARGA/ CTN]]="",NOTA[[#This Row],[JUMLAH_H]],NOTA[[#This Row],[HARGA/ CTN]]*IF(NOTA[[#This Row],[C]]="",0,NOTA[[#This Row],[C]]))</f>
        <v>14640000</v>
      </c>
      <c r="X418" s="51">
        <f>IF(NOTA[[#This Row],[JUMLAH]]="","",NOTA[[#This Row],[JUMLAH]]*NOTA[[#This Row],[DISC 1]])</f>
        <v>439200</v>
      </c>
      <c r="Y418" s="51">
        <f>IF(NOTA[[#This Row],[JUMLAH]]="","",(NOTA[[#This Row],[JUMLAH]]-NOTA[[#This Row],[DISC 1-]])*NOTA[[#This Row],[DISC 2]])</f>
        <v>0</v>
      </c>
      <c r="Z418" s="51">
        <f>IF(NOTA[[#This Row],[JUMLAH]]="","",NOTA[[#This Row],[DISC 1-]]+NOTA[[#This Row],[DISC 2-]])</f>
        <v>439200</v>
      </c>
      <c r="AA418" s="51">
        <f>IF(NOTA[[#This Row],[JUMLAH]]="","",NOTA[[#This Row],[JUMLAH]]-NOTA[[#This Row],[DISC]])</f>
        <v>14200800</v>
      </c>
      <c r="AB418" s="51"/>
      <c r="AC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418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418" s="51">
        <f>IF(OR(NOTA[[#This Row],[QTY]]="",NOTA[[#This Row],[HARGA SATUAN]]="",),"",NOTA[[#This Row],[QTY]]*NOTA[[#This Row],[HARGA SATUAN]])</f>
        <v>14640000</v>
      </c>
      <c r="AG418" s="40">
        <f ca="1">IF(NOTA[ID_H]="","",INDEX(NOTA[TANGGAL],MATCH(,INDIRECT(ADDRESS(ROW(NOTA[TANGGAL]),COLUMN(NOTA[TANGGAL]))&amp;":"&amp;ADDRESS(ROW(),COLUMN(NOTA[TANGGAL]))),-1)))</f>
        <v>45125</v>
      </c>
      <c r="AH418" s="42" t="str">
        <f ca="1">IF(NOTA[[#This Row],[NAMA BARANG]]="","",INDEX(NOTA[SUPPLIER],MATCH(,INDIRECT(ADDRESS(ROW(NOTA[ID]),COLUMN(NOTA[ID]))&amp;":"&amp;ADDRESS(ROW(),COLUMN(NOTA[ID]))),-1)))</f>
        <v>DUTA BUANA</v>
      </c>
      <c r="AI418" s="42" t="str">
        <f ca="1">IF(NOTA[[#This Row],[ID_H]]="","",IF(NOTA[[#This Row],[FAKTUR]]="",INDIRECT(ADDRESS(ROW()-1,COLUMN())),NOTA[[#This Row],[FAKTUR]]))</f>
        <v>UNTANA</v>
      </c>
      <c r="AJ418" s="39">
        <f ca="1">IF(NOTA[[#This Row],[ID]]="","",COUNTIF(NOTA[ID_H],NOTA[[#This Row],[ID_H]]))</f>
        <v>1</v>
      </c>
      <c r="AK418" s="39">
        <f>IF(NOTA[[#This Row],[TGL.NOTA]]="",IF(NOTA[[#This Row],[SUPPLIER_H]]="","",AK417),MONTH(NOTA[[#This Row],[TGL.NOTA]]))</f>
        <v>7</v>
      </c>
      <c r="AL418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4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4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418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BUANAUNTANAHM/203/07-23H45122ballpengeltf311503mmhightechknock</v>
      </c>
      <c r="AP418" s="39" t="e">
        <f>IF(NOTA[[#This Row],[CONCAT4]]="","",_xlfn.IFNA(MATCH(NOTA[[#This Row],[CONCAT4]],[2]!RAW[CONCAT_H],0),FALSE))</f>
        <v>#REF!</v>
      </c>
      <c r="AQ418" s="39">
        <f>IF(NOTA[[#This Row],[CONCAT1]]="","",MATCH(NOTA[[#This Row],[CONCAT1]],[3]!db[NB NOTA_C],0))</f>
        <v>455</v>
      </c>
      <c r="AR418" s="39" t="b">
        <f>IF(NOTA[[#This Row],[QTY/ CTN]]="","",TRUE)</f>
        <v>1</v>
      </c>
      <c r="AS418" s="39" t="str">
        <f ca="1">IF(NOTA[[#This Row],[ID_H]]="","",IF(NOTA[[#This Row],[Column3]]=TRUE,NOTA[[#This Row],[QTY/ CTN]],INDEX([3]!db[QTY/ CTN],NOTA[[#This Row],[//DB]])))</f>
        <v>96 LSN</v>
      </c>
      <c r="AT4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418" s="39" t="e">
        <f ca="1">IF(NOTA[[#This Row],[ID_H]]="","",MATCH(NOTA[[#This Row],[NB NOTA_C_QTY]],[4]!db[NB NOTA_C_QTY+F],0))</f>
        <v>#REF!</v>
      </c>
      <c r="AV418" s="55">
        <f ca="1">IF(NOTA[[#This Row],[NB NOTA_C_QTY]]="","",ROW()-2)</f>
        <v>416</v>
      </c>
    </row>
    <row r="419" spans="1:48" ht="20.100000000000001" customHeight="1" x14ac:dyDescent="0.25">
      <c r="A4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47"/>
      <c r="H419" s="48"/>
      <c r="N419" s="39"/>
      <c r="Q419" s="43"/>
      <c r="R419" s="49"/>
      <c r="S419" s="50"/>
      <c r="U419" s="51"/>
      <c r="V419" s="46"/>
      <c r="W419" s="51" t="str">
        <f>IF(NOTA[[#This Row],[HARGA/ CTN]]="",NOTA[[#This Row],[JUMLAH_H]],NOTA[[#This Row],[HARGA/ CTN]]*IF(NOTA[[#This Row],[C]]="",0,NOTA[[#This Row],[C]]))</f>
        <v/>
      </c>
      <c r="X419" s="51" t="str">
        <f>IF(NOTA[[#This Row],[JUMLAH]]="","",NOTA[[#This Row],[JUMLAH]]*NOTA[[#This Row],[DISC 1]])</f>
        <v/>
      </c>
      <c r="Y419" s="51" t="str">
        <f>IF(NOTA[[#This Row],[JUMLAH]]="","",(NOTA[[#This Row],[JUMLAH]]-NOTA[[#This Row],[DISC 1-]])*NOTA[[#This Row],[DISC 2]])</f>
        <v/>
      </c>
      <c r="Z419" s="51" t="str">
        <f>IF(NOTA[[#This Row],[JUMLAH]]="","",NOTA[[#This Row],[DISC 1-]]+NOTA[[#This Row],[DISC 2-]])</f>
        <v/>
      </c>
      <c r="AA419" s="51" t="str">
        <f>IF(NOTA[[#This Row],[JUMLAH]]="","",NOTA[[#This Row],[JUMLAH]]-NOTA[[#This Row],[DISC]])</f>
        <v/>
      </c>
      <c r="AB419" s="51"/>
      <c r="AC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1" t="str">
        <f>IF(OR(NOTA[[#This Row],[QTY]]="",NOTA[[#This Row],[HARGA SATUAN]]="",),"",NOTA[[#This Row],[QTY]]*NOTA[[#This Row],[HARGA SATUAN]])</f>
        <v/>
      </c>
      <c r="AG419" s="40" t="str">
        <f ca="1">IF(NOTA[ID_H]="","",INDEX(NOTA[TANGGAL],MATCH(,INDIRECT(ADDRESS(ROW(NOTA[TANGGAL]),COLUMN(NOTA[TANGGAL]))&amp;":"&amp;ADDRESS(ROW(),COLUMN(NOTA[TANGGAL]))),-1)))</f>
        <v/>
      </c>
      <c r="AH419" s="42" t="str">
        <f ca="1">IF(NOTA[[#This Row],[NAMA BARANG]]="","",INDEX(NOTA[SUPPLIER],MATCH(,INDIRECT(ADDRESS(ROW(NOTA[ID]),COLUMN(NOTA[ID]))&amp;":"&amp;ADDRESS(ROW(),COLUMN(NOTA[ID]))),-1)))</f>
        <v/>
      </c>
      <c r="AI419" s="42" t="str">
        <f ca="1">IF(NOTA[[#This Row],[ID_H]]="","",IF(NOTA[[#This Row],[FAKTUR]]="",INDIRECT(ADDRESS(ROW()-1,COLUMN())),NOTA[[#This Row],[FAKTUR]]))</f>
        <v/>
      </c>
      <c r="AJ419" s="39" t="str">
        <f ca="1">IF(NOTA[[#This Row],[ID]]="","",COUNTIF(NOTA[ID_H],NOTA[[#This Row],[ID_H]]))</f>
        <v/>
      </c>
      <c r="AK419" s="39" t="str">
        <f ca="1">IF(NOTA[[#This Row],[TGL.NOTA]]="",IF(NOTA[[#This Row],[SUPPLIER_H]]="","",AK418),MONTH(NOTA[[#This Row],[TGL.NOTA]]))</f>
        <v/>
      </c>
      <c r="AL419" s="39" t="str">
        <f>LOWER(SUBSTITUTE(SUBSTITUTE(SUBSTITUTE(SUBSTITUTE(SUBSTITUTE(SUBSTITUTE(SUBSTITUTE(SUBSTITUTE(SUBSTITUTE(NOTA[NAMA BARANG]," ",),".",""),"-",""),"(",""),")",""),",",""),"/",""),"""",""),"+",""))</f>
        <v/>
      </c>
      <c r="AM4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9" t="str">
        <f>IF(NOTA[[#This Row],[CONCAT4]]="","",_xlfn.IFNA(MATCH(NOTA[[#This Row],[CONCAT4]],[2]!RAW[CONCAT_H],0),FALSE))</f>
        <v/>
      </c>
      <c r="AQ419" s="39" t="str">
        <f>IF(NOTA[[#This Row],[CONCAT1]]="","",MATCH(NOTA[[#This Row],[CONCAT1]],[3]!db[NB NOTA_C],0))</f>
        <v/>
      </c>
      <c r="AR419" s="39" t="str">
        <f>IF(NOTA[[#This Row],[QTY/ CTN]]="","",TRUE)</f>
        <v/>
      </c>
      <c r="AS419" s="39" t="str">
        <f ca="1">IF(NOTA[[#This Row],[ID_H]]="","",IF(NOTA[[#This Row],[Column3]]=TRUE,NOTA[[#This Row],[QTY/ CTN]],INDEX([3]!db[QTY/ CTN],NOTA[[#This Row],[//DB]])))</f>
        <v/>
      </c>
      <c r="AT4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9" t="str">
        <f ca="1">IF(NOTA[[#This Row],[ID_H]]="","",MATCH(NOTA[[#This Row],[NB NOTA_C_QTY]],[4]!db[NB NOTA_C_QTY+F],0))</f>
        <v/>
      </c>
      <c r="AV419" s="55" t="str">
        <f ca="1">IF(NOTA[[#This Row],[NB NOTA_C_QTY]]="","",ROW()-2)</f>
        <v/>
      </c>
    </row>
    <row r="420" spans="1:48" ht="20.100000000000001" customHeight="1" x14ac:dyDescent="0.25">
      <c r="A420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ETJ_1807_623-1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85</v>
      </c>
      <c r="E420" s="47"/>
      <c r="F420" s="38" t="s">
        <v>151</v>
      </c>
      <c r="G420" s="38" t="s">
        <v>145</v>
      </c>
      <c r="H420" s="48" t="s">
        <v>512</v>
      </c>
      <c r="J420" s="40">
        <v>45120</v>
      </c>
      <c r="L420" s="38" t="s">
        <v>495</v>
      </c>
      <c r="M420" s="41">
        <v>5</v>
      </c>
      <c r="N420" s="39">
        <v>60</v>
      </c>
      <c r="O420" s="38" t="s">
        <v>152</v>
      </c>
      <c r="P420" s="42">
        <v>38000</v>
      </c>
      <c r="Q420" s="43"/>
      <c r="R420" s="49" t="s">
        <v>513</v>
      </c>
      <c r="S420" s="50"/>
      <c r="U420" s="51"/>
      <c r="V420" s="46"/>
      <c r="W420" s="51">
        <f>IF(NOTA[[#This Row],[HARGA/ CTN]]="",NOTA[[#This Row],[JUMLAH_H]],NOTA[[#This Row],[HARGA/ CTN]]*IF(NOTA[[#This Row],[C]]="",0,NOTA[[#This Row],[C]]))</f>
        <v>2280000</v>
      </c>
      <c r="X420" s="51">
        <f>IF(NOTA[[#This Row],[JUMLAH]]="","",NOTA[[#This Row],[JUMLAH]]*NOTA[[#This Row],[DISC 1]])</f>
        <v>0</v>
      </c>
      <c r="Y420" s="51">
        <f>IF(NOTA[[#This Row],[JUMLAH]]="","",(NOTA[[#This Row],[JUMLAH]]-NOTA[[#This Row],[DISC 1-]])*NOTA[[#This Row],[DISC 2]])</f>
        <v>0</v>
      </c>
      <c r="Z420" s="51">
        <f>IF(NOTA[[#This Row],[JUMLAH]]="","",NOTA[[#This Row],[DISC 1-]]+NOTA[[#This Row],[DISC 2-]])</f>
        <v>0</v>
      </c>
      <c r="AA420" s="51">
        <f>IF(NOTA[[#This Row],[JUMLAH]]="","",NOTA[[#This Row],[JUMLAH]]-NOTA[[#This Row],[DISC]])</f>
        <v>2280000</v>
      </c>
      <c r="AB420" s="51"/>
      <c r="AC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2280000</v>
      </c>
      <c r="AE420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20" s="51">
        <f>IF(OR(NOTA[[#This Row],[QTY]]="",NOTA[[#This Row],[HARGA SATUAN]]="",),"",NOTA[[#This Row],[QTY]]*NOTA[[#This Row],[HARGA SATUAN]])</f>
        <v>2280000</v>
      </c>
      <c r="AG420" s="40">
        <f ca="1">IF(NOTA[ID_H]="","",INDEX(NOTA[TANGGAL],MATCH(,INDIRECT(ADDRESS(ROW(NOTA[TANGGAL]),COLUMN(NOTA[TANGGAL]))&amp;":"&amp;ADDRESS(ROW(),COLUMN(NOTA[TANGGAL]))),-1)))</f>
        <v>45125</v>
      </c>
      <c r="AH420" s="42" t="str">
        <f ca="1">IF(NOTA[[#This Row],[NAMA BARANG]]="","",INDEX(NOTA[SUPPLIER],MATCH(,INDIRECT(ADDRESS(ROW(NOTA[ID]),COLUMN(NOTA[ID]))&amp;":"&amp;ADDRESS(ROW(),COLUMN(NOTA[ID]))),-1)))</f>
        <v>ETJ</v>
      </c>
      <c r="AI420" s="42" t="str">
        <f ca="1">IF(NOTA[[#This Row],[ID_H]]="","",IF(NOTA[[#This Row],[FAKTUR]]="",INDIRECT(ADDRESS(ROW()-1,COLUMN())),NOTA[[#This Row],[FAKTUR]]))</f>
        <v>UNTANA</v>
      </c>
      <c r="AJ420" s="39">
        <f ca="1">IF(NOTA[[#This Row],[ID]]="","",COUNTIF(NOTA[ID_H],NOTA[[#This Row],[ID_H]]))</f>
        <v>1</v>
      </c>
      <c r="AK420" s="39">
        <f>IF(NOTA[[#This Row],[TGL.NOTA]]="",IF(NOTA[[#This Row],[SUPPLIER_H]]="","",AK419),MONTH(NOTA[[#This Row],[TGL.NOTA]]))</f>
        <v>7</v>
      </c>
      <c r="AL420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4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4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42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ETJUNTANAL36.2345120entercboardkayu</v>
      </c>
      <c r="AP420" s="39" t="e">
        <f>IF(NOTA[[#This Row],[CONCAT4]]="","",_xlfn.IFNA(MATCH(NOTA[[#This Row],[CONCAT4]],[2]!RAW[CONCAT_H],0),FALSE))</f>
        <v>#REF!</v>
      </c>
      <c r="AQ420" s="39">
        <f>IF(NOTA[[#This Row],[CONCAT1]]="","",MATCH(NOTA[[#This Row],[CONCAT1]],[3]!db[NB NOTA_C],0))</f>
        <v>879</v>
      </c>
      <c r="AR420" s="39" t="b">
        <f>IF(NOTA[[#This Row],[QTY/ CTN]]="","",TRUE)</f>
        <v>1</v>
      </c>
      <c r="AS420" s="39" t="str">
        <f ca="1">IF(NOTA[[#This Row],[ID_H]]="","",IF(NOTA[[#This Row],[Column3]]=TRUE,NOTA[[#This Row],[QTY/ CTN]],INDEX([3]!db[QTY/ CTN],NOTA[[#This Row],[//DB]])))</f>
        <v>12 LSN</v>
      </c>
      <c r="AT4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420" s="39" t="e">
        <f ca="1">IF(NOTA[[#This Row],[ID_H]]="","",MATCH(NOTA[[#This Row],[NB NOTA_C_QTY]],[4]!db[NB NOTA_C_QTY+F],0))</f>
        <v>#REF!</v>
      </c>
      <c r="AV420" s="55">
        <f ca="1">IF(NOTA[[#This Row],[NB NOTA_C_QTY]]="","",ROW()-2)</f>
        <v>418</v>
      </c>
    </row>
    <row r="421" spans="1:48" ht="20.100000000000001" customHeight="1" x14ac:dyDescent="0.25">
      <c r="A4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 t="str">
        <f ca="1">IF(NOTA[[#This Row],[NAMA BARANG]]="","",INDEX(NOTA[ID],MATCH(,INDIRECT(ADDRESS(ROW(NOTA[ID]),COLUMN(NOTA[ID]))&amp;":"&amp;ADDRESS(ROW(),COLUMN(NOTA[ID]))),-1)))</f>
        <v/>
      </c>
      <c r="E421" s="47"/>
      <c r="H421" s="48"/>
      <c r="N421" s="39"/>
      <c r="Q421" s="43"/>
      <c r="R421" s="49"/>
      <c r="S421" s="50"/>
      <c r="U421" s="51"/>
      <c r="V421" s="46"/>
      <c r="W421" s="51" t="str">
        <f>IF(NOTA[[#This Row],[HARGA/ CTN]]="",NOTA[[#This Row],[JUMLAH_H]],NOTA[[#This Row],[HARGA/ CTN]]*IF(NOTA[[#This Row],[C]]="",0,NOTA[[#This Row],[C]]))</f>
        <v/>
      </c>
      <c r="X421" s="51" t="str">
        <f>IF(NOTA[[#This Row],[JUMLAH]]="","",NOTA[[#This Row],[JUMLAH]]*NOTA[[#This Row],[DISC 1]])</f>
        <v/>
      </c>
      <c r="Y421" s="51" t="str">
        <f>IF(NOTA[[#This Row],[JUMLAH]]="","",(NOTA[[#This Row],[JUMLAH]]-NOTA[[#This Row],[DISC 1-]])*NOTA[[#This Row],[DISC 2]])</f>
        <v/>
      </c>
      <c r="Z421" s="51" t="str">
        <f>IF(NOTA[[#This Row],[JUMLAH]]="","",NOTA[[#This Row],[DISC 1-]]+NOTA[[#This Row],[DISC 2-]])</f>
        <v/>
      </c>
      <c r="AA421" s="51" t="str">
        <f>IF(NOTA[[#This Row],[JUMLAH]]="","",NOTA[[#This Row],[JUMLAH]]-NOTA[[#This Row],[DISC]])</f>
        <v/>
      </c>
      <c r="AB421" s="51"/>
      <c r="AC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1" t="str">
        <f>IF(OR(NOTA[[#This Row],[QTY]]="",NOTA[[#This Row],[HARGA SATUAN]]="",),"",NOTA[[#This Row],[QTY]]*NOTA[[#This Row],[HARGA SATUAN]])</f>
        <v/>
      </c>
      <c r="AG421" s="40" t="str">
        <f ca="1">IF(NOTA[ID_H]="","",INDEX(NOTA[TANGGAL],MATCH(,INDIRECT(ADDRESS(ROW(NOTA[TANGGAL]),COLUMN(NOTA[TANGGAL]))&amp;":"&amp;ADDRESS(ROW(),COLUMN(NOTA[TANGGAL]))),-1)))</f>
        <v/>
      </c>
      <c r="AH421" s="42" t="str">
        <f ca="1">IF(NOTA[[#This Row],[NAMA BARANG]]="","",INDEX(NOTA[SUPPLIER],MATCH(,INDIRECT(ADDRESS(ROW(NOTA[ID]),COLUMN(NOTA[ID]))&amp;":"&amp;ADDRESS(ROW(),COLUMN(NOTA[ID]))),-1)))</f>
        <v/>
      </c>
      <c r="AI421" s="42" t="str">
        <f ca="1">IF(NOTA[[#This Row],[ID_H]]="","",IF(NOTA[[#This Row],[FAKTUR]]="",INDIRECT(ADDRESS(ROW()-1,COLUMN())),NOTA[[#This Row],[FAKTUR]]))</f>
        <v/>
      </c>
      <c r="AJ421" s="39" t="str">
        <f ca="1">IF(NOTA[[#This Row],[ID]]="","",COUNTIF(NOTA[ID_H],NOTA[[#This Row],[ID_H]]))</f>
        <v/>
      </c>
      <c r="AK421" s="39" t="str">
        <f ca="1">IF(NOTA[[#This Row],[TGL.NOTA]]="",IF(NOTA[[#This Row],[SUPPLIER_H]]="","",AK420),MONTH(NOTA[[#This Row],[TGL.NOTA]]))</f>
        <v/>
      </c>
      <c r="AL421" s="39" t="str">
        <f>LOWER(SUBSTITUTE(SUBSTITUTE(SUBSTITUTE(SUBSTITUTE(SUBSTITUTE(SUBSTITUTE(SUBSTITUTE(SUBSTITUTE(SUBSTITUTE(NOTA[NAMA BARANG]," ",),".",""),"-",""),"(",""),")",""),",",""),"/",""),"""",""),"+",""))</f>
        <v/>
      </c>
      <c r="AM4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9" t="str">
        <f>IF(NOTA[[#This Row],[CONCAT4]]="","",_xlfn.IFNA(MATCH(NOTA[[#This Row],[CONCAT4]],[2]!RAW[CONCAT_H],0),FALSE))</f>
        <v/>
      </c>
      <c r="AQ421" s="39" t="str">
        <f>IF(NOTA[[#This Row],[CONCAT1]]="","",MATCH(NOTA[[#This Row],[CONCAT1]],[3]!db[NB NOTA_C],0))</f>
        <v/>
      </c>
      <c r="AR421" s="39" t="str">
        <f>IF(NOTA[[#This Row],[QTY/ CTN]]="","",TRUE)</f>
        <v/>
      </c>
      <c r="AS421" s="39" t="str">
        <f ca="1">IF(NOTA[[#This Row],[ID_H]]="","",IF(NOTA[[#This Row],[Column3]]=TRUE,NOTA[[#This Row],[QTY/ CTN]],INDEX([3]!db[QTY/ CTN],NOTA[[#This Row],[//DB]])))</f>
        <v/>
      </c>
      <c r="AT4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9" t="str">
        <f ca="1">IF(NOTA[[#This Row],[ID_H]]="","",MATCH(NOTA[[#This Row],[NB NOTA_C_QTY]],[4]!db[NB NOTA_C_QTY+F],0))</f>
        <v/>
      </c>
      <c r="AV421" s="55" t="str">
        <f ca="1">IF(NOTA[[#This Row],[NB NOTA_C_QTY]]="","",ROW()-2)</f>
        <v/>
      </c>
    </row>
    <row r="422" spans="1:48" ht="20.100000000000001" customHeight="1" x14ac:dyDescent="0.25">
      <c r="A42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HAN_2007_265-7</v>
      </c>
      <c r="C422" s="39" t="e">
        <f ca="1">IF(NOTA[[#This Row],[ID_P]]="","",MATCH(NOTA[[#This Row],[ID_P]],[1]!B_MSK[N_ID],0))</f>
        <v>#REF!</v>
      </c>
      <c r="D422" s="39">
        <f ca="1">IF(NOTA[[#This Row],[NAMA BARANG]]="","",INDEX(NOTA[ID],MATCH(,INDIRECT(ADDRESS(ROW(NOTA[ID]),COLUMN(NOTA[ID]))&amp;":"&amp;ADDRESS(ROW(),COLUMN(NOTA[ID]))),-1)))</f>
        <v>86</v>
      </c>
      <c r="E422" s="47">
        <v>45127</v>
      </c>
      <c r="F422" s="38" t="s">
        <v>193</v>
      </c>
      <c r="G422" s="38" t="s">
        <v>145</v>
      </c>
      <c r="H422" s="48" t="s">
        <v>514</v>
      </c>
      <c r="J422" s="40">
        <v>45127</v>
      </c>
      <c r="L422" s="38" t="s">
        <v>515</v>
      </c>
      <c r="M422" s="41">
        <v>1</v>
      </c>
      <c r="N422" s="39">
        <v>150</v>
      </c>
      <c r="O422" s="38" t="s">
        <v>117</v>
      </c>
      <c r="P422" s="42">
        <v>6100</v>
      </c>
      <c r="Q422" s="43"/>
      <c r="R422" s="49" t="s">
        <v>516</v>
      </c>
      <c r="S422" s="50"/>
      <c r="U422" s="51"/>
      <c r="V422" s="46"/>
      <c r="W422" s="51">
        <f>IF(NOTA[[#This Row],[HARGA/ CTN]]="",NOTA[[#This Row],[JUMLAH_H]],NOTA[[#This Row],[HARGA/ CTN]]*IF(NOTA[[#This Row],[C]]="",0,NOTA[[#This Row],[C]]))</f>
        <v>915000</v>
      </c>
      <c r="X422" s="51">
        <f>IF(NOTA[[#This Row],[JUMLAH]]="","",NOTA[[#This Row],[JUMLAH]]*NOTA[[#This Row],[DISC 1]])</f>
        <v>0</v>
      </c>
      <c r="Y422" s="51">
        <f>IF(NOTA[[#This Row],[JUMLAH]]="","",(NOTA[[#This Row],[JUMLAH]]-NOTA[[#This Row],[DISC 1-]])*NOTA[[#This Row],[DISC 2]])</f>
        <v>0</v>
      </c>
      <c r="Z422" s="51">
        <f>IF(NOTA[[#This Row],[JUMLAH]]="","",NOTA[[#This Row],[DISC 1-]]+NOTA[[#This Row],[DISC 2-]])</f>
        <v>0</v>
      </c>
      <c r="AA422" s="51">
        <f>IF(NOTA[[#This Row],[JUMLAH]]="","",NOTA[[#This Row],[JUMLAH]]-NOTA[[#This Row],[DISC]])</f>
        <v>915000</v>
      </c>
      <c r="AB422" s="51"/>
      <c r="AC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422" s="51">
        <f>IF(OR(NOTA[[#This Row],[QTY]]="",NOTA[[#This Row],[HARGA SATUAN]]="",),"",NOTA[[#This Row],[QTY]]*NOTA[[#This Row],[HARGA SATUAN]])</f>
        <v>915000</v>
      </c>
      <c r="AG422" s="40">
        <f ca="1">IF(NOTA[ID_H]="","",INDEX(NOTA[TANGGAL],MATCH(,INDIRECT(ADDRESS(ROW(NOTA[TANGGAL]),COLUMN(NOTA[TANGGAL]))&amp;":"&amp;ADDRESS(ROW(),COLUMN(NOTA[TANGGAL]))),-1)))</f>
        <v>45127</v>
      </c>
      <c r="AH422" s="42" t="str">
        <f ca="1">IF(NOTA[[#This Row],[NAMA BARANG]]="","",INDEX(NOTA[SUPPLIER],MATCH(,INDIRECT(ADDRESS(ROW(NOTA[ID]),COLUMN(NOTA[ID]))&amp;":"&amp;ADDRESS(ROW(),COLUMN(NOTA[ID]))),-1)))</f>
        <v>HANSA</v>
      </c>
      <c r="AI422" s="42" t="str">
        <f ca="1">IF(NOTA[[#This Row],[ID_H]]="","",IF(NOTA[[#This Row],[FAKTUR]]="",INDIRECT(ADDRESS(ROW()-1,COLUMN())),NOTA[[#This Row],[FAKTUR]]))</f>
        <v>UNTANA</v>
      </c>
      <c r="AJ422" s="39">
        <f ca="1">IF(NOTA[[#This Row],[ID]]="","",COUNTIF(NOTA[ID_H],NOTA[[#This Row],[ID_H]]))</f>
        <v>7</v>
      </c>
      <c r="AK422" s="39">
        <f>IF(NOTA[[#This Row],[TGL.NOTA]]="",IF(NOTA[[#This Row],[SUPPLIER_H]]="","",AK421),MONTH(NOTA[[#This Row],[TGL.NOTA]]))</f>
        <v>7</v>
      </c>
      <c r="AL422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4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42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HANSAUNTANAHN07202326545127malamshintoengb612w</v>
      </c>
      <c r="AP422" s="39" t="e">
        <f>IF(NOTA[[#This Row],[CONCAT4]]="","",_xlfn.IFNA(MATCH(NOTA[[#This Row],[CONCAT4]],[2]!RAW[CONCAT_H],0),FALSE))</f>
        <v>#REF!</v>
      </c>
      <c r="AQ422" s="39">
        <f>IF(NOTA[[#This Row],[CONCAT1]]="","",MATCH(NOTA[[#This Row],[CONCAT1]],[3]!db[NB NOTA_C],0))</f>
        <v>1571</v>
      </c>
      <c r="AR422" s="39" t="b">
        <f>IF(NOTA[[#This Row],[QTY/ CTN]]="","",TRUE)</f>
        <v>1</v>
      </c>
      <c r="AS422" s="39" t="str">
        <f ca="1">IF(NOTA[[#This Row],[ID_H]]="","",IF(NOTA[[#This Row],[Column3]]=TRUE,NOTA[[#This Row],[QTY/ CTN]],INDEX([3]!db[QTY/ CTN],NOTA[[#This Row],[//DB]])))</f>
        <v>150 PCS</v>
      </c>
      <c r="AT4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2" s="39" t="e">
        <f ca="1">IF(NOTA[[#This Row],[ID_H]]="","",MATCH(NOTA[[#This Row],[NB NOTA_C_QTY]],[4]!db[NB NOTA_C_QTY+F],0))</f>
        <v>#REF!</v>
      </c>
      <c r="AV422" s="55">
        <f ca="1">IF(NOTA[[#This Row],[NB NOTA_C_QTY]]="","",ROW()-2)</f>
        <v>420</v>
      </c>
    </row>
    <row r="423" spans="1:48" ht="20.100000000000001" customHeight="1" x14ac:dyDescent="0.25">
      <c r="A4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86</v>
      </c>
      <c r="E423" s="47"/>
      <c r="H423" s="48"/>
      <c r="L423" s="38" t="s">
        <v>517</v>
      </c>
      <c r="N423" s="39">
        <v>12</v>
      </c>
      <c r="O423" s="38" t="s">
        <v>117</v>
      </c>
      <c r="P423" s="42">
        <v>5770</v>
      </c>
      <c r="Q423" s="43"/>
      <c r="R423" s="49"/>
      <c r="S423" s="50"/>
      <c r="U423" s="51"/>
      <c r="V423" s="46"/>
      <c r="W423" s="51">
        <f>IF(NOTA[[#This Row],[HARGA/ CTN]]="",NOTA[[#This Row],[JUMLAH_H]],NOTA[[#This Row],[HARGA/ CTN]]*IF(NOTA[[#This Row],[C]]="",0,NOTA[[#This Row],[C]]))</f>
        <v>69240</v>
      </c>
      <c r="X423" s="51">
        <f>IF(NOTA[[#This Row],[JUMLAH]]="","",NOTA[[#This Row],[JUMLAH]]*NOTA[[#This Row],[DISC 1]])</f>
        <v>0</v>
      </c>
      <c r="Y423" s="51">
        <f>IF(NOTA[[#This Row],[JUMLAH]]="","",(NOTA[[#This Row],[JUMLAH]]-NOTA[[#This Row],[DISC 1-]])*NOTA[[#This Row],[DISC 2]])</f>
        <v>0</v>
      </c>
      <c r="Z423" s="51">
        <f>IF(NOTA[[#This Row],[JUMLAH]]="","",NOTA[[#This Row],[DISC 1-]]+NOTA[[#This Row],[DISC 2-]])</f>
        <v>0</v>
      </c>
      <c r="AA423" s="51">
        <f>IF(NOTA[[#This Row],[JUMLAH]]="","",NOTA[[#This Row],[JUMLAH]]-NOTA[[#This Row],[DISC]])</f>
        <v>69240</v>
      </c>
      <c r="AB423" s="51"/>
      <c r="AC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2">
        <f>IF(NOTA[[#This Row],[NAMA BARANG]]="","",IF(NOTA[[#This Row],[JUMLAH_H]]="",NOTA[[#This Row],[HARGA/ CTN]],NOTA[[#This Row],[QTY]]*NOTA[[#This Row],[HARGA SATUAN]]/IF(ISNUMBER(NOTA[[#This Row],[C]]),NOTA[[#This Row],[C]],1)))</f>
        <v>69240</v>
      </c>
      <c r="AF423" s="51">
        <f>IF(OR(NOTA[[#This Row],[QTY]]="",NOTA[[#This Row],[HARGA SATUAN]]="",),"",NOTA[[#This Row],[QTY]]*NOTA[[#This Row],[HARGA SATUAN]])</f>
        <v>69240</v>
      </c>
      <c r="AG423" s="40">
        <f ca="1">IF(NOTA[ID_H]="","",INDEX(NOTA[TANGGAL],MATCH(,INDIRECT(ADDRESS(ROW(NOTA[TANGGAL]),COLUMN(NOTA[TANGGAL]))&amp;":"&amp;ADDRESS(ROW(),COLUMN(NOTA[TANGGAL]))),-1)))</f>
        <v>45127</v>
      </c>
      <c r="AH423" s="42" t="str">
        <f ca="1">IF(NOTA[[#This Row],[NAMA BARANG]]="","",INDEX(NOTA[SUPPLIER],MATCH(,INDIRECT(ADDRESS(ROW(NOTA[ID]),COLUMN(NOTA[ID]))&amp;":"&amp;ADDRESS(ROW(),COLUMN(NOTA[ID]))),-1)))</f>
        <v>HANSA</v>
      </c>
      <c r="AI423" s="42" t="str">
        <f ca="1">IF(NOTA[[#This Row],[ID_H]]="","",IF(NOTA[[#This Row],[FAKTUR]]="",INDIRECT(ADDRESS(ROW()-1,COLUMN())),NOTA[[#This Row],[FAKTUR]]))</f>
        <v>UNTANA</v>
      </c>
      <c r="AJ423" s="39" t="str">
        <f ca="1">IF(NOTA[[#This Row],[ID]]="","",COUNTIF(NOTA[ID_H],NOTA[[#This Row],[ID_H]]))</f>
        <v/>
      </c>
      <c r="AK423" s="39">
        <f ca="1">IF(NOTA[[#This Row],[TGL.NOTA]]="",IF(NOTA[[#This Row],[SUPPLIER_H]]="","",AK422),MONTH(NOTA[[#This Row],[TGL.NOTA]]))</f>
        <v>7</v>
      </c>
      <c r="AL423" s="39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4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malamshintoengb1wpolos69240</v>
      </c>
      <c r="AN4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4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9" t="str">
        <f>IF(NOTA[[#This Row],[CONCAT4]]="","",_xlfn.IFNA(MATCH(NOTA[[#This Row],[CONCAT4]],[2]!RAW[CONCAT_H],0),FALSE))</f>
        <v/>
      </c>
      <c r="AQ423" s="39">
        <f>IF(NOTA[[#This Row],[CONCAT1]]="","",MATCH(NOTA[[#This Row],[CONCAT1]],[3]!db[NB NOTA_C],0))</f>
        <v>1570</v>
      </c>
      <c r="AR423" s="39" t="str">
        <f>IF(NOTA[[#This Row],[QTY/ CTN]]="","",TRUE)</f>
        <v/>
      </c>
      <c r="AS423" s="39" t="str">
        <f ca="1">IF(NOTA[[#This Row],[ID_H]]="","",IF(NOTA[[#This Row],[Column3]]=TRUE,NOTA[[#This Row],[QTY/ CTN]],INDEX([3]!db[QTY/ CTN],NOTA[[#This Row],[//DB]])))</f>
        <v>180 PCS</v>
      </c>
      <c r="AT4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423" s="39" t="e">
        <f ca="1">IF(NOTA[[#This Row],[ID_H]]="","",MATCH(NOTA[[#This Row],[NB NOTA_C_QTY]],[4]!db[NB NOTA_C_QTY+F],0))</f>
        <v>#REF!</v>
      </c>
      <c r="AV423" s="55">
        <f ca="1">IF(NOTA[[#This Row],[NB NOTA_C_QTY]]="","",ROW()-2)</f>
        <v>421</v>
      </c>
    </row>
    <row r="424" spans="1:48" ht="20.100000000000001" customHeight="1" x14ac:dyDescent="0.25">
      <c r="A4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86</v>
      </c>
      <c r="E424" s="47"/>
      <c r="H424" s="48"/>
      <c r="L424" s="38" t="s">
        <v>515</v>
      </c>
      <c r="N424" s="39">
        <v>12</v>
      </c>
      <c r="O424" s="38" t="s">
        <v>117</v>
      </c>
      <c r="P424" s="42">
        <v>6100</v>
      </c>
      <c r="Q424" s="43"/>
      <c r="R424" s="49"/>
      <c r="S424" s="50"/>
      <c r="U424" s="51"/>
      <c r="V424" s="46"/>
      <c r="W424" s="51">
        <f>IF(NOTA[[#This Row],[HARGA/ CTN]]="",NOTA[[#This Row],[JUMLAH_H]],NOTA[[#This Row],[HARGA/ CTN]]*IF(NOTA[[#This Row],[C]]="",0,NOTA[[#This Row],[C]]))</f>
        <v>73200</v>
      </c>
      <c r="X424" s="51">
        <f>IF(NOTA[[#This Row],[JUMLAH]]="","",NOTA[[#This Row],[JUMLAH]]*NOTA[[#This Row],[DISC 1]])</f>
        <v>0</v>
      </c>
      <c r="Y424" s="51">
        <f>IF(NOTA[[#This Row],[JUMLAH]]="","",(NOTA[[#This Row],[JUMLAH]]-NOTA[[#This Row],[DISC 1-]])*NOTA[[#This Row],[DISC 2]])</f>
        <v>0</v>
      </c>
      <c r="Z424" s="51">
        <f>IF(NOTA[[#This Row],[JUMLAH]]="","",NOTA[[#This Row],[DISC 1-]]+NOTA[[#This Row],[DISC 2-]])</f>
        <v>0</v>
      </c>
      <c r="AA424" s="51">
        <f>IF(NOTA[[#This Row],[JUMLAH]]="","",NOTA[[#This Row],[JUMLAH]]-NOTA[[#This Row],[DISC]])</f>
        <v>73200</v>
      </c>
      <c r="AB424" s="51"/>
      <c r="AC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2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F424" s="51">
        <f>IF(OR(NOTA[[#This Row],[QTY]]="",NOTA[[#This Row],[HARGA SATUAN]]="",),"",NOTA[[#This Row],[QTY]]*NOTA[[#This Row],[HARGA SATUAN]])</f>
        <v>73200</v>
      </c>
      <c r="AG424" s="40">
        <f ca="1">IF(NOTA[ID_H]="","",INDEX(NOTA[TANGGAL],MATCH(,INDIRECT(ADDRESS(ROW(NOTA[TANGGAL]),COLUMN(NOTA[TANGGAL]))&amp;":"&amp;ADDRESS(ROW(),COLUMN(NOTA[TANGGAL]))),-1)))</f>
        <v>45127</v>
      </c>
      <c r="AH424" s="42" t="str">
        <f ca="1">IF(NOTA[[#This Row],[NAMA BARANG]]="","",INDEX(NOTA[SUPPLIER],MATCH(,INDIRECT(ADDRESS(ROW(NOTA[ID]),COLUMN(NOTA[ID]))&amp;":"&amp;ADDRESS(ROW(),COLUMN(NOTA[ID]))),-1)))</f>
        <v>HANSA</v>
      </c>
      <c r="AI424" s="42" t="str">
        <f ca="1">IF(NOTA[[#This Row],[ID_H]]="","",IF(NOTA[[#This Row],[FAKTUR]]="",INDIRECT(ADDRESS(ROW()-1,COLUMN())),NOTA[[#This Row],[FAKTUR]]))</f>
        <v>UNTANA</v>
      </c>
      <c r="AJ424" s="39" t="str">
        <f ca="1">IF(NOTA[[#This Row],[ID]]="","",COUNTIF(NOTA[ID_H],NOTA[[#This Row],[ID_H]]))</f>
        <v/>
      </c>
      <c r="AK424" s="39">
        <f ca="1">IF(NOTA[[#This Row],[TGL.NOTA]]="",IF(NOTA[[#This Row],[SUPPLIER_H]]="","",AK423),MONTH(NOTA[[#This Row],[TGL.NOTA]]))</f>
        <v>7</v>
      </c>
      <c r="AL424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N4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4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9" t="str">
        <f>IF(NOTA[[#This Row],[CONCAT4]]="","",_xlfn.IFNA(MATCH(NOTA[[#This Row],[CONCAT4]],[2]!RAW[CONCAT_H],0),FALSE))</f>
        <v/>
      </c>
      <c r="AQ424" s="39">
        <f>IF(NOTA[[#This Row],[CONCAT1]]="","",MATCH(NOTA[[#This Row],[CONCAT1]],[3]!db[NB NOTA_C],0))</f>
        <v>1571</v>
      </c>
      <c r="AR424" s="39" t="str">
        <f>IF(NOTA[[#This Row],[QTY/ CTN]]="","",TRUE)</f>
        <v/>
      </c>
      <c r="AS424" s="39" t="str">
        <f ca="1">IF(NOTA[[#This Row],[ID_H]]="","",IF(NOTA[[#This Row],[Column3]]=TRUE,NOTA[[#This Row],[QTY/ CTN]],INDEX([3]!db[QTY/ CTN],NOTA[[#This Row],[//DB]])))</f>
        <v>150 PCS</v>
      </c>
      <c r="AT4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4" s="39" t="e">
        <f ca="1">IF(NOTA[[#This Row],[ID_H]]="","",MATCH(NOTA[[#This Row],[NB NOTA_C_QTY]],[4]!db[NB NOTA_C_QTY+F],0))</f>
        <v>#REF!</v>
      </c>
      <c r="AV424" s="55">
        <f ca="1">IF(NOTA[[#This Row],[NB NOTA_C_QTY]]="","",ROW()-2)</f>
        <v>422</v>
      </c>
    </row>
    <row r="425" spans="1:48" ht="20.100000000000001" customHeight="1" x14ac:dyDescent="0.25">
      <c r="A4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86</v>
      </c>
      <c r="E425" s="47"/>
      <c r="H425" s="48"/>
      <c r="L425" s="38" t="s">
        <v>195</v>
      </c>
      <c r="N425" s="39">
        <v>12</v>
      </c>
      <c r="O425" s="38" t="s">
        <v>117</v>
      </c>
      <c r="P425" s="42">
        <v>4550</v>
      </c>
      <c r="Q425" s="43"/>
      <c r="R425" s="49"/>
      <c r="S425" s="50"/>
      <c r="U425" s="51"/>
      <c r="V425" s="46"/>
      <c r="W425" s="51">
        <f>IF(NOTA[[#This Row],[HARGA/ CTN]]="",NOTA[[#This Row],[JUMLAH_H]],NOTA[[#This Row],[HARGA/ CTN]]*IF(NOTA[[#This Row],[C]]="",0,NOTA[[#This Row],[C]]))</f>
        <v>54600</v>
      </c>
      <c r="X425" s="51">
        <f>IF(NOTA[[#This Row],[JUMLAH]]="","",NOTA[[#This Row],[JUMLAH]]*NOTA[[#This Row],[DISC 1]])</f>
        <v>0</v>
      </c>
      <c r="Y425" s="51">
        <f>IF(NOTA[[#This Row],[JUMLAH]]="","",(NOTA[[#This Row],[JUMLAH]]-NOTA[[#This Row],[DISC 1-]])*NOTA[[#This Row],[DISC 2]])</f>
        <v>0</v>
      </c>
      <c r="Z425" s="51">
        <f>IF(NOTA[[#This Row],[JUMLAH]]="","",NOTA[[#This Row],[DISC 1-]]+NOTA[[#This Row],[DISC 2-]])</f>
        <v>0</v>
      </c>
      <c r="AA425" s="51">
        <f>IF(NOTA[[#This Row],[JUMLAH]]="","",NOTA[[#This Row],[JUMLAH]]-NOTA[[#This Row],[DISC]])</f>
        <v>54600</v>
      </c>
      <c r="AB425" s="51"/>
      <c r="AC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425" s="51">
        <f>IF(OR(NOTA[[#This Row],[QTY]]="",NOTA[[#This Row],[HARGA SATUAN]]="",),"",NOTA[[#This Row],[QTY]]*NOTA[[#This Row],[HARGA SATUAN]])</f>
        <v>54600</v>
      </c>
      <c r="AG425" s="40">
        <f ca="1">IF(NOTA[ID_H]="","",INDEX(NOTA[TANGGAL],MATCH(,INDIRECT(ADDRESS(ROW(NOTA[TANGGAL]),COLUMN(NOTA[TANGGAL]))&amp;":"&amp;ADDRESS(ROW(),COLUMN(NOTA[TANGGAL]))),-1)))</f>
        <v>45127</v>
      </c>
      <c r="AH425" s="42" t="str">
        <f ca="1">IF(NOTA[[#This Row],[NAMA BARANG]]="","",INDEX(NOTA[SUPPLIER],MATCH(,INDIRECT(ADDRESS(ROW(NOTA[ID]),COLUMN(NOTA[ID]))&amp;":"&amp;ADDRESS(ROW(),COLUMN(NOTA[ID]))),-1)))</f>
        <v>HANSA</v>
      </c>
      <c r="AI425" s="42" t="str">
        <f ca="1">IF(NOTA[[#This Row],[ID_H]]="","",IF(NOTA[[#This Row],[FAKTUR]]="",INDIRECT(ADDRESS(ROW()-1,COLUMN())),NOTA[[#This Row],[FAKTUR]]))</f>
        <v>UNTANA</v>
      </c>
      <c r="AJ425" s="39" t="str">
        <f ca="1">IF(NOTA[[#This Row],[ID]]="","",COUNTIF(NOTA[ID_H],NOTA[[#This Row],[ID_H]]))</f>
        <v/>
      </c>
      <c r="AK425" s="39">
        <f ca="1">IF(NOTA[[#This Row],[TGL.NOTA]]="",IF(NOTA[[#This Row],[SUPPLIER_H]]="","",AK424),MONTH(NOTA[[#This Row],[TGL.NOTA]]))</f>
        <v>7</v>
      </c>
      <c r="AL425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4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4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4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9" t="str">
        <f>IF(NOTA[[#This Row],[CONCAT4]]="","",_xlfn.IFNA(MATCH(NOTA[[#This Row],[CONCAT4]],[2]!RAW[CONCAT_H],0),FALSE))</f>
        <v/>
      </c>
      <c r="AQ425" s="39">
        <f>IF(NOTA[[#This Row],[CONCAT1]]="","",MATCH(NOTA[[#This Row],[CONCAT1]],[3]!db[NB NOTA_C],0))</f>
        <v>1578</v>
      </c>
      <c r="AR425" s="39" t="str">
        <f>IF(NOTA[[#This Row],[QTY/ CTN]]="","",TRUE)</f>
        <v/>
      </c>
      <c r="AS425" s="39" t="str">
        <f ca="1">IF(NOTA[[#This Row],[ID_H]]="","",IF(NOTA[[#This Row],[Column3]]=TRUE,NOTA[[#This Row],[QTY/ CTN]],INDEX([3]!db[QTY/ CTN],NOTA[[#This Row],[//DB]])))</f>
        <v>210 PCS</v>
      </c>
      <c r="AT4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425" s="39" t="e">
        <f ca="1">IF(NOTA[[#This Row],[ID_H]]="","",MATCH(NOTA[[#This Row],[NB NOTA_C_QTY]],[4]!db[NB NOTA_C_QTY+F],0))</f>
        <v>#REF!</v>
      </c>
      <c r="AV425" s="55">
        <f ca="1">IF(NOTA[[#This Row],[NB NOTA_C_QTY]]="","",ROW()-2)</f>
        <v>423</v>
      </c>
    </row>
    <row r="426" spans="1:48" ht="20.100000000000001" customHeight="1" x14ac:dyDescent="0.25">
      <c r="A4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86</v>
      </c>
      <c r="E426" s="47"/>
      <c r="H426" s="48"/>
      <c r="L426" s="38" t="s">
        <v>518</v>
      </c>
      <c r="N426" s="39">
        <v>12</v>
      </c>
      <c r="O426" s="38" t="s">
        <v>117</v>
      </c>
      <c r="P426" s="42">
        <v>4330</v>
      </c>
      <c r="Q426" s="43"/>
      <c r="R426" s="49"/>
      <c r="S426" s="50"/>
      <c r="U426" s="51"/>
      <c r="V426" s="46"/>
      <c r="W426" s="51">
        <f>IF(NOTA[[#This Row],[HARGA/ CTN]]="",NOTA[[#This Row],[JUMLAH_H]],NOTA[[#This Row],[HARGA/ CTN]]*IF(NOTA[[#This Row],[C]]="",0,NOTA[[#This Row],[C]]))</f>
        <v>51960</v>
      </c>
      <c r="X426" s="51">
        <f>IF(NOTA[[#This Row],[JUMLAH]]="","",NOTA[[#This Row],[JUMLAH]]*NOTA[[#This Row],[DISC 1]])</f>
        <v>0</v>
      </c>
      <c r="Y426" s="51">
        <f>IF(NOTA[[#This Row],[JUMLAH]]="","",(NOTA[[#This Row],[JUMLAH]]-NOTA[[#This Row],[DISC 1-]])*NOTA[[#This Row],[DISC 2]])</f>
        <v>0</v>
      </c>
      <c r="Z426" s="51">
        <f>IF(NOTA[[#This Row],[JUMLAH]]="","",NOTA[[#This Row],[DISC 1-]]+NOTA[[#This Row],[DISC 2-]])</f>
        <v>0</v>
      </c>
      <c r="AA426" s="51">
        <f>IF(NOTA[[#This Row],[JUMLAH]]="","",NOTA[[#This Row],[JUMLAH]]-NOTA[[#This Row],[DISC]])</f>
        <v>51960</v>
      </c>
      <c r="AB426" s="51"/>
      <c r="AC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2">
        <f>IF(NOTA[[#This Row],[NAMA BARANG]]="","",IF(NOTA[[#This Row],[JUMLAH_H]]="",NOTA[[#This Row],[HARGA/ CTN]],NOTA[[#This Row],[QTY]]*NOTA[[#This Row],[HARGA SATUAN]]/IF(ISNUMBER(NOTA[[#This Row],[C]]),NOTA[[#This Row],[C]],1)))</f>
        <v>51960</v>
      </c>
      <c r="AF426" s="51">
        <f>IF(OR(NOTA[[#This Row],[QTY]]="",NOTA[[#This Row],[HARGA SATUAN]]="",),"",NOTA[[#This Row],[QTY]]*NOTA[[#This Row],[HARGA SATUAN]])</f>
        <v>51960</v>
      </c>
      <c r="AG426" s="40">
        <f ca="1">IF(NOTA[ID_H]="","",INDEX(NOTA[TANGGAL],MATCH(,INDIRECT(ADDRESS(ROW(NOTA[TANGGAL]),COLUMN(NOTA[TANGGAL]))&amp;":"&amp;ADDRESS(ROW(),COLUMN(NOTA[TANGGAL]))),-1)))</f>
        <v>45127</v>
      </c>
      <c r="AH426" s="42" t="str">
        <f ca="1">IF(NOTA[[#This Row],[NAMA BARANG]]="","",INDEX(NOTA[SUPPLIER],MATCH(,INDIRECT(ADDRESS(ROW(NOTA[ID]),COLUMN(NOTA[ID]))&amp;":"&amp;ADDRESS(ROW(),COLUMN(NOTA[ID]))),-1)))</f>
        <v>HANSA</v>
      </c>
      <c r="AI426" s="42" t="str">
        <f ca="1">IF(NOTA[[#This Row],[ID_H]]="","",IF(NOTA[[#This Row],[FAKTUR]]="",INDIRECT(ADDRESS(ROW()-1,COLUMN())),NOTA[[#This Row],[FAKTUR]]))</f>
        <v>UNTANA</v>
      </c>
      <c r="AJ426" s="39" t="str">
        <f ca="1">IF(NOTA[[#This Row],[ID]]="","",COUNTIF(NOTA[ID_H],NOTA[[#This Row],[ID_H]]))</f>
        <v/>
      </c>
      <c r="AK426" s="39">
        <f ca="1">IF(NOTA[[#This Row],[TGL.NOTA]]="",IF(NOTA[[#This Row],[SUPPLIER_H]]="","",AK425),MONTH(NOTA[[#This Row],[TGL.NOTA]]))</f>
        <v>7</v>
      </c>
      <c r="AL426" s="39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4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malamshintoengtg1wpolos51960</v>
      </c>
      <c r="AN4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4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9" t="str">
        <f>IF(NOTA[[#This Row],[CONCAT4]]="","",_xlfn.IFNA(MATCH(NOTA[[#This Row],[CONCAT4]],[2]!RAW[CONCAT_H],0),FALSE))</f>
        <v/>
      </c>
      <c r="AQ426" s="39">
        <f>IF(NOTA[[#This Row],[CONCAT1]]="","",MATCH(NOTA[[#This Row],[CONCAT1]],[3]!db[NB NOTA_C],0))</f>
        <v>1576</v>
      </c>
      <c r="AR426" s="39" t="str">
        <f>IF(NOTA[[#This Row],[QTY/ CTN]]="","",TRUE)</f>
        <v/>
      </c>
      <c r="AS426" s="39" t="str">
        <f ca="1">IF(NOTA[[#This Row],[ID_H]]="","",IF(NOTA[[#This Row],[Column3]]=TRUE,NOTA[[#This Row],[QTY/ CTN]],INDEX([3]!db[QTY/ CTN],NOTA[[#This Row],[//DB]])))</f>
        <v>210 PCS</v>
      </c>
      <c r="AT4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426" s="39" t="e">
        <f ca="1">IF(NOTA[[#This Row],[ID_H]]="","",MATCH(NOTA[[#This Row],[NB NOTA_C_QTY]],[4]!db[NB NOTA_C_QTY+F],0))</f>
        <v>#REF!</v>
      </c>
      <c r="AV426" s="55">
        <f ca="1">IF(NOTA[[#This Row],[NB NOTA_C_QTY]]="","",ROW()-2)</f>
        <v>424</v>
      </c>
    </row>
    <row r="427" spans="1:48" ht="20.100000000000001" customHeight="1" x14ac:dyDescent="0.25">
      <c r="A4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>
        <f ca="1">IF(NOTA[[#This Row],[NAMA BARANG]]="","",INDEX(NOTA[ID],MATCH(,INDIRECT(ADDRESS(ROW(NOTA[ID]),COLUMN(NOTA[ID]))&amp;":"&amp;ADDRESS(ROW(),COLUMN(NOTA[ID]))),-1)))</f>
        <v>86</v>
      </c>
      <c r="E427" s="47"/>
      <c r="H427" s="48"/>
      <c r="L427" s="38" t="s">
        <v>197</v>
      </c>
      <c r="N427" s="39">
        <v>24</v>
      </c>
      <c r="O427" s="38" t="s">
        <v>117</v>
      </c>
      <c r="P427" s="42">
        <v>1600</v>
      </c>
      <c r="Q427" s="43"/>
      <c r="R427" s="49"/>
      <c r="S427" s="50"/>
      <c r="U427" s="51"/>
      <c r="V427" s="46"/>
      <c r="W427" s="51">
        <f>IF(NOTA[[#This Row],[HARGA/ CTN]]="",NOTA[[#This Row],[JUMLAH_H]],NOTA[[#This Row],[HARGA/ CTN]]*IF(NOTA[[#This Row],[C]]="",0,NOTA[[#This Row],[C]]))</f>
        <v>38400</v>
      </c>
      <c r="X427" s="51">
        <f>IF(NOTA[[#This Row],[JUMLAH]]="","",NOTA[[#This Row],[JUMLAH]]*NOTA[[#This Row],[DISC 1]])</f>
        <v>0</v>
      </c>
      <c r="Y427" s="51">
        <f>IF(NOTA[[#This Row],[JUMLAH]]="","",(NOTA[[#This Row],[JUMLAH]]-NOTA[[#This Row],[DISC 1-]])*NOTA[[#This Row],[DISC 2]])</f>
        <v>0</v>
      </c>
      <c r="Z427" s="51">
        <f>IF(NOTA[[#This Row],[JUMLAH]]="","",NOTA[[#This Row],[DISC 1-]]+NOTA[[#This Row],[DISC 2-]])</f>
        <v>0</v>
      </c>
      <c r="AA427" s="51">
        <f>IF(NOTA[[#This Row],[JUMLAH]]="","",NOTA[[#This Row],[JUMLAH]]-NOTA[[#This Row],[DISC]])</f>
        <v>38400</v>
      </c>
      <c r="AB427" s="51"/>
      <c r="AC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7" s="51">
        <f>IF(OR(NOTA[[#This Row],[QTY]]="",NOTA[[#This Row],[HARGA SATUAN]]="",),"",NOTA[[#This Row],[QTY]]*NOTA[[#This Row],[HARGA SATUAN]])</f>
        <v>38400</v>
      </c>
      <c r="AG427" s="40">
        <f ca="1">IF(NOTA[ID_H]="","",INDEX(NOTA[TANGGAL],MATCH(,INDIRECT(ADDRESS(ROW(NOTA[TANGGAL]),COLUMN(NOTA[TANGGAL]))&amp;":"&amp;ADDRESS(ROW(),COLUMN(NOTA[TANGGAL]))),-1)))</f>
        <v>45127</v>
      </c>
      <c r="AH427" s="42" t="str">
        <f ca="1">IF(NOTA[[#This Row],[NAMA BARANG]]="","",INDEX(NOTA[SUPPLIER],MATCH(,INDIRECT(ADDRESS(ROW(NOTA[ID]),COLUMN(NOTA[ID]))&amp;":"&amp;ADDRESS(ROW(),COLUMN(NOTA[ID]))),-1)))</f>
        <v>HANSA</v>
      </c>
      <c r="AI427" s="42" t="str">
        <f ca="1">IF(NOTA[[#This Row],[ID_H]]="","",IF(NOTA[[#This Row],[FAKTUR]]="",INDIRECT(ADDRESS(ROW()-1,COLUMN())),NOTA[[#This Row],[FAKTUR]]))</f>
        <v>UNTANA</v>
      </c>
      <c r="AJ427" s="39" t="str">
        <f ca="1">IF(NOTA[[#This Row],[ID]]="","",COUNTIF(NOTA[ID_H],NOTA[[#This Row],[ID_H]]))</f>
        <v/>
      </c>
      <c r="AK427" s="39">
        <f ca="1">IF(NOTA[[#This Row],[TGL.NOTA]]="",IF(NOTA[[#This Row],[SUPPLIER_H]]="","",AK426),MONTH(NOTA[[#This Row],[TGL.NOTA]]))</f>
        <v>7</v>
      </c>
      <c r="AL427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4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N4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4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9" t="str">
        <f>IF(NOTA[[#This Row],[CONCAT4]]="","",_xlfn.IFNA(MATCH(NOTA[[#This Row],[CONCAT4]],[2]!RAW[CONCAT_H],0),FALSE))</f>
        <v/>
      </c>
      <c r="AQ427" s="39">
        <f>IF(NOTA[[#This Row],[CONCAT1]]="","",MATCH(NOTA[[#This Row],[CONCAT1]],[3]!db[NB NOTA_C],0))</f>
        <v>1572</v>
      </c>
      <c r="AR427" s="39" t="str">
        <f>IF(NOTA[[#This Row],[QTY/ CTN]]="","",TRUE)</f>
        <v/>
      </c>
      <c r="AS427" s="39" t="str">
        <f ca="1">IF(NOTA[[#This Row],[ID_H]]="","",IF(NOTA[[#This Row],[Column3]]=TRUE,NOTA[[#This Row],[QTY/ CTN]],INDEX([3]!db[QTY/ CTN],NOTA[[#This Row],[//DB]])))</f>
        <v>480 PCS</v>
      </c>
      <c r="AT4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427" s="39" t="e">
        <f ca="1">IF(NOTA[[#This Row],[ID_H]]="","",MATCH(NOTA[[#This Row],[NB NOTA_C_QTY]],[4]!db[NB NOTA_C_QTY+F],0))</f>
        <v>#REF!</v>
      </c>
      <c r="AV427" s="55">
        <f ca="1">IF(NOTA[[#This Row],[NB NOTA_C_QTY]]="","",ROW()-2)</f>
        <v>425</v>
      </c>
    </row>
    <row r="428" spans="1:48" ht="20.100000000000001" customHeight="1" x14ac:dyDescent="0.25">
      <c r="A4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86</v>
      </c>
      <c r="E428" s="47"/>
      <c r="H428" s="48"/>
      <c r="L428" s="38" t="s">
        <v>353</v>
      </c>
      <c r="N428" s="39">
        <v>24</v>
      </c>
      <c r="O428" s="38" t="s">
        <v>117</v>
      </c>
      <c r="P428" s="42">
        <v>1600</v>
      </c>
      <c r="Q428" s="43"/>
      <c r="R428" s="49"/>
      <c r="S428" s="50"/>
      <c r="U428" s="51"/>
      <c r="V428" s="46"/>
      <c r="W428" s="51">
        <f>IF(NOTA[[#This Row],[HARGA/ CTN]]="",NOTA[[#This Row],[JUMLAH_H]],NOTA[[#This Row],[HARGA/ CTN]]*IF(NOTA[[#This Row],[C]]="",0,NOTA[[#This Row],[C]]))</f>
        <v>38400</v>
      </c>
      <c r="X428" s="51">
        <f>IF(NOTA[[#This Row],[JUMLAH]]="","",NOTA[[#This Row],[JUMLAH]]*NOTA[[#This Row],[DISC 1]])</f>
        <v>0</v>
      </c>
      <c r="Y428" s="51">
        <f>IF(NOTA[[#This Row],[JUMLAH]]="","",(NOTA[[#This Row],[JUMLAH]]-NOTA[[#This Row],[DISC 1-]])*NOTA[[#This Row],[DISC 2]])</f>
        <v>0</v>
      </c>
      <c r="Z428" s="51">
        <f>IF(NOTA[[#This Row],[JUMLAH]]="","",NOTA[[#This Row],[DISC 1-]]+NOTA[[#This Row],[DISC 2-]])</f>
        <v>0</v>
      </c>
      <c r="AA428" s="51">
        <f>IF(NOTA[[#This Row],[JUMLAH]]="","",NOTA[[#This Row],[JUMLAH]]-NOTA[[#This Row],[DISC]])</f>
        <v>38400</v>
      </c>
      <c r="AB428" s="51"/>
      <c r="AC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1240800</v>
      </c>
      <c r="AE428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8" s="51">
        <f>IF(OR(NOTA[[#This Row],[QTY]]="",NOTA[[#This Row],[HARGA SATUAN]]="",),"",NOTA[[#This Row],[QTY]]*NOTA[[#This Row],[HARGA SATUAN]])</f>
        <v>38400</v>
      </c>
      <c r="AG428" s="40">
        <f ca="1">IF(NOTA[ID_H]="","",INDEX(NOTA[TANGGAL],MATCH(,INDIRECT(ADDRESS(ROW(NOTA[TANGGAL]),COLUMN(NOTA[TANGGAL]))&amp;":"&amp;ADDRESS(ROW(),COLUMN(NOTA[TANGGAL]))),-1)))</f>
        <v>45127</v>
      </c>
      <c r="AH428" s="42" t="str">
        <f ca="1">IF(NOTA[[#This Row],[NAMA BARANG]]="","",INDEX(NOTA[SUPPLIER],MATCH(,INDIRECT(ADDRESS(ROW(NOTA[ID]),COLUMN(NOTA[ID]))&amp;":"&amp;ADDRESS(ROW(),COLUMN(NOTA[ID]))),-1)))</f>
        <v>HANSA</v>
      </c>
      <c r="AI428" s="42" t="str">
        <f ca="1">IF(NOTA[[#This Row],[ID_H]]="","",IF(NOTA[[#This Row],[FAKTUR]]="",INDIRECT(ADDRESS(ROW()-1,COLUMN())),NOTA[[#This Row],[FAKTUR]]))</f>
        <v>UNTANA</v>
      </c>
      <c r="AJ428" s="39" t="str">
        <f ca="1">IF(NOTA[[#This Row],[ID]]="","",COUNTIF(NOTA[ID_H],NOTA[[#This Row],[ID_H]]))</f>
        <v/>
      </c>
      <c r="AK428" s="39">
        <f ca="1">IF(NOTA[[#This Row],[TGL.NOTA]]="",IF(NOTA[[#This Row],[SUPPLIER_H]]="","",AK427),MONTH(NOTA[[#This Row],[TGL.NOTA]]))</f>
        <v>7</v>
      </c>
      <c r="AL428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4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malamshintoengk612w38400</v>
      </c>
      <c r="AN4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4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9" t="str">
        <f>IF(NOTA[[#This Row],[CONCAT4]]="","",_xlfn.IFNA(MATCH(NOTA[[#This Row],[CONCAT4]],[2]!RAW[CONCAT_H],0),FALSE))</f>
        <v/>
      </c>
      <c r="AQ428" s="39">
        <f>IF(NOTA[[#This Row],[CONCAT1]]="","",MATCH(NOTA[[#This Row],[CONCAT1]],[3]!db[NB NOTA_C],0))</f>
        <v>1573</v>
      </c>
      <c r="AR428" s="39" t="str">
        <f>IF(NOTA[[#This Row],[QTY/ CTN]]="","",TRUE)</f>
        <v/>
      </c>
      <c r="AS428" s="39" t="str">
        <f ca="1">IF(NOTA[[#This Row],[ID_H]]="","",IF(NOTA[[#This Row],[Column3]]=TRUE,NOTA[[#This Row],[QTY/ CTN]],INDEX([3]!db[QTY/ CTN],NOTA[[#This Row],[//DB]])))</f>
        <v>480 PCS</v>
      </c>
      <c r="AT4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428" s="39" t="e">
        <f ca="1">IF(NOTA[[#This Row],[ID_H]]="","",MATCH(NOTA[[#This Row],[NB NOTA_C_QTY]],[4]!db[NB NOTA_C_QTY+F],0))</f>
        <v>#REF!</v>
      </c>
      <c r="AV428" s="55">
        <f ca="1">IF(NOTA[[#This Row],[NB NOTA_C_QTY]]="","",ROW()-2)</f>
        <v>426</v>
      </c>
    </row>
    <row r="429" spans="1:48" ht="20.100000000000001" customHeight="1" x14ac:dyDescent="0.25">
      <c r="A4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47"/>
      <c r="H429" s="48"/>
      <c r="N429" s="39"/>
      <c r="Q429" s="43"/>
      <c r="R429" s="49"/>
      <c r="S429" s="50"/>
      <c r="U429" s="51"/>
      <c r="V429" s="46"/>
      <c r="W429" s="51" t="str">
        <f>IF(NOTA[[#This Row],[HARGA/ CTN]]="",NOTA[[#This Row],[JUMLAH_H]],NOTA[[#This Row],[HARGA/ CTN]]*IF(NOTA[[#This Row],[C]]="",0,NOTA[[#This Row],[C]]))</f>
        <v/>
      </c>
      <c r="X429" s="51" t="str">
        <f>IF(NOTA[[#This Row],[JUMLAH]]="","",NOTA[[#This Row],[JUMLAH]]*NOTA[[#This Row],[DISC 1]])</f>
        <v/>
      </c>
      <c r="Y429" s="51" t="str">
        <f>IF(NOTA[[#This Row],[JUMLAH]]="","",(NOTA[[#This Row],[JUMLAH]]-NOTA[[#This Row],[DISC 1-]])*NOTA[[#This Row],[DISC 2]])</f>
        <v/>
      </c>
      <c r="Z429" s="51" t="str">
        <f>IF(NOTA[[#This Row],[JUMLAH]]="","",NOTA[[#This Row],[DISC 1-]]+NOTA[[#This Row],[DISC 2-]])</f>
        <v/>
      </c>
      <c r="AA429" s="51" t="str">
        <f>IF(NOTA[[#This Row],[JUMLAH]]="","",NOTA[[#This Row],[JUMLAH]]-NOTA[[#This Row],[DISC]])</f>
        <v/>
      </c>
      <c r="AB429" s="51"/>
      <c r="AC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1" t="str">
        <f>IF(OR(NOTA[[#This Row],[QTY]]="",NOTA[[#This Row],[HARGA SATUAN]]="",),"",NOTA[[#This Row],[QTY]]*NOTA[[#This Row],[HARGA SATUAN]])</f>
        <v/>
      </c>
      <c r="AG429" s="40" t="str">
        <f ca="1">IF(NOTA[ID_H]="","",INDEX(NOTA[TANGGAL],MATCH(,INDIRECT(ADDRESS(ROW(NOTA[TANGGAL]),COLUMN(NOTA[TANGGAL]))&amp;":"&amp;ADDRESS(ROW(),COLUMN(NOTA[TANGGAL]))),-1)))</f>
        <v/>
      </c>
      <c r="AH429" s="42" t="str">
        <f ca="1">IF(NOTA[[#This Row],[NAMA BARANG]]="","",INDEX(NOTA[SUPPLIER],MATCH(,INDIRECT(ADDRESS(ROW(NOTA[ID]),COLUMN(NOTA[ID]))&amp;":"&amp;ADDRESS(ROW(),COLUMN(NOTA[ID]))),-1)))</f>
        <v/>
      </c>
      <c r="AI429" s="42" t="str">
        <f ca="1">IF(NOTA[[#This Row],[ID_H]]="","",IF(NOTA[[#This Row],[FAKTUR]]="",INDIRECT(ADDRESS(ROW()-1,COLUMN())),NOTA[[#This Row],[FAKTUR]]))</f>
        <v/>
      </c>
      <c r="AJ429" s="39" t="str">
        <f ca="1">IF(NOTA[[#This Row],[ID]]="","",COUNTIF(NOTA[ID_H],NOTA[[#This Row],[ID_H]]))</f>
        <v/>
      </c>
      <c r="AK429" s="39" t="str">
        <f ca="1">IF(NOTA[[#This Row],[TGL.NOTA]]="",IF(NOTA[[#This Row],[SUPPLIER_H]]="","",AK428),MONTH(NOTA[[#This Row],[TGL.NOTA]]))</f>
        <v/>
      </c>
      <c r="AL429" s="39" t="str">
        <f>LOWER(SUBSTITUTE(SUBSTITUTE(SUBSTITUTE(SUBSTITUTE(SUBSTITUTE(SUBSTITUTE(SUBSTITUTE(SUBSTITUTE(SUBSTITUTE(NOTA[NAMA BARANG]," ",),".",""),"-",""),"(",""),")",""),",",""),"/",""),"""",""),"+",""))</f>
        <v/>
      </c>
      <c r="AM4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9" t="str">
        <f>IF(NOTA[[#This Row],[CONCAT4]]="","",_xlfn.IFNA(MATCH(NOTA[[#This Row],[CONCAT4]],[2]!RAW[CONCAT_H],0),FALSE))</f>
        <v/>
      </c>
      <c r="AQ429" s="39" t="str">
        <f>IF(NOTA[[#This Row],[CONCAT1]]="","",MATCH(NOTA[[#This Row],[CONCAT1]],[3]!db[NB NOTA_C],0))</f>
        <v/>
      </c>
      <c r="AR429" s="39" t="str">
        <f>IF(NOTA[[#This Row],[QTY/ CTN]]="","",TRUE)</f>
        <v/>
      </c>
      <c r="AS429" s="39" t="str">
        <f ca="1">IF(NOTA[[#This Row],[ID_H]]="","",IF(NOTA[[#This Row],[Column3]]=TRUE,NOTA[[#This Row],[QTY/ CTN]],INDEX([3]!db[QTY/ CTN],NOTA[[#This Row],[//DB]])))</f>
        <v/>
      </c>
      <c r="AT4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9" t="str">
        <f ca="1">IF(NOTA[[#This Row],[ID_H]]="","",MATCH(NOTA[[#This Row],[NB NOTA_C_QTY]],[4]!db[NB NOTA_C_QTY+F],0))</f>
        <v/>
      </c>
      <c r="AV429" s="55" t="str">
        <f ca="1">IF(NOTA[[#This Row],[NB NOTA_C_QTY]]="","",ROW()-2)</f>
        <v/>
      </c>
    </row>
    <row r="430" spans="1:48" ht="20.100000000000001" customHeight="1" x14ac:dyDescent="0.25">
      <c r="A430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KEN_1707_248-5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87</v>
      </c>
      <c r="E430" s="47">
        <v>45124</v>
      </c>
      <c r="F430" s="38" t="s">
        <v>22</v>
      </c>
      <c r="G430" s="38" t="s">
        <v>23</v>
      </c>
      <c r="H430" s="48" t="s">
        <v>519</v>
      </c>
      <c r="J430" s="40">
        <v>45121</v>
      </c>
      <c r="L430" s="38" t="s">
        <v>428</v>
      </c>
      <c r="M430" s="41">
        <v>1</v>
      </c>
      <c r="N430" s="39"/>
      <c r="Q430" s="43">
        <v>6912000</v>
      </c>
      <c r="R430" s="49"/>
      <c r="S430" s="50">
        <v>0.17</v>
      </c>
      <c r="U430" s="51"/>
      <c r="V430" s="46"/>
      <c r="W430" s="51">
        <f>IF(NOTA[[#This Row],[HARGA/ CTN]]="",NOTA[[#This Row],[JUMLAH_H]],NOTA[[#This Row],[HARGA/ CTN]]*IF(NOTA[[#This Row],[C]]="",0,NOTA[[#This Row],[C]]))</f>
        <v>6912000</v>
      </c>
      <c r="X430" s="51">
        <f>IF(NOTA[[#This Row],[JUMLAH]]="","",NOTA[[#This Row],[JUMLAH]]*NOTA[[#This Row],[DISC 1]])</f>
        <v>1175040</v>
      </c>
      <c r="Y430" s="51">
        <f>IF(NOTA[[#This Row],[JUMLAH]]="","",(NOTA[[#This Row],[JUMLAH]]-NOTA[[#This Row],[DISC 1-]])*NOTA[[#This Row],[DISC 2]])</f>
        <v>0</v>
      </c>
      <c r="Z430" s="51">
        <f>IF(NOTA[[#This Row],[JUMLAH]]="","",NOTA[[#This Row],[DISC 1-]]+NOTA[[#This Row],[DISC 2-]])</f>
        <v>1175040</v>
      </c>
      <c r="AA430" s="51">
        <f>IF(NOTA[[#This Row],[JUMLAH]]="","",NOTA[[#This Row],[JUMLAH]]-NOTA[[#This Row],[DISC]])</f>
        <v>5736960</v>
      </c>
      <c r="AB430" s="51"/>
      <c r="AC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430" s="51" t="str">
        <f>IF(OR(NOTA[[#This Row],[QTY]]="",NOTA[[#This Row],[HARGA SATUAN]]="",),"",NOTA[[#This Row],[QTY]]*NOTA[[#This Row],[HARGA SATUAN]])</f>
        <v/>
      </c>
      <c r="AG430" s="40">
        <f ca="1">IF(NOTA[ID_H]="","",INDEX(NOTA[TANGGAL],MATCH(,INDIRECT(ADDRESS(ROW(NOTA[TANGGAL]),COLUMN(NOTA[TANGGAL]))&amp;":"&amp;ADDRESS(ROW(),COLUMN(NOTA[TANGGAL]))),-1)))</f>
        <v>45124</v>
      </c>
      <c r="AH430" s="42" t="str">
        <f ca="1">IF(NOTA[[#This Row],[NAMA BARANG]]="","",INDEX(NOTA[SUPPLIER],MATCH(,INDIRECT(ADDRESS(ROW(NOTA[ID]),COLUMN(NOTA[ID]))&amp;":"&amp;ADDRESS(ROW(),COLUMN(NOTA[ID]))),-1)))</f>
        <v>KENKO SINAR INDONESIA</v>
      </c>
      <c r="AI430" s="42" t="str">
        <f ca="1">IF(NOTA[[#This Row],[ID_H]]="","",IF(NOTA[[#This Row],[FAKTUR]]="",INDIRECT(ADDRESS(ROW()-1,COLUMN())),NOTA[[#This Row],[FAKTUR]]))</f>
        <v>ARTO MORO</v>
      </c>
      <c r="AJ430" s="39">
        <f ca="1">IF(NOTA[[#This Row],[ID]]="","",COUNTIF(NOTA[ID_H],NOTA[[#This Row],[ID_H]]))</f>
        <v>5</v>
      </c>
      <c r="AK430" s="39">
        <f>IF(NOTA[[#This Row],[TGL.NOTA]]="",IF(NOTA[[#This Row],[SUPPLIER_H]]="","",AK429),MONTH(NOTA[[#This Row],[TGL.NOTA]]))</f>
        <v>7</v>
      </c>
      <c r="AL430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4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4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43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MORO2307124845121kenkoglupenglp01</v>
      </c>
      <c r="AP430" s="39" t="e">
        <f>IF(NOTA[[#This Row],[CONCAT4]]="","",_xlfn.IFNA(MATCH(NOTA[[#This Row],[CONCAT4]],[2]!RAW[CONCAT_H],0),FALSE))</f>
        <v>#REF!</v>
      </c>
      <c r="AQ430" s="39">
        <f>IF(NOTA[[#This Row],[CONCAT1]]="","",MATCH(NOTA[[#This Row],[CONCAT1]],[3]!db[NB NOTA_C],0))</f>
        <v>1485</v>
      </c>
      <c r="AR430" s="39" t="str">
        <f>IF(NOTA[[#This Row],[QTY/ CTN]]="","",TRUE)</f>
        <v/>
      </c>
      <c r="AS430" s="39" t="str">
        <f ca="1">IF(NOTA[[#This Row],[ID_H]]="","",IF(NOTA[[#This Row],[Column3]]=TRUE,NOTA[[#This Row],[QTY/ CTN]],INDEX([3]!db[QTY/ CTN],NOTA[[#This Row],[//DB]])))</f>
        <v>12 GRS</v>
      </c>
      <c r="AT4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430" s="39" t="e">
        <f ca="1">IF(NOTA[[#This Row],[ID_H]]="","",MATCH(NOTA[[#This Row],[NB NOTA_C_QTY]],[4]!db[NB NOTA_C_QTY+F],0))</f>
        <v>#REF!</v>
      </c>
      <c r="AV430" s="55">
        <f ca="1">IF(NOTA[[#This Row],[NB NOTA_C_QTY]]="","",ROW()-2)</f>
        <v>428</v>
      </c>
    </row>
    <row r="431" spans="1:48" ht="20.100000000000001" customHeight="1" x14ac:dyDescent="0.25">
      <c r="A4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>
        <f ca="1">IF(NOTA[[#This Row],[NAMA BARANG]]="","",INDEX(NOTA[ID],MATCH(,INDIRECT(ADDRESS(ROW(NOTA[ID]),COLUMN(NOTA[ID]))&amp;":"&amp;ADDRESS(ROW(),COLUMN(NOTA[ID]))),-1)))</f>
        <v>87</v>
      </c>
      <c r="E431" s="47"/>
      <c r="H431" s="48"/>
      <c r="L431" s="38" t="s">
        <v>107</v>
      </c>
      <c r="M431" s="41">
        <v>5</v>
      </c>
      <c r="N431" s="39"/>
      <c r="Q431" s="43">
        <v>1695600</v>
      </c>
      <c r="R431" s="49"/>
      <c r="S431" s="50">
        <v>0.17</v>
      </c>
      <c r="U431" s="51"/>
      <c r="V431" s="46"/>
      <c r="W431" s="51">
        <f>IF(NOTA[[#This Row],[HARGA/ CTN]]="",NOTA[[#This Row],[JUMLAH_H]],NOTA[[#This Row],[HARGA/ CTN]]*IF(NOTA[[#This Row],[C]]="",0,NOTA[[#This Row],[C]]))</f>
        <v>8478000</v>
      </c>
      <c r="X431" s="51">
        <f>IF(NOTA[[#This Row],[JUMLAH]]="","",NOTA[[#This Row],[JUMLAH]]*NOTA[[#This Row],[DISC 1]])</f>
        <v>1441260</v>
      </c>
      <c r="Y431" s="51">
        <f>IF(NOTA[[#This Row],[JUMLAH]]="","",(NOTA[[#This Row],[JUMLAH]]-NOTA[[#This Row],[DISC 1-]])*NOTA[[#This Row],[DISC 2]])</f>
        <v>0</v>
      </c>
      <c r="Z431" s="51">
        <f>IF(NOTA[[#This Row],[JUMLAH]]="","",NOTA[[#This Row],[DISC 1-]]+NOTA[[#This Row],[DISC 2-]])</f>
        <v>1441260</v>
      </c>
      <c r="AA431" s="51">
        <f>IF(NOTA[[#This Row],[JUMLAH]]="","",NOTA[[#This Row],[JUMLAH]]-NOTA[[#This Row],[DISC]])</f>
        <v>7036740</v>
      </c>
      <c r="AB431" s="51"/>
      <c r="AC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31" s="51" t="str">
        <f>IF(OR(NOTA[[#This Row],[QTY]]="",NOTA[[#This Row],[HARGA SATUAN]]="",),"",NOTA[[#This Row],[QTY]]*NOTA[[#This Row],[HARGA SATUAN]])</f>
        <v/>
      </c>
      <c r="AG431" s="40">
        <f ca="1">IF(NOTA[ID_H]="","",INDEX(NOTA[TANGGAL],MATCH(,INDIRECT(ADDRESS(ROW(NOTA[TANGGAL]),COLUMN(NOTA[TANGGAL]))&amp;":"&amp;ADDRESS(ROW(),COLUMN(NOTA[TANGGAL]))),-1)))</f>
        <v>45124</v>
      </c>
      <c r="AH431" s="42" t="str">
        <f ca="1">IF(NOTA[[#This Row],[NAMA BARANG]]="","",INDEX(NOTA[SUPPLIER],MATCH(,INDIRECT(ADDRESS(ROW(NOTA[ID]),COLUMN(NOTA[ID]))&amp;":"&amp;ADDRESS(ROW(),COLUMN(NOTA[ID]))),-1)))</f>
        <v>KENKO SINAR INDONESIA</v>
      </c>
      <c r="AI431" s="42" t="str">
        <f ca="1">IF(NOTA[[#This Row],[ID_H]]="","",IF(NOTA[[#This Row],[FAKTUR]]="",INDIRECT(ADDRESS(ROW()-1,COLUMN())),NOTA[[#This Row],[FAKTUR]]))</f>
        <v>ARTO MORO</v>
      </c>
      <c r="AJ431" s="39" t="str">
        <f ca="1">IF(NOTA[[#This Row],[ID]]="","",COUNTIF(NOTA[ID_H],NOTA[[#This Row],[ID_H]]))</f>
        <v/>
      </c>
      <c r="AK431" s="39">
        <f ca="1">IF(NOTA[[#This Row],[TGL.NOTA]]="",IF(NOTA[[#This Row],[SUPPLIER_H]]="","",AK430),MONTH(NOTA[[#This Row],[TGL.NOTA]]))</f>
        <v>7</v>
      </c>
      <c r="AL431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9" t="str">
        <f>IF(NOTA[[#This Row],[CONCAT4]]="","",_xlfn.IFNA(MATCH(NOTA[[#This Row],[CONCAT4]],[2]!RAW[CONCAT_H],0),FALSE))</f>
        <v/>
      </c>
      <c r="AQ431" s="39">
        <f>IF(NOTA[[#This Row],[CONCAT1]]="","",MATCH(NOTA[[#This Row],[CONCAT1]],[3]!db[NB NOTA_C],0))</f>
        <v>2680</v>
      </c>
      <c r="AR431" s="39" t="str">
        <f>IF(NOTA[[#This Row],[QTY/ CTN]]="","",TRUE)</f>
        <v/>
      </c>
      <c r="AS431" s="39" t="str">
        <f ca="1">IF(NOTA[[#This Row],[ID_H]]="","",IF(NOTA[[#This Row],[Column3]]=TRUE,NOTA[[#This Row],[QTY/ CTN]],INDEX([3]!db[QTY/ CTN],NOTA[[#This Row],[//DB]])))</f>
        <v>36 LSN</v>
      </c>
      <c r="AT4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31" s="39" t="e">
        <f ca="1">IF(NOTA[[#This Row],[ID_H]]="","",MATCH(NOTA[[#This Row],[NB NOTA_C_QTY]],[4]!db[NB NOTA_C_QTY+F],0))</f>
        <v>#REF!</v>
      </c>
      <c r="AV431" s="55">
        <f ca="1">IF(NOTA[[#This Row],[NB NOTA_C_QTY]]="","",ROW()-2)</f>
        <v>429</v>
      </c>
    </row>
    <row r="432" spans="1:48" ht="20.100000000000001" customHeight="1" x14ac:dyDescent="0.25">
      <c r="A4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87</v>
      </c>
      <c r="E432" s="47"/>
      <c r="H432" s="48"/>
      <c r="L432" s="38" t="s">
        <v>397</v>
      </c>
      <c r="M432" s="41">
        <v>4</v>
      </c>
      <c r="N432" s="39"/>
      <c r="Q432" s="43">
        <v>1860000</v>
      </c>
      <c r="R432" s="49"/>
      <c r="S432" s="50">
        <v>0.17</v>
      </c>
      <c r="U432" s="51"/>
      <c r="V432" s="46"/>
      <c r="W432" s="51">
        <f>IF(NOTA[[#This Row],[HARGA/ CTN]]="",NOTA[[#This Row],[JUMLAH_H]],NOTA[[#This Row],[HARGA/ CTN]]*IF(NOTA[[#This Row],[C]]="",0,NOTA[[#This Row],[C]]))</f>
        <v>7440000</v>
      </c>
      <c r="X432" s="51">
        <f>IF(NOTA[[#This Row],[JUMLAH]]="","",NOTA[[#This Row],[JUMLAH]]*NOTA[[#This Row],[DISC 1]])</f>
        <v>1264800</v>
      </c>
      <c r="Y432" s="51">
        <f>IF(NOTA[[#This Row],[JUMLAH]]="","",(NOTA[[#This Row],[JUMLAH]]-NOTA[[#This Row],[DISC 1-]])*NOTA[[#This Row],[DISC 2]])</f>
        <v>0</v>
      </c>
      <c r="Z432" s="51">
        <f>IF(NOTA[[#This Row],[JUMLAH]]="","",NOTA[[#This Row],[DISC 1-]]+NOTA[[#This Row],[DISC 2-]])</f>
        <v>1264800</v>
      </c>
      <c r="AA432" s="51">
        <f>IF(NOTA[[#This Row],[JUMLAH]]="","",NOTA[[#This Row],[JUMLAH]]-NOTA[[#This Row],[DISC]])</f>
        <v>6175200</v>
      </c>
      <c r="AB432" s="51"/>
      <c r="AC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32" s="51" t="str">
        <f>IF(OR(NOTA[[#This Row],[QTY]]="",NOTA[[#This Row],[HARGA SATUAN]]="",),"",NOTA[[#This Row],[QTY]]*NOTA[[#This Row],[HARGA SATUAN]])</f>
        <v/>
      </c>
      <c r="AG432" s="40">
        <f ca="1">IF(NOTA[ID_H]="","",INDEX(NOTA[TANGGAL],MATCH(,INDIRECT(ADDRESS(ROW(NOTA[TANGGAL]),COLUMN(NOTA[TANGGAL]))&amp;":"&amp;ADDRESS(ROW(),COLUMN(NOTA[TANGGAL]))),-1)))</f>
        <v>45124</v>
      </c>
      <c r="AH432" s="42" t="str">
        <f ca="1">IF(NOTA[[#This Row],[NAMA BARANG]]="","",INDEX(NOTA[SUPPLIER],MATCH(,INDIRECT(ADDRESS(ROW(NOTA[ID]),COLUMN(NOTA[ID]))&amp;":"&amp;ADDRESS(ROW(),COLUMN(NOTA[ID]))),-1)))</f>
        <v>KENKO SINAR INDONESIA</v>
      </c>
      <c r="AI432" s="42" t="str">
        <f ca="1">IF(NOTA[[#This Row],[ID_H]]="","",IF(NOTA[[#This Row],[FAKTUR]]="",INDIRECT(ADDRESS(ROW()-1,COLUMN())),NOTA[[#This Row],[FAKTUR]]))</f>
        <v>ARTO MORO</v>
      </c>
      <c r="AJ432" s="39" t="str">
        <f ca="1">IF(NOTA[[#This Row],[ID]]="","",COUNTIF(NOTA[ID_H],NOTA[[#This Row],[ID_H]]))</f>
        <v/>
      </c>
      <c r="AK432" s="39">
        <f ca="1">IF(NOTA[[#This Row],[TGL.NOTA]]="",IF(NOTA[[#This Row],[SUPPLIER_H]]="","",AK431),MONTH(NOTA[[#This Row],[TGL.NOTA]]))</f>
        <v>7</v>
      </c>
      <c r="AL432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9" t="str">
        <f>IF(NOTA[[#This Row],[CONCAT4]]="","",_xlfn.IFNA(MATCH(NOTA[[#This Row],[CONCAT4]],[2]!RAW[CONCAT_H],0),FALSE))</f>
        <v/>
      </c>
      <c r="AQ432" s="39">
        <f>IF(NOTA[[#This Row],[CONCAT1]]="","",MATCH(NOTA[[#This Row],[CONCAT1]],[3]!db[NB NOTA_C],0))</f>
        <v>2467</v>
      </c>
      <c r="AR432" s="39" t="str">
        <f>IF(NOTA[[#This Row],[QTY/ CTN]]="","",TRUE)</f>
        <v/>
      </c>
      <c r="AS432" s="39" t="str">
        <f ca="1">IF(NOTA[[#This Row],[ID_H]]="","",IF(NOTA[[#This Row],[Column3]]=TRUE,NOTA[[#This Row],[QTY/ CTN]],INDEX([3]!db[QTY/ CTN],NOTA[[#This Row],[//DB]])))</f>
        <v>25 LSN</v>
      </c>
      <c r="AT4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32" s="39" t="e">
        <f ca="1">IF(NOTA[[#This Row],[ID_H]]="","",MATCH(NOTA[[#This Row],[NB NOTA_C_QTY]],[4]!db[NB NOTA_C_QTY+F],0))</f>
        <v>#REF!</v>
      </c>
      <c r="AV432" s="55">
        <f ca="1">IF(NOTA[[#This Row],[NB NOTA_C_QTY]]="","",ROW()-2)</f>
        <v>430</v>
      </c>
    </row>
    <row r="433" spans="1:48" ht="20.100000000000001" customHeight="1" x14ac:dyDescent="0.25">
      <c r="A4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>
        <f ca="1">IF(NOTA[[#This Row],[NAMA BARANG]]="","",INDEX(NOTA[ID],MATCH(,INDIRECT(ADDRESS(ROW(NOTA[ID]),COLUMN(NOTA[ID]))&amp;":"&amp;ADDRESS(ROW(),COLUMN(NOTA[ID]))),-1)))</f>
        <v>87</v>
      </c>
      <c r="E433" s="47"/>
      <c r="H433" s="48"/>
      <c r="L433" s="38" t="s">
        <v>520</v>
      </c>
      <c r="M433" s="41">
        <v>3</v>
      </c>
      <c r="N433" s="39"/>
      <c r="Q433" s="43">
        <v>2352000</v>
      </c>
      <c r="R433" s="49"/>
      <c r="S433" s="50">
        <v>0.17</v>
      </c>
      <c r="U433" s="51"/>
      <c r="V433" s="46" t="s">
        <v>522</v>
      </c>
      <c r="W433" s="51">
        <f>IF(NOTA[[#This Row],[HARGA/ CTN]]="",NOTA[[#This Row],[JUMLAH_H]],NOTA[[#This Row],[HARGA/ CTN]]*IF(NOTA[[#This Row],[C]]="",0,NOTA[[#This Row],[C]]))</f>
        <v>7056000</v>
      </c>
      <c r="X433" s="51">
        <f>IF(NOTA[[#This Row],[JUMLAH]]="","",NOTA[[#This Row],[JUMLAH]]*NOTA[[#This Row],[DISC 1]])</f>
        <v>1199520</v>
      </c>
      <c r="Y433" s="51">
        <f>IF(NOTA[[#This Row],[JUMLAH]]="","",(NOTA[[#This Row],[JUMLAH]]-NOTA[[#This Row],[DISC 1-]])*NOTA[[#This Row],[DISC 2]])</f>
        <v>0</v>
      </c>
      <c r="Z433" s="51">
        <f>IF(NOTA[[#This Row],[JUMLAH]]="","",NOTA[[#This Row],[DISC 1-]]+NOTA[[#This Row],[DISC 2-]])</f>
        <v>1199520</v>
      </c>
      <c r="AA433" s="51">
        <f>IF(NOTA[[#This Row],[JUMLAH]]="","",NOTA[[#This Row],[JUMLAH]]-NOTA[[#This Row],[DISC]])</f>
        <v>5856480</v>
      </c>
      <c r="AB433" s="51"/>
      <c r="AC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433" s="51" t="str">
        <f>IF(OR(NOTA[[#This Row],[QTY]]="",NOTA[[#This Row],[HARGA SATUAN]]="",),"",NOTA[[#This Row],[QTY]]*NOTA[[#This Row],[HARGA SATUAN]])</f>
        <v/>
      </c>
      <c r="AG433" s="40">
        <f ca="1">IF(NOTA[ID_H]="","",INDEX(NOTA[TANGGAL],MATCH(,INDIRECT(ADDRESS(ROW(NOTA[TANGGAL]),COLUMN(NOTA[TANGGAL]))&amp;":"&amp;ADDRESS(ROW(),COLUMN(NOTA[TANGGAL]))),-1)))</f>
        <v>45124</v>
      </c>
      <c r="AH433" s="42" t="str">
        <f ca="1">IF(NOTA[[#This Row],[NAMA BARANG]]="","",INDEX(NOTA[SUPPLIER],MATCH(,INDIRECT(ADDRESS(ROW(NOTA[ID]),COLUMN(NOTA[ID]))&amp;":"&amp;ADDRESS(ROW(),COLUMN(NOTA[ID]))),-1)))</f>
        <v>KENKO SINAR INDONESIA</v>
      </c>
      <c r="AI433" s="42" t="str">
        <f ca="1">IF(NOTA[[#This Row],[ID_H]]="","",IF(NOTA[[#This Row],[FAKTUR]]="",INDIRECT(ADDRESS(ROW()-1,COLUMN())),NOTA[[#This Row],[FAKTUR]]))</f>
        <v>ARTO MORO</v>
      </c>
      <c r="AJ433" s="39" t="str">
        <f ca="1">IF(NOTA[[#This Row],[ID]]="","",COUNTIF(NOTA[ID_H],NOTA[[#This Row],[ID_H]]))</f>
        <v/>
      </c>
      <c r="AK433" s="39">
        <f ca="1">IF(NOTA[[#This Row],[TGL.NOTA]]="",IF(NOTA[[#This Row],[SUPPLIER_H]]="","",AK432),MONTH(NOTA[[#This Row],[TGL.NOTA]]))</f>
        <v>7</v>
      </c>
      <c r="AL433" s="39" t="str">
        <f>LOWER(SUBSTITUTE(SUBSTITUTE(SUBSTITUTE(SUBSTITUTE(SUBSTITUTE(SUBSTITUTE(SUBSTITUTE(SUBSTITUTE(SUBSTITUTE(NOTA[NAMA BARANG]," ",),".",""),"-",""),"(",""),")",""),",",""),"/",""),"""",""),"+",""))</f>
        <v>kenkostaplerhd10d</v>
      </c>
      <c r="AM4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4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4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9" t="str">
        <f>IF(NOTA[[#This Row],[CONCAT4]]="","",_xlfn.IFNA(MATCH(NOTA[[#This Row],[CONCAT4]],[2]!RAW[CONCAT_H],0),FALSE))</f>
        <v/>
      </c>
      <c r="AQ433" s="39">
        <f>IF(NOTA[[#This Row],[CONCAT1]]="","",MATCH(NOTA[[#This Row],[CONCAT1]],[3]!db[NB NOTA_C],0))</f>
        <v>2461</v>
      </c>
      <c r="AR433" s="39" t="str">
        <f>IF(NOTA[[#This Row],[QTY/ CTN]]="","",TRUE)</f>
        <v/>
      </c>
      <c r="AS433" s="39" t="str">
        <f ca="1">IF(NOTA[[#This Row],[ID_H]]="","",IF(NOTA[[#This Row],[Column3]]=TRUE,NOTA[[#This Row],[QTY/ CTN]],INDEX([3]!db[QTY/ CTN],NOTA[[#This Row],[//DB]])))</f>
        <v>20 LSN</v>
      </c>
      <c r="AT4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U433" s="39" t="e">
        <f ca="1">IF(NOTA[[#This Row],[ID_H]]="","",MATCH(NOTA[[#This Row],[NB NOTA_C_QTY]],[4]!db[NB NOTA_C_QTY+F],0))</f>
        <v>#REF!</v>
      </c>
      <c r="AV433" s="55">
        <f ca="1">IF(NOTA[[#This Row],[NB NOTA_C_QTY]]="","",ROW()-2)</f>
        <v>431</v>
      </c>
    </row>
    <row r="434" spans="1:48" ht="20.100000000000001" customHeight="1" x14ac:dyDescent="0.25">
      <c r="A4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9" t="str">
        <f>IF(NOTA[[#This Row],[ID_P]]="","",MATCH(NOTA[[#This Row],[ID_P]],[1]!B_MSK[N_ID],0))</f>
        <v/>
      </c>
      <c r="D434" s="39">
        <f ca="1">IF(NOTA[[#This Row],[NAMA BARANG]]="","",INDEX(NOTA[ID],MATCH(,INDIRECT(ADDRESS(ROW(NOTA[ID]),COLUMN(NOTA[ID]))&amp;":"&amp;ADDRESS(ROW(),COLUMN(NOTA[ID]))),-1)))</f>
        <v>87</v>
      </c>
      <c r="E434" s="47"/>
      <c r="H434" s="48"/>
      <c r="L434" s="38" t="s">
        <v>521</v>
      </c>
      <c r="M434" s="41">
        <v>10</v>
      </c>
      <c r="N434" s="39"/>
      <c r="Q434" s="43">
        <v>396000</v>
      </c>
      <c r="R434" s="49"/>
      <c r="S434" s="50">
        <v>0.17</v>
      </c>
      <c r="U434" s="51"/>
      <c r="V434" s="46"/>
      <c r="W434" s="51">
        <f>IF(NOTA[[#This Row],[HARGA/ CTN]]="",NOTA[[#This Row],[JUMLAH_H]],NOTA[[#This Row],[HARGA/ CTN]]*IF(NOTA[[#This Row],[C]]="",0,NOTA[[#This Row],[C]]))</f>
        <v>3960000</v>
      </c>
      <c r="X434" s="51">
        <f>IF(NOTA[[#This Row],[JUMLAH]]="","",NOTA[[#This Row],[JUMLAH]]*NOTA[[#This Row],[DISC 1]])</f>
        <v>673200</v>
      </c>
      <c r="Y434" s="51">
        <f>IF(NOTA[[#This Row],[JUMLAH]]="","",(NOTA[[#This Row],[JUMLAH]]-NOTA[[#This Row],[DISC 1-]])*NOTA[[#This Row],[DISC 2]])</f>
        <v>0</v>
      </c>
      <c r="Z434" s="51">
        <f>IF(NOTA[[#This Row],[JUMLAH]]="","",NOTA[[#This Row],[DISC 1-]]+NOTA[[#This Row],[DISC 2-]])</f>
        <v>673200</v>
      </c>
      <c r="AA434" s="51">
        <f>IF(NOTA[[#This Row],[JUMLAH]]="","",NOTA[[#This Row],[JUMLAH]]-NOTA[[#This Row],[DISC]])</f>
        <v>3286800</v>
      </c>
      <c r="AB434" s="51"/>
      <c r="AC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5753820</v>
      </c>
      <c r="AD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28092180</v>
      </c>
      <c r="AE43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34" s="51" t="str">
        <f>IF(OR(NOTA[[#This Row],[QTY]]="",NOTA[[#This Row],[HARGA SATUAN]]="",),"",NOTA[[#This Row],[QTY]]*NOTA[[#This Row],[HARGA SATUAN]])</f>
        <v/>
      </c>
      <c r="AG434" s="40">
        <f ca="1">IF(NOTA[ID_H]="","",INDEX(NOTA[TANGGAL],MATCH(,INDIRECT(ADDRESS(ROW(NOTA[TANGGAL]),COLUMN(NOTA[TANGGAL]))&amp;":"&amp;ADDRESS(ROW(),COLUMN(NOTA[TANGGAL]))),-1)))</f>
        <v>45124</v>
      </c>
      <c r="AH434" s="42" t="str">
        <f ca="1">IF(NOTA[[#This Row],[NAMA BARANG]]="","",INDEX(NOTA[SUPPLIER],MATCH(,INDIRECT(ADDRESS(ROW(NOTA[ID]),COLUMN(NOTA[ID]))&amp;":"&amp;ADDRESS(ROW(),COLUMN(NOTA[ID]))),-1)))</f>
        <v>KENKO SINAR INDONESIA</v>
      </c>
      <c r="AI434" s="42" t="str">
        <f ca="1">IF(NOTA[[#This Row],[ID_H]]="","",IF(NOTA[[#This Row],[FAKTUR]]="",INDIRECT(ADDRESS(ROW()-1,COLUMN())),NOTA[[#This Row],[FAKTUR]]))</f>
        <v>ARTO MORO</v>
      </c>
      <c r="AJ434" s="39" t="str">
        <f ca="1">IF(NOTA[[#This Row],[ID]]="","",COUNTIF(NOTA[ID_H],NOTA[[#This Row],[ID_H]]))</f>
        <v/>
      </c>
      <c r="AK434" s="39">
        <f ca="1">IF(NOTA[[#This Row],[TGL.NOTA]]="",IF(NOTA[[#This Row],[SUPPLIER_H]]="","",AK433),MONTH(NOTA[[#This Row],[TGL.NOTA]]))</f>
        <v>7</v>
      </c>
      <c r="AL434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9" t="str">
        <f>IF(NOTA[[#This Row],[CONCAT4]]="","",_xlfn.IFNA(MATCH(NOTA[[#This Row],[CONCAT4]],[2]!RAW[CONCAT_H],0),FALSE))</f>
        <v/>
      </c>
      <c r="AQ434" s="39">
        <f>IF(NOTA[[#This Row],[CONCAT1]]="","",MATCH(NOTA[[#This Row],[CONCAT1]],[3]!db[NB NOTA_C],0))</f>
        <v>1492</v>
      </c>
      <c r="AR434" s="39" t="str">
        <f>IF(NOTA[[#This Row],[QTY/ CTN]]="","",TRUE)</f>
        <v/>
      </c>
      <c r="AS434" s="39" t="str">
        <f ca="1">IF(NOTA[[#This Row],[ID_H]]="","",IF(NOTA[[#This Row],[Column3]]=TRUE,NOTA[[#This Row],[QTY/ CTN]],INDEX([3]!db[QTY/ CTN],NOTA[[#This Row],[//DB]])))</f>
        <v>20 LSN</v>
      </c>
      <c r="AT4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34" s="39" t="e">
        <f ca="1">IF(NOTA[[#This Row],[ID_H]]="","",MATCH(NOTA[[#This Row],[NB NOTA_C_QTY]],[4]!db[NB NOTA_C_QTY+F],0))</f>
        <v>#REF!</v>
      </c>
      <c r="AV434" s="55">
        <f ca="1">IF(NOTA[[#This Row],[NB NOTA_C_QTY]]="","",ROW()-2)</f>
        <v>432</v>
      </c>
    </row>
    <row r="435" spans="1:48" ht="20.100000000000001" customHeight="1" x14ac:dyDescent="0.25">
      <c r="A4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47"/>
      <c r="H435" s="48"/>
      <c r="N435" s="39"/>
      <c r="Q435" s="43"/>
      <c r="R435" s="49"/>
      <c r="S435" s="50"/>
      <c r="U435" s="51"/>
      <c r="V435" s="46"/>
      <c r="W435" s="51" t="str">
        <f>IF(NOTA[[#This Row],[HARGA/ CTN]]="",NOTA[[#This Row],[JUMLAH_H]],NOTA[[#This Row],[HARGA/ CTN]]*IF(NOTA[[#This Row],[C]]="",0,NOTA[[#This Row],[C]]))</f>
        <v/>
      </c>
      <c r="X435" s="51" t="str">
        <f>IF(NOTA[[#This Row],[JUMLAH]]="","",NOTA[[#This Row],[JUMLAH]]*NOTA[[#This Row],[DISC 1]])</f>
        <v/>
      </c>
      <c r="Y435" s="51" t="str">
        <f>IF(NOTA[[#This Row],[JUMLAH]]="","",(NOTA[[#This Row],[JUMLAH]]-NOTA[[#This Row],[DISC 1-]])*NOTA[[#This Row],[DISC 2]])</f>
        <v/>
      </c>
      <c r="Z435" s="51" t="str">
        <f>IF(NOTA[[#This Row],[JUMLAH]]="","",NOTA[[#This Row],[DISC 1-]]+NOTA[[#This Row],[DISC 2-]])</f>
        <v/>
      </c>
      <c r="AA435" s="51" t="str">
        <f>IF(NOTA[[#This Row],[JUMLAH]]="","",NOTA[[#This Row],[JUMLAH]]-NOTA[[#This Row],[DISC]])</f>
        <v/>
      </c>
      <c r="AB435" s="51"/>
      <c r="AC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1" t="str">
        <f>IF(OR(NOTA[[#This Row],[QTY]]="",NOTA[[#This Row],[HARGA SATUAN]]="",),"",NOTA[[#This Row],[QTY]]*NOTA[[#This Row],[HARGA SATUAN]])</f>
        <v/>
      </c>
      <c r="AG435" s="40" t="str">
        <f ca="1">IF(NOTA[ID_H]="","",INDEX(NOTA[TANGGAL],MATCH(,INDIRECT(ADDRESS(ROW(NOTA[TANGGAL]),COLUMN(NOTA[TANGGAL]))&amp;":"&amp;ADDRESS(ROW(),COLUMN(NOTA[TANGGAL]))),-1)))</f>
        <v/>
      </c>
      <c r="AH435" s="42" t="str">
        <f ca="1">IF(NOTA[[#This Row],[NAMA BARANG]]="","",INDEX(NOTA[SUPPLIER],MATCH(,INDIRECT(ADDRESS(ROW(NOTA[ID]),COLUMN(NOTA[ID]))&amp;":"&amp;ADDRESS(ROW(),COLUMN(NOTA[ID]))),-1)))</f>
        <v/>
      </c>
      <c r="AI435" s="42" t="str">
        <f ca="1">IF(NOTA[[#This Row],[ID_H]]="","",IF(NOTA[[#This Row],[FAKTUR]]="",INDIRECT(ADDRESS(ROW()-1,COLUMN())),NOTA[[#This Row],[FAKTUR]]))</f>
        <v/>
      </c>
      <c r="AJ435" s="39" t="str">
        <f ca="1">IF(NOTA[[#This Row],[ID]]="","",COUNTIF(NOTA[ID_H],NOTA[[#This Row],[ID_H]]))</f>
        <v/>
      </c>
      <c r="AK435" s="39" t="str">
        <f ca="1">IF(NOTA[[#This Row],[TGL.NOTA]]="",IF(NOTA[[#This Row],[SUPPLIER_H]]="","",AK434),MONTH(NOTA[[#This Row],[TGL.NOTA]]))</f>
        <v/>
      </c>
      <c r="AL435" s="39" t="str">
        <f>LOWER(SUBSTITUTE(SUBSTITUTE(SUBSTITUTE(SUBSTITUTE(SUBSTITUTE(SUBSTITUTE(SUBSTITUTE(SUBSTITUTE(SUBSTITUTE(NOTA[NAMA BARANG]," ",),".",""),"-",""),"(",""),")",""),",",""),"/",""),"""",""),"+",""))</f>
        <v/>
      </c>
      <c r="AM4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9" t="str">
        <f>IF(NOTA[[#This Row],[CONCAT4]]="","",_xlfn.IFNA(MATCH(NOTA[[#This Row],[CONCAT4]],[2]!RAW[CONCAT_H],0),FALSE))</f>
        <v/>
      </c>
      <c r="AQ435" s="39" t="str">
        <f>IF(NOTA[[#This Row],[CONCAT1]]="","",MATCH(NOTA[[#This Row],[CONCAT1]],[3]!db[NB NOTA_C],0))</f>
        <v/>
      </c>
      <c r="AR435" s="39" t="str">
        <f>IF(NOTA[[#This Row],[QTY/ CTN]]="","",TRUE)</f>
        <v/>
      </c>
      <c r="AS435" s="39" t="str">
        <f ca="1">IF(NOTA[[#This Row],[ID_H]]="","",IF(NOTA[[#This Row],[Column3]]=TRUE,NOTA[[#This Row],[QTY/ CTN]],INDEX([3]!db[QTY/ CTN],NOTA[[#This Row],[//DB]])))</f>
        <v/>
      </c>
      <c r="AT4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9" t="str">
        <f ca="1">IF(NOTA[[#This Row],[ID_H]]="","",MATCH(NOTA[[#This Row],[NB NOTA_C_QTY]],[4]!db[NB NOTA_C_QTY+F],0))</f>
        <v/>
      </c>
      <c r="AV435" s="55" t="str">
        <f ca="1">IF(NOTA[[#This Row],[NB NOTA_C_QTY]]="","",ROW()-2)</f>
        <v/>
      </c>
    </row>
    <row r="436" spans="1:48" ht="20.100000000000001" customHeight="1" x14ac:dyDescent="0.25">
      <c r="A43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DBS_1707_223-1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88</v>
      </c>
      <c r="E436" s="47"/>
      <c r="F436" s="38" t="s">
        <v>218</v>
      </c>
      <c r="G436" s="38" t="s">
        <v>145</v>
      </c>
      <c r="H436" s="48" t="s">
        <v>523</v>
      </c>
      <c r="J436" s="40">
        <v>45118</v>
      </c>
      <c r="L436" s="38" t="s">
        <v>248</v>
      </c>
      <c r="M436" s="41">
        <v>8</v>
      </c>
      <c r="N436" s="39">
        <v>768</v>
      </c>
      <c r="O436" s="38" t="s">
        <v>152</v>
      </c>
      <c r="P436" s="42">
        <v>9500</v>
      </c>
      <c r="Q436" s="43"/>
      <c r="R436" s="49" t="s">
        <v>161</v>
      </c>
      <c r="S436" s="50"/>
      <c r="U436" s="51"/>
      <c r="V436" s="46"/>
      <c r="W436" s="51">
        <f>IF(NOTA[[#This Row],[HARGA/ CTN]]="",NOTA[[#This Row],[JUMLAH_H]],NOTA[[#This Row],[HARGA/ CTN]]*IF(NOTA[[#This Row],[C]]="",0,NOTA[[#This Row],[C]]))</f>
        <v>7296000</v>
      </c>
      <c r="X436" s="51">
        <f>IF(NOTA[[#This Row],[JUMLAH]]="","",NOTA[[#This Row],[JUMLAH]]*NOTA[[#This Row],[DISC 1]])</f>
        <v>0</v>
      </c>
      <c r="Y436" s="51">
        <f>IF(NOTA[[#This Row],[JUMLAH]]="","",(NOTA[[#This Row],[JUMLAH]]-NOTA[[#This Row],[DISC 1-]])*NOTA[[#This Row],[DISC 2]])</f>
        <v>0</v>
      </c>
      <c r="Z436" s="51">
        <f>IF(NOTA[[#This Row],[JUMLAH]]="","",NOTA[[#This Row],[DISC 1-]]+NOTA[[#This Row],[DISC 2-]])</f>
        <v>0</v>
      </c>
      <c r="AA436" s="51">
        <f>IF(NOTA[[#This Row],[JUMLAH]]="","",NOTA[[#This Row],[JUMLAH]]-NOTA[[#This Row],[DISC]])</f>
        <v>7296000</v>
      </c>
      <c r="AB436" s="51"/>
      <c r="AC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7296000</v>
      </c>
      <c r="AE436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436" s="51">
        <f>IF(OR(NOTA[[#This Row],[QTY]]="",NOTA[[#This Row],[HARGA SATUAN]]="",),"",NOTA[[#This Row],[QTY]]*NOTA[[#This Row],[HARGA SATUAN]])</f>
        <v>7296000</v>
      </c>
      <c r="AG436" s="40">
        <f ca="1">IF(NOTA[ID_H]="","",INDEX(NOTA[TANGGAL],MATCH(,INDIRECT(ADDRESS(ROW(NOTA[TANGGAL]),COLUMN(NOTA[TANGGAL]))&amp;":"&amp;ADDRESS(ROW(),COLUMN(NOTA[TANGGAL]))),-1)))</f>
        <v>45124</v>
      </c>
      <c r="AH436" s="42" t="str">
        <f ca="1">IF(NOTA[[#This Row],[NAMA BARANG]]="","",INDEX(NOTA[SUPPLIER],MATCH(,INDIRECT(ADDRESS(ROW(NOTA[ID]),COLUMN(NOTA[ID]))&amp;":"&amp;ADDRESS(ROW(),COLUMN(NOTA[ID]))),-1)))</f>
        <v>DB STATIONERY</v>
      </c>
      <c r="AI436" s="42" t="str">
        <f ca="1">IF(NOTA[[#This Row],[ID_H]]="","",IF(NOTA[[#This Row],[FAKTUR]]="",INDIRECT(ADDRESS(ROW()-1,COLUMN())),NOTA[[#This Row],[FAKTUR]]))</f>
        <v>UNTANA</v>
      </c>
      <c r="AJ436" s="39">
        <f ca="1">IF(NOTA[[#This Row],[ID]]="","",COUNTIF(NOTA[ID_H],NOTA[[#This Row],[ID_H]]))</f>
        <v>1</v>
      </c>
      <c r="AK436" s="39">
        <f>IF(NOTA[[#This Row],[TGL.NOTA]]="",IF(NOTA[[#This Row],[SUPPLIER_H]]="","",AK435),MONTH(NOTA[[#This Row],[TGL.NOTA]]))</f>
        <v>7</v>
      </c>
      <c r="AL436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4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4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43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STATIONERYUNTANAJUG282/2345118isigelinktz501r</v>
      </c>
      <c r="AP436" s="39" t="e">
        <f>IF(NOTA[[#This Row],[CONCAT4]]="","",_xlfn.IFNA(MATCH(NOTA[[#This Row],[CONCAT4]],[2]!RAW[CONCAT_H],0),FALSE))</f>
        <v>#REF!</v>
      </c>
      <c r="AQ436" s="39">
        <f>IF(NOTA[[#This Row],[CONCAT1]]="","",MATCH(NOTA[[#This Row],[CONCAT1]],[3]!db[NB NOTA_C],0))</f>
        <v>1319</v>
      </c>
      <c r="AR436" s="39" t="b">
        <f>IF(NOTA[[#This Row],[QTY/ CTN]]="","",TRUE)</f>
        <v>1</v>
      </c>
      <c r="AS436" s="39" t="str">
        <f ca="1">IF(NOTA[[#This Row],[ID_H]]="","",IF(NOTA[[#This Row],[Column3]]=TRUE,NOTA[[#This Row],[QTY/ CTN]],INDEX([3]!db[QTY/ CTN],NOTA[[#This Row],[//DB]])))</f>
        <v>96 LSN</v>
      </c>
      <c r="AT4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436" s="39" t="e">
        <f ca="1">IF(NOTA[[#This Row],[ID_H]]="","",MATCH(NOTA[[#This Row],[NB NOTA_C_QTY]],[4]!db[NB NOTA_C_QTY+F],0))</f>
        <v>#REF!</v>
      </c>
      <c r="AV436" s="55">
        <f ca="1">IF(NOTA[[#This Row],[NB NOTA_C_QTY]]="","",ROW()-2)</f>
        <v>434</v>
      </c>
    </row>
    <row r="437" spans="1:48" ht="20.100000000000001" customHeight="1" x14ac:dyDescent="0.25">
      <c r="A4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 t="str">
        <f ca="1">IF(NOTA[[#This Row],[NAMA BARANG]]="","",INDEX(NOTA[ID],MATCH(,INDIRECT(ADDRESS(ROW(NOTA[ID]),COLUMN(NOTA[ID]))&amp;":"&amp;ADDRESS(ROW(),COLUMN(NOTA[ID]))),-1)))</f>
        <v/>
      </c>
      <c r="E437" s="47"/>
      <c r="H437" s="48"/>
      <c r="N437" s="39"/>
      <c r="Q437" s="43"/>
      <c r="R437" s="49"/>
      <c r="S437" s="50"/>
      <c r="U437" s="51"/>
      <c r="V437" s="46"/>
      <c r="W437" s="51" t="str">
        <f>IF(NOTA[[#This Row],[HARGA/ CTN]]="",NOTA[[#This Row],[JUMLAH_H]],NOTA[[#This Row],[HARGA/ CTN]]*IF(NOTA[[#This Row],[C]]="",0,NOTA[[#This Row],[C]]))</f>
        <v/>
      </c>
      <c r="X437" s="51" t="str">
        <f>IF(NOTA[[#This Row],[JUMLAH]]="","",NOTA[[#This Row],[JUMLAH]]*NOTA[[#This Row],[DISC 1]])</f>
        <v/>
      </c>
      <c r="Y437" s="51" t="str">
        <f>IF(NOTA[[#This Row],[JUMLAH]]="","",(NOTA[[#This Row],[JUMLAH]]-NOTA[[#This Row],[DISC 1-]])*NOTA[[#This Row],[DISC 2]])</f>
        <v/>
      </c>
      <c r="Z437" s="51" t="str">
        <f>IF(NOTA[[#This Row],[JUMLAH]]="","",NOTA[[#This Row],[DISC 1-]]+NOTA[[#This Row],[DISC 2-]])</f>
        <v/>
      </c>
      <c r="AA437" s="51" t="str">
        <f>IF(NOTA[[#This Row],[JUMLAH]]="","",NOTA[[#This Row],[JUMLAH]]-NOTA[[#This Row],[DISC]])</f>
        <v/>
      </c>
      <c r="AB437" s="51"/>
      <c r="AC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1" t="str">
        <f>IF(OR(NOTA[[#This Row],[QTY]]="",NOTA[[#This Row],[HARGA SATUAN]]="",),"",NOTA[[#This Row],[QTY]]*NOTA[[#This Row],[HARGA SATUAN]])</f>
        <v/>
      </c>
      <c r="AG437" s="40" t="str">
        <f ca="1">IF(NOTA[ID_H]="","",INDEX(NOTA[TANGGAL],MATCH(,INDIRECT(ADDRESS(ROW(NOTA[TANGGAL]),COLUMN(NOTA[TANGGAL]))&amp;":"&amp;ADDRESS(ROW(),COLUMN(NOTA[TANGGAL]))),-1)))</f>
        <v/>
      </c>
      <c r="AH437" s="42" t="str">
        <f ca="1">IF(NOTA[[#This Row],[NAMA BARANG]]="","",INDEX(NOTA[SUPPLIER],MATCH(,INDIRECT(ADDRESS(ROW(NOTA[ID]),COLUMN(NOTA[ID]))&amp;":"&amp;ADDRESS(ROW(),COLUMN(NOTA[ID]))),-1)))</f>
        <v/>
      </c>
      <c r="AI437" s="42" t="str">
        <f ca="1">IF(NOTA[[#This Row],[ID_H]]="","",IF(NOTA[[#This Row],[FAKTUR]]="",INDIRECT(ADDRESS(ROW()-1,COLUMN())),NOTA[[#This Row],[FAKTUR]]))</f>
        <v/>
      </c>
      <c r="AJ437" s="39" t="str">
        <f ca="1">IF(NOTA[[#This Row],[ID]]="","",COUNTIF(NOTA[ID_H],NOTA[[#This Row],[ID_H]]))</f>
        <v/>
      </c>
      <c r="AK437" s="39" t="str">
        <f ca="1">IF(NOTA[[#This Row],[TGL.NOTA]]="",IF(NOTA[[#This Row],[SUPPLIER_H]]="","",AK436),MONTH(NOTA[[#This Row],[TGL.NOTA]]))</f>
        <v/>
      </c>
      <c r="AL437" s="39" t="str">
        <f>LOWER(SUBSTITUTE(SUBSTITUTE(SUBSTITUTE(SUBSTITUTE(SUBSTITUTE(SUBSTITUTE(SUBSTITUTE(SUBSTITUTE(SUBSTITUTE(NOTA[NAMA BARANG]," ",),".",""),"-",""),"(",""),")",""),",",""),"/",""),"""",""),"+",""))</f>
        <v/>
      </c>
      <c r="AM4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9" t="str">
        <f>IF(NOTA[[#This Row],[CONCAT4]]="","",_xlfn.IFNA(MATCH(NOTA[[#This Row],[CONCAT4]],[2]!RAW[CONCAT_H],0),FALSE))</f>
        <v/>
      </c>
      <c r="AQ437" s="39" t="str">
        <f>IF(NOTA[[#This Row],[CONCAT1]]="","",MATCH(NOTA[[#This Row],[CONCAT1]],[3]!db[NB NOTA_C],0))</f>
        <v/>
      </c>
      <c r="AR437" s="39" t="str">
        <f>IF(NOTA[[#This Row],[QTY/ CTN]]="","",TRUE)</f>
        <v/>
      </c>
      <c r="AS437" s="39" t="str">
        <f ca="1">IF(NOTA[[#This Row],[ID_H]]="","",IF(NOTA[[#This Row],[Column3]]=TRUE,NOTA[[#This Row],[QTY/ CTN]],INDEX([3]!db[QTY/ CTN],NOTA[[#This Row],[//DB]])))</f>
        <v/>
      </c>
      <c r="AT4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9" t="str">
        <f ca="1">IF(NOTA[[#This Row],[ID_H]]="","",MATCH(NOTA[[#This Row],[NB NOTA_C_QTY]],[4]!db[NB NOTA_C_QTY+F],0))</f>
        <v/>
      </c>
      <c r="AV437" s="55" t="str">
        <f ca="1">IF(NOTA[[#This Row],[NB NOTA_C_QTY]]="","",ROW()-2)</f>
        <v/>
      </c>
    </row>
    <row r="438" spans="1:48" ht="20.100000000000001" customHeight="1" x14ac:dyDescent="0.25">
      <c r="A43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GUN_1707_477-1</v>
      </c>
      <c r="C438" s="39" t="e">
        <f ca="1">IF(NOTA[[#This Row],[ID_P]]="","",MATCH(NOTA[[#This Row],[ID_P]],[1]!B_MSK[N_ID],0))</f>
        <v>#REF!</v>
      </c>
      <c r="D438" s="39">
        <f ca="1">IF(NOTA[[#This Row],[NAMA BARANG]]="","",INDEX(NOTA[ID],MATCH(,INDIRECT(ADDRESS(ROW(NOTA[ID]),COLUMN(NOTA[ID]))&amp;":"&amp;ADDRESS(ROW(),COLUMN(NOTA[ID]))),-1)))</f>
        <v>89</v>
      </c>
      <c r="E438" s="47"/>
      <c r="F438" s="38" t="s">
        <v>524</v>
      </c>
      <c r="G438" s="38" t="s">
        <v>145</v>
      </c>
      <c r="H438" s="48" t="s">
        <v>525</v>
      </c>
      <c r="J438" s="40">
        <v>45120</v>
      </c>
      <c r="L438" s="38" t="s">
        <v>526</v>
      </c>
      <c r="M438" s="41">
        <v>3</v>
      </c>
      <c r="N438" s="39">
        <v>90</v>
      </c>
      <c r="O438" s="38" t="s">
        <v>152</v>
      </c>
      <c r="P438" s="42">
        <v>70000</v>
      </c>
      <c r="Q438" s="43"/>
      <c r="R438" s="49" t="s">
        <v>236</v>
      </c>
      <c r="S438" s="50">
        <v>0.05</v>
      </c>
      <c r="T438" s="45">
        <v>0.1</v>
      </c>
      <c r="U438" s="51"/>
      <c r="V438" s="46"/>
      <c r="W438" s="51">
        <f>IF(NOTA[[#This Row],[HARGA/ CTN]]="",NOTA[[#This Row],[JUMLAH_H]],NOTA[[#This Row],[HARGA/ CTN]]*IF(NOTA[[#This Row],[C]]="",0,NOTA[[#This Row],[C]]))</f>
        <v>6300000</v>
      </c>
      <c r="X438" s="51">
        <f>IF(NOTA[[#This Row],[JUMLAH]]="","",NOTA[[#This Row],[JUMLAH]]*NOTA[[#This Row],[DISC 1]])</f>
        <v>315000</v>
      </c>
      <c r="Y438" s="51">
        <f>IF(NOTA[[#This Row],[JUMLAH]]="","",(NOTA[[#This Row],[JUMLAH]]-NOTA[[#This Row],[DISC 1-]])*NOTA[[#This Row],[DISC 2]])</f>
        <v>598500</v>
      </c>
      <c r="Z438" s="51">
        <f>IF(NOTA[[#This Row],[JUMLAH]]="","",NOTA[[#This Row],[DISC 1-]]+NOTA[[#This Row],[DISC 2-]])</f>
        <v>913500</v>
      </c>
      <c r="AA438" s="51">
        <f>IF(NOTA[[#This Row],[JUMLAH]]="","",NOTA[[#This Row],[JUMLAH]]-NOTA[[#This Row],[DISC]])</f>
        <v>5386500</v>
      </c>
      <c r="AB438" s="51"/>
      <c r="AC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913500</v>
      </c>
      <c r="AD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5386500</v>
      </c>
      <c r="AE43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438" s="51">
        <f>IF(OR(NOTA[[#This Row],[QTY]]="",NOTA[[#This Row],[HARGA SATUAN]]="",),"",NOTA[[#This Row],[QTY]]*NOTA[[#This Row],[HARGA SATUAN]])</f>
        <v>6300000</v>
      </c>
      <c r="AG438" s="40">
        <f ca="1">IF(NOTA[ID_H]="","",INDEX(NOTA[TANGGAL],MATCH(,INDIRECT(ADDRESS(ROW(NOTA[TANGGAL]),COLUMN(NOTA[TANGGAL]))&amp;":"&amp;ADDRESS(ROW(),COLUMN(NOTA[TANGGAL]))),-1)))</f>
        <v>45124</v>
      </c>
      <c r="AH438" s="42" t="str">
        <f ca="1">IF(NOTA[[#This Row],[NAMA BARANG]]="","",INDEX(NOTA[SUPPLIER],MATCH(,INDIRECT(ADDRESS(ROW(NOTA[ID]),COLUMN(NOTA[ID]))&amp;":"&amp;ADDRESS(ROW(),COLUMN(NOTA[ID]))),-1)))</f>
        <v>GUNINDO</v>
      </c>
      <c r="AI438" s="42" t="str">
        <f ca="1">IF(NOTA[[#This Row],[ID_H]]="","",IF(NOTA[[#This Row],[FAKTUR]]="",INDIRECT(ADDRESS(ROW()-1,COLUMN())),NOTA[[#This Row],[FAKTUR]]))</f>
        <v>UNTANA</v>
      </c>
      <c r="AJ438" s="39">
        <f ca="1">IF(NOTA[[#This Row],[ID]]="","",COUNTIF(NOTA[ID_H],NOTA[[#This Row],[ID_H]]))</f>
        <v>1</v>
      </c>
      <c r="AK438" s="39">
        <f>IF(NOTA[[#This Row],[TGL.NOTA]]="",IF(NOTA[[#This Row],[SUPPLIER_H]]="","",AK437),MONTH(NOTA[[#This Row],[TGL.NOTA]]))</f>
        <v>7</v>
      </c>
      <c r="AL438" s="39" t="str">
        <f>LOWER(SUBSTITUTE(SUBSTITUTE(SUBSTITUTE(SUBSTITUTE(SUBSTITUTE(SUBSTITUTE(SUBSTITUTE(SUBSTITUTE(SUBSTITUTE(NOTA[NAMA BARANG]," ",),".",""),"-",""),"(",""),")",""),",",""),"/",""),"""",""),"+",""))</f>
        <v>ollgunindo</v>
      </c>
      <c r="AM4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4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43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GUNINDOUNTANA230147745120ollgunindo</v>
      </c>
      <c r="AP438" s="39" t="e">
        <f>IF(NOTA[[#This Row],[CONCAT4]]="","",_xlfn.IFNA(MATCH(NOTA[[#This Row],[CONCAT4]],[2]!RAW[CONCAT_H],0),FALSE))</f>
        <v>#REF!</v>
      </c>
      <c r="AQ438" s="39">
        <f>IF(NOTA[[#This Row],[CONCAT1]]="","",MATCH(NOTA[[#This Row],[CONCAT1]],[3]!db[NB NOTA_C],0))</f>
        <v>1231</v>
      </c>
      <c r="AR438" s="39" t="b">
        <f>IF(NOTA[[#This Row],[QTY/ CTN]]="","",TRUE)</f>
        <v>1</v>
      </c>
      <c r="AS438" s="39" t="str">
        <f ca="1">IF(NOTA[[#This Row],[ID_H]]="","",IF(NOTA[[#This Row],[Column3]]=TRUE,NOTA[[#This Row],[QTY/ CTN]],INDEX([3]!db[QTY/ CTN],NOTA[[#This Row],[//DB]])))</f>
        <v>30 LSN</v>
      </c>
      <c r="AT4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438" s="39" t="e">
        <f ca="1">IF(NOTA[[#This Row],[ID_H]]="","",MATCH(NOTA[[#This Row],[NB NOTA_C_QTY]],[4]!db[NB NOTA_C_QTY+F],0))</f>
        <v>#REF!</v>
      </c>
      <c r="AV438" s="55">
        <f ca="1">IF(NOTA[[#This Row],[NB NOTA_C_QTY]]="","",ROW()-2)</f>
        <v>436</v>
      </c>
    </row>
    <row r="439" spans="1:48" ht="20.100000000000001" customHeight="1" x14ac:dyDescent="0.25">
      <c r="A4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9" t="str">
        <f>IF(NOTA[[#This Row],[ID_P]]="","",MATCH(NOTA[[#This Row],[ID_P]],[1]!B_MSK[N_ID],0))</f>
        <v/>
      </c>
      <c r="D439" s="39" t="str">
        <f ca="1">IF(NOTA[[#This Row],[NAMA BARANG]]="","",INDEX(NOTA[ID],MATCH(,INDIRECT(ADDRESS(ROW(NOTA[ID]),COLUMN(NOTA[ID]))&amp;":"&amp;ADDRESS(ROW(),COLUMN(NOTA[ID]))),-1)))</f>
        <v/>
      </c>
      <c r="E439" s="47"/>
      <c r="H439" s="48"/>
      <c r="N439" s="39"/>
      <c r="Q439" s="43"/>
      <c r="R439" s="49"/>
      <c r="S439" s="50"/>
      <c r="U439" s="51"/>
      <c r="V439" s="46"/>
      <c r="W439" s="51" t="str">
        <f>IF(NOTA[[#This Row],[HARGA/ CTN]]="",NOTA[[#This Row],[JUMLAH_H]],NOTA[[#This Row],[HARGA/ CTN]]*IF(NOTA[[#This Row],[C]]="",0,NOTA[[#This Row],[C]]))</f>
        <v/>
      </c>
      <c r="X439" s="51" t="str">
        <f>IF(NOTA[[#This Row],[JUMLAH]]="","",NOTA[[#This Row],[JUMLAH]]*NOTA[[#This Row],[DISC 1]])</f>
        <v/>
      </c>
      <c r="Y439" s="51" t="str">
        <f>IF(NOTA[[#This Row],[JUMLAH]]="","",(NOTA[[#This Row],[JUMLAH]]-NOTA[[#This Row],[DISC 1-]])*NOTA[[#This Row],[DISC 2]])</f>
        <v/>
      </c>
      <c r="Z439" s="51" t="str">
        <f>IF(NOTA[[#This Row],[JUMLAH]]="","",NOTA[[#This Row],[DISC 1-]]+NOTA[[#This Row],[DISC 2-]])</f>
        <v/>
      </c>
      <c r="AA439" s="51" t="str">
        <f>IF(NOTA[[#This Row],[JUMLAH]]="","",NOTA[[#This Row],[JUMLAH]]-NOTA[[#This Row],[DISC]])</f>
        <v/>
      </c>
      <c r="AB439" s="51"/>
      <c r="AC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1" t="str">
        <f>IF(OR(NOTA[[#This Row],[QTY]]="",NOTA[[#This Row],[HARGA SATUAN]]="",),"",NOTA[[#This Row],[QTY]]*NOTA[[#This Row],[HARGA SATUAN]])</f>
        <v/>
      </c>
      <c r="AG439" s="40" t="str">
        <f ca="1">IF(NOTA[ID_H]="","",INDEX(NOTA[TANGGAL],MATCH(,INDIRECT(ADDRESS(ROW(NOTA[TANGGAL]),COLUMN(NOTA[TANGGAL]))&amp;":"&amp;ADDRESS(ROW(),COLUMN(NOTA[TANGGAL]))),-1)))</f>
        <v/>
      </c>
      <c r="AH439" s="42" t="str">
        <f ca="1">IF(NOTA[[#This Row],[NAMA BARANG]]="","",INDEX(NOTA[SUPPLIER],MATCH(,INDIRECT(ADDRESS(ROW(NOTA[ID]),COLUMN(NOTA[ID]))&amp;":"&amp;ADDRESS(ROW(),COLUMN(NOTA[ID]))),-1)))</f>
        <v/>
      </c>
      <c r="AI439" s="42" t="str">
        <f ca="1">IF(NOTA[[#This Row],[ID_H]]="","",IF(NOTA[[#This Row],[FAKTUR]]="",INDIRECT(ADDRESS(ROW()-1,COLUMN())),NOTA[[#This Row],[FAKTUR]]))</f>
        <v/>
      </c>
      <c r="AJ439" s="39" t="str">
        <f ca="1">IF(NOTA[[#This Row],[ID]]="","",COUNTIF(NOTA[ID_H],NOTA[[#This Row],[ID_H]]))</f>
        <v/>
      </c>
      <c r="AK439" s="39" t="str">
        <f ca="1">IF(NOTA[[#This Row],[TGL.NOTA]]="",IF(NOTA[[#This Row],[SUPPLIER_H]]="","",AK438),MONTH(NOTA[[#This Row],[TGL.NOTA]]))</f>
        <v/>
      </c>
      <c r="AL439" s="39" t="str">
        <f>LOWER(SUBSTITUTE(SUBSTITUTE(SUBSTITUTE(SUBSTITUTE(SUBSTITUTE(SUBSTITUTE(SUBSTITUTE(SUBSTITUTE(SUBSTITUTE(NOTA[NAMA BARANG]," ",),".",""),"-",""),"(",""),")",""),",",""),"/",""),"""",""),"+",""))</f>
        <v/>
      </c>
      <c r="AM4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9" t="str">
        <f>IF(NOTA[[#This Row],[CONCAT4]]="","",_xlfn.IFNA(MATCH(NOTA[[#This Row],[CONCAT4]],[2]!RAW[CONCAT_H],0),FALSE))</f>
        <v/>
      </c>
      <c r="AQ439" s="39" t="str">
        <f>IF(NOTA[[#This Row],[CONCAT1]]="","",MATCH(NOTA[[#This Row],[CONCAT1]],[3]!db[NB NOTA_C],0))</f>
        <v/>
      </c>
      <c r="AR439" s="39" t="str">
        <f>IF(NOTA[[#This Row],[QTY/ CTN]]="","",TRUE)</f>
        <v/>
      </c>
      <c r="AS439" s="39" t="str">
        <f ca="1">IF(NOTA[[#This Row],[ID_H]]="","",IF(NOTA[[#This Row],[Column3]]=TRUE,NOTA[[#This Row],[QTY/ CTN]],INDEX([3]!db[QTY/ CTN],NOTA[[#This Row],[//DB]])))</f>
        <v/>
      </c>
      <c r="AT4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9" t="str">
        <f ca="1">IF(NOTA[[#This Row],[ID_H]]="","",MATCH(NOTA[[#This Row],[NB NOTA_C_QTY]],[4]!db[NB NOTA_C_QTY+F],0))</f>
        <v/>
      </c>
      <c r="AV439" s="55" t="str">
        <f ca="1">IF(NOTA[[#This Row],[NB NOTA_C_QTY]]="","",ROW()-2)</f>
        <v/>
      </c>
    </row>
    <row r="440" spans="1:48" ht="20.100000000000001" customHeight="1" x14ac:dyDescent="0.25">
      <c r="A440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GUN_1707_463-4</v>
      </c>
      <c r="C440" s="39" t="e">
        <f ca="1">IF(NOTA[[#This Row],[ID_P]]="","",MATCH(NOTA[[#This Row],[ID_P]],[1]!B_MSK[N_ID],0))</f>
        <v>#REF!</v>
      </c>
      <c r="D440" s="39">
        <f ca="1">IF(NOTA[[#This Row],[NAMA BARANG]]="","",INDEX(NOTA[ID],MATCH(,INDIRECT(ADDRESS(ROW(NOTA[ID]),COLUMN(NOTA[ID]))&amp;":"&amp;ADDRESS(ROW(),COLUMN(NOTA[ID]))),-1)))</f>
        <v>90</v>
      </c>
      <c r="E440" s="47"/>
      <c r="F440" s="38" t="s">
        <v>524</v>
      </c>
      <c r="G440" s="38" t="s">
        <v>145</v>
      </c>
      <c r="H440" s="48" t="s">
        <v>527</v>
      </c>
      <c r="J440" s="40">
        <v>45119</v>
      </c>
      <c r="L440" s="38" t="s">
        <v>528</v>
      </c>
      <c r="M440" s="41">
        <v>1</v>
      </c>
      <c r="N440" s="39">
        <v>60</v>
      </c>
      <c r="O440" s="38" t="s">
        <v>152</v>
      </c>
      <c r="P440" s="42">
        <v>33000</v>
      </c>
      <c r="Q440" s="43"/>
      <c r="R440" s="49" t="s">
        <v>153</v>
      </c>
      <c r="S440" s="50">
        <v>0.05</v>
      </c>
      <c r="T440" s="45">
        <v>0.1</v>
      </c>
      <c r="U440" s="51"/>
      <c r="V440" s="46"/>
      <c r="W440" s="51">
        <f>IF(NOTA[[#This Row],[HARGA/ CTN]]="",NOTA[[#This Row],[JUMLAH_H]],NOTA[[#This Row],[HARGA/ CTN]]*IF(NOTA[[#This Row],[C]]="",0,NOTA[[#This Row],[C]]))</f>
        <v>1980000</v>
      </c>
      <c r="X440" s="51">
        <f>IF(NOTA[[#This Row],[JUMLAH]]="","",NOTA[[#This Row],[JUMLAH]]*NOTA[[#This Row],[DISC 1]])</f>
        <v>99000</v>
      </c>
      <c r="Y440" s="51">
        <f>IF(NOTA[[#This Row],[JUMLAH]]="","",(NOTA[[#This Row],[JUMLAH]]-NOTA[[#This Row],[DISC 1-]])*NOTA[[#This Row],[DISC 2]])</f>
        <v>188100</v>
      </c>
      <c r="Z440" s="51">
        <f>IF(NOTA[[#This Row],[JUMLAH]]="","",NOTA[[#This Row],[DISC 1-]]+NOTA[[#This Row],[DISC 2-]])</f>
        <v>287100</v>
      </c>
      <c r="AA440" s="51">
        <f>IF(NOTA[[#This Row],[JUMLAH]]="","",NOTA[[#This Row],[JUMLAH]]-NOTA[[#This Row],[DISC]])</f>
        <v>1692900</v>
      </c>
      <c r="AB440" s="51"/>
      <c r="AC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440" s="51">
        <f>IF(OR(NOTA[[#This Row],[QTY]]="",NOTA[[#This Row],[HARGA SATUAN]]="",),"",NOTA[[#This Row],[QTY]]*NOTA[[#This Row],[HARGA SATUAN]])</f>
        <v>1980000</v>
      </c>
      <c r="AG440" s="40">
        <f ca="1">IF(NOTA[ID_H]="","",INDEX(NOTA[TANGGAL],MATCH(,INDIRECT(ADDRESS(ROW(NOTA[TANGGAL]),COLUMN(NOTA[TANGGAL]))&amp;":"&amp;ADDRESS(ROW(),COLUMN(NOTA[TANGGAL]))),-1)))</f>
        <v>45124</v>
      </c>
      <c r="AH440" s="42" t="str">
        <f ca="1">IF(NOTA[[#This Row],[NAMA BARANG]]="","",INDEX(NOTA[SUPPLIER],MATCH(,INDIRECT(ADDRESS(ROW(NOTA[ID]),COLUMN(NOTA[ID]))&amp;":"&amp;ADDRESS(ROW(),COLUMN(NOTA[ID]))),-1)))</f>
        <v>GUNINDO</v>
      </c>
      <c r="AI440" s="42" t="str">
        <f ca="1">IF(NOTA[[#This Row],[ID_H]]="","",IF(NOTA[[#This Row],[FAKTUR]]="",INDIRECT(ADDRESS(ROW()-1,COLUMN())),NOTA[[#This Row],[FAKTUR]]))</f>
        <v>UNTANA</v>
      </c>
      <c r="AJ440" s="39">
        <f ca="1">IF(NOTA[[#This Row],[ID]]="","",COUNTIF(NOTA[ID_H],NOTA[[#This Row],[ID_H]]))</f>
        <v>4</v>
      </c>
      <c r="AK440" s="39">
        <f>IF(NOTA[[#This Row],[TGL.NOTA]]="",IF(NOTA[[#This Row],[SUPPLIER_H]]="","",AK439),MONTH(NOTA[[#This Row],[TGL.NOTA]]))</f>
        <v>7</v>
      </c>
      <c r="AL440" s="39" t="str">
        <f>LOWER(SUBSTITUTE(SUBSTITUTE(SUBSTITUTE(SUBSTITUTE(SUBSTITUTE(SUBSTITUTE(SUBSTITUTE(SUBSTITUTE(SUBSTITUTE(NOTA[NAMA BARANG]," ",),".",""),"-",""),"(",""),")",""),",",""),"/",""),"""",""),"+",""))</f>
        <v>cuttersc9ctrans</v>
      </c>
      <c r="AM4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4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440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GUNINDOUNTANA230146345119cuttersc9ctrans</v>
      </c>
      <c r="AP440" s="39" t="e">
        <f>IF(NOTA[[#This Row],[CONCAT4]]="","",_xlfn.IFNA(MATCH(NOTA[[#This Row],[CONCAT4]],[2]!RAW[CONCAT_H],0),FALSE))</f>
        <v>#REF!</v>
      </c>
      <c r="AQ440" s="39">
        <f>IF(NOTA[[#This Row],[CONCAT1]]="","",MATCH(NOTA[[#This Row],[CONCAT1]],[3]!db[NB NOTA_C],0))</f>
        <v>940</v>
      </c>
      <c r="AR440" s="39" t="b">
        <f>IF(NOTA[[#This Row],[QTY/ CTN]]="","",TRUE)</f>
        <v>1</v>
      </c>
      <c r="AS440" s="39" t="str">
        <f ca="1">IF(NOTA[[#This Row],[ID_H]]="","",IF(NOTA[[#This Row],[Column3]]=TRUE,NOTA[[#This Row],[QTY/ CTN]],INDEX([3]!db[QTY/ CTN],NOTA[[#This Row],[//DB]])))</f>
        <v>60 LSN</v>
      </c>
      <c r="AT4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cuttersc9ctrans60lsnuntana</v>
      </c>
      <c r="AU440" s="39" t="e">
        <f ca="1">IF(NOTA[[#This Row],[ID_H]]="","",MATCH(NOTA[[#This Row],[NB NOTA_C_QTY]],[4]!db[NB NOTA_C_QTY+F],0))</f>
        <v>#REF!</v>
      </c>
      <c r="AV440" s="55">
        <f ca="1">IF(NOTA[[#This Row],[NB NOTA_C_QTY]]="","",ROW()-2)</f>
        <v>438</v>
      </c>
    </row>
    <row r="441" spans="1:48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90</v>
      </c>
      <c r="E441" s="47"/>
      <c r="H441" s="48"/>
      <c r="L441" s="38" t="s">
        <v>529</v>
      </c>
      <c r="M441" s="41">
        <v>1</v>
      </c>
      <c r="N441" s="39">
        <v>60</v>
      </c>
      <c r="O441" s="38" t="s">
        <v>152</v>
      </c>
      <c r="P441" s="42">
        <v>47500</v>
      </c>
      <c r="Q441" s="43"/>
      <c r="R441" s="49" t="s">
        <v>153</v>
      </c>
      <c r="S441" s="50">
        <v>0.05</v>
      </c>
      <c r="T441" s="45">
        <v>0.1</v>
      </c>
      <c r="U441" s="51"/>
      <c r="V441" s="46"/>
      <c r="W441" s="51">
        <f>IF(NOTA[[#This Row],[HARGA/ CTN]]="",NOTA[[#This Row],[JUMLAH_H]],NOTA[[#This Row],[HARGA/ CTN]]*IF(NOTA[[#This Row],[C]]="",0,NOTA[[#This Row],[C]]))</f>
        <v>2850000</v>
      </c>
      <c r="X441" s="51">
        <f>IF(NOTA[[#This Row],[JUMLAH]]="","",NOTA[[#This Row],[JUMLAH]]*NOTA[[#This Row],[DISC 1]])</f>
        <v>142500</v>
      </c>
      <c r="Y441" s="51">
        <f>IF(NOTA[[#This Row],[JUMLAH]]="","",(NOTA[[#This Row],[JUMLAH]]-NOTA[[#This Row],[DISC 1-]])*NOTA[[#This Row],[DISC 2]])</f>
        <v>270750</v>
      </c>
      <c r="Z441" s="51">
        <f>IF(NOTA[[#This Row],[JUMLAH]]="","",NOTA[[#This Row],[DISC 1-]]+NOTA[[#This Row],[DISC 2-]])</f>
        <v>413250</v>
      </c>
      <c r="AA441" s="51">
        <f>IF(NOTA[[#This Row],[JUMLAH]]="","",NOTA[[#This Row],[JUMLAH]]-NOTA[[#This Row],[DISC]])</f>
        <v>2436750</v>
      </c>
      <c r="AB441" s="51"/>
      <c r="AC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441" s="51">
        <f>IF(OR(NOTA[[#This Row],[QTY]]="",NOTA[[#This Row],[HARGA SATUAN]]="",),"",NOTA[[#This Row],[QTY]]*NOTA[[#This Row],[HARGA SATUAN]])</f>
        <v>2850000</v>
      </c>
      <c r="AG441" s="40">
        <f ca="1">IF(NOTA[ID_H]="","",INDEX(NOTA[TANGGAL],MATCH(,INDIRECT(ADDRESS(ROW(NOTA[TANGGAL]),COLUMN(NOTA[TANGGAL]))&amp;":"&amp;ADDRESS(ROW(),COLUMN(NOTA[TANGGAL]))),-1)))</f>
        <v>45124</v>
      </c>
      <c r="AH441" s="42" t="str">
        <f ca="1">IF(NOTA[[#This Row],[NAMA BARANG]]="","",INDEX(NOTA[SUPPLIER],MATCH(,INDIRECT(ADDRESS(ROW(NOTA[ID]),COLUMN(NOTA[ID]))&amp;":"&amp;ADDRESS(ROW(),COLUMN(NOTA[ID]))),-1)))</f>
        <v>GUNINDO</v>
      </c>
      <c r="AI441" s="42" t="str">
        <f ca="1">IF(NOTA[[#This Row],[ID_H]]="","",IF(NOTA[[#This Row],[FAKTUR]]="",INDIRECT(ADDRESS(ROW()-1,COLUMN())),NOTA[[#This Row],[FAKTUR]]))</f>
        <v>UNTANA</v>
      </c>
      <c r="AJ441" s="39" t="str">
        <f ca="1">IF(NOTA[[#This Row],[ID]]="","",COUNTIF(NOTA[ID_H],NOTA[[#This Row],[ID_H]]))</f>
        <v/>
      </c>
      <c r="AK441" s="39">
        <f ca="1">IF(NOTA[[#This Row],[TGL.NOTA]]="",IF(NOTA[[#This Row],[SUPPLIER_H]]="","",AK440),MONTH(NOTA[[#This Row],[TGL.NOTA]]))</f>
        <v>7</v>
      </c>
      <c r="AL441" s="39" t="str">
        <f>LOWER(SUBSTITUTE(SUBSTITUTE(SUBSTITUTE(SUBSTITUTE(SUBSTITUTE(SUBSTITUTE(SUBSTITUTE(SUBSTITUTE(SUBSTITUTE(NOTA[NAMA BARANG]," ",),".",""),"-",""),"(",""),")",""),",",""),"/",""),"""",""),"+",""))</f>
        <v>cuttera18trans</v>
      </c>
      <c r="AM4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4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4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9" t="str">
        <f>IF(NOTA[[#This Row],[CONCAT4]]="","",_xlfn.IFNA(MATCH(NOTA[[#This Row],[CONCAT4]],[2]!RAW[CONCAT_H],0),FALSE))</f>
        <v/>
      </c>
      <c r="AQ441" s="39">
        <f>IF(NOTA[[#This Row],[CONCAT1]]="","",MATCH(NOTA[[#This Row],[CONCAT1]],[3]!db[NB NOTA_C],0))</f>
        <v>935</v>
      </c>
      <c r="AR441" s="39" t="b">
        <f>IF(NOTA[[#This Row],[QTY/ CTN]]="","",TRUE)</f>
        <v>1</v>
      </c>
      <c r="AS441" s="39" t="str">
        <f ca="1">IF(NOTA[[#This Row],[ID_H]]="","",IF(NOTA[[#This Row],[Column3]]=TRUE,NOTA[[#This Row],[QTY/ CTN]],INDEX([3]!db[QTY/ CTN],NOTA[[#This Row],[//DB]])))</f>
        <v>60 LSN</v>
      </c>
      <c r="AT4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U441" s="39" t="e">
        <f ca="1">IF(NOTA[[#This Row],[ID_H]]="","",MATCH(NOTA[[#This Row],[NB NOTA_C_QTY]],[4]!db[NB NOTA_C_QTY+F],0))</f>
        <v>#REF!</v>
      </c>
      <c r="AV441" s="55">
        <f ca="1">IF(NOTA[[#This Row],[NB NOTA_C_QTY]]="","",ROW()-2)</f>
        <v>439</v>
      </c>
    </row>
    <row r="442" spans="1:48" ht="20.100000000000001" customHeight="1" x14ac:dyDescent="0.25">
      <c r="A4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90</v>
      </c>
      <c r="E442" s="47"/>
      <c r="H442" s="48"/>
      <c r="L442" s="38" t="s">
        <v>558</v>
      </c>
      <c r="M442" s="41">
        <v>1</v>
      </c>
      <c r="N442" s="39">
        <v>20</v>
      </c>
      <c r="O442" s="38" t="s">
        <v>152</v>
      </c>
      <c r="P442" s="42">
        <v>120000</v>
      </c>
      <c r="Q442" s="43"/>
      <c r="R442" s="49" t="s">
        <v>484</v>
      </c>
      <c r="S442" s="50">
        <v>0.05</v>
      </c>
      <c r="T442" s="45">
        <v>0.1</v>
      </c>
      <c r="U442" s="51"/>
      <c r="V442" s="46"/>
      <c r="W442" s="51">
        <f>IF(NOTA[[#This Row],[HARGA/ CTN]]="",NOTA[[#This Row],[JUMLAH_H]],NOTA[[#This Row],[HARGA/ CTN]]*IF(NOTA[[#This Row],[C]]="",0,NOTA[[#This Row],[C]]))</f>
        <v>2400000</v>
      </c>
      <c r="X442" s="51">
        <f>IF(NOTA[[#This Row],[JUMLAH]]="","",NOTA[[#This Row],[JUMLAH]]*NOTA[[#This Row],[DISC 1]])</f>
        <v>120000</v>
      </c>
      <c r="Y442" s="51">
        <f>IF(NOTA[[#This Row],[JUMLAH]]="","",(NOTA[[#This Row],[JUMLAH]]-NOTA[[#This Row],[DISC 1-]])*NOTA[[#This Row],[DISC 2]])</f>
        <v>228000</v>
      </c>
      <c r="Z442" s="51">
        <f>IF(NOTA[[#This Row],[JUMLAH]]="","",NOTA[[#This Row],[DISC 1-]]+NOTA[[#This Row],[DISC 2-]])</f>
        <v>348000</v>
      </c>
      <c r="AA442" s="51">
        <f>IF(NOTA[[#This Row],[JUMLAH]]="","",NOTA[[#This Row],[JUMLAH]]-NOTA[[#This Row],[DISC]])</f>
        <v>2052000</v>
      </c>
      <c r="AB442" s="51"/>
      <c r="AC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42" s="51">
        <f>IF(OR(NOTA[[#This Row],[QTY]]="",NOTA[[#This Row],[HARGA SATUAN]]="",),"",NOTA[[#This Row],[QTY]]*NOTA[[#This Row],[HARGA SATUAN]])</f>
        <v>2400000</v>
      </c>
      <c r="AG442" s="40">
        <f ca="1">IF(NOTA[ID_H]="","",INDEX(NOTA[TANGGAL],MATCH(,INDIRECT(ADDRESS(ROW(NOTA[TANGGAL]),COLUMN(NOTA[TANGGAL]))&amp;":"&amp;ADDRESS(ROW(),COLUMN(NOTA[TANGGAL]))),-1)))</f>
        <v>45124</v>
      </c>
      <c r="AH442" s="42" t="str">
        <f ca="1">IF(NOTA[[#This Row],[NAMA BARANG]]="","",INDEX(NOTA[SUPPLIER],MATCH(,INDIRECT(ADDRESS(ROW(NOTA[ID]),COLUMN(NOTA[ID]))&amp;":"&amp;ADDRESS(ROW(),COLUMN(NOTA[ID]))),-1)))</f>
        <v>GUNINDO</v>
      </c>
      <c r="AI442" s="42" t="str">
        <f ca="1">IF(NOTA[[#This Row],[ID_H]]="","",IF(NOTA[[#This Row],[FAKTUR]]="",INDIRECT(ADDRESS(ROW()-1,COLUMN())),NOTA[[#This Row],[FAKTUR]]))</f>
        <v>UNTANA</v>
      </c>
      <c r="AJ442" s="39" t="str">
        <f ca="1">IF(NOTA[[#This Row],[ID]]="","",COUNTIF(NOTA[ID_H],NOTA[[#This Row],[ID_H]]))</f>
        <v/>
      </c>
      <c r="AK442" s="39">
        <f ca="1">IF(NOTA[[#This Row],[TGL.NOTA]]="",IF(NOTA[[#This Row],[SUPPLIER_H]]="","",AK441),MONTH(NOTA[[#This Row],[TGL.NOTA]]))</f>
        <v>7</v>
      </c>
      <c r="AL442" s="39" t="str">
        <f>LOWER(SUBSTITUTE(SUBSTITUTE(SUBSTITUTE(SUBSTITUTE(SUBSTITUTE(SUBSTITUTE(SUBSTITUTE(SUBSTITUTE(SUBSTITUTE(NOTA[NAMA BARANG]," ",),".",""),"-",""),"(",""),")",""),",",""),"/",""),"""",""),"+",""))</f>
        <v>pl8gunindo</v>
      </c>
      <c r="AM4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9" t="str">
        <f>IF(NOTA[[#This Row],[CONCAT4]]="","",_xlfn.IFNA(MATCH(NOTA[[#This Row],[CONCAT4]],[2]!RAW[CONCAT_H],0),FALSE))</f>
        <v/>
      </c>
      <c r="AQ442" s="39">
        <f>IF(NOTA[[#This Row],[CONCAT1]]="","",MATCH(NOTA[[#This Row],[CONCAT1]],[3]!db[NB NOTA_C],0))</f>
        <v>1238</v>
      </c>
      <c r="AR442" s="39" t="b">
        <f>IF(NOTA[[#This Row],[QTY/ CTN]]="","",TRUE)</f>
        <v>1</v>
      </c>
      <c r="AS442" s="39" t="str">
        <f ca="1">IF(NOTA[[#This Row],[ID_H]]="","",IF(NOTA[[#This Row],[Column3]]=TRUE,NOTA[[#This Row],[QTY/ CTN]],INDEX([3]!db[QTY/ CTN],NOTA[[#This Row],[//DB]])))</f>
        <v>20 LSN</v>
      </c>
      <c r="AT4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42" s="39" t="e">
        <f ca="1">IF(NOTA[[#This Row],[ID_H]]="","",MATCH(NOTA[[#This Row],[NB NOTA_C_QTY]],[4]!db[NB NOTA_C_QTY+F],0))</f>
        <v>#REF!</v>
      </c>
      <c r="AV442" s="55">
        <f ca="1">IF(NOTA[[#This Row],[NB NOTA_C_QTY]]="","",ROW()-2)</f>
        <v>440</v>
      </c>
    </row>
    <row r="443" spans="1:48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90</v>
      </c>
      <c r="E443" s="47"/>
      <c r="H443" s="48"/>
      <c r="L443" s="38" t="s">
        <v>530</v>
      </c>
      <c r="M443" s="41">
        <v>2</v>
      </c>
      <c r="N443" s="39">
        <v>60</v>
      </c>
      <c r="O443" s="38" t="s">
        <v>152</v>
      </c>
      <c r="P443" s="42">
        <v>60000</v>
      </c>
      <c r="Q443" s="43"/>
      <c r="R443" s="49" t="s">
        <v>236</v>
      </c>
      <c r="S443" s="50">
        <v>0.05</v>
      </c>
      <c r="T443" s="45">
        <v>0.1</v>
      </c>
      <c r="U443" s="51"/>
      <c r="V443" s="46"/>
      <c r="W443" s="51">
        <f>IF(NOTA[[#This Row],[HARGA/ CTN]]="",NOTA[[#This Row],[JUMLAH_H]],NOTA[[#This Row],[HARGA/ CTN]]*IF(NOTA[[#This Row],[C]]="",0,NOTA[[#This Row],[C]]))</f>
        <v>3600000</v>
      </c>
      <c r="X443" s="51">
        <f>IF(NOTA[[#This Row],[JUMLAH]]="","",NOTA[[#This Row],[JUMLAH]]*NOTA[[#This Row],[DISC 1]])</f>
        <v>180000</v>
      </c>
      <c r="Y443" s="51">
        <f>IF(NOTA[[#This Row],[JUMLAH]]="","",(NOTA[[#This Row],[JUMLAH]]-NOTA[[#This Row],[DISC 1-]])*NOTA[[#This Row],[DISC 2]])</f>
        <v>342000</v>
      </c>
      <c r="Z443" s="51">
        <f>IF(NOTA[[#This Row],[JUMLAH]]="","",NOTA[[#This Row],[DISC 1-]]+NOTA[[#This Row],[DISC 2-]])</f>
        <v>522000</v>
      </c>
      <c r="AA443" s="51">
        <f>IF(NOTA[[#This Row],[JUMLAH]]="","",NOTA[[#This Row],[JUMLAH]]-NOTA[[#This Row],[DISC]])</f>
        <v>3078000</v>
      </c>
      <c r="AB443" s="51"/>
      <c r="AC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D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E443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43" s="51">
        <f>IF(OR(NOTA[[#This Row],[QTY]]="",NOTA[[#This Row],[HARGA SATUAN]]="",),"",NOTA[[#This Row],[QTY]]*NOTA[[#This Row],[HARGA SATUAN]])</f>
        <v>3600000</v>
      </c>
      <c r="AG443" s="40">
        <f ca="1">IF(NOTA[ID_H]="","",INDEX(NOTA[TANGGAL],MATCH(,INDIRECT(ADDRESS(ROW(NOTA[TANGGAL]),COLUMN(NOTA[TANGGAL]))&amp;":"&amp;ADDRESS(ROW(),COLUMN(NOTA[TANGGAL]))),-1)))</f>
        <v>45124</v>
      </c>
      <c r="AH443" s="42" t="str">
        <f ca="1">IF(NOTA[[#This Row],[NAMA BARANG]]="","",INDEX(NOTA[SUPPLIER],MATCH(,INDIRECT(ADDRESS(ROW(NOTA[ID]),COLUMN(NOTA[ID]))&amp;":"&amp;ADDRESS(ROW(),COLUMN(NOTA[ID]))),-1)))</f>
        <v>GUNINDO</v>
      </c>
      <c r="AI443" s="42" t="str">
        <f ca="1">IF(NOTA[[#This Row],[ID_H]]="","",IF(NOTA[[#This Row],[FAKTUR]]="",INDIRECT(ADDRESS(ROW()-1,COLUMN())),NOTA[[#This Row],[FAKTUR]]))</f>
        <v>UNTANA</v>
      </c>
      <c r="AJ443" s="39" t="str">
        <f ca="1">IF(NOTA[[#This Row],[ID]]="","",COUNTIF(NOTA[ID_H],NOTA[[#This Row],[ID_H]]))</f>
        <v/>
      </c>
      <c r="AK443" s="39">
        <f ca="1">IF(NOTA[[#This Row],[TGL.NOTA]]="",IF(NOTA[[#This Row],[SUPPLIER_H]]="","",AK442),MONTH(NOTA[[#This Row],[TGL.NOTA]]))</f>
        <v>7</v>
      </c>
      <c r="AL443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4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4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4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9" t="str">
        <f>IF(NOTA[[#This Row],[CONCAT4]]="","",_xlfn.IFNA(MATCH(NOTA[[#This Row],[CONCAT4]],[2]!RAW[CONCAT_H],0),FALSE))</f>
        <v/>
      </c>
      <c r="AQ443" s="39">
        <f>IF(NOTA[[#This Row],[CONCAT1]]="","",MATCH(NOTA[[#This Row],[CONCAT1]],[3]!db[NB NOTA_C],0))</f>
        <v>1240</v>
      </c>
      <c r="AR443" s="39" t="b">
        <f>IF(NOTA[[#This Row],[QTY/ CTN]]="","",TRUE)</f>
        <v>1</v>
      </c>
      <c r="AS443" s="39" t="str">
        <f ca="1">IF(NOTA[[#This Row],[ID_H]]="","",IF(NOTA[[#This Row],[Column3]]=TRUE,NOTA[[#This Row],[QTY/ CTN]],INDEX([3]!db[QTY/ CTN],NOTA[[#This Row],[//DB]])))</f>
        <v>30 LSN</v>
      </c>
      <c r="AT4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443" s="39" t="e">
        <f ca="1">IF(NOTA[[#This Row],[ID_H]]="","",MATCH(NOTA[[#This Row],[NB NOTA_C_QTY]],[4]!db[NB NOTA_C_QTY+F],0))</f>
        <v>#REF!</v>
      </c>
      <c r="AV443" s="55">
        <f ca="1">IF(NOTA[[#This Row],[NB NOTA_C_QTY]]="","",ROW()-2)</f>
        <v>441</v>
      </c>
    </row>
    <row r="444" spans="1:48" ht="20.100000000000001" customHeight="1" x14ac:dyDescent="0.25">
      <c r="A4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47"/>
      <c r="H444" s="48"/>
      <c r="N444" s="39"/>
      <c r="Q444" s="43"/>
      <c r="R444" s="49"/>
      <c r="S444" s="50"/>
      <c r="U444" s="51"/>
      <c r="V444" s="46"/>
      <c r="W444" s="51" t="str">
        <f>IF(NOTA[[#This Row],[HARGA/ CTN]]="",NOTA[[#This Row],[JUMLAH_H]],NOTA[[#This Row],[HARGA/ CTN]]*IF(NOTA[[#This Row],[C]]="",0,NOTA[[#This Row],[C]]))</f>
        <v/>
      </c>
      <c r="X444" s="51" t="str">
        <f>IF(NOTA[[#This Row],[JUMLAH]]="","",NOTA[[#This Row],[JUMLAH]]*NOTA[[#This Row],[DISC 1]])</f>
        <v/>
      </c>
      <c r="Y444" s="51" t="str">
        <f>IF(NOTA[[#This Row],[JUMLAH]]="","",(NOTA[[#This Row],[JUMLAH]]-NOTA[[#This Row],[DISC 1-]])*NOTA[[#This Row],[DISC 2]])</f>
        <v/>
      </c>
      <c r="Z444" s="51" t="str">
        <f>IF(NOTA[[#This Row],[JUMLAH]]="","",NOTA[[#This Row],[DISC 1-]]+NOTA[[#This Row],[DISC 2-]])</f>
        <v/>
      </c>
      <c r="AA444" s="51" t="str">
        <f>IF(NOTA[[#This Row],[JUMLAH]]="","",NOTA[[#This Row],[JUMLAH]]-NOTA[[#This Row],[DISC]])</f>
        <v/>
      </c>
      <c r="AB444" s="51"/>
      <c r="AC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1" t="str">
        <f>IF(OR(NOTA[[#This Row],[QTY]]="",NOTA[[#This Row],[HARGA SATUAN]]="",),"",NOTA[[#This Row],[QTY]]*NOTA[[#This Row],[HARGA SATUAN]])</f>
        <v/>
      </c>
      <c r="AG444" s="40" t="str">
        <f ca="1">IF(NOTA[ID_H]="","",INDEX(NOTA[TANGGAL],MATCH(,INDIRECT(ADDRESS(ROW(NOTA[TANGGAL]),COLUMN(NOTA[TANGGAL]))&amp;":"&amp;ADDRESS(ROW(),COLUMN(NOTA[TANGGAL]))),-1)))</f>
        <v/>
      </c>
      <c r="AH444" s="42" t="str">
        <f ca="1">IF(NOTA[[#This Row],[NAMA BARANG]]="","",INDEX(NOTA[SUPPLIER],MATCH(,INDIRECT(ADDRESS(ROW(NOTA[ID]),COLUMN(NOTA[ID]))&amp;":"&amp;ADDRESS(ROW(),COLUMN(NOTA[ID]))),-1)))</f>
        <v/>
      </c>
      <c r="AI444" s="42" t="str">
        <f ca="1">IF(NOTA[[#This Row],[ID_H]]="","",IF(NOTA[[#This Row],[FAKTUR]]="",INDIRECT(ADDRESS(ROW()-1,COLUMN())),NOTA[[#This Row],[FAKTUR]]))</f>
        <v/>
      </c>
      <c r="AJ444" s="39" t="str">
        <f ca="1">IF(NOTA[[#This Row],[ID]]="","",COUNTIF(NOTA[ID_H],NOTA[[#This Row],[ID_H]]))</f>
        <v/>
      </c>
      <c r="AK444" s="39" t="str">
        <f ca="1">IF(NOTA[[#This Row],[TGL.NOTA]]="",IF(NOTA[[#This Row],[SUPPLIER_H]]="","",AK443),MONTH(NOTA[[#This Row],[TGL.NOTA]]))</f>
        <v/>
      </c>
      <c r="AL444" s="39" t="str">
        <f>LOWER(SUBSTITUTE(SUBSTITUTE(SUBSTITUTE(SUBSTITUTE(SUBSTITUTE(SUBSTITUTE(SUBSTITUTE(SUBSTITUTE(SUBSTITUTE(NOTA[NAMA BARANG]," ",),".",""),"-",""),"(",""),")",""),",",""),"/",""),"""",""),"+",""))</f>
        <v/>
      </c>
      <c r="AM4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9" t="str">
        <f>IF(NOTA[[#This Row],[CONCAT4]]="","",_xlfn.IFNA(MATCH(NOTA[[#This Row],[CONCAT4]],[2]!RAW[CONCAT_H],0),FALSE))</f>
        <v/>
      </c>
      <c r="AQ444" s="39" t="str">
        <f>IF(NOTA[[#This Row],[CONCAT1]]="","",MATCH(NOTA[[#This Row],[CONCAT1]],[3]!db[NB NOTA_C],0))</f>
        <v/>
      </c>
      <c r="AR444" s="39" t="str">
        <f>IF(NOTA[[#This Row],[QTY/ CTN]]="","",TRUE)</f>
        <v/>
      </c>
      <c r="AS444" s="39" t="str">
        <f ca="1">IF(NOTA[[#This Row],[ID_H]]="","",IF(NOTA[[#This Row],[Column3]]=TRUE,NOTA[[#This Row],[QTY/ CTN]],INDEX([3]!db[QTY/ CTN],NOTA[[#This Row],[//DB]])))</f>
        <v/>
      </c>
      <c r="AT4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9" t="str">
        <f ca="1">IF(NOTA[[#This Row],[ID_H]]="","",MATCH(NOTA[[#This Row],[NB NOTA_C_QTY]],[4]!db[NB NOTA_C_QTY+F],0))</f>
        <v/>
      </c>
      <c r="AV444" s="55" t="str">
        <f ca="1">IF(NOTA[[#This Row],[NB NOTA_C_QTY]]="","",ROW()-2)</f>
        <v/>
      </c>
    </row>
    <row r="445" spans="1:48" ht="20.100000000000001" customHeight="1" x14ac:dyDescent="0.25">
      <c r="A445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SDI_1707_259-2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91</v>
      </c>
      <c r="E445" s="47"/>
      <c r="F445" s="38" t="s">
        <v>72</v>
      </c>
      <c r="G445" s="38" t="s">
        <v>23</v>
      </c>
      <c r="H445" s="48" t="s">
        <v>531</v>
      </c>
      <c r="J445" s="40">
        <v>45120</v>
      </c>
      <c r="L445" s="38" t="s">
        <v>532</v>
      </c>
      <c r="M445" s="41">
        <v>1</v>
      </c>
      <c r="N445" s="39">
        <v>20</v>
      </c>
      <c r="O445" s="38" t="s">
        <v>152</v>
      </c>
      <c r="P445" s="42">
        <v>216283.78</v>
      </c>
      <c r="Q445" s="43"/>
      <c r="R445" s="49" t="s">
        <v>484</v>
      </c>
      <c r="S445" s="50"/>
      <c r="U445" s="51"/>
      <c r="V445" s="46"/>
      <c r="W445" s="51">
        <f>IF(NOTA[[#This Row],[HARGA/ CTN]]="",NOTA[[#This Row],[JUMLAH_H]],NOTA[[#This Row],[HARGA/ CTN]]*IF(NOTA[[#This Row],[C]]="",0,NOTA[[#This Row],[C]]))</f>
        <v>4325675.5999999996</v>
      </c>
      <c r="X445" s="51">
        <f>IF(NOTA[[#This Row],[JUMLAH]]="","",NOTA[[#This Row],[JUMLAH]]*NOTA[[#This Row],[DISC 1]])</f>
        <v>0</v>
      </c>
      <c r="Y445" s="51">
        <f>IF(NOTA[[#This Row],[JUMLAH]]="","",(NOTA[[#This Row],[JUMLAH]]-NOTA[[#This Row],[DISC 1-]])*NOTA[[#This Row],[DISC 2]])</f>
        <v>0</v>
      </c>
      <c r="Z445" s="51">
        <f>IF(NOTA[[#This Row],[JUMLAH]]="","",NOTA[[#This Row],[DISC 1-]]+NOTA[[#This Row],[DISC 2-]])</f>
        <v>0</v>
      </c>
      <c r="AA445" s="51">
        <f>IF(NOTA[[#This Row],[JUMLAH]]="","",NOTA[[#This Row],[JUMLAH]]-NOTA[[#This Row],[DISC]])</f>
        <v>4325675.5999999996</v>
      </c>
      <c r="AB445" s="51"/>
      <c r="AC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2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F445" s="51">
        <f>IF(OR(NOTA[[#This Row],[QTY]]="",NOTA[[#This Row],[HARGA SATUAN]]="",),"",NOTA[[#This Row],[QTY]]*NOTA[[#This Row],[HARGA SATUAN]])</f>
        <v>4325675.5999999996</v>
      </c>
      <c r="AG445" s="40">
        <f ca="1">IF(NOTA[ID_H]="","",INDEX(NOTA[TANGGAL],MATCH(,INDIRECT(ADDRESS(ROW(NOTA[TANGGAL]),COLUMN(NOTA[TANGGAL]))&amp;":"&amp;ADDRESS(ROW(),COLUMN(NOTA[TANGGAL]))),-1)))</f>
        <v>45124</v>
      </c>
      <c r="AH445" s="42" t="str">
        <f ca="1">IF(NOTA[[#This Row],[NAMA BARANG]]="","",INDEX(NOTA[SUPPLIER],MATCH(,INDIRECT(ADDRESS(ROW(NOTA[ID]),COLUMN(NOTA[ID]))&amp;":"&amp;ADDRESS(ROW(),COLUMN(NOTA[ID]))),-1)))</f>
        <v>SDI</v>
      </c>
      <c r="AI445" s="42" t="str">
        <f ca="1">IF(NOTA[[#This Row],[ID_H]]="","",IF(NOTA[[#This Row],[FAKTUR]]="",INDIRECT(ADDRESS(ROW()-1,COLUMN())),NOTA[[#This Row],[FAKTUR]]))</f>
        <v>ARTO MORO</v>
      </c>
      <c r="AJ445" s="39">
        <f ca="1">IF(NOTA[[#This Row],[ID]]="","",COUNTIF(NOTA[ID_H],NOTA[[#This Row],[ID_H]]))</f>
        <v>2</v>
      </c>
      <c r="AK445" s="39">
        <f>IF(NOTA[[#This Row],[TGL.NOTA]]="",IF(NOTA[[#This Row],[SUPPLIER_H]]="","",AK444),MONTH(NOTA[[#This Row],[TGL.NOTA]]))</f>
        <v>7</v>
      </c>
      <c r="AL445" s="39" t="str">
        <f>LOWER(SUBSTITUTE(SUBSTITUTE(SUBSTITUTE(SUBSTITUTE(SUBSTITUTE(SUBSTITUTE(SUBSTITUTE(SUBSTITUTE(SUBSTITUTE(NOTA[NAMA BARANG]," ",),".",""),"-",""),"(",""),")",""),",",""),"/",""),"""",""),"+",""))</f>
        <v>sdistapler1123</v>
      </c>
      <c r="AM4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N4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O445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MOROSINV99-23070000025945120sdistapler1123</v>
      </c>
      <c r="AP445" s="39" t="e">
        <f>IF(NOTA[[#This Row],[CONCAT4]]="","",_xlfn.IFNA(MATCH(NOTA[[#This Row],[CONCAT4]],[2]!RAW[CONCAT_H],0),FALSE))</f>
        <v>#REF!</v>
      </c>
      <c r="AQ445" s="39">
        <f>IF(NOTA[[#This Row],[CONCAT1]]="","",MATCH(NOTA[[#This Row],[CONCAT1]],[3]!db[NB NOTA_C],0))</f>
        <v>2479</v>
      </c>
      <c r="AR445" s="39" t="b">
        <f>IF(NOTA[[#This Row],[QTY/ CTN]]="","",TRUE)</f>
        <v>1</v>
      </c>
      <c r="AS445" s="39" t="str">
        <f ca="1">IF(NOTA[[#This Row],[ID_H]]="","",IF(NOTA[[#This Row],[Column3]]=TRUE,NOTA[[#This Row],[QTY/ CTN]],INDEX([3]!db[QTY/ CTN],NOTA[[#This Row],[//DB]])))</f>
        <v>20 LSN</v>
      </c>
      <c r="AT4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U445" s="39" t="e">
        <f ca="1">IF(NOTA[[#This Row],[ID_H]]="","",MATCH(NOTA[[#This Row],[NB NOTA_C_QTY]],[4]!db[NB NOTA_C_QTY+F],0))</f>
        <v>#REF!</v>
      </c>
      <c r="AV445" s="55">
        <f ca="1">IF(NOTA[[#This Row],[NB NOTA_C_QTY]]="","",ROW()-2)</f>
        <v>443</v>
      </c>
    </row>
    <row r="446" spans="1:48" ht="20.100000000000001" customHeight="1" x14ac:dyDescent="0.25">
      <c r="A4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91</v>
      </c>
      <c r="E446" s="47"/>
      <c r="H446" s="48"/>
      <c r="L446" s="38" t="s">
        <v>533</v>
      </c>
      <c r="N446" s="39">
        <v>12</v>
      </c>
      <c r="O446" s="38" t="s">
        <v>263</v>
      </c>
      <c r="P446" s="42">
        <v>3195.95</v>
      </c>
      <c r="Q446" s="43"/>
      <c r="R446" s="49"/>
      <c r="S446" s="50"/>
      <c r="U446" s="51">
        <v>38351.35</v>
      </c>
      <c r="V446" s="46" t="s">
        <v>534</v>
      </c>
      <c r="W446" s="51">
        <f>IF(NOTA[[#This Row],[HARGA/ CTN]]="",NOTA[[#This Row],[JUMLAH_H]],NOTA[[#This Row],[HARGA/ CTN]]*IF(NOTA[[#This Row],[C]]="",0,NOTA[[#This Row],[C]]))</f>
        <v>38351.399999999994</v>
      </c>
      <c r="X446" s="51">
        <f>IF(NOTA[[#This Row],[JUMLAH]]="","",NOTA[[#This Row],[JUMLAH]]*NOTA[[#This Row],[DISC 1]])</f>
        <v>0</v>
      </c>
      <c r="Y446" s="51">
        <f>IF(NOTA[[#This Row],[JUMLAH]]="","",(NOTA[[#This Row],[JUMLAH]]-NOTA[[#This Row],[DISC 1-]])*NOTA[[#This Row],[DISC 2]])</f>
        <v>0</v>
      </c>
      <c r="Z446" s="51">
        <f>IF(NOTA[[#This Row],[JUMLAH]]="","",NOTA[[#This Row],[DISC 1-]]+NOTA[[#This Row],[DISC 2-]])</f>
        <v>0</v>
      </c>
      <c r="AA446" s="51">
        <f>IF(NOTA[[#This Row],[JUMLAH]]="","",NOTA[[#This Row],[JUMLAH]]-NOTA[[#This Row],[DISC]])</f>
        <v>38351.399999999994</v>
      </c>
      <c r="AB446" s="51"/>
      <c r="AC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38351.35</v>
      </c>
      <c r="AD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4325675.6500000004</v>
      </c>
      <c r="AE446" s="42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F446" s="51">
        <f>IF(OR(NOTA[[#This Row],[QTY]]="",NOTA[[#This Row],[HARGA SATUAN]]="",),"",NOTA[[#This Row],[QTY]]*NOTA[[#This Row],[HARGA SATUAN]])</f>
        <v>38351.399999999994</v>
      </c>
      <c r="AG446" s="40">
        <f ca="1">IF(NOTA[ID_H]="","",INDEX(NOTA[TANGGAL],MATCH(,INDIRECT(ADDRESS(ROW(NOTA[TANGGAL]),COLUMN(NOTA[TANGGAL]))&amp;":"&amp;ADDRESS(ROW(),COLUMN(NOTA[TANGGAL]))),-1)))</f>
        <v>45124</v>
      </c>
      <c r="AH446" s="42" t="str">
        <f ca="1">IF(NOTA[[#This Row],[NAMA BARANG]]="","",INDEX(NOTA[SUPPLIER],MATCH(,INDIRECT(ADDRESS(ROW(NOTA[ID]),COLUMN(NOTA[ID]))&amp;":"&amp;ADDRESS(ROW(),COLUMN(NOTA[ID]))),-1)))</f>
        <v>SDI</v>
      </c>
      <c r="AI446" s="42" t="str">
        <f ca="1">IF(NOTA[[#This Row],[ID_H]]="","",IF(NOTA[[#This Row],[FAKTUR]]="",INDIRECT(ADDRESS(ROW()-1,COLUMN())),NOTA[[#This Row],[FAKTUR]]))</f>
        <v>ARTO MORO</v>
      </c>
      <c r="AJ446" s="39" t="str">
        <f ca="1">IF(NOTA[[#This Row],[ID]]="","",COUNTIF(NOTA[ID_H],NOTA[[#This Row],[ID_H]]))</f>
        <v/>
      </c>
      <c r="AK446" s="39">
        <f ca="1">IF(NOTA[[#This Row],[TGL.NOTA]]="",IF(NOTA[[#This Row],[SUPPLIER_H]]="","",AK445),MONTH(NOTA[[#This Row],[TGL.NOTA]]))</f>
        <v>7</v>
      </c>
      <c r="AL446" s="39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M4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N4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O4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9" t="str">
        <f>IF(NOTA[[#This Row],[CONCAT4]]="","",_xlfn.IFNA(MATCH(NOTA[[#This Row],[CONCAT4]],[2]!RAW[CONCAT_H],0),FALSE))</f>
        <v/>
      </c>
      <c r="AQ446" s="39">
        <f>IF(NOTA[[#This Row],[CONCAT1]]="","",MATCH(NOTA[[#This Row],[CONCAT1]],[3]!db[NB NOTA_C],0))</f>
        <v>2398</v>
      </c>
      <c r="AR446" s="39" t="str">
        <f>IF(NOTA[[#This Row],[QTY/ CTN]]="","",TRUE)</f>
        <v/>
      </c>
      <c r="AS446" s="39" t="str">
        <f ca="1">IF(NOTA[[#This Row],[ID_H]]="","",IF(NOTA[[#This Row],[Column3]]=TRUE,NOTA[[#This Row],[QTY/ CTN]],INDEX([3]!db[QTY/ CTN],NOTA[[#This Row],[//DB]])))</f>
        <v>12 SET</v>
      </c>
      <c r="AT4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U446" s="39" t="e">
        <f ca="1">IF(NOTA[[#This Row],[ID_H]]="","",MATCH(NOTA[[#This Row],[NB NOTA_C_QTY]],[4]!db[NB NOTA_C_QTY+F],0))</f>
        <v>#REF!</v>
      </c>
      <c r="AV446" s="55">
        <f ca="1">IF(NOTA[[#This Row],[NB NOTA_C_QTY]]="","",ROW()-2)</f>
        <v>444</v>
      </c>
    </row>
    <row r="447" spans="1:48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47"/>
      <c r="H447" s="48"/>
      <c r="N447" s="39"/>
      <c r="Q447" s="43"/>
      <c r="R447" s="49"/>
      <c r="S447" s="50"/>
      <c r="U447" s="51"/>
      <c r="V447" s="46"/>
      <c r="W447" s="51" t="str">
        <f>IF(NOTA[[#This Row],[HARGA/ CTN]]="",NOTA[[#This Row],[JUMLAH_H]],NOTA[[#This Row],[HARGA/ CTN]]*IF(NOTA[[#This Row],[C]]="",0,NOTA[[#This Row],[C]]))</f>
        <v/>
      </c>
      <c r="X447" s="51" t="str">
        <f>IF(NOTA[[#This Row],[JUMLAH]]="","",NOTA[[#This Row],[JUMLAH]]*NOTA[[#This Row],[DISC 1]])</f>
        <v/>
      </c>
      <c r="Y447" s="51" t="str">
        <f>IF(NOTA[[#This Row],[JUMLAH]]="","",(NOTA[[#This Row],[JUMLAH]]-NOTA[[#This Row],[DISC 1-]])*NOTA[[#This Row],[DISC 2]])</f>
        <v/>
      </c>
      <c r="Z447" s="51" t="str">
        <f>IF(NOTA[[#This Row],[JUMLAH]]="","",NOTA[[#This Row],[DISC 1-]]+NOTA[[#This Row],[DISC 2-]])</f>
        <v/>
      </c>
      <c r="AA447" s="51" t="str">
        <f>IF(NOTA[[#This Row],[JUMLAH]]="","",NOTA[[#This Row],[JUMLAH]]-NOTA[[#This Row],[DISC]])</f>
        <v/>
      </c>
      <c r="AB447" s="51"/>
      <c r="AC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1" t="str">
        <f>IF(OR(NOTA[[#This Row],[QTY]]="",NOTA[[#This Row],[HARGA SATUAN]]="",),"",NOTA[[#This Row],[QTY]]*NOTA[[#This Row],[HARGA SATUAN]])</f>
        <v/>
      </c>
      <c r="AG447" s="40" t="str">
        <f ca="1">IF(NOTA[ID_H]="","",INDEX(NOTA[TANGGAL],MATCH(,INDIRECT(ADDRESS(ROW(NOTA[TANGGAL]),COLUMN(NOTA[TANGGAL]))&amp;":"&amp;ADDRESS(ROW(),COLUMN(NOTA[TANGGAL]))),-1)))</f>
        <v/>
      </c>
      <c r="AH447" s="42" t="str">
        <f ca="1">IF(NOTA[[#This Row],[NAMA BARANG]]="","",INDEX(NOTA[SUPPLIER],MATCH(,INDIRECT(ADDRESS(ROW(NOTA[ID]),COLUMN(NOTA[ID]))&amp;":"&amp;ADDRESS(ROW(),COLUMN(NOTA[ID]))),-1)))</f>
        <v/>
      </c>
      <c r="AI447" s="42" t="str">
        <f ca="1">IF(NOTA[[#This Row],[ID_H]]="","",IF(NOTA[[#This Row],[FAKTUR]]="",INDIRECT(ADDRESS(ROW()-1,COLUMN())),NOTA[[#This Row],[FAKTUR]]))</f>
        <v/>
      </c>
      <c r="AJ447" s="39" t="str">
        <f ca="1">IF(NOTA[[#This Row],[ID]]="","",COUNTIF(NOTA[ID_H],NOTA[[#This Row],[ID_H]]))</f>
        <v/>
      </c>
      <c r="AK447" s="39" t="str">
        <f ca="1">IF(NOTA[[#This Row],[TGL.NOTA]]="",IF(NOTA[[#This Row],[SUPPLIER_H]]="","",AK446),MONTH(NOTA[[#This Row],[TGL.NOTA]]))</f>
        <v/>
      </c>
      <c r="AL447" s="39" t="str">
        <f>LOWER(SUBSTITUTE(SUBSTITUTE(SUBSTITUTE(SUBSTITUTE(SUBSTITUTE(SUBSTITUTE(SUBSTITUTE(SUBSTITUTE(SUBSTITUTE(NOTA[NAMA BARANG]," ",),".",""),"-",""),"(",""),")",""),",",""),"/",""),"""",""),"+",""))</f>
        <v/>
      </c>
      <c r="AM4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9" t="str">
        <f>IF(NOTA[[#This Row],[CONCAT4]]="","",_xlfn.IFNA(MATCH(NOTA[[#This Row],[CONCAT4]],[2]!RAW[CONCAT_H],0),FALSE))</f>
        <v/>
      </c>
      <c r="AQ447" s="39" t="str">
        <f>IF(NOTA[[#This Row],[CONCAT1]]="","",MATCH(NOTA[[#This Row],[CONCAT1]],[3]!db[NB NOTA_C],0))</f>
        <v/>
      </c>
      <c r="AR447" s="39" t="str">
        <f>IF(NOTA[[#This Row],[QTY/ CTN]]="","",TRUE)</f>
        <v/>
      </c>
      <c r="AS447" s="39" t="str">
        <f ca="1">IF(NOTA[[#This Row],[ID_H]]="","",IF(NOTA[[#This Row],[Column3]]=TRUE,NOTA[[#This Row],[QTY/ CTN]],INDEX([3]!db[QTY/ CTN],NOTA[[#This Row],[//DB]])))</f>
        <v/>
      </c>
      <c r="AT4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9" t="str">
        <f ca="1">IF(NOTA[[#This Row],[ID_H]]="","",MATCH(NOTA[[#This Row],[NB NOTA_C_QTY]],[4]!db[NB NOTA_C_QTY+F],0))</f>
        <v/>
      </c>
      <c r="AV447" s="55" t="str">
        <f ca="1">IF(NOTA[[#This Row],[NB NOTA_C_QTY]]="","",ROW()-2)</f>
        <v/>
      </c>
    </row>
    <row r="448" spans="1:48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SDI_1707_258-1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92</v>
      </c>
      <c r="E448" s="47"/>
      <c r="F448" s="38" t="s">
        <v>72</v>
      </c>
      <c r="G448" s="38" t="s">
        <v>23</v>
      </c>
      <c r="H448" s="48" t="s">
        <v>535</v>
      </c>
      <c r="J448" s="40">
        <v>45120</v>
      </c>
      <c r="L448" s="38" t="s">
        <v>235</v>
      </c>
      <c r="M448" s="41">
        <v>1</v>
      </c>
      <c r="N448" s="39">
        <v>30</v>
      </c>
      <c r="O448" s="38" t="s">
        <v>152</v>
      </c>
      <c r="P448" s="42">
        <v>124342.32</v>
      </c>
      <c r="Q448" s="43"/>
      <c r="R448" s="49" t="s">
        <v>236</v>
      </c>
      <c r="S448" s="50">
        <v>0.17499999999999999</v>
      </c>
      <c r="U448" s="51">
        <v>91310.81</v>
      </c>
      <c r="V448" s="46"/>
      <c r="W448" s="51">
        <f>IF(NOTA[[#This Row],[HARGA/ CTN]]="",NOTA[[#This Row],[JUMLAH_H]],NOTA[[#This Row],[HARGA/ CTN]]*IF(NOTA[[#This Row],[C]]="",0,NOTA[[#This Row],[C]]))</f>
        <v>3730269.6</v>
      </c>
      <c r="X448" s="51">
        <f>IF(NOTA[[#This Row],[JUMLAH]]="","",NOTA[[#This Row],[JUMLAH]]*NOTA[[#This Row],[DISC 1]])</f>
        <v>652797.17999999993</v>
      </c>
      <c r="Y448" s="51">
        <f>IF(NOTA[[#This Row],[JUMLAH]]="","",(NOTA[[#This Row],[JUMLAH]]-NOTA[[#This Row],[DISC 1-]])*NOTA[[#This Row],[DISC 2]])</f>
        <v>0</v>
      </c>
      <c r="Z448" s="51">
        <f>IF(NOTA[[#This Row],[JUMLAH]]="","",NOTA[[#This Row],[DISC 1-]]+NOTA[[#This Row],[DISC 2-]])</f>
        <v>652797.17999999993</v>
      </c>
      <c r="AA448" s="51">
        <f>IF(NOTA[[#This Row],[JUMLAH]]="","",NOTA[[#This Row],[JUMLAH]]-NOTA[[#This Row],[DISC]])</f>
        <v>3077472.42</v>
      </c>
      <c r="AB448" s="51"/>
      <c r="AC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744107.99</v>
      </c>
      <c r="AD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2986161.61</v>
      </c>
      <c r="AE448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448" s="51">
        <f>IF(OR(NOTA[[#This Row],[QTY]]="",NOTA[[#This Row],[HARGA SATUAN]]="",),"",NOTA[[#This Row],[QTY]]*NOTA[[#This Row],[HARGA SATUAN]])</f>
        <v>3730269.6</v>
      </c>
      <c r="AG448" s="40">
        <f ca="1">IF(NOTA[ID_H]="","",INDEX(NOTA[TANGGAL],MATCH(,INDIRECT(ADDRESS(ROW(NOTA[TANGGAL]),COLUMN(NOTA[TANGGAL]))&amp;":"&amp;ADDRESS(ROW(),COLUMN(NOTA[TANGGAL]))),-1)))</f>
        <v>45124</v>
      </c>
      <c r="AH448" s="42" t="str">
        <f ca="1">IF(NOTA[[#This Row],[NAMA BARANG]]="","",INDEX(NOTA[SUPPLIER],MATCH(,INDIRECT(ADDRESS(ROW(NOTA[ID]),COLUMN(NOTA[ID]))&amp;":"&amp;ADDRESS(ROW(),COLUMN(NOTA[ID]))),-1)))</f>
        <v>SDI</v>
      </c>
      <c r="AI448" s="42" t="str">
        <f ca="1">IF(NOTA[[#This Row],[ID_H]]="","",IF(NOTA[[#This Row],[FAKTUR]]="",INDIRECT(ADDRESS(ROW()-1,COLUMN())),NOTA[[#This Row],[FAKTUR]]))</f>
        <v>ARTO MORO</v>
      </c>
      <c r="AJ448" s="39">
        <f ca="1">IF(NOTA[[#This Row],[ID]]="","",COUNTIF(NOTA[ID_H],NOTA[[#This Row],[ID_H]]))</f>
        <v>1</v>
      </c>
      <c r="AK448" s="39">
        <f>IF(NOTA[[#This Row],[TGL.NOTA]]="",IF(NOTA[[#This Row],[SUPPLIER_H]]="","",AK447),MONTH(NOTA[[#This Row],[TGL.NOTA]]))</f>
        <v>7</v>
      </c>
      <c r="AL448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4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</v>
      </c>
      <c r="AN4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</v>
      </c>
      <c r="AO448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MOROSINV99-23070000025845120sdistapler1102</v>
      </c>
      <c r="AP448" s="39" t="e">
        <f>IF(NOTA[[#This Row],[CONCAT4]]="","",_xlfn.IFNA(MATCH(NOTA[[#This Row],[CONCAT4]],[2]!RAW[CONCAT_H],0),FALSE))</f>
        <v>#REF!</v>
      </c>
      <c r="AQ448" s="39">
        <f>IF(NOTA[[#This Row],[CONCAT1]]="","",MATCH(NOTA[[#This Row],[CONCAT1]],[3]!db[NB NOTA_C],0))</f>
        <v>2477</v>
      </c>
      <c r="AR448" s="39" t="b">
        <f>IF(NOTA[[#This Row],[QTY/ CTN]]="","",TRUE)</f>
        <v>1</v>
      </c>
      <c r="AS448" s="39" t="str">
        <f ca="1">IF(NOTA[[#This Row],[ID_H]]="","",IF(NOTA[[#This Row],[Column3]]=TRUE,NOTA[[#This Row],[QTY/ CTN]],INDEX([3]!db[QTY/ CTN],NOTA[[#This Row],[//DB]])))</f>
        <v>30 LSN</v>
      </c>
      <c r="AT4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448" s="39" t="e">
        <f ca="1">IF(NOTA[[#This Row],[ID_H]]="","",MATCH(NOTA[[#This Row],[NB NOTA_C_QTY]],[4]!db[NB NOTA_C_QTY+F],0))</f>
        <v>#REF!</v>
      </c>
      <c r="AV448" s="55">
        <f ca="1">IF(NOTA[[#This Row],[NB NOTA_C_QTY]]="","",ROW()-2)</f>
        <v>446</v>
      </c>
    </row>
    <row r="449" spans="1:48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47"/>
      <c r="H449" s="48"/>
      <c r="N449" s="39"/>
      <c r="Q449" s="43"/>
      <c r="R449" s="49"/>
      <c r="S449" s="50"/>
      <c r="U449" s="51"/>
      <c r="V449" s="46"/>
      <c r="W449" s="51" t="str">
        <f>IF(NOTA[[#This Row],[HARGA/ CTN]]="",NOTA[[#This Row],[JUMLAH_H]],NOTA[[#This Row],[HARGA/ CTN]]*IF(NOTA[[#This Row],[C]]="",0,NOTA[[#This Row],[C]]))</f>
        <v/>
      </c>
      <c r="X449" s="51" t="str">
        <f>IF(NOTA[[#This Row],[JUMLAH]]="","",NOTA[[#This Row],[JUMLAH]]*NOTA[[#This Row],[DISC 1]])</f>
        <v/>
      </c>
      <c r="Y449" s="51" t="str">
        <f>IF(NOTA[[#This Row],[JUMLAH]]="","",(NOTA[[#This Row],[JUMLAH]]-NOTA[[#This Row],[DISC 1-]])*NOTA[[#This Row],[DISC 2]])</f>
        <v/>
      </c>
      <c r="Z449" s="51" t="str">
        <f>IF(NOTA[[#This Row],[JUMLAH]]="","",NOTA[[#This Row],[DISC 1-]]+NOTA[[#This Row],[DISC 2-]])</f>
        <v/>
      </c>
      <c r="AA449" s="51" t="str">
        <f>IF(NOTA[[#This Row],[JUMLAH]]="","",NOTA[[#This Row],[JUMLAH]]-NOTA[[#This Row],[DISC]])</f>
        <v/>
      </c>
      <c r="AB449" s="51"/>
      <c r="AC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1" t="str">
        <f>IF(OR(NOTA[[#This Row],[QTY]]="",NOTA[[#This Row],[HARGA SATUAN]]="",),"",NOTA[[#This Row],[QTY]]*NOTA[[#This Row],[HARGA SATUAN]])</f>
        <v/>
      </c>
      <c r="AG449" s="40" t="str">
        <f ca="1">IF(NOTA[ID_H]="","",INDEX(NOTA[TANGGAL],MATCH(,INDIRECT(ADDRESS(ROW(NOTA[TANGGAL]),COLUMN(NOTA[TANGGAL]))&amp;":"&amp;ADDRESS(ROW(),COLUMN(NOTA[TANGGAL]))),-1)))</f>
        <v/>
      </c>
      <c r="AH449" s="42" t="str">
        <f ca="1">IF(NOTA[[#This Row],[NAMA BARANG]]="","",INDEX(NOTA[SUPPLIER],MATCH(,INDIRECT(ADDRESS(ROW(NOTA[ID]),COLUMN(NOTA[ID]))&amp;":"&amp;ADDRESS(ROW(),COLUMN(NOTA[ID]))),-1)))</f>
        <v/>
      </c>
      <c r="AI449" s="42" t="str">
        <f ca="1">IF(NOTA[[#This Row],[ID_H]]="","",IF(NOTA[[#This Row],[FAKTUR]]="",INDIRECT(ADDRESS(ROW()-1,COLUMN())),NOTA[[#This Row],[FAKTUR]]))</f>
        <v/>
      </c>
      <c r="AJ449" s="39" t="str">
        <f ca="1">IF(NOTA[[#This Row],[ID]]="","",COUNTIF(NOTA[ID_H],NOTA[[#This Row],[ID_H]]))</f>
        <v/>
      </c>
      <c r="AK449" s="39" t="str">
        <f ca="1">IF(NOTA[[#This Row],[TGL.NOTA]]="",IF(NOTA[[#This Row],[SUPPLIER_H]]="","",AK448),MONTH(NOTA[[#This Row],[TGL.NOTA]]))</f>
        <v/>
      </c>
      <c r="AL449" s="39" t="str">
        <f>LOWER(SUBSTITUTE(SUBSTITUTE(SUBSTITUTE(SUBSTITUTE(SUBSTITUTE(SUBSTITUTE(SUBSTITUTE(SUBSTITUTE(SUBSTITUTE(NOTA[NAMA BARANG]," ",),".",""),"-",""),"(",""),")",""),",",""),"/",""),"""",""),"+",""))</f>
        <v/>
      </c>
      <c r="AM4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9" t="str">
        <f>IF(NOTA[[#This Row],[CONCAT4]]="","",_xlfn.IFNA(MATCH(NOTA[[#This Row],[CONCAT4]],[2]!RAW[CONCAT_H],0),FALSE))</f>
        <v/>
      </c>
      <c r="AQ449" s="39" t="str">
        <f>IF(NOTA[[#This Row],[CONCAT1]]="","",MATCH(NOTA[[#This Row],[CONCAT1]],[3]!db[NB NOTA_C],0))</f>
        <v/>
      </c>
      <c r="AR449" s="39" t="str">
        <f>IF(NOTA[[#This Row],[QTY/ CTN]]="","",TRUE)</f>
        <v/>
      </c>
      <c r="AS449" s="39" t="str">
        <f ca="1">IF(NOTA[[#This Row],[ID_H]]="","",IF(NOTA[[#This Row],[Column3]]=TRUE,NOTA[[#This Row],[QTY/ CTN]],INDEX([3]!db[QTY/ CTN],NOTA[[#This Row],[//DB]])))</f>
        <v/>
      </c>
      <c r="AT4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9" t="str">
        <f ca="1">IF(NOTA[[#This Row],[ID_H]]="","",MATCH(NOTA[[#This Row],[NB NOTA_C_QTY]],[4]!db[NB NOTA_C_QTY+F],0))</f>
        <v/>
      </c>
      <c r="AV449" s="55" t="str">
        <f ca="1">IF(NOTA[[#This Row],[NB NOTA_C_QTY]]="","",ROW()-2)</f>
        <v/>
      </c>
    </row>
    <row r="450" spans="1:48" ht="20.100000000000001" customHeight="1" x14ac:dyDescent="0.25">
      <c r="A450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DBS_1707_323-1</v>
      </c>
      <c r="C450" s="39" t="e">
        <f ca="1">IF(NOTA[[#This Row],[ID_P]]="","",MATCH(NOTA[[#This Row],[ID_P]],[1]!B_MSK[N_ID],0))</f>
        <v>#REF!</v>
      </c>
      <c r="D450" s="39">
        <f ca="1">IF(NOTA[[#This Row],[NAMA BARANG]]="","",INDEX(NOTA[ID],MATCH(,INDIRECT(ADDRESS(ROW(NOTA[ID]),COLUMN(NOTA[ID]))&amp;":"&amp;ADDRESS(ROW(),COLUMN(NOTA[ID]))),-1)))</f>
        <v>93</v>
      </c>
      <c r="E450" s="47"/>
      <c r="F450" s="38" t="s">
        <v>218</v>
      </c>
      <c r="G450" s="38" t="s">
        <v>145</v>
      </c>
      <c r="H450" s="48" t="s">
        <v>536</v>
      </c>
      <c r="J450" s="40">
        <v>45121</v>
      </c>
      <c r="L450" s="38" t="s">
        <v>537</v>
      </c>
      <c r="M450" s="41">
        <v>5</v>
      </c>
      <c r="N450" s="39">
        <v>720</v>
      </c>
      <c r="O450" s="38" t="s">
        <v>152</v>
      </c>
      <c r="P450" s="42">
        <v>22500</v>
      </c>
      <c r="Q450" s="43"/>
      <c r="R450" s="49" t="s">
        <v>538</v>
      </c>
      <c r="S450" s="50"/>
      <c r="U450" s="51"/>
      <c r="V450" s="46"/>
      <c r="W450" s="51">
        <f>IF(NOTA[[#This Row],[HARGA/ CTN]]="",NOTA[[#This Row],[JUMLAH_H]],NOTA[[#This Row],[HARGA/ CTN]]*IF(NOTA[[#This Row],[C]]="",0,NOTA[[#This Row],[C]]))</f>
        <v>16200000</v>
      </c>
      <c r="X450" s="51">
        <f>IF(NOTA[[#This Row],[JUMLAH]]="","",NOTA[[#This Row],[JUMLAH]]*NOTA[[#This Row],[DISC 1]])</f>
        <v>0</v>
      </c>
      <c r="Y450" s="51">
        <f>IF(NOTA[[#This Row],[JUMLAH]]="","",(NOTA[[#This Row],[JUMLAH]]-NOTA[[#This Row],[DISC 1-]])*NOTA[[#This Row],[DISC 2]])</f>
        <v>0</v>
      </c>
      <c r="Z450" s="51">
        <f>IF(NOTA[[#This Row],[JUMLAH]]="","",NOTA[[#This Row],[DISC 1-]]+NOTA[[#This Row],[DISC 2-]])</f>
        <v>0</v>
      </c>
      <c r="AA450" s="51">
        <f>IF(NOTA[[#This Row],[JUMLAH]]="","",NOTA[[#This Row],[JUMLAH]]-NOTA[[#This Row],[DISC]])</f>
        <v>16200000</v>
      </c>
      <c r="AB450" s="51"/>
      <c r="AC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E450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50" s="51">
        <f>IF(OR(NOTA[[#This Row],[QTY]]="",NOTA[[#This Row],[HARGA SATUAN]]="",),"",NOTA[[#This Row],[QTY]]*NOTA[[#This Row],[HARGA SATUAN]])</f>
        <v>16200000</v>
      </c>
      <c r="AG450" s="40">
        <f ca="1">IF(NOTA[ID_H]="","",INDEX(NOTA[TANGGAL],MATCH(,INDIRECT(ADDRESS(ROW(NOTA[TANGGAL]),COLUMN(NOTA[TANGGAL]))&amp;":"&amp;ADDRESS(ROW(),COLUMN(NOTA[TANGGAL]))),-1)))</f>
        <v>45124</v>
      </c>
      <c r="AH450" s="42" t="str">
        <f ca="1">IF(NOTA[[#This Row],[NAMA BARANG]]="","",INDEX(NOTA[SUPPLIER],MATCH(,INDIRECT(ADDRESS(ROW(NOTA[ID]),COLUMN(NOTA[ID]))&amp;":"&amp;ADDRESS(ROW(),COLUMN(NOTA[ID]))),-1)))</f>
        <v>DB STATIONERY</v>
      </c>
      <c r="AI450" s="42" t="str">
        <f ca="1">IF(NOTA[[#This Row],[ID_H]]="","",IF(NOTA[[#This Row],[FAKTUR]]="",INDIRECT(ADDRESS(ROW()-1,COLUMN())),NOTA[[#This Row],[FAKTUR]]))</f>
        <v>UNTANA</v>
      </c>
      <c r="AJ450" s="39">
        <f ca="1">IF(NOTA[[#This Row],[ID]]="","",COUNTIF(NOTA[ID_H],NOTA[[#This Row],[ID_H]]))</f>
        <v>1</v>
      </c>
      <c r="AK450" s="39">
        <f>IF(NOTA[[#This Row],[TGL.NOTA]]="",IF(NOTA[[#This Row],[SUPPLIER_H]]="","",AK449),MONTH(NOTA[[#This Row],[TGL.NOTA]]))</f>
        <v>7</v>
      </c>
      <c r="AL450" s="39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4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4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45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STATIONERYUNTANAJUG353/2345121gelinktianjiaotz501</v>
      </c>
      <c r="AP450" s="39" t="e">
        <f>IF(NOTA[[#This Row],[CONCAT4]]="","",_xlfn.IFNA(MATCH(NOTA[[#This Row],[CONCAT4]],[2]!RAW[CONCAT_H],0),FALSE))</f>
        <v>#REF!</v>
      </c>
      <c r="AQ450" s="39">
        <f>IF(NOTA[[#This Row],[CONCAT1]]="","",MATCH(NOTA[[#This Row],[CONCAT1]],[3]!db[NB NOTA_C],0))</f>
        <v>707</v>
      </c>
      <c r="AR450" s="39" t="b">
        <f>IF(NOTA[[#This Row],[QTY/ CTN]]="","",TRUE)</f>
        <v>1</v>
      </c>
      <c r="AS450" s="39" t="str">
        <f ca="1">IF(NOTA[[#This Row],[ID_H]]="","",IF(NOTA[[#This Row],[Column3]]=TRUE,NOTA[[#This Row],[QTY/ CTN]],INDEX([3]!db[QTY/ CTN],NOTA[[#This Row],[//DB]])))</f>
        <v>144 LSN</v>
      </c>
      <c r="AT4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U450" s="39" t="e">
        <f ca="1">IF(NOTA[[#This Row],[ID_H]]="","",MATCH(NOTA[[#This Row],[NB NOTA_C_QTY]],[4]!db[NB NOTA_C_QTY+F],0))</f>
        <v>#REF!</v>
      </c>
      <c r="AV450" s="55">
        <f ca="1">IF(NOTA[[#This Row],[NB NOTA_C_QTY]]="","",ROW()-2)</f>
        <v>448</v>
      </c>
    </row>
    <row r="451" spans="1:48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9" t="str">
        <f>IF(NOTA[[#This Row],[ID_P]]="","",MATCH(NOTA[[#This Row],[ID_P]],[1]!B_MSK[N_ID],0))</f>
        <v/>
      </c>
      <c r="D451" s="39" t="str">
        <f ca="1">IF(NOTA[[#This Row],[NAMA BARANG]]="","",INDEX(NOTA[ID],MATCH(,INDIRECT(ADDRESS(ROW(NOTA[ID]),COLUMN(NOTA[ID]))&amp;":"&amp;ADDRESS(ROW(),COLUMN(NOTA[ID]))),-1)))</f>
        <v/>
      </c>
      <c r="E451" s="47"/>
      <c r="H451" s="48"/>
      <c r="N451" s="39"/>
      <c r="Q451" s="43"/>
      <c r="R451" s="49"/>
      <c r="S451" s="50"/>
      <c r="U451" s="51"/>
      <c r="V451" s="46"/>
      <c r="W451" s="51" t="str">
        <f>IF(NOTA[[#This Row],[HARGA/ CTN]]="",NOTA[[#This Row],[JUMLAH_H]],NOTA[[#This Row],[HARGA/ CTN]]*IF(NOTA[[#This Row],[C]]="",0,NOTA[[#This Row],[C]]))</f>
        <v/>
      </c>
      <c r="X451" s="51" t="str">
        <f>IF(NOTA[[#This Row],[JUMLAH]]="","",NOTA[[#This Row],[JUMLAH]]*NOTA[[#This Row],[DISC 1]])</f>
        <v/>
      </c>
      <c r="Y451" s="51" t="str">
        <f>IF(NOTA[[#This Row],[JUMLAH]]="","",(NOTA[[#This Row],[JUMLAH]]-NOTA[[#This Row],[DISC 1-]])*NOTA[[#This Row],[DISC 2]])</f>
        <v/>
      </c>
      <c r="Z451" s="51" t="str">
        <f>IF(NOTA[[#This Row],[JUMLAH]]="","",NOTA[[#This Row],[DISC 1-]]+NOTA[[#This Row],[DISC 2-]])</f>
        <v/>
      </c>
      <c r="AA451" s="51" t="str">
        <f>IF(NOTA[[#This Row],[JUMLAH]]="","",NOTA[[#This Row],[JUMLAH]]-NOTA[[#This Row],[DISC]])</f>
        <v/>
      </c>
      <c r="AB451" s="51"/>
      <c r="AC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1" t="str">
        <f>IF(OR(NOTA[[#This Row],[QTY]]="",NOTA[[#This Row],[HARGA SATUAN]]="",),"",NOTA[[#This Row],[QTY]]*NOTA[[#This Row],[HARGA SATUAN]])</f>
        <v/>
      </c>
      <c r="AG451" s="40" t="str">
        <f ca="1">IF(NOTA[ID_H]="","",INDEX(NOTA[TANGGAL],MATCH(,INDIRECT(ADDRESS(ROW(NOTA[TANGGAL]),COLUMN(NOTA[TANGGAL]))&amp;":"&amp;ADDRESS(ROW(),COLUMN(NOTA[TANGGAL]))),-1)))</f>
        <v/>
      </c>
      <c r="AH451" s="42" t="str">
        <f ca="1">IF(NOTA[[#This Row],[NAMA BARANG]]="","",INDEX(NOTA[SUPPLIER],MATCH(,INDIRECT(ADDRESS(ROW(NOTA[ID]),COLUMN(NOTA[ID]))&amp;":"&amp;ADDRESS(ROW(),COLUMN(NOTA[ID]))),-1)))</f>
        <v/>
      </c>
      <c r="AI451" s="42" t="str">
        <f ca="1">IF(NOTA[[#This Row],[ID_H]]="","",IF(NOTA[[#This Row],[FAKTUR]]="",INDIRECT(ADDRESS(ROW()-1,COLUMN())),NOTA[[#This Row],[FAKTUR]]))</f>
        <v/>
      </c>
      <c r="AJ451" s="39" t="str">
        <f ca="1">IF(NOTA[[#This Row],[ID]]="","",COUNTIF(NOTA[ID_H],NOTA[[#This Row],[ID_H]]))</f>
        <v/>
      </c>
      <c r="AK451" s="39" t="str">
        <f ca="1">IF(NOTA[[#This Row],[TGL.NOTA]]="",IF(NOTA[[#This Row],[SUPPLIER_H]]="","",AK450),MONTH(NOTA[[#This Row],[TGL.NOTA]]))</f>
        <v/>
      </c>
      <c r="AL451" s="39" t="str">
        <f>LOWER(SUBSTITUTE(SUBSTITUTE(SUBSTITUTE(SUBSTITUTE(SUBSTITUTE(SUBSTITUTE(SUBSTITUTE(SUBSTITUTE(SUBSTITUTE(NOTA[NAMA BARANG]," ",),".",""),"-",""),"(",""),")",""),",",""),"/",""),"""",""),"+",""))</f>
        <v/>
      </c>
      <c r="AM4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9" t="str">
        <f>IF(NOTA[[#This Row],[CONCAT4]]="","",_xlfn.IFNA(MATCH(NOTA[[#This Row],[CONCAT4]],[2]!RAW[CONCAT_H],0),FALSE))</f>
        <v/>
      </c>
      <c r="AQ451" s="39" t="str">
        <f>IF(NOTA[[#This Row],[CONCAT1]]="","",MATCH(NOTA[[#This Row],[CONCAT1]],[3]!db[NB NOTA_C],0))</f>
        <v/>
      </c>
      <c r="AR451" s="39" t="str">
        <f>IF(NOTA[[#This Row],[QTY/ CTN]]="","",TRUE)</f>
        <v/>
      </c>
      <c r="AS451" s="39" t="str">
        <f ca="1">IF(NOTA[[#This Row],[ID_H]]="","",IF(NOTA[[#This Row],[Column3]]=TRUE,NOTA[[#This Row],[QTY/ CTN]],INDEX([3]!db[QTY/ CTN],NOTA[[#This Row],[//DB]])))</f>
        <v/>
      </c>
      <c r="AT4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9" t="str">
        <f ca="1">IF(NOTA[[#This Row],[ID_H]]="","",MATCH(NOTA[[#This Row],[NB NOTA_C_QTY]],[4]!db[NB NOTA_C_QTY+F],0))</f>
        <v/>
      </c>
      <c r="AV451" s="55" t="str">
        <f ca="1">IF(NOTA[[#This Row],[NB NOTA_C_QTY]]="","",ROW()-2)</f>
        <v/>
      </c>
    </row>
    <row r="452" spans="1:48" ht="20.100000000000001" customHeight="1" x14ac:dyDescent="0.25">
      <c r="A452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BIN_1707_090-9</v>
      </c>
      <c r="C452" s="39" t="e">
        <f ca="1">IF(NOTA[[#This Row],[ID_P]]="","",MATCH(NOTA[[#This Row],[ID_P]],[1]!B_MSK[N_ID],0))</f>
        <v>#REF!</v>
      </c>
      <c r="D452" s="39">
        <f ca="1">IF(NOTA[[#This Row],[NAMA BARANG]]="","",INDEX(NOTA[ID],MATCH(,INDIRECT(ADDRESS(ROW(NOTA[ID]),COLUMN(NOTA[ID]))&amp;":"&amp;ADDRESS(ROW(),COLUMN(NOTA[ID]))),-1)))</f>
        <v>94</v>
      </c>
      <c r="E452" s="47"/>
      <c r="F452" s="38" t="s">
        <v>539</v>
      </c>
      <c r="G452" s="38" t="s">
        <v>145</v>
      </c>
      <c r="H452" s="48" t="s">
        <v>540</v>
      </c>
      <c r="J452" s="40">
        <v>45117</v>
      </c>
      <c r="L452" s="38" t="s">
        <v>541</v>
      </c>
      <c r="M452" s="41">
        <v>3</v>
      </c>
      <c r="N452" s="39">
        <v>120</v>
      </c>
      <c r="O452" s="38" t="s">
        <v>117</v>
      </c>
      <c r="P452" s="42">
        <v>44500</v>
      </c>
      <c r="Q452" s="43"/>
      <c r="R452" s="49" t="s">
        <v>559</v>
      </c>
      <c r="S452" s="50"/>
      <c r="U452" s="51"/>
      <c r="V452" s="46"/>
      <c r="W452" s="51">
        <f>IF(NOTA[[#This Row],[HARGA/ CTN]]="",NOTA[[#This Row],[JUMLAH_H]],NOTA[[#This Row],[HARGA/ CTN]]*IF(NOTA[[#This Row],[C]]="",0,NOTA[[#This Row],[C]]))</f>
        <v>5340000</v>
      </c>
      <c r="X452" s="51">
        <f>IF(NOTA[[#This Row],[JUMLAH]]="","",NOTA[[#This Row],[JUMLAH]]*NOTA[[#This Row],[DISC 1]])</f>
        <v>0</v>
      </c>
      <c r="Y452" s="51">
        <f>IF(NOTA[[#This Row],[JUMLAH]]="","",(NOTA[[#This Row],[JUMLAH]]-NOTA[[#This Row],[DISC 1-]])*NOTA[[#This Row],[DISC 2]])</f>
        <v>0</v>
      </c>
      <c r="Z452" s="51">
        <f>IF(NOTA[[#This Row],[JUMLAH]]="","",NOTA[[#This Row],[DISC 1-]]+NOTA[[#This Row],[DISC 2-]])</f>
        <v>0</v>
      </c>
      <c r="AA452" s="51">
        <f>IF(NOTA[[#This Row],[JUMLAH]]="","",NOTA[[#This Row],[JUMLAH]]-NOTA[[#This Row],[DISC]])</f>
        <v>5340000</v>
      </c>
      <c r="AB452" s="51"/>
      <c r="AC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452" s="51">
        <f>IF(OR(NOTA[[#This Row],[QTY]]="",NOTA[[#This Row],[HARGA SATUAN]]="",),"",NOTA[[#This Row],[QTY]]*NOTA[[#This Row],[HARGA SATUAN]])</f>
        <v>5340000</v>
      </c>
      <c r="AG452" s="40">
        <f ca="1">IF(NOTA[ID_H]="","",INDEX(NOTA[TANGGAL],MATCH(,INDIRECT(ADDRESS(ROW(NOTA[TANGGAL]),COLUMN(NOTA[TANGGAL]))&amp;":"&amp;ADDRESS(ROW(),COLUMN(NOTA[TANGGAL]))),-1)))</f>
        <v>45124</v>
      </c>
      <c r="AH452" s="42" t="str">
        <f ca="1">IF(NOTA[[#This Row],[NAMA BARANG]]="","",INDEX(NOTA[SUPPLIER],MATCH(,INDIRECT(ADDRESS(ROW(NOTA[ID]),COLUMN(NOTA[ID]))&amp;":"&amp;ADDRESS(ROW(),COLUMN(NOTA[ID]))),-1)))</f>
        <v>BINTANG SAUDARA</v>
      </c>
      <c r="AI452" s="42" t="str">
        <f ca="1">IF(NOTA[[#This Row],[ID_H]]="","",IF(NOTA[[#This Row],[FAKTUR]]="",INDIRECT(ADDRESS(ROW()-1,COLUMN())),NOTA[[#This Row],[FAKTUR]]))</f>
        <v>UNTANA</v>
      </c>
      <c r="AJ452" s="39">
        <f ca="1">IF(NOTA[[#This Row],[ID]]="","",COUNTIF(NOTA[ID_H],NOTA[[#This Row],[ID_H]]))</f>
        <v>9</v>
      </c>
      <c r="AK452" s="39">
        <f>IF(NOTA[[#This Row],[TGL.NOTA]]="",IF(NOTA[[#This Row],[SUPPLIER_H]]="","",AK451),MONTH(NOTA[[#This Row],[TGL.NOTA]]))</f>
        <v>7</v>
      </c>
      <c r="AL452" s="39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4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N4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O45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SAUDARAUNTANASO202307008109045117acrylicsisipankertasa4t30x21cm</v>
      </c>
      <c r="AP452" s="39" t="e">
        <f>IF(NOTA[[#This Row],[CONCAT4]]="","",_xlfn.IFNA(MATCH(NOTA[[#This Row],[CONCAT4]],[2]!RAW[CONCAT_H],0),FALSE))</f>
        <v>#REF!</v>
      </c>
      <c r="AQ452" s="39">
        <f>IF(NOTA[[#This Row],[CONCAT1]]="","",MATCH(NOTA[[#This Row],[CONCAT1]],[3]!db[NB NOTA_C],0))</f>
        <v>20</v>
      </c>
      <c r="AR452" s="39" t="b">
        <f>IF(NOTA[[#This Row],[QTY/ CTN]]="","",TRUE)</f>
        <v>1</v>
      </c>
      <c r="AS452" s="39" t="str">
        <f ca="1">IF(NOTA[[#This Row],[ID_H]]="","",IF(NOTA[[#This Row],[Column3]]=TRUE,NOTA[[#This Row],[QTY/ CTN]],INDEX([3]!db[QTY/ CTN],NOTA[[#This Row],[//DB]])))</f>
        <v>40 PCS</v>
      </c>
      <c r="AT4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U452" s="39" t="e">
        <f ca="1">IF(NOTA[[#This Row],[ID_H]]="","",MATCH(NOTA[[#This Row],[NB NOTA_C_QTY]],[4]!db[NB NOTA_C_QTY+F],0))</f>
        <v>#REF!</v>
      </c>
      <c r="AV452" s="55">
        <f ca="1">IF(NOTA[[#This Row],[NB NOTA_C_QTY]]="","",ROW()-2)</f>
        <v>450</v>
      </c>
    </row>
    <row r="453" spans="1:48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94</v>
      </c>
      <c r="E453" s="47"/>
      <c r="H453" s="48"/>
      <c r="L453" s="38" t="s">
        <v>542</v>
      </c>
      <c r="M453" s="41">
        <v>3</v>
      </c>
      <c r="N453" s="39">
        <v>180</v>
      </c>
      <c r="O453" s="38" t="s">
        <v>117</v>
      </c>
      <c r="P453" s="42">
        <v>25000</v>
      </c>
      <c r="Q453" s="43"/>
      <c r="R453" s="49" t="s">
        <v>560</v>
      </c>
      <c r="S453" s="50"/>
      <c r="U453" s="51"/>
      <c r="V453" s="46"/>
      <c r="W453" s="51">
        <f>IF(NOTA[[#This Row],[HARGA/ CTN]]="",NOTA[[#This Row],[JUMLAH_H]],NOTA[[#This Row],[HARGA/ CTN]]*IF(NOTA[[#This Row],[C]]="",0,NOTA[[#This Row],[C]]))</f>
        <v>4500000</v>
      </c>
      <c r="X453" s="51">
        <f>IF(NOTA[[#This Row],[JUMLAH]]="","",NOTA[[#This Row],[JUMLAH]]*NOTA[[#This Row],[DISC 1]])</f>
        <v>0</v>
      </c>
      <c r="Y453" s="51">
        <f>IF(NOTA[[#This Row],[JUMLAH]]="","",(NOTA[[#This Row],[JUMLAH]]-NOTA[[#This Row],[DISC 1-]])*NOTA[[#This Row],[DISC 2]])</f>
        <v>0</v>
      </c>
      <c r="Z453" s="51">
        <f>IF(NOTA[[#This Row],[JUMLAH]]="","",NOTA[[#This Row],[DISC 1-]]+NOTA[[#This Row],[DISC 2-]])</f>
        <v>0</v>
      </c>
      <c r="AA453" s="51">
        <f>IF(NOTA[[#This Row],[JUMLAH]]="","",NOTA[[#This Row],[JUMLAH]]-NOTA[[#This Row],[DISC]])</f>
        <v>4500000</v>
      </c>
      <c r="AB453" s="51"/>
      <c r="AC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453" s="51">
        <f>IF(OR(NOTA[[#This Row],[QTY]]="",NOTA[[#This Row],[HARGA SATUAN]]="",),"",NOTA[[#This Row],[QTY]]*NOTA[[#This Row],[HARGA SATUAN]])</f>
        <v>4500000</v>
      </c>
      <c r="AG453" s="40">
        <f ca="1">IF(NOTA[ID_H]="","",INDEX(NOTA[TANGGAL],MATCH(,INDIRECT(ADDRESS(ROW(NOTA[TANGGAL]),COLUMN(NOTA[TANGGAL]))&amp;":"&amp;ADDRESS(ROW(),COLUMN(NOTA[TANGGAL]))),-1)))</f>
        <v>45124</v>
      </c>
      <c r="AH453" s="42" t="str">
        <f ca="1">IF(NOTA[[#This Row],[NAMA BARANG]]="","",INDEX(NOTA[SUPPLIER],MATCH(,INDIRECT(ADDRESS(ROW(NOTA[ID]),COLUMN(NOTA[ID]))&amp;":"&amp;ADDRESS(ROW(),COLUMN(NOTA[ID]))),-1)))</f>
        <v>BINTANG SAUDARA</v>
      </c>
      <c r="AI453" s="42" t="str">
        <f ca="1">IF(NOTA[[#This Row],[ID_H]]="","",IF(NOTA[[#This Row],[FAKTUR]]="",INDIRECT(ADDRESS(ROW()-1,COLUMN())),NOTA[[#This Row],[FAKTUR]]))</f>
        <v>UNTANA</v>
      </c>
      <c r="AJ453" s="39" t="str">
        <f ca="1">IF(NOTA[[#This Row],[ID]]="","",COUNTIF(NOTA[ID_H],NOTA[[#This Row],[ID_H]]))</f>
        <v/>
      </c>
      <c r="AK453" s="39">
        <f ca="1">IF(NOTA[[#This Row],[TGL.NOTA]]="",IF(NOTA[[#This Row],[SUPPLIER_H]]="","",AK452),MONTH(NOTA[[#This Row],[TGL.NOTA]]))</f>
        <v>7</v>
      </c>
      <c r="AL453" s="39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4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acrylicsisipankertasa5t15x21cm1500000</v>
      </c>
      <c r="AN4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acrylicsisipankertasa5t15x21cm1500000</v>
      </c>
      <c r="AO4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9" t="str">
        <f>IF(NOTA[[#This Row],[CONCAT4]]="","",_xlfn.IFNA(MATCH(NOTA[[#This Row],[CONCAT4]],[2]!RAW[CONCAT_H],0),FALSE))</f>
        <v/>
      </c>
      <c r="AQ453" s="39">
        <f>IF(NOTA[[#This Row],[CONCAT1]]="","",MATCH(NOTA[[#This Row],[CONCAT1]],[3]!db[NB NOTA_C],0))</f>
        <v>22</v>
      </c>
      <c r="AR453" s="39" t="b">
        <f>IF(NOTA[[#This Row],[QTY/ CTN]]="","",TRUE)</f>
        <v>1</v>
      </c>
      <c r="AS453" s="39" t="str">
        <f ca="1">IF(NOTA[[#This Row],[ID_H]]="","",IF(NOTA[[#This Row],[Column3]]=TRUE,NOTA[[#This Row],[QTY/ CTN]],INDEX([3]!db[QTY/ CTN],NOTA[[#This Row],[//DB]])))</f>
        <v>60 PCS</v>
      </c>
      <c r="AT4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U453" s="39" t="e">
        <f ca="1">IF(NOTA[[#This Row],[ID_H]]="","",MATCH(NOTA[[#This Row],[NB NOTA_C_QTY]],[4]!db[NB NOTA_C_QTY+F],0))</f>
        <v>#REF!</v>
      </c>
      <c r="AV453" s="55">
        <f ca="1">IF(NOTA[[#This Row],[NB NOTA_C_QTY]]="","",ROW()-2)</f>
        <v>451</v>
      </c>
    </row>
    <row r="454" spans="1:48" ht="20.100000000000001" customHeight="1" x14ac:dyDescent="0.25">
      <c r="A4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94</v>
      </c>
      <c r="E454" s="47"/>
      <c r="H454" s="48"/>
      <c r="L454" s="38" t="s">
        <v>543</v>
      </c>
      <c r="M454" s="41">
        <v>2</v>
      </c>
      <c r="N454" s="39">
        <v>120</v>
      </c>
      <c r="O454" s="38" t="s">
        <v>117</v>
      </c>
      <c r="P454" s="42">
        <v>19000</v>
      </c>
      <c r="Q454" s="43"/>
      <c r="R454" s="49" t="s">
        <v>560</v>
      </c>
      <c r="S454" s="50"/>
      <c r="U454" s="51"/>
      <c r="V454" s="46"/>
      <c r="W454" s="51">
        <f>IF(NOTA[[#This Row],[HARGA/ CTN]]="",NOTA[[#This Row],[JUMLAH_H]],NOTA[[#This Row],[HARGA/ CTN]]*IF(NOTA[[#This Row],[C]]="",0,NOTA[[#This Row],[C]]))</f>
        <v>2280000</v>
      </c>
      <c r="X454" s="51">
        <f>IF(NOTA[[#This Row],[JUMLAH]]="","",NOTA[[#This Row],[JUMLAH]]*NOTA[[#This Row],[DISC 1]])</f>
        <v>0</v>
      </c>
      <c r="Y454" s="51">
        <f>IF(NOTA[[#This Row],[JUMLAH]]="","",(NOTA[[#This Row],[JUMLAH]]-NOTA[[#This Row],[DISC 1-]])*NOTA[[#This Row],[DISC 2]])</f>
        <v>0</v>
      </c>
      <c r="Z454" s="51">
        <f>IF(NOTA[[#This Row],[JUMLAH]]="","",NOTA[[#This Row],[DISC 1-]]+NOTA[[#This Row],[DISC 2-]])</f>
        <v>0</v>
      </c>
      <c r="AA454" s="51">
        <f>IF(NOTA[[#This Row],[JUMLAH]]="","",NOTA[[#This Row],[JUMLAH]]-NOTA[[#This Row],[DISC]])</f>
        <v>2280000</v>
      </c>
      <c r="AB454" s="51"/>
      <c r="AC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2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454" s="51">
        <f>IF(OR(NOTA[[#This Row],[QTY]]="",NOTA[[#This Row],[HARGA SATUAN]]="",),"",NOTA[[#This Row],[QTY]]*NOTA[[#This Row],[HARGA SATUAN]])</f>
        <v>2280000</v>
      </c>
      <c r="AG454" s="40">
        <f ca="1">IF(NOTA[ID_H]="","",INDEX(NOTA[TANGGAL],MATCH(,INDIRECT(ADDRESS(ROW(NOTA[TANGGAL]),COLUMN(NOTA[TANGGAL]))&amp;":"&amp;ADDRESS(ROW(),COLUMN(NOTA[TANGGAL]))),-1)))</f>
        <v>45124</v>
      </c>
      <c r="AH454" s="42" t="str">
        <f ca="1">IF(NOTA[[#This Row],[NAMA BARANG]]="","",INDEX(NOTA[SUPPLIER],MATCH(,INDIRECT(ADDRESS(ROW(NOTA[ID]),COLUMN(NOTA[ID]))&amp;":"&amp;ADDRESS(ROW(),COLUMN(NOTA[ID]))),-1)))</f>
        <v>BINTANG SAUDARA</v>
      </c>
      <c r="AI454" s="42" t="str">
        <f ca="1">IF(NOTA[[#This Row],[ID_H]]="","",IF(NOTA[[#This Row],[FAKTUR]]="",INDIRECT(ADDRESS(ROW()-1,COLUMN())),NOTA[[#This Row],[FAKTUR]]))</f>
        <v>UNTANA</v>
      </c>
      <c r="AJ454" s="39" t="str">
        <f ca="1">IF(NOTA[[#This Row],[ID]]="","",COUNTIF(NOTA[ID_H],NOTA[[#This Row],[ID_H]]))</f>
        <v/>
      </c>
      <c r="AK454" s="39">
        <f ca="1">IF(NOTA[[#This Row],[TGL.NOTA]]="",IF(NOTA[[#This Row],[SUPPLIER_H]]="","",AK453),MONTH(NOTA[[#This Row],[TGL.NOTA]]))</f>
        <v>7</v>
      </c>
      <c r="AL454" s="39" t="str">
        <f>LOWER(SUBSTITUTE(SUBSTITUTE(SUBSTITUTE(SUBSTITUTE(SUBSTITUTE(SUBSTITUTE(SUBSTITUTE(SUBSTITUTE(SUBSTITUTE(NOTA[NAMA BARANG]," ",),".",""),"-",""),"(",""),")",""),",",""),"/",""),"""",""),"+",""))</f>
        <v>agenda123poloshijau</v>
      </c>
      <c r="AM4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agenda123poloshijau1140000</v>
      </c>
      <c r="AN4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agenda123poloshijau1140000</v>
      </c>
      <c r="AO4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9" t="str">
        <f>IF(NOTA[[#This Row],[CONCAT4]]="","",_xlfn.IFNA(MATCH(NOTA[[#This Row],[CONCAT4]],[2]!RAW[CONCAT_H],0),FALSE))</f>
        <v/>
      </c>
      <c r="AQ454" s="39">
        <f>IF(NOTA[[#This Row],[CONCAT1]]="","",MATCH(NOTA[[#This Row],[CONCAT1]],[3]!db[NB NOTA_C],0))</f>
        <v>47</v>
      </c>
      <c r="AR454" s="39" t="b">
        <f>IF(NOTA[[#This Row],[QTY/ CTN]]="","",TRUE)</f>
        <v>1</v>
      </c>
      <c r="AS454" s="39" t="str">
        <f ca="1">IF(NOTA[[#This Row],[ID_H]]="","",IF(NOTA[[#This Row],[Column3]]=TRUE,NOTA[[#This Row],[QTY/ CTN]],INDEX([3]!db[QTY/ CTN],NOTA[[#This Row],[//DB]])))</f>
        <v>60 PCS</v>
      </c>
      <c r="AT4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agenda123poloshijau60pcsuntana</v>
      </c>
      <c r="AU454" s="39" t="e">
        <f ca="1">IF(NOTA[[#This Row],[ID_H]]="","",MATCH(NOTA[[#This Row],[NB NOTA_C_QTY]],[4]!db[NB NOTA_C_QTY+F],0))</f>
        <v>#REF!</v>
      </c>
      <c r="AV454" s="55">
        <f ca="1">IF(NOTA[[#This Row],[NB NOTA_C_QTY]]="","",ROW()-2)</f>
        <v>452</v>
      </c>
    </row>
    <row r="455" spans="1:48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94</v>
      </c>
      <c r="E455" s="47"/>
      <c r="H455" s="48"/>
      <c r="L455" s="38" t="s">
        <v>544</v>
      </c>
      <c r="M455" s="41">
        <v>2</v>
      </c>
      <c r="N455" s="39">
        <v>120</v>
      </c>
      <c r="O455" s="38" t="s">
        <v>117</v>
      </c>
      <c r="P455" s="42">
        <v>21000</v>
      </c>
      <c r="Q455" s="43"/>
      <c r="R455" s="49" t="s">
        <v>560</v>
      </c>
      <c r="S455" s="50"/>
      <c r="U455" s="51"/>
      <c r="V455" s="46"/>
      <c r="W455" s="51">
        <f>IF(NOTA[[#This Row],[HARGA/ CTN]]="",NOTA[[#This Row],[JUMLAH_H]],NOTA[[#This Row],[HARGA/ CTN]]*IF(NOTA[[#This Row],[C]]="",0,NOTA[[#This Row],[C]]))</f>
        <v>2520000</v>
      </c>
      <c r="X455" s="51">
        <f>IF(NOTA[[#This Row],[JUMLAH]]="","",NOTA[[#This Row],[JUMLAH]]*NOTA[[#This Row],[DISC 1]])</f>
        <v>0</v>
      </c>
      <c r="Y455" s="51">
        <f>IF(NOTA[[#This Row],[JUMLAH]]="","",(NOTA[[#This Row],[JUMLAH]]-NOTA[[#This Row],[DISC 1-]])*NOTA[[#This Row],[DISC 2]])</f>
        <v>0</v>
      </c>
      <c r="Z455" s="51">
        <f>IF(NOTA[[#This Row],[JUMLAH]]="","",NOTA[[#This Row],[DISC 1-]]+NOTA[[#This Row],[DISC 2-]])</f>
        <v>0</v>
      </c>
      <c r="AA455" s="51">
        <f>IF(NOTA[[#This Row],[JUMLAH]]="","",NOTA[[#This Row],[JUMLAH]]-NOTA[[#This Row],[DISC]])</f>
        <v>2520000</v>
      </c>
      <c r="AB455" s="51"/>
      <c r="AC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2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455" s="51">
        <f>IF(OR(NOTA[[#This Row],[QTY]]="",NOTA[[#This Row],[HARGA SATUAN]]="",),"",NOTA[[#This Row],[QTY]]*NOTA[[#This Row],[HARGA SATUAN]])</f>
        <v>2520000</v>
      </c>
      <c r="AG455" s="40">
        <f ca="1">IF(NOTA[ID_H]="","",INDEX(NOTA[TANGGAL],MATCH(,INDIRECT(ADDRESS(ROW(NOTA[TANGGAL]),COLUMN(NOTA[TANGGAL]))&amp;":"&amp;ADDRESS(ROW(),COLUMN(NOTA[TANGGAL]))),-1)))</f>
        <v>45124</v>
      </c>
      <c r="AH455" s="42" t="str">
        <f ca="1">IF(NOTA[[#This Row],[NAMA BARANG]]="","",INDEX(NOTA[SUPPLIER],MATCH(,INDIRECT(ADDRESS(ROW(NOTA[ID]),COLUMN(NOTA[ID]))&amp;":"&amp;ADDRESS(ROW(),COLUMN(NOTA[ID]))),-1)))</f>
        <v>BINTANG SAUDARA</v>
      </c>
      <c r="AI455" s="42" t="str">
        <f ca="1">IF(NOTA[[#This Row],[ID_H]]="","",IF(NOTA[[#This Row],[FAKTUR]]="",INDIRECT(ADDRESS(ROW()-1,COLUMN())),NOTA[[#This Row],[FAKTUR]]))</f>
        <v>UNTANA</v>
      </c>
      <c r="AJ455" s="39" t="str">
        <f ca="1">IF(NOTA[[#This Row],[ID]]="","",COUNTIF(NOTA[ID_H],NOTA[[#This Row],[ID_H]]))</f>
        <v/>
      </c>
      <c r="AK455" s="39">
        <f ca="1">IF(NOTA[[#This Row],[TGL.NOTA]]="",IF(NOTA[[#This Row],[SUPPLIER_H]]="","",AK454),MONTH(NOTA[[#This Row],[TGL.NOTA]]))</f>
        <v>7</v>
      </c>
      <c r="AL455" s="39" t="str">
        <f>LOWER(SUBSTITUTE(SUBSTITUTE(SUBSTITUTE(SUBSTITUTE(SUBSTITUTE(SUBSTITUTE(SUBSTITUTE(SUBSTITUTE(SUBSTITUTE(NOTA[NAMA BARANG]," ",),".",""),"-",""),"(",""),")",""),",",""),"/",""),"""",""),"+",""))</f>
        <v>agendaprodeluxebsrpc122wk</v>
      </c>
      <c r="AM4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agendaprodeluxebsrpc122wk1260000</v>
      </c>
      <c r="AN4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agendaprodeluxebsrpc122wk1260000</v>
      </c>
      <c r="AO4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9" t="str">
        <f>IF(NOTA[[#This Row],[CONCAT4]]="","",_xlfn.IFNA(MATCH(NOTA[[#This Row],[CONCAT4]],[2]!RAW[CONCAT_H],0),FALSE))</f>
        <v/>
      </c>
      <c r="AQ455" s="39">
        <f>IF(NOTA[[#This Row],[CONCAT1]]="","",MATCH(NOTA[[#This Row],[CONCAT1]],[3]!db[NB NOTA_C],0))</f>
        <v>50</v>
      </c>
      <c r="AR455" s="39" t="b">
        <f>IF(NOTA[[#This Row],[QTY/ CTN]]="","",TRUE)</f>
        <v>1</v>
      </c>
      <c r="AS455" s="39" t="str">
        <f ca="1">IF(NOTA[[#This Row],[ID_H]]="","",IF(NOTA[[#This Row],[Column3]]=TRUE,NOTA[[#This Row],[QTY/ CTN]],INDEX([3]!db[QTY/ CTN],NOTA[[#This Row],[//DB]])))</f>
        <v>60 PCS</v>
      </c>
      <c r="AT4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agendaprodeluxebsrpc122wk60pcsuntana</v>
      </c>
      <c r="AU455" s="39" t="e">
        <f ca="1">IF(NOTA[[#This Row],[ID_H]]="","",MATCH(NOTA[[#This Row],[NB NOTA_C_QTY]],[4]!db[NB NOTA_C_QTY+F],0))</f>
        <v>#REF!</v>
      </c>
      <c r="AV455" s="55">
        <f ca="1">IF(NOTA[[#This Row],[NB NOTA_C_QTY]]="","",ROW()-2)</f>
        <v>453</v>
      </c>
    </row>
    <row r="456" spans="1:48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94</v>
      </c>
      <c r="E456" s="47"/>
      <c r="H456" s="48"/>
      <c r="L456" s="38" t="s">
        <v>545</v>
      </c>
      <c r="M456" s="41">
        <v>2</v>
      </c>
      <c r="N456" s="39">
        <v>1600</v>
      </c>
      <c r="O456" s="38" t="s">
        <v>117</v>
      </c>
      <c r="P456" s="42">
        <v>2700</v>
      </c>
      <c r="Q456" s="43"/>
      <c r="R456" s="49" t="s">
        <v>547</v>
      </c>
      <c r="S456" s="50"/>
      <c r="U456" s="51"/>
      <c r="V456" s="46"/>
      <c r="W456" s="51">
        <f>IF(NOTA[[#This Row],[HARGA/ CTN]]="",NOTA[[#This Row],[JUMLAH_H]],NOTA[[#This Row],[HARGA/ CTN]]*IF(NOTA[[#This Row],[C]]="",0,NOTA[[#This Row],[C]]))</f>
        <v>4320000</v>
      </c>
      <c r="X456" s="51">
        <f>IF(NOTA[[#This Row],[JUMLAH]]="","",NOTA[[#This Row],[JUMLAH]]*NOTA[[#This Row],[DISC 1]])</f>
        <v>0</v>
      </c>
      <c r="Y456" s="51">
        <f>IF(NOTA[[#This Row],[JUMLAH]]="","",(NOTA[[#This Row],[JUMLAH]]-NOTA[[#This Row],[DISC 1-]])*NOTA[[#This Row],[DISC 2]])</f>
        <v>0</v>
      </c>
      <c r="Z456" s="51">
        <f>IF(NOTA[[#This Row],[JUMLAH]]="","",NOTA[[#This Row],[DISC 1-]]+NOTA[[#This Row],[DISC 2-]])</f>
        <v>0</v>
      </c>
      <c r="AA456" s="51">
        <f>IF(NOTA[[#This Row],[JUMLAH]]="","",NOTA[[#This Row],[JUMLAH]]-NOTA[[#This Row],[DISC]])</f>
        <v>4320000</v>
      </c>
      <c r="AB456" s="51"/>
      <c r="AC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56" s="51">
        <f>IF(OR(NOTA[[#This Row],[QTY]]="",NOTA[[#This Row],[HARGA SATUAN]]="",),"",NOTA[[#This Row],[QTY]]*NOTA[[#This Row],[HARGA SATUAN]])</f>
        <v>4320000</v>
      </c>
      <c r="AG456" s="40">
        <f ca="1">IF(NOTA[ID_H]="","",INDEX(NOTA[TANGGAL],MATCH(,INDIRECT(ADDRESS(ROW(NOTA[TANGGAL]),COLUMN(NOTA[TANGGAL]))&amp;":"&amp;ADDRESS(ROW(),COLUMN(NOTA[TANGGAL]))),-1)))</f>
        <v>45124</v>
      </c>
      <c r="AH456" s="42" t="str">
        <f ca="1">IF(NOTA[[#This Row],[NAMA BARANG]]="","",INDEX(NOTA[SUPPLIER],MATCH(,INDIRECT(ADDRESS(ROW(NOTA[ID]),COLUMN(NOTA[ID]))&amp;":"&amp;ADDRESS(ROW(),COLUMN(NOTA[ID]))),-1)))</f>
        <v>BINTANG SAUDARA</v>
      </c>
      <c r="AI456" s="42" t="str">
        <f ca="1">IF(NOTA[[#This Row],[ID_H]]="","",IF(NOTA[[#This Row],[FAKTUR]]="",INDIRECT(ADDRESS(ROW()-1,COLUMN())),NOTA[[#This Row],[FAKTUR]]))</f>
        <v>UNTANA</v>
      </c>
      <c r="AJ456" s="39" t="str">
        <f ca="1">IF(NOTA[[#This Row],[ID]]="","",COUNTIF(NOTA[ID_H],NOTA[[#This Row],[ID_H]]))</f>
        <v/>
      </c>
      <c r="AK456" s="39">
        <f ca="1">IF(NOTA[[#This Row],[TGL.NOTA]]="",IF(NOTA[[#This Row],[SUPPLIER_H]]="","",AK455),MONTH(NOTA[[#This Row],[TGL.NOTA]]))</f>
        <v>7</v>
      </c>
      <c r="AL456" s="39" t="str">
        <f>LOWER(SUBSTITUTE(SUBSTITUTE(SUBSTITUTE(SUBSTITUTE(SUBSTITUTE(SUBSTITUTE(SUBSTITUTE(SUBSTITUTE(SUBSTITUTE(NOTA[NAMA BARANG]," ",),".",""),"-",""),"(",""),")",""),",",""),"/",""),"""",""),"+",""))</f>
        <v>bukumewarnaibtsmix2201</v>
      </c>
      <c r="AM4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bukumewarnaibtsmix22012160000</v>
      </c>
      <c r="AN4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bukumewarnaibtsmix22012160000</v>
      </c>
      <c r="AO4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9" t="str">
        <f>IF(NOTA[[#This Row],[CONCAT4]]="","",_xlfn.IFNA(MATCH(NOTA[[#This Row],[CONCAT4]],[2]!RAW[CONCAT_H],0),FALSE))</f>
        <v/>
      </c>
      <c r="AQ456" s="39">
        <f>IF(NOTA[[#This Row],[CONCAT1]]="","",MATCH(NOTA[[#This Row],[CONCAT1]],[3]!db[NB NOTA_C],0))</f>
        <v>780</v>
      </c>
      <c r="AR456" s="39" t="b">
        <f>IF(NOTA[[#This Row],[QTY/ CTN]]="","",TRUE)</f>
        <v>1</v>
      </c>
      <c r="AS456" s="39" t="str">
        <f ca="1">IF(NOTA[[#This Row],[ID_H]]="","",IF(NOTA[[#This Row],[Column3]]=TRUE,NOTA[[#This Row],[QTY/ CTN]],INDEX([3]!db[QTY/ CTN],NOTA[[#This Row],[//DB]])))</f>
        <v>800 PCS</v>
      </c>
      <c r="AT4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bukumewarnaibtsmix2201800pcsuntana</v>
      </c>
      <c r="AU456" s="39" t="e">
        <f ca="1">IF(NOTA[[#This Row],[ID_H]]="","",MATCH(NOTA[[#This Row],[NB NOTA_C_QTY]],[4]!db[NB NOTA_C_QTY+F],0))</f>
        <v>#REF!</v>
      </c>
      <c r="AV456" s="55">
        <f ca="1">IF(NOTA[[#This Row],[NB NOTA_C_QTY]]="","",ROW()-2)</f>
        <v>454</v>
      </c>
    </row>
    <row r="457" spans="1:48" ht="20.100000000000001" customHeight="1" x14ac:dyDescent="0.25">
      <c r="A4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94</v>
      </c>
      <c r="E457" s="47"/>
      <c r="H457" s="48"/>
      <c r="L457" s="38" t="s">
        <v>546</v>
      </c>
      <c r="M457" s="41">
        <v>2</v>
      </c>
      <c r="N457" s="39">
        <v>288</v>
      </c>
      <c r="O457" s="38" t="s">
        <v>117</v>
      </c>
      <c r="P457" s="42">
        <v>11500</v>
      </c>
      <c r="Q457" s="43"/>
      <c r="R457" s="49" t="s">
        <v>413</v>
      </c>
      <c r="S457" s="50"/>
      <c r="U457" s="51"/>
      <c r="V457" s="46"/>
      <c r="W457" s="51">
        <f>IF(NOTA[[#This Row],[HARGA/ CTN]]="",NOTA[[#This Row],[JUMLAH_H]],NOTA[[#This Row],[HARGA/ CTN]]*IF(NOTA[[#This Row],[C]]="",0,NOTA[[#This Row],[C]]))</f>
        <v>3312000</v>
      </c>
      <c r="X457" s="51">
        <f>IF(NOTA[[#This Row],[JUMLAH]]="","",NOTA[[#This Row],[JUMLAH]]*NOTA[[#This Row],[DISC 1]])</f>
        <v>0</v>
      </c>
      <c r="Y457" s="51">
        <f>IF(NOTA[[#This Row],[JUMLAH]]="","",(NOTA[[#This Row],[JUMLAH]]-NOTA[[#This Row],[DISC 1-]])*NOTA[[#This Row],[DISC 2]])</f>
        <v>0</v>
      </c>
      <c r="Z457" s="51">
        <f>IF(NOTA[[#This Row],[JUMLAH]]="","",NOTA[[#This Row],[DISC 1-]]+NOTA[[#This Row],[DISC 2-]])</f>
        <v>0</v>
      </c>
      <c r="AA457" s="51">
        <f>IF(NOTA[[#This Row],[JUMLAH]]="","",NOTA[[#This Row],[JUMLAH]]-NOTA[[#This Row],[DISC]])</f>
        <v>3312000</v>
      </c>
      <c r="AB457" s="51"/>
      <c r="AC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57" s="51">
        <f>IF(OR(NOTA[[#This Row],[QTY]]="",NOTA[[#This Row],[HARGA SATUAN]]="",),"",NOTA[[#This Row],[QTY]]*NOTA[[#This Row],[HARGA SATUAN]])</f>
        <v>3312000</v>
      </c>
      <c r="AG457" s="40">
        <f ca="1">IF(NOTA[ID_H]="","",INDEX(NOTA[TANGGAL],MATCH(,INDIRECT(ADDRESS(ROW(NOTA[TANGGAL]),COLUMN(NOTA[TANGGAL]))&amp;":"&amp;ADDRESS(ROW(),COLUMN(NOTA[TANGGAL]))),-1)))</f>
        <v>45124</v>
      </c>
      <c r="AH457" s="42" t="str">
        <f ca="1">IF(NOTA[[#This Row],[NAMA BARANG]]="","",INDEX(NOTA[SUPPLIER],MATCH(,INDIRECT(ADDRESS(ROW(NOTA[ID]),COLUMN(NOTA[ID]))&amp;":"&amp;ADDRESS(ROW(),COLUMN(NOTA[ID]))),-1)))</f>
        <v>BINTANG SAUDARA</v>
      </c>
      <c r="AI457" s="42" t="str">
        <f ca="1">IF(NOTA[[#This Row],[ID_H]]="","",IF(NOTA[[#This Row],[FAKTUR]]="",INDIRECT(ADDRESS(ROW()-1,COLUMN())),NOTA[[#This Row],[FAKTUR]]))</f>
        <v>UNTANA</v>
      </c>
      <c r="AJ457" s="39" t="str">
        <f ca="1">IF(NOTA[[#This Row],[ID]]="","",COUNTIF(NOTA[ID_H],NOTA[[#This Row],[ID_H]]))</f>
        <v/>
      </c>
      <c r="AK457" s="39">
        <f ca="1">IF(NOTA[[#This Row],[TGL.NOTA]]="",IF(NOTA[[#This Row],[SUPPLIER_H]]="","",AK456),MONTH(NOTA[[#This Row],[TGL.NOTA]]))</f>
        <v>7</v>
      </c>
      <c r="AL457" s="39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4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4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4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9" t="str">
        <f>IF(NOTA[[#This Row],[CONCAT4]]="","",_xlfn.IFNA(MATCH(NOTA[[#This Row],[CONCAT4]],[2]!RAW[CONCAT_H],0),FALSE))</f>
        <v/>
      </c>
      <c r="AQ457" s="39">
        <f>IF(NOTA[[#This Row],[CONCAT1]]="","",MATCH(NOTA[[#This Row],[CONCAT1]],[3]!db[NB NOTA_C],0))</f>
        <v>881</v>
      </c>
      <c r="AR457" s="39" t="b">
        <f>IF(NOTA[[#This Row],[QTY/ CTN]]="","",TRUE)</f>
        <v>1</v>
      </c>
      <c r="AS457" s="39" t="str">
        <f ca="1">IF(NOTA[[#This Row],[ID_H]]="","",IF(NOTA[[#This Row],[Column3]]=TRUE,NOTA[[#This Row],[QTY/ CTN]],INDEX([3]!db[QTY/ CTN],NOTA[[#This Row],[//DB]])))</f>
        <v>144 PCS</v>
      </c>
      <c r="AT4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457" s="39" t="e">
        <f ca="1">IF(NOTA[[#This Row],[ID_H]]="","",MATCH(NOTA[[#This Row],[NB NOTA_C_QTY]],[4]!db[NB NOTA_C_QTY+F],0))</f>
        <v>#REF!</v>
      </c>
      <c r="AV457" s="55">
        <f ca="1">IF(NOTA[[#This Row],[NB NOTA_C_QTY]]="","",ROW()-2)</f>
        <v>455</v>
      </c>
    </row>
    <row r="458" spans="1:48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>
        <f ca="1">IF(NOTA[[#This Row],[NAMA BARANG]]="","",INDEX(NOTA[ID],MATCH(,INDIRECT(ADDRESS(ROW(NOTA[ID]),COLUMN(NOTA[ID]))&amp;":"&amp;ADDRESS(ROW(),COLUMN(NOTA[ID]))),-1)))</f>
        <v>94</v>
      </c>
      <c r="E458" s="47"/>
      <c r="H458" s="48"/>
      <c r="L458" s="38" t="s">
        <v>548</v>
      </c>
      <c r="M458" s="41">
        <v>2</v>
      </c>
      <c r="N458" s="39">
        <v>192</v>
      </c>
      <c r="O458" s="38" t="s">
        <v>117</v>
      </c>
      <c r="P458" s="42">
        <v>18000</v>
      </c>
      <c r="Q458" s="43"/>
      <c r="R458" s="49" t="s">
        <v>561</v>
      </c>
      <c r="S458" s="50"/>
      <c r="U458" s="51"/>
      <c r="V458" s="46"/>
      <c r="W458" s="51">
        <f>IF(NOTA[[#This Row],[HARGA/ CTN]]="",NOTA[[#This Row],[JUMLAH_H]],NOTA[[#This Row],[HARGA/ CTN]]*IF(NOTA[[#This Row],[C]]="",0,NOTA[[#This Row],[C]]))</f>
        <v>3456000</v>
      </c>
      <c r="X458" s="51">
        <f>IF(NOTA[[#This Row],[JUMLAH]]="","",NOTA[[#This Row],[JUMLAH]]*NOTA[[#This Row],[DISC 1]])</f>
        <v>0</v>
      </c>
      <c r="Y458" s="51">
        <f>IF(NOTA[[#This Row],[JUMLAH]]="","",(NOTA[[#This Row],[JUMLAH]]-NOTA[[#This Row],[DISC 1-]])*NOTA[[#This Row],[DISC 2]])</f>
        <v>0</v>
      </c>
      <c r="Z458" s="51">
        <f>IF(NOTA[[#This Row],[JUMLAH]]="","",NOTA[[#This Row],[DISC 1-]]+NOTA[[#This Row],[DISC 2-]])</f>
        <v>0</v>
      </c>
      <c r="AA458" s="51">
        <f>IF(NOTA[[#This Row],[JUMLAH]]="","",NOTA[[#This Row],[JUMLAH]]-NOTA[[#This Row],[DISC]])</f>
        <v>3456000</v>
      </c>
      <c r="AB458" s="51"/>
      <c r="AC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58" s="51">
        <f>IF(OR(NOTA[[#This Row],[QTY]]="",NOTA[[#This Row],[HARGA SATUAN]]="",),"",NOTA[[#This Row],[QTY]]*NOTA[[#This Row],[HARGA SATUAN]])</f>
        <v>3456000</v>
      </c>
      <c r="AG458" s="40">
        <f ca="1">IF(NOTA[ID_H]="","",INDEX(NOTA[TANGGAL],MATCH(,INDIRECT(ADDRESS(ROW(NOTA[TANGGAL]),COLUMN(NOTA[TANGGAL]))&amp;":"&amp;ADDRESS(ROW(),COLUMN(NOTA[TANGGAL]))),-1)))</f>
        <v>45124</v>
      </c>
      <c r="AH458" s="42" t="str">
        <f ca="1">IF(NOTA[[#This Row],[NAMA BARANG]]="","",INDEX(NOTA[SUPPLIER],MATCH(,INDIRECT(ADDRESS(ROW(NOTA[ID]),COLUMN(NOTA[ID]))&amp;":"&amp;ADDRESS(ROW(),COLUMN(NOTA[ID]))),-1)))</f>
        <v>BINTANG SAUDARA</v>
      </c>
      <c r="AI458" s="42" t="str">
        <f ca="1">IF(NOTA[[#This Row],[ID_H]]="","",IF(NOTA[[#This Row],[FAKTUR]]="",INDIRECT(ADDRESS(ROW()-1,COLUMN())),NOTA[[#This Row],[FAKTUR]]))</f>
        <v>UNTANA</v>
      </c>
      <c r="AJ458" s="39" t="str">
        <f ca="1">IF(NOTA[[#This Row],[ID]]="","",COUNTIF(NOTA[ID_H],NOTA[[#This Row],[ID_H]]))</f>
        <v/>
      </c>
      <c r="AK458" s="39">
        <f ca="1">IF(NOTA[[#This Row],[TGL.NOTA]]="",IF(NOTA[[#This Row],[SUPPLIER_H]]="","",AK457),MONTH(NOTA[[#This Row],[TGL.NOTA]]))</f>
        <v>7</v>
      </c>
      <c r="AL458" s="39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4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4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4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9" t="str">
        <f>IF(NOTA[[#This Row],[CONCAT4]]="","",_xlfn.IFNA(MATCH(NOTA[[#This Row],[CONCAT4]],[2]!RAW[CONCAT_H],0),FALSE))</f>
        <v/>
      </c>
      <c r="AQ458" s="39">
        <f>IF(NOTA[[#This Row],[CONCAT1]]="","",MATCH(NOTA[[#This Row],[CONCAT1]],[3]!db[NB NOTA_C],0))</f>
        <v>1748</v>
      </c>
      <c r="AR458" s="39" t="b">
        <f>IF(NOTA[[#This Row],[QTY/ CTN]]="","",TRUE)</f>
        <v>1</v>
      </c>
      <c r="AS458" s="39" t="str">
        <f ca="1">IF(NOTA[[#This Row],[ID_H]]="","",IF(NOTA[[#This Row],[Column3]]=TRUE,NOTA[[#This Row],[QTY/ CTN]],INDEX([3]!db[QTY/ CTN],NOTA[[#This Row],[//DB]])))</f>
        <v>96 PCS</v>
      </c>
      <c r="AT4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notebookexclusive080196pcsuntana</v>
      </c>
      <c r="AU458" s="39" t="e">
        <f ca="1">IF(NOTA[[#This Row],[ID_H]]="","",MATCH(NOTA[[#This Row],[NB NOTA_C_QTY]],[4]!db[NB NOTA_C_QTY+F],0))</f>
        <v>#REF!</v>
      </c>
      <c r="AV458" s="55">
        <f ca="1">IF(NOTA[[#This Row],[NB NOTA_C_QTY]]="","",ROW()-2)</f>
        <v>456</v>
      </c>
    </row>
    <row r="459" spans="1:48" ht="20.100000000000001" customHeight="1" x14ac:dyDescent="0.25">
      <c r="A4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9" t="str">
        <f>IF(NOTA[[#This Row],[ID_P]]="","",MATCH(NOTA[[#This Row],[ID_P]],[1]!B_MSK[N_ID],0))</f>
        <v/>
      </c>
      <c r="D459" s="39">
        <f ca="1">IF(NOTA[[#This Row],[NAMA BARANG]]="","",INDEX(NOTA[ID],MATCH(,INDIRECT(ADDRESS(ROW(NOTA[ID]),COLUMN(NOTA[ID]))&amp;":"&amp;ADDRESS(ROW(),COLUMN(NOTA[ID]))),-1)))</f>
        <v>94</v>
      </c>
      <c r="E459" s="47"/>
      <c r="H459" s="48"/>
      <c r="L459" s="38" t="s">
        <v>549</v>
      </c>
      <c r="M459" s="41">
        <v>2</v>
      </c>
      <c r="N459" s="39">
        <v>80</v>
      </c>
      <c r="O459" s="38" t="s">
        <v>152</v>
      </c>
      <c r="P459" s="42">
        <v>22500</v>
      </c>
      <c r="Q459" s="43"/>
      <c r="R459" s="49" t="s">
        <v>562</v>
      </c>
      <c r="S459" s="50"/>
      <c r="U459" s="51"/>
      <c r="V459" s="46"/>
      <c r="W459" s="51">
        <f>IF(NOTA[[#This Row],[HARGA/ CTN]]="",NOTA[[#This Row],[JUMLAH_H]],NOTA[[#This Row],[HARGA/ CTN]]*IF(NOTA[[#This Row],[C]]="",0,NOTA[[#This Row],[C]]))</f>
        <v>1800000</v>
      </c>
      <c r="X459" s="51">
        <f>IF(NOTA[[#This Row],[JUMLAH]]="","",NOTA[[#This Row],[JUMLAH]]*NOTA[[#This Row],[DISC 1]])</f>
        <v>0</v>
      </c>
      <c r="Y459" s="51">
        <f>IF(NOTA[[#This Row],[JUMLAH]]="","",(NOTA[[#This Row],[JUMLAH]]-NOTA[[#This Row],[DISC 1-]])*NOTA[[#This Row],[DISC 2]])</f>
        <v>0</v>
      </c>
      <c r="Z459" s="51">
        <f>IF(NOTA[[#This Row],[JUMLAH]]="","",NOTA[[#This Row],[DISC 1-]]+NOTA[[#This Row],[DISC 2-]])</f>
        <v>0</v>
      </c>
      <c r="AA459" s="51">
        <f>IF(NOTA[[#This Row],[JUMLAH]]="","",NOTA[[#This Row],[JUMLAH]]-NOTA[[#This Row],[DISC]])</f>
        <v>1800000</v>
      </c>
      <c r="AB459" s="51"/>
      <c r="AC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59" s="51">
        <f>IF(OR(NOTA[[#This Row],[QTY]]="",NOTA[[#This Row],[HARGA SATUAN]]="",),"",NOTA[[#This Row],[QTY]]*NOTA[[#This Row],[HARGA SATUAN]])</f>
        <v>1800000</v>
      </c>
      <c r="AG459" s="40">
        <f ca="1">IF(NOTA[ID_H]="","",INDEX(NOTA[TANGGAL],MATCH(,INDIRECT(ADDRESS(ROW(NOTA[TANGGAL]),COLUMN(NOTA[TANGGAL]))&amp;":"&amp;ADDRESS(ROW(),COLUMN(NOTA[TANGGAL]))),-1)))</f>
        <v>45124</v>
      </c>
      <c r="AH459" s="42" t="str">
        <f ca="1">IF(NOTA[[#This Row],[NAMA BARANG]]="","",INDEX(NOTA[SUPPLIER],MATCH(,INDIRECT(ADDRESS(ROW(NOTA[ID]),COLUMN(NOTA[ID]))&amp;":"&amp;ADDRESS(ROW(),COLUMN(NOTA[ID]))),-1)))</f>
        <v>BINTANG SAUDARA</v>
      </c>
      <c r="AI459" s="42" t="str">
        <f ca="1">IF(NOTA[[#This Row],[ID_H]]="","",IF(NOTA[[#This Row],[FAKTUR]]="",INDIRECT(ADDRESS(ROW()-1,COLUMN())),NOTA[[#This Row],[FAKTUR]]))</f>
        <v>UNTANA</v>
      </c>
      <c r="AJ459" s="39" t="str">
        <f ca="1">IF(NOTA[[#This Row],[ID]]="","",COUNTIF(NOTA[ID_H],NOTA[[#This Row],[ID_H]]))</f>
        <v/>
      </c>
      <c r="AK459" s="39">
        <f ca="1">IF(NOTA[[#This Row],[TGL.NOTA]]="",IF(NOTA[[#This Row],[SUPPLIER_H]]="","",AK458),MONTH(NOTA[[#This Row],[TGL.NOTA]]))</f>
        <v>7</v>
      </c>
      <c r="AL459" s="39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4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4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4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9" t="str">
        <f>IF(NOTA[[#This Row],[CONCAT4]]="","",_xlfn.IFNA(MATCH(NOTA[[#This Row],[CONCAT4]],[2]!RAW[CONCAT_H],0),FALSE))</f>
        <v/>
      </c>
      <c r="AQ459" s="39">
        <f>IF(NOTA[[#This Row],[CONCAT1]]="","",MATCH(NOTA[[#This Row],[CONCAT1]],[3]!db[NB NOTA_C],0))</f>
        <v>2547</v>
      </c>
      <c r="AR459" s="39" t="b">
        <f>IF(NOTA[[#This Row],[QTY/ CTN]]="","",TRUE)</f>
        <v>1</v>
      </c>
      <c r="AS459" s="39" t="str">
        <f ca="1">IF(NOTA[[#This Row],[ID_H]]="","",IF(NOTA[[#This Row],[Column3]]=TRUE,NOTA[[#This Row],[QTY/ CTN]],INDEX([3]!db[QTY/ CTN],NOTA[[#This Row],[//DB]])))</f>
        <v>40 LSN</v>
      </c>
      <c r="AT4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459" s="39" t="e">
        <f ca="1">IF(NOTA[[#This Row],[ID_H]]="","",MATCH(NOTA[[#This Row],[NB NOTA_C_QTY]],[4]!db[NB NOTA_C_QTY+F],0))</f>
        <v>#REF!</v>
      </c>
      <c r="AV459" s="55">
        <f ca="1">IF(NOTA[[#This Row],[NB NOTA_C_QTY]]="","",ROW()-2)</f>
        <v>457</v>
      </c>
    </row>
    <row r="460" spans="1:48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94</v>
      </c>
      <c r="E460" s="47"/>
      <c r="H460" s="48"/>
      <c r="L460" s="38" t="s">
        <v>550</v>
      </c>
      <c r="M460" s="41">
        <v>1</v>
      </c>
      <c r="N460" s="39">
        <v>72</v>
      </c>
      <c r="O460" s="38" t="s">
        <v>117</v>
      </c>
      <c r="P460" s="42">
        <v>25500</v>
      </c>
      <c r="Q460" s="43"/>
      <c r="R460" s="49" t="s">
        <v>357</v>
      </c>
      <c r="S460" s="50"/>
      <c r="U460" s="51"/>
      <c r="V460" s="46"/>
      <c r="W460" s="51">
        <f>IF(NOTA[[#This Row],[HARGA/ CTN]]="",NOTA[[#This Row],[JUMLAH_H]],NOTA[[#This Row],[HARGA/ CTN]]*IF(NOTA[[#This Row],[C]]="",0,NOTA[[#This Row],[C]]))</f>
        <v>1836000</v>
      </c>
      <c r="X460" s="51">
        <f>IF(NOTA[[#This Row],[JUMLAH]]="","",NOTA[[#This Row],[JUMLAH]]*NOTA[[#This Row],[DISC 1]])</f>
        <v>0</v>
      </c>
      <c r="Y460" s="51">
        <f>IF(NOTA[[#This Row],[JUMLAH]]="","",(NOTA[[#This Row],[JUMLAH]]-NOTA[[#This Row],[DISC 1-]])*NOTA[[#This Row],[DISC 2]])</f>
        <v>0</v>
      </c>
      <c r="Z460" s="51">
        <f>IF(NOTA[[#This Row],[JUMLAH]]="","",NOTA[[#This Row],[DISC 1-]]+NOTA[[#This Row],[DISC 2-]])</f>
        <v>0</v>
      </c>
      <c r="AA460" s="51">
        <f>IF(NOTA[[#This Row],[JUMLAH]]="","",NOTA[[#This Row],[JUMLAH]]-NOTA[[#This Row],[DISC]])</f>
        <v>1836000</v>
      </c>
      <c r="AB460" s="51"/>
      <c r="AC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29364000</v>
      </c>
      <c r="AE460" s="42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F460" s="51">
        <f>IF(OR(NOTA[[#This Row],[QTY]]="",NOTA[[#This Row],[HARGA SATUAN]]="",),"",NOTA[[#This Row],[QTY]]*NOTA[[#This Row],[HARGA SATUAN]])</f>
        <v>1836000</v>
      </c>
      <c r="AG460" s="40">
        <f ca="1">IF(NOTA[ID_H]="","",INDEX(NOTA[TANGGAL],MATCH(,INDIRECT(ADDRESS(ROW(NOTA[TANGGAL]),COLUMN(NOTA[TANGGAL]))&amp;":"&amp;ADDRESS(ROW(),COLUMN(NOTA[TANGGAL]))),-1)))</f>
        <v>45124</v>
      </c>
      <c r="AH460" s="42" t="str">
        <f ca="1">IF(NOTA[[#This Row],[NAMA BARANG]]="","",INDEX(NOTA[SUPPLIER],MATCH(,INDIRECT(ADDRESS(ROW(NOTA[ID]),COLUMN(NOTA[ID]))&amp;":"&amp;ADDRESS(ROW(),COLUMN(NOTA[ID]))),-1)))</f>
        <v>BINTANG SAUDARA</v>
      </c>
      <c r="AI460" s="42" t="str">
        <f ca="1">IF(NOTA[[#This Row],[ID_H]]="","",IF(NOTA[[#This Row],[FAKTUR]]="",INDIRECT(ADDRESS(ROW()-1,COLUMN())),NOTA[[#This Row],[FAKTUR]]))</f>
        <v>UNTANA</v>
      </c>
      <c r="AJ460" s="39" t="str">
        <f ca="1">IF(NOTA[[#This Row],[ID]]="","",COUNTIF(NOTA[ID_H],NOTA[[#This Row],[ID_H]]))</f>
        <v/>
      </c>
      <c r="AK460" s="39">
        <f ca="1">IF(NOTA[[#This Row],[TGL.NOTA]]="",IF(NOTA[[#This Row],[SUPPLIER_H]]="","",AK459),MONTH(NOTA[[#This Row],[TGL.NOTA]]))</f>
        <v>7</v>
      </c>
      <c r="AL460" s="39" t="str">
        <f>LOWER(SUBSTITUTE(SUBSTITUTE(SUBSTITUTE(SUBSTITUTE(SUBSTITUTE(SUBSTITUTE(SUBSTITUTE(SUBSTITUTE(SUBSTITUTE(NOTA[NAMA BARANG]," ",),".",""),"-",""),"(",""),")",""),",",""),"/",""),"""",""),"+",""))</f>
        <v>sketchbooka43557</v>
      </c>
      <c r="AM4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sketchbooka435571836000</v>
      </c>
      <c r="AN4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sketchbooka435571836000</v>
      </c>
      <c r="AO4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9" t="str">
        <f>IF(NOTA[[#This Row],[CONCAT4]]="","",_xlfn.IFNA(MATCH(NOTA[[#This Row],[CONCAT4]],[2]!RAW[CONCAT_H],0),FALSE))</f>
        <v/>
      </c>
      <c r="AQ460" s="39">
        <f>IF(NOTA[[#This Row],[CONCAT1]]="","",MATCH(NOTA[[#This Row],[CONCAT1]],[3]!db[NB NOTA_C],0))</f>
        <v>255</v>
      </c>
      <c r="AR460" s="39" t="b">
        <f>IF(NOTA[[#This Row],[QTY/ CTN]]="","",TRUE)</f>
        <v>1</v>
      </c>
      <c r="AS460" s="39" t="str">
        <f ca="1">IF(NOTA[[#This Row],[ID_H]]="","",IF(NOTA[[#This Row],[Column3]]=TRUE,NOTA[[#This Row],[QTY/ CTN]],INDEX([3]!db[QTY/ CTN],NOTA[[#This Row],[//DB]])))</f>
        <v>72 PCS</v>
      </c>
      <c r="AT4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sketchbooka4355772pcsuntana</v>
      </c>
      <c r="AU460" s="39" t="e">
        <f ca="1">IF(NOTA[[#This Row],[ID_H]]="","",MATCH(NOTA[[#This Row],[NB NOTA_C_QTY]],[4]!db[NB NOTA_C_QTY+F],0))</f>
        <v>#REF!</v>
      </c>
      <c r="AV460" s="55">
        <f ca="1">IF(NOTA[[#This Row],[NB NOTA_C_QTY]]="","",ROW()-2)</f>
        <v>458</v>
      </c>
    </row>
    <row r="461" spans="1:48" ht="20.100000000000001" customHeight="1" x14ac:dyDescent="0.25">
      <c r="A4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 t="str">
        <f ca="1">IF(NOTA[[#This Row],[NAMA BARANG]]="","",INDEX(NOTA[ID],MATCH(,INDIRECT(ADDRESS(ROW(NOTA[ID]),COLUMN(NOTA[ID]))&amp;":"&amp;ADDRESS(ROW(),COLUMN(NOTA[ID]))),-1)))</f>
        <v/>
      </c>
      <c r="E461" s="47"/>
      <c r="H461" s="48"/>
      <c r="N461" s="39"/>
      <c r="Q461" s="43"/>
      <c r="R461" s="49"/>
      <c r="S461" s="50"/>
      <c r="U461" s="51"/>
      <c r="V461" s="46"/>
      <c r="W461" s="51" t="str">
        <f>IF(NOTA[[#This Row],[HARGA/ CTN]]="",NOTA[[#This Row],[JUMLAH_H]],NOTA[[#This Row],[HARGA/ CTN]]*IF(NOTA[[#This Row],[C]]="",0,NOTA[[#This Row],[C]]))</f>
        <v/>
      </c>
      <c r="X461" s="51" t="str">
        <f>IF(NOTA[[#This Row],[JUMLAH]]="","",NOTA[[#This Row],[JUMLAH]]*NOTA[[#This Row],[DISC 1]])</f>
        <v/>
      </c>
      <c r="Y461" s="51" t="str">
        <f>IF(NOTA[[#This Row],[JUMLAH]]="","",(NOTA[[#This Row],[JUMLAH]]-NOTA[[#This Row],[DISC 1-]])*NOTA[[#This Row],[DISC 2]])</f>
        <v/>
      </c>
      <c r="Z461" s="51" t="str">
        <f>IF(NOTA[[#This Row],[JUMLAH]]="","",NOTA[[#This Row],[DISC 1-]]+NOTA[[#This Row],[DISC 2-]])</f>
        <v/>
      </c>
      <c r="AA461" s="51" t="str">
        <f>IF(NOTA[[#This Row],[JUMLAH]]="","",NOTA[[#This Row],[JUMLAH]]-NOTA[[#This Row],[DISC]])</f>
        <v/>
      </c>
      <c r="AB461" s="51"/>
      <c r="AC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1" t="str">
        <f>IF(OR(NOTA[[#This Row],[QTY]]="",NOTA[[#This Row],[HARGA SATUAN]]="",),"",NOTA[[#This Row],[QTY]]*NOTA[[#This Row],[HARGA SATUAN]])</f>
        <v/>
      </c>
      <c r="AG461" s="40" t="str">
        <f ca="1">IF(NOTA[ID_H]="","",INDEX(NOTA[TANGGAL],MATCH(,INDIRECT(ADDRESS(ROW(NOTA[TANGGAL]),COLUMN(NOTA[TANGGAL]))&amp;":"&amp;ADDRESS(ROW(),COLUMN(NOTA[TANGGAL]))),-1)))</f>
        <v/>
      </c>
      <c r="AH461" s="42" t="str">
        <f ca="1">IF(NOTA[[#This Row],[NAMA BARANG]]="","",INDEX(NOTA[SUPPLIER],MATCH(,INDIRECT(ADDRESS(ROW(NOTA[ID]),COLUMN(NOTA[ID]))&amp;":"&amp;ADDRESS(ROW(),COLUMN(NOTA[ID]))),-1)))</f>
        <v/>
      </c>
      <c r="AI461" s="42" t="str">
        <f ca="1">IF(NOTA[[#This Row],[ID_H]]="","",IF(NOTA[[#This Row],[FAKTUR]]="",INDIRECT(ADDRESS(ROW()-1,COLUMN())),NOTA[[#This Row],[FAKTUR]]))</f>
        <v/>
      </c>
      <c r="AJ461" s="39" t="str">
        <f ca="1">IF(NOTA[[#This Row],[ID]]="","",COUNTIF(NOTA[ID_H],NOTA[[#This Row],[ID_H]]))</f>
        <v/>
      </c>
      <c r="AK461" s="39" t="str">
        <f ca="1">IF(NOTA[[#This Row],[TGL.NOTA]]="",IF(NOTA[[#This Row],[SUPPLIER_H]]="","",AK460),MONTH(NOTA[[#This Row],[TGL.NOTA]]))</f>
        <v/>
      </c>
      <c r="AL461" s="39" t="str">
        <f>LOWER(SUBSTITUTE(SUBSTITUTE(SUBSTITUTE(SUBSTITUTE(SUBSTITUTE(SUBSTITUTE(SUBSTITUTE(SUBSTITUTE(SUBSTITUTE(NOTA[NAMA BARANG]," ",),".",""),"-",""),"(",""),")",""),",",""),"/",""),"""",""),"+",""))</f>
        <v/>
      </c>
      <c r="AM4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9" t="str">
        <f>IF(NOTA[[#This Row],[CONCAT4]]="","",_xlfn.IFNA(MATCH(NOTA[[#This Row],[CONCAT4]],[2]!RAW[CONCAT_H],0),FALSE))</f>
        <v/>
      </c>
      <c r="AQ461" s="39" t="str">
        <f>IF(NOTA[[#This Row],[CONCAT1]]="","",MATCH(NOTA[[#This Row],[CONCAT1]],[3]!db[NB NOTA_C],0))</f>
        <v/>
      </c>
      <c r="AR461" s="39" t="str">
        <f>IF(NOTA[[#This Row],[QTY/ CTN]]="","",TRUE)</f>
        <v/>
      </c>
      <c r="AS461" s="39" t="str">
        <f ca="1">IF(NOTA[[#This Row],[ID_H]]="","",IF(NOTA[[#This Row],[Column3]]=TRUE,NOTA[[#This Row],[QTY/ CTN]],INDEX([3]!db[QTY/ CTN],NOTA[[#This Row],[//DB]])))</f>
        <v/>
      </c>
      <c r="AT4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9" t="str">
        <f ca="1">IF(NOTA[[#This Row],[ID_H]]="","",MATCH(NOTA[[#This Row],[NB NOTA_C_QTY]],[4]!db[NB NOTA_C_QTY+F],0))</f>
        <v/>
      </c>
      <c r="AV461" s="55" t="str">
        <f ca="1">IF(NOTA[[#This Row],[NB NOTA_C_QTY]]="","",ROW()-2)</f>
        <v/>
      </c>
    </row>
    <row r="462" spans="1:48" ht="20.100000000000001" customHeight="1" x14ac:dyDescent="0.25">
      <c r="A462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BIN_1707_091-3</v>
      </c>
      <c r="C462" s="39" t="e">
        <f ca="1">IF(NOTA[[#This Row],[ID_P]]="","",MATCH(NOTA[[#This Row],[ID_P]],[1]!B_MSK[N_ID],0))</f>
        <v>#REF!</v>
      </c>
      <c r="D462" s="39">
        <f ca="1">IF(NOTA[[#This Row],[NAMA BARANG]]="","",INDEX(NOTA[ID],MATCH(,INDIRECT(ADDRESS(ROW(NOTA[ID]),COLUMN(NOTA[ID]))&amp;":"&amp;ADDRESS(ROW(),COLUMN(NOTA[ID]))),-1)))</f>
        <v>95</v>
      </c>
      <c r="E462" s="47"/>
      <c r="F462" s="38" t="s">
        <v>539</v>
      </c>
      <c r="G462" s="38" t="s">
        <v>145</v>
      </c>
      <c r="H462" s="48" t="s">
        <v>551</v>
      </c>
      <c r="J462" s="40">
        <v>45117</v>
      </c>
      <c r="L462" s="38" t="s">
        <v>552</v>
      </c>
      <c r="M462" s="41">
        <v>2</v>
      </c>
      <c r="N462" s="39">
        <v>240</v>
      </c>
      <c r="O462" s="38" t="s">
        <v>117</v>
      </c>
      <c r="P462" s="42">
        <v>9000</v>
      </c>
      <c r="Q462" s="43"/>
      <c r="R462" s="49" t="s">
        <v>168</v>
      </c>
      <c r="S462" s="50"/>
      <c r="U462" s="51"/>
      <c r="V462" s="46"/>
      <c r="W462" s="51">
        <f>IF(NOTA[[#This Row],[HARGA/ CTN]]="",NOTA[[#This Row],[JUMLAH_H]],NOTA[[#This Row],[HARGA/ CTN]]*IF(NOTA[[#This Row],[C]]="",0,NOTA[[#This Row],[C]]))</f>
        <v>2160000</v>
      </c>
      <c r="X462" s="51">
        <f>IF(NOTA[[#This Row],[JUMLAH]]="","",NOTA[[#This Row],[JUMLAH]]*NOTA[[#This Row],[DISC 1]])</f>
        <v>0</v>
      </c>
      <c r="Y462" s="51">
        <f>IF(NOTA[[#This Row],[JUMLAH]]="","",(NOTA[[#This Row],[JUMLAH]]-NOTA[[#This Row],[DISC 1-]])*NOTA[[#This Row],[DISC 2]])</f>
        <v>0</v>
      </c>
      <c r="Z462" s="51">
        <f>IF(NOTA[[#This Row],[JUMLAH]]="","",NOTA[[#This Row],[DISC 1-]]+NOTA[[#This Row],[DISC 2-]])</f>
        <v>0</v>
      </c>
      <c r="AA462" s="51">
        <f>IF(NOTA[[#This Row],[JUMLAH]]="","",NOTA[[#This Row],[JUMLAH]]-NOTA[[#This Row],[DISC]])</f>
        <v>2160000</v>
      </c>
      <c r="AB462" s="51"/>
      <c r="AC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462" s="51">
        <f>IF(OR(NOTA[[#This Row],[QTY]]="",NOTA[[#This Row],[HARGA SATUAN]]="",),"",NOTA[[#This Row],[QTY]]*NOTA[[#This Row],[HARGA SATUAN]])</f>
        <v>2160000</v>
      </c>
      <c r="AG462" s="40">
        <f ca="1">IF(NOTA[ID_H]="","",INDEX(NOTA[TANGGAL],MATCH(,INDIRECT(ADDRESS(ROW(NOTA[TANGGAL]),COLUMN(NOTA[TANGGAL]))&amp;":"&amp;ADDRESS(ROW(),COLUMN(NOTA[TANGGAL]))),-1)))</f>
        <v>45124</v>
      </c>
      <c r="AH462" s="42" t="str">
        <f ca="1">IF(NOTA[[#This Row],[NAMA BARANG]]="","",INDEX(NOTA[SUPPLIER],MATCH(,INDIRECT(ADDRESS(ROW(NOTA[ID]),COLUMN(NOTA[ID]))&amp;":"&amp;ADDRESS(ROW(),COLUMN(NOTA[ID]))),-1)))</f>
        <v>BINTANG SAUDARA</v>
      </c>
      <c r="AI462" s="42" t="str">
        <f ca="1">IF(NOTA[[#This Row],[ID_H]]="","",IF(NOTA[[#This Row],[FAKTUR]]="",INDIRECT(ADDRESS(ROW()-1,COLUMN())),NOTA[[#This Row],[FAKTUR]]))</f>
        <v>UNTANA</v>
      </c>
      <c r="AJ462" s="39">
        <f ca="1">IF(NOTA[[#This Row],[ID]]="","",COUNTIF(NOTA[ID_H],NOTA[[#This Row],[ID_H]]))</f>
        <v>3</v>
      </c>
      <c r="AK462" s="39">
        <f>IF(NOTA[[#This Row],[TGL.NOTA]]="",IF(NOTA[[#This Row],[SUPPLIER_H]]="","",AK461),MONTH(NOTA[[#This Row],[TGL.NOTA]]))</f>
        <v>7</v>
      </c>
      <c r="AL462" s="39" t="str">
        <f>LOWER(SUBSTITUTE(SUBSTITUTE(SUBSTITUTE(SUBSTITUTE(SUBSTITUTE(SUBSTITUTE(SUBSTITUTE(SUBSTITUTE(SUBSTITUTE(NOTA[NAMA BARANG]," ",),".",""),"-",""),"(",""),")",""),",",""),"/",""),"""",""),"+",""))</f>
        <v>agendaprodeluxekclpc121wk</v>
      </c>
      <c r="AM4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agendaprodeluxekclpc121wk1080000</v>
      </c>
      <c r="AN4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agendaprodeluxekclpc121wk1080000</v>
      </c>
      <c r="AO46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SAUDARAUNTANASO202307008109145117agendaprodeluxekclpc121wk</v>
      </c>
      <c r="AP462" s="39" t="e">
        <f>IF(NOTA[[#This Row],[CONCAT4]]="","",_xlfn.IFNA(MATCH(NOTA[[#This Row],[CONCAT4]],[2]!RAW[CONCAT_H],0),FALSE))</f>
        <v>#REF!</v>
      </c>
      <c r="AQ462" s="39">
        <f>IF(NOTA[[#This Row],[CONCAT1]]="","",MATCH(NOTA[[#This Row],[CONCAT1]],[3]!db[NB NOTA_C],0))</f>
        <v>51</v>
      </c>
      <c r="AR462" s="39" t="b">
        <f>IF(NOTA[[#This Row],[QTY/ CTN]]="","",TRUE)</f>
        <v>1</v>
      </c>
      <c r="AS462" s="39" t="str">
        <f ca="1">IF(NOTA[[#This Row],[ID_H]]="","",IF(NOTA[[#This Row],[Column3]]=TRUE,NOTA[[#This Row],[QTY/ CTN]],INDEX([3]!db[QTY/ CTN],NOTA[[#This Row],[//DB]])))</f>
        <v>120 PCS</v>
      </c>
      <c r="AT4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agendaprodeluxekclpc121wk120pcsuntana</v>
      </c>
      <c r="AU462" s="39" t="e">
        <f ca="1">IF(NOTA[[#This Row],[ID_H]]="","",MATCH(NOTA[[#This Row],[NB NOTA_C_QTY]],[4]!db[NB NOTA_C_QTY+F],0))</f>
        <v>#REF!</v>
      </c>
      <c r="AV462" s="55">
        <f ca="1">IF(NOTA[[#This Row],[NB NOTA_C_QTY]]="","",ROW()-2)</f>
        <v>460</v>
      </c>
    </row>
    <row r="463" spans="1:48" ht="20.100000000000001" customHeight="1" x14ac:dyDescent="0.25">
      <c r="A4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95</v>
      </c>
      <c r="E463" s="47"/>
      <c r="H463" s="48"/>
      <c r="L463" s="38" t="s">
        <v>553</v>
      </c>
      <c r="M463" s="41">
        <v>5</v>
      </c>
      <c r="N463" s="39">
        <v>300</v>
      </c>
      <c r="O463" s="38" t="s">
        <v>152</v>
      </c>
      <c r="P463" s="42">
        <v>29500</v>
      </c>
      <c r="Q463" s="43"/>
      <c r="R463" s="49" t="s">
        <v>153</v>
      </c>
      <c r="S463" s="50"/>
      <c r="U463" s="51"/>
      <c r="V463" s="46"/>
      <c r="W463" s="51">
        <f>IF(NOTA[[#This Row],[HARGA/ CTN]]="",NOTA[[#This Row],[JUMLAH_H]],NOTA[[#This Row],[HARGA/ CTN]]*IF(NOTA[[#This Row],[C]]="",0,NOTA[[#This Row],[C]]))</f>
        <v>8850000</v>
      </c>
      <c r="X463" s="51">
        <f>IF(NOTA[[#This Row],[JUMLAH]]="","",NOTA[[#This Row],[JUMLAH]]*NOTA[[#This Row],[DISC 1]])</f>
        <v>0</v>
      </c>
      <c r="Y463" s="51">
        <f>IF(NOTA[[#This Row],[JUMLAH]]="","",(NOTA[[#This Row],[JUMLAH]]-NOTA[[#This Row],[DISC 1-]])*NOTA[[#This Row],[DISC 2]])</f>
        <v>0</v>
      </c>
      <c r="Z463" s="51">
        <f>IF(NOTA[[#This Row],[JUMLAH]]="","",NOTA[[#This Row],[DISC 1-]]+NOTA[[#This Row],[DISC 2-]])</f>
        <v>0</v>
      </c>
      <c r="AA463" s="51">
        <f>IF(NOTA[[#This Row],[JUMLAH]]="","",NOTA[[#This Row],[JUMLAH]]-NOTA[[#This Row],[DISC]])</f>
        <v>8850000</v>
      </c>
      <c r="AB463" s="51"/>
      <c r="AC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63" s="51">
        <f>IF(OR(NOTA[[#This Row],[QTY]]="",NOTA[[#This Row],[HARGA SATUAN]]="",),"",NOTA[[#This Row],[QTY]]*NOTA[[#This Row],[HARGA SATUAN]])</f>
        <v>8850000</v>
      </c>
      <c r="AG463" s="40">
        <f ca="1">IF(NOTA[ID_H]="","",INDEX(NOTA[TANGGAL],MATCH(,INDIRECT(ADDRESS(ROW(NOTA[TANGGAL]),COLUMN(NOTA[TANGGAL]))&amp;":"&amp;ADDRESS(ROW(),COLUMN(NOTA[TANGGAL]))),-1)))</f>
        <v>45124</v>
      </c>
      <c r="AH463" s="42" t="str">
        <f ca="1">IF(NOTA[[#This Row],[NAMA BARANG]]="","",INDEX(NOTA[SUPPLIER],MATCH(,INDIRECT(ADDRESS(ROW(NOTA[ID]),COLUMN(NOTA[ID]))&amp;":"&amp;ADDRESS(ROW(),COLUMN(NOTA[ID]))),-1)))</f>
        <v>BINTANG SAUDARA</v>
      </c>
      <c r="AI463" s="42" t="str">
        <f ca="1">IF(NOTA[[#This Row],[ID_H]]="","",IF(NOTA[[#This Row],[FAKTUR]]="",INDIRECT(ADDRESS(ROW()-1,COLUMN())),NOTA[[#This Row],[FAKTUR]]))</f>
        <v>UNTANA</v>
      </c>
      <c r="AJ463" s="39" t="str">
        <f ca="1">IF(NOTA[[#This Row],[ID]]="","",COUNTIF(NOTA[ID_H],NOTA[[#This Row],[ID_H]]))</f>
        <v/>
      </c>
      <c r="AK463" s="39">
        <f ca="1">IF(NOTA[[#This Row],[TGL.NOTA]]="",IF(NOTA[[#This Row],[SUPPLIER_H]]="","",AK462),MONTH(NOTA[[#This Row],[TGL.NOTA]]))</f>
        <v>7</v>
      </c>
      <c r="AL463" s="39" t="str">
        <f>LOWER(SUBSTITUTE(SUBSTITUTE(SUBSTITUTE(SUBSTITUTE(SUBSTITUTE(SUBSTITUTE(SUBSTITUTE(SUBSTITUTE(SUBSTITUTE(NOTA[NAMA BARANG]," ",),".",""),"-",""),"(",""),")",""),",",""),"/",""),"""",""),"+",""))</f>
        <v>notes15680addtelp</v>
      </c>
      <c r="AM4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4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4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9" t="str">
        <f>IF(NOTA[[#This Row],[CONCAT4]]="","",_xlfn.IFNA(MATCH(NOTA[[#This Row],[CONCAT4]],[2]!RAW[CONCAT_H],0),FALSE))</f>
        <v/>
      </c>
      <c r="AQ463" s="39">
        <f>IF(NOTA[[#This Row],[CONCAT1]]="","",MATCH(NOTA[[#This Row],[CONCAT1]],[3]!db[NB NOTA_C],0))</f>
        <v>1764</v>
      </c>
      <c r="AR463" s="39" t="b">
        <f>IF(NOTA[[#This Row],[QTY/ CTN]]="","",TRUE)</f>
        <v>1</v>
      </c>
      <c r="AS463" s="39" t="str">
        <f ca="1">IF(NOTA[[#This Row],[ID_H]]="","",IF(NOTA[[#This Row],[Column3]]=TRUE,NOTA[[#This Row],[QTY/ CTN]],INDEX([3]!db[QTY/ CTN],NOTA[[#This Row],[//DB]])))</f>
        <v>60 LSN</v>
      </c>
      <c r="AT4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463" s="39" t="e">
        <f ca="1">IF(NOTA[[#This Row],[ID_H]]="","",MATCH(NOTA[[#This Row],[NB NOTA_C_QTY]],[4]!db[NB NOTA_C_QTY+F],0))</f>
        <v>#REF!</v>
      </c>
      <c r="AV463" s="55">
        <f ca="1">IF(NOTA[[#This Row],[NB NOTA_C_QTY]]="","",ROW()-2)</f>
        <v>461</v>
      </c>
    </row>
    <row r="464" spans="1:48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95</v>
      </c>
      <c r="E464" s="47"/>
      <c r="H464" s="48"/>
      <c r="L464" s="38" t="s">
        <v>554</v>
      </c>
      <c r="M464" s="41">
        <v>2</v>
      </c>
      <c r="N464" s="39">
        <v>100</v>
      </c>
      <c r="O464" s="38" t="s">
        <v>152</v>
      </c>
      <c r="P464" s="42">
        <v>21000</v>
      </c>
      <c r="Q464" s="43"/>
      <c r="R464" s="49" t="s">
        <v>483</v>
      </c>
      <c r="S464" s="50"/>
      <c r="U464" s="51"/>
      <c r="V464" s="46"/>
      <c r="W464" s="51">
        <f>IF(NOTA[[#This Row],[HARGA/ CTN]]="",NOTA[[#This Row],[JUMLAH_H]],NOTA[[#This Row],[HARGA/ CTN]]*IF(NOTA[[#This Row],[C]]="",0,NOTA[[#This Row],[C]]))</f>
        <v>2100000</v>
      </c>
      <c r="X464" s="51">
        <f>IF(NOTA[[#This Row],[JUMLAH]]="","",NOTA[[#This Row],[JUMLAH]]*NOTA[[#This Row],[DISC 1]])</f>
        <v>0</v>
      </c>
      <c r="Y464" s="51">
        <f>IF(NOTA[[#This Row],[JUMLAH]]="","",(NOTA[[#This Row],[JUMLAH]]-NOTA[[#This Row],[DISC 1-]])*NOTA[[#This Row],[DISC 2]])</f>
        <v>0</v>
      </c>
      <c r="Z464" s="51">
        <f>IF(NOTA[[#This Row],[JUMLAH]]="","",NOTA[[#This Row],[DISC 1-]]+NOTA[[#This Row],[DISC 2-]])</f>
        <v>0</v>
      </c>
      <c r="AA464" s="51">
        <f>IF(NOTA[[#This Row],[JUMLAH]]="","",NOTA[[#This Row],[JUMLAH]]-NOTA[[#This Row],[DISC]])</f>
        <v>2100000</v>
      </c>
      <c r="AB464" s="51"/>
      <c r="AC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13110000</v>
      </c>
      <c r="AE464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464" s="51">
        <f>IF(OR(NOTA[[#This Row],[QTY]]="",NOTA[[#This Row],[HARGA SATUAN]]="",),"",NOTA[[#This Row],[QTY]]*NOTA[[#This Row],[HARGA SATUAN]])</f>
        <v>2100000</v>
      </c>
      <c r="AG464" s="40">
        <f ca="1">IF(NOTA[ID_H]="","",INDEX(NOTA[TANGGAL],MATCH(,INDIRECT(ADDRESS(ROW(NOTA[TANGGAL]),COLUMN(NOTA[TANGGAL]))&amp;":"&amp;ADDRESS(ROW(),COLUMN(NOTA[TANGGAL]))),-1)))</f>
        <v>45124</v>
      </c>
      <c r="AH464" s="42" t="str">
        <f ca="1">IF(NOTA[[#This Row],[NAMA BARANG]]="","",INDEX(NOTA[SUPPLIER],MATCH(,INDIRECT(ADDRESS(ROW(NOTA[ID]),COLUMN(NOTA[ID]))&amp;":"&amp;ADDRESS(ROW(),COLUMN(NOTA[ID]))),-1)))</f>
        <v>BINTANG SAUDARA</v>
      </c>
      <c r="AI464" s="42" t="str">
        <f ca="1">IF(NOTA[[#This Row],[ID_H]]="","",IF(NOTA[[#This Row],[FAKTUR]]="",INDIRECT(ADDRESS(ROW()-1,COLUMN())),NOTA[[#This Row],[FAKTUR]]))</f>
        <v>UNTANA</v>
      </c>
      <c r="AJ464" s="39" t="str">
        <f ca="1">IF(NOTA[[#This Row],[ID]]="","",COUNTIF(NOTA[ID_H],NOTA[[#This Row],[ID_H]]))</f>
        <v/>
      </c>
      <c r="AK464" s="39">
        <f ca="1">IF(NOTA[[#This Row],[TGL.NOTA]]="",IF(NOTA[[#This Row],[SUPPLIER_H]]="","",AK463),MONTH(NOTA[[#This Row],[TGL.NOTA]]))</f>
        <v>7</v>
      </c>
      <c r="AL464" s="39" t="str">
        <f>LOWER(SUBSTITUTE(SUBSTITUTE(SUBSTITUTE(SUBSTITUTE(SUBSTITUTE(SUBSTITUTE(SUBSTITUTE(SUBSTITUTE(SUBSTITUTE(NOTA[NAMA BARANG]," ",),".",""),"-",""),"(",""),")",""),",",""),"/",""),"""",""),"+",""))</f>
        <v>shoppingbagbrandedkecil</v>
      </c>
      <c r="AM4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shoppingbagbrandedkecil1050000</v>
      </c>
      <c r="AN4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shoppingbagbrandedkecil1050000</v>
      </c>
      <c r="AO4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9" t="str">
        <f>IF(NOTA[[#This Row],[CONCAT4]]="","",_xlfn.IFNA(MATCH(NOTA[[#This Row],[CONCAT4]],[2]!RAW[CONCAT_H],0),FALSE))</f>
        <v/>
      </c>
      <c r="AQ464" s="39">
        <f>IF(NOTA[[#This Row],[CONCAT1]]="","",MATCH(NOTA[[#This Row],[CONCAT1]],[3]!db[NB NOTA_C],0))</f>
        <v>2544</v>
      </c>
      <c r="AR464" s="39" t="b">
        <f>IF(NOTA[[#This Row],[QTY/ CTN]]="","",TRUE)</f>
        <v>1</v>
      </c>
      <c r="AS464" s="39" t="str">
        <f ca="1">IF(NOTA[[#This Row],[ID_H]]="","",IF(NOTA[[#This Row],[Column3]]=TRUE,NOTA[[#This Row],[QTY/ CTN]],INDEX([3]!db[QTY/ CTN],NOTA[[#This Row],[//DB]])))</f>
        <v>50 LSN</v>
      </c>
      <c r="AT4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shoppingbagbrandedkecil50lsnuntana</v>
      </c>
      <c r="AU464" s="39" t="e">
        <f ca="1">IF(NOTA[[#This Row],[ID_H]]="","",MATCH(NOTA[[#This Row],[NB NOTA_C_QTY]],[4]!db[NB NOTA_C_QTY+F],0))</f>
        <v>#REF!</v>
      </c>
      <c r="AV464" s="55">
        <f ca="1">IF(NOTA[[#This Row],[NB NOTA_C_QTY]]="","",ROW()-2)</f>
        <v>462</v>
      </c>
    </row>
    <row r="465" spans="1:48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47"/>
      <c r="H465" s="48"/>
      <c r="N465" s="39"/>
      <c r="Q465" s="43"/>
      <c r="R465" s="49"/>
      <c r="S465" s="50"/>
      <c r="U465" s="51"/>
      <c r="V465" s="46"/>
      <c r="W465" s="51" t="str">
        <f>IF(NOTA[[#This Row],[HARGA/ CTN]]="",NOTA[[#This Row],[JUMLAH_H]],NOTA[[#This Row],[HARGA/ CTN]]*IF(NOTA[[#This Row],[C]]="",0,NOTA[[#This Row],[C]]))</f>
        <v/>
      </c>
      <c r="X465" s="51" t="str">
        <f>IF(NOTA[[#This Row],[JUMLAH]]="","",NOTA[[#This Row],[JUMLAH]]*NOTA[[#This Row],[DISC 1]])</f>
        <v/>
      </c>
      <c r="Y465" s="51" t="str">
        <f>IF(NOTA[[#This Row],[JUMLAH]]="","",(NOTA[[#This Row],[JUMLAH]]-NOTA[[#This Row],[DISC 1-]])*NOTA[[#This Row],[DISC 2]])</f>
        <v/>
      </c>
      <c r="Z465" s="51" t="str">
        <f>IF(NOTA[[#This Row],[JUMLAH]]="","",NOTA[[#This Row],[DISC 1-]]+NOTA[[#This Row],[DISC 2-]])</f>
        <v/>
      </c>
      <c r="AA465" s="51" t="str">
        <f>IF(NOTA[[#This Row],[JUMLAH]]="","",NOTA[[#This Row],[JUMLAH]]-NOTA[[#This Row],[DISC]])</f>
        <v/>
      </c>
      <c r="AB465" s="51"/>
      <c r="AC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1" t="str">
        <f>IF(OR(NOTA[[#This Row],[QTY]]="",NOTA[[#This Row],[HARGA SATUAN]]="",),"",NOTA[[#This Row],[QTY]]*NOTA[[#This Row],[HARGA SATUAN]])</f>
        <v/>
      </c>
      <c r="AG465" s="40" t="str">
        <f ca="1">IF(NOTA[ID_H]="","",INDEX(NOTA[TANGGAL],MATCH(,INDIRECT(ADDRESS(ROW(NOTA[TANGGAL]),COLUMN(NOTA[TANGGAL]))&amp;":"&amp;ADDRESS(ROW(),COLUMN(NOTA[TANGGAL]))),-1)))</f>
        <v/>
      </c>
      <c r="AH465" s="42" t="str">
        <f ca="1">IF(NOTA[[#This Row],[NAMA BARANG]]="","",INDEX(NOTA[SUPPLIER],MATCH(,INDIRECT(ADDRESS(ROW(NOTA[ID]),COLUMN(NOTA[ID]))&amp;":"&amp;ADDRESS(ROW(),COLUMN(NOTA[ID]))),-1)))</f>
        <v/>
      </c>
      <c r="AI465" s="42" t="str">
        <f ca="1">IF(NOTA[[#This Row],[ID_H]]="","",IF(NOTA[[#This Row],[FAKTUR]]="",INDIRECT(ADDRESS(ROW()-1,COLUMN())),NOTA[[#This Row],[FAKTUR]]))</f>
        <v/>
      </c>
      <c r="AJ465" s="39" t="str">
        <f ca="1">IF(NOTA[[#This Row],[ID]]="","",COUNTIF(NOTA[ID_H],NOTA[[#This Row],[ID_H]]))</f>
        <v/>
      </c>
      <c r="AK465" s="39" t="str">
        <f ca="1">IF(NOTA[[#This Row],[TGL.NOTA]]="",IF(NOTA[[#This Row],[SUPPLIER_H]]="","",AK464),MONTH(NOTA[[#This Row],[TGL.NOTA]]))</f>
        <v/>
      </c>
      <c r="AL465" s="39" t="str">
        <f>LOWER(SUBSTITUTE(SUBSTITUTE(SUBSTITUTE(SUBSTITUTE(SUBSTITUTE(SUBSTITUTE(SUBSTITUTE(SUBSTITUTE(SUBSTITUTE(NOTA[NAMA BARANG]," ",),".",""),"-",""),"(",""),")",""),",",""),"/",""),"""",""),"+",""))</f>
        <v/>
      </c>
      <c r="AM4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9" t="str">
        <f>IF(NOTA[[#This Row],[CONCAT4]]="","",_xlfn.IFNA(MATCH(NOTA[[#This Row],[CONCAT4]],[2]!RAW[CONCAT_H],0),FALSE))</f>
        <v/>
      </c>
      <c r="AQ465" s="39" t="str">
        <f>IF(NOTA[[#This Row],[CONCAT1]]="","",MATCH(NOTA[[#This Row],[CONCAT1]],[3]!db[NB NOTA_C],0))</f>
        <v/>
      </c>
      <c r="AR465" s="39" t="str">
        <f>IF(NOTA[[#This Row],[QTY/ CTN]]="","",TRUE)</f>
        <v/>
      </c>
      <c r="AS465" s="39" t="str">
        <f ca="1">IF(NOTA[[#This Row],[ID_H]]="","",IF(NOTA[[#This Row],[Column3]]=TRUE,NOTA[[#This Row],[QTY/ CTN]],INDEX([3]!db[QTY/ CTN],NOTA[[#This Row],[//DB]])))</f>
        <v/>
      </c>
      <c r="AT4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9" t="str">
        <f ca="1">IF(NOTA[[#This Row],[ID_H]]="","",MATCH(NOTA[[#This Row],[NB NOTA_C_QTY]],[4]!db[NB NOTA_C_QTY+F],0))</f>
        <v/>
      </c>
      <c r="AV465" s="55" t="str">
        <f ca="1">IF(NOTA[[#This Row],[NB NOTA_C_QTY]]="","",ROW()-2)</f>
        <v/>
      </c>
    </row>
    <row r="466" spans="1:48" ht="20.100000000000001" customHeight="1" x14ac:dyDescent="0.25">
      <c r="A466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LAY_1707_031-1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96</v>
      </c>
      <c r="E466" s="47"/>
      <c r="F466" s="38" t="s">
        <v>27</v>
      </c>
      <c r="G466" s="38" t="s">
        <v>23</v>
      </c>
      <c r="H466" s="48" t="s">
        <v>555</v>
      </c>
      <c r="J466" s="40">
        <v>45121</v>
      </c>
      <c r="L466" s="38" t="s">
        <v>556</v>
      </c>
      <c r="M466" s="41">
        <v>20</v>
      </c>
      <c r="N466" s="39">
        <v>2000</v>
      </c>
      <c r="O466" s="38" t="s">
        <v>210</v>
      </c>
      <c r="P466" s="42">
        <v>14000</v>
      </c>
      <c r="Q466" s="43"/>
      <c r="R466" s="49" t="s">
        <v>557</v>
      </c>
      <c r="S466" s="50">
        <v>0.1</v>
      </c>
      <c r="U466" s="51"/>
      <c r="V466" s="46"/>
      <c r="W466" s="51">
        <f>IF(NOTA[[#This Row],[HARGA/ CTN]]="",NOTA[[#This Row],[JUMLAH_H]],NOTA[[#This Row],[HARGA/ CTN]]*IF(NOTA[[#This Row],[C]]="",0,NOTA[[#This Row],[C]]))</f>
        <v>28000000</v>
      </c>
      <c r="X466" s="51">
        <f>IF(NOTA[[#This Row],[JUMLAH]]="","",NOTA[[#This Row],[JUMLAH]]*NOTA[[#This Row],[DISC 1]])</f>
        <v>2800000</v>
      </c>
      <c r="Y466" s="51">
        <f>IF(NOTA[[#This Row],[JUMLAH]]="","",(NOTA[[#This Row],[JUMLAH]]-NOTA[[#This Row],[DISC 1-]])*NOTA[[#This Row],[DISC 2]])</f>
        <v>0</v>
      </c>
      <c r="Z466" s="51">
        <f>IF(NOTA[[#This Row],[JUMLAH]]="","",NOTA[[#This Row],[DISC 1-]]+NOTA[[#This Row],[DISC 2-]])</f>
        <v>2800000</v>
      </c>
      <c r="AA466" s="51">
        <f>IF(NOTA[[#This Row],[JUMLAH]]="","",NOTA[[#This Row],[JUMLAH]]-NOTA[[#This Row],[DISC]])</f>
        <v>25200000</v>
      </c>
      <c r="AB466" s="51"/>
      <c r="AC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466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466" s="51">
        <f>IF(OR(NOTA[[#This Row],[QTY]]="",NOTA[[#This Row],[HARGA SATUAN]]="",),"",NOTA[[#This Row],[QTY]]*NOTA[[#This Row],[HARGA SATUAN]])</f>
        <v>28000000</v>
      </c>
      <c r="AG466" s="40">
        <f ca="1">IF(NOTA[ID_H]="","",INDEX(NOTA[TANGGAL],MATCH(,INDIRECT(ADDRESS(ROW(NOTA[TANGGAL]),COLUMN(NOTA[TANGGAL]))&amp;":"&amp;ADDRESS(ROW(),COLUMN(NOTA[TANGGAL]))),-1)))</f>
        <v>45124</v>
      </c>
      <c r="AH466" s="42" t="str">
        <f ca="1">IF(NOTA[[#This Row],[NAMA BARANG]]="","",INDEX(NOTA[SUPPLIER],MATCH(,INDIRECT(ADDRESS(ROW(NOTA[ID]),COLUMN(NOTA[ID]))&amp;":"&amp;ADDRESS(ROW(),COLUMN(NOTA[ID]))),-1)))</f>
        <v>LAYS</v>
      </c>
      <c r="AI466" s="42" t="str">
        <f ca="1">IF(NOTA[[#This Row],[ID_H]]="","",IF(NOTA[[#This Row],[FAKTUR]]="",INDIRECT(ADDRESS(ROW()-1,COLUMN())),NOTA[[#This Row],[FAKTUR]]))</f>
        <v>ARTO MORO</v>
      </c>
      <c r="AJ466" s="39">
        <f ca="1">IF(NOTA[[#This Row],[ID]]="","",COUNTIF(NOTA[ID_H],NOTA[[#This Row],[ID_H]]))</f>
        <v>1</v>
      </c>
      <c r="AK466" s="39">
        <f>IF(NOTA[[#This Row],[TGL.NOTA]]="",IF(NOTA[[#This Row],[SUPPLIER_H]]="","",AK465),MONTH(NOTA[[#This Row],[TGL.NOTA]]))</f>
        <v>7</v>
      </c>
      <c r="AL466" s="39" t="str">
        <f>LOWER(SUBSTITUTE(SUBSTITUTE(SUBSTITUTE(SUBSTITUTE(SUBSTITUTE(SUBSTITUTE(SUBSTITUTE(SUBSTITUTE(SUBSTITUTE(NOTA[NAMA BARANG]," ",),".",""),"-",""),"(",""),")",""),",",""),"/",""),"""",""),"+",""))</f>
        <v>isigwno10</v>
      </c>
      <c r="AM4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4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466" s="39" t="str">
        <f>IF(NOTA[[#This Row],[SUPPLIER]]="","",NOTA[[#This Row],[SUPPLIER]]&amp;NOTA[[#This Row],[FAKTUR]]&amp;NOTA[[#This Row],[NO.NOTA]]&amp;NOTA[[#This Row],[NO.SJ]]&amp;NOTA[[#This Row],[TGL.NOTA]]&amp;NOTA[[#This Row],[CONCAT1]])</f>
        <v>LAYSARTO MOROL20703145121isigwno10</v>
      </c>
      <c r="AP466" s="39" t="e">
        <f>IF(NOTA[[#This Row],[CONCAT4]]="","",_xlfn.IFNA(MATCH(NOTA[[#This Row],[CONCAT4]],[2]!RAW[CONCAT_H],0),FALSE))</f>
        <v>#REF!</v>
      </c>
      <c r="AQ466" s="39">
        <f>IF(NOTA[[#This Row],[CONCAT1]]="","",MATCH(NOTA[[#This Row],[CONCAT1]],[3]!db[NB NOTA_C],0))</f>
        <v>1321</v>
      </c>
      <c r="AR466" s="39" t="b">
        <f>IF(NOTA[[#This Row],[QTY/ CTN]]="","",TRUE)</f>
        <v>1</v>
      </c>
      <c r="AS466" s="39" t="str">
        <f ca="1">IF(NOTA[[#This Row],[ID_H]]="","",IF(NOTA[[#This Row],[Column3]]=TRUE,NOTA[[#This Row],[QTY/ CTN]],INDEX([3]!db[QTY/ CTN],NOTA[[#This Row],[//DB]])))</f>
        <v>100 PAK</v>
      </c>
      <c r="AT4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U466" s="39" t="e">
        <f ca="1">IF(NOTA[[#This Row],[ID_H]]="","",MATCH(NOTA[[#This Row],[NB NOTA_C_QTY]],[4]!db[NB NOTA_C_QTY+F],0))</f>
        <v>#REF!</v>
      </c>
      <c r="AV466" s="55">
        <f ca="1">IF(NOTA[[#This Row],[NB NOTA_C_QTY]]="","",ROW()-2)</f>
        <v>464</v>
      </c>
    </row>
    <row r="467" spans="1:48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 t="str">
        <f ca="1">IF(NOTA[[#This Row],[NAMA BARANG]]="","",INDEX(NOTA[ID],MATCH(,INDIRECT(ADDRESS(ROW(NOTA[ID]),COLUMN(NOTA[ID]))&amp;":"&amp;ADDRESS(ROW(),COLUMN(NOTA[ID]))),-1)))</f>
        <v/>
      </c>
      <c r="E467" s="47"/>
      <c r="H467" s="48"/>
      <c r="N467" s="39"/>
      <c r="Q467" s="43"/>
      <c r="R467" s="49"/>
      <c r="S467" s="50"/>
      <c r="U467" s="51"/>
      <c r="V467" s="46"/>
      <c r="W467" s="51" t="str">
        <f>IF(NOTA[[#This Row],[HARGA/ CTN]]="",NOTA[[#This Row],[JUMLAH_H]],NOTA[[#This Row],[HARGA/ CTN]]*IF(NOTA[[#This Row],[C]]="",0,NOTA[[#This Row],[C]]))</f>
        <v/>
      </c>
      <c r="X467" s="51" t="str">
        <f>IF(NOTA[[#This Row],[JUMLAH]]="","",NOTA[[#This Row],[JUMLAH]]*NOTA[[#This Row],[DISC 1]])</f>
        <v/>
      </c>
      <c r="Y467" s="51" t="str">
        <f>IF(NOTA[[#This Row],[JUMLAH]]="","",(NOTA[[#This Row],[JUMLAH]]-NOTA[[#This Row],[DISC 1-]])*NOTA[[#This Row],[DISC 2]])</f>
        <v/>
      </c>
      <c r="Z467" s="51" t="str">
        <f>IF(NOTA[[#This Row],[JUMLAH]]="","",NOTA[[#This Row],[DISC 1-]]+NOTA[[#This Row],[DISC 2-]])</f>
        <v/>
      </c>
      <c r="AA467" s="51" t="str">
        <f>IF(NOTA[[#This Row],[JUMLAH]]="","",NOTA[[#This Row],[JUMLAH]]-NOTA[[#This Row],[DISC]])</f>
        <v/>
      </c>
      <c r="AB467" s="51"/>
      <c r="AC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1" t="str">
        <f>IF(OR(NOTA[[#This Row],[QTY]]="",NOTA[[#This Row],[HARGA SATUAN]]="",),"",NOTA[[#This Row],[QTY]]*NOTA[[#This Row],[HARGA SATUAN]])</f>
        <v/>
      </c>
      <c r="AG467" s="40" t="str">
        <f ca="1">IF(NOTA[ID_H]="","",INDEX(NOTA[TANGGAL],MATCH(,INDIRECT(ADDRESS(ROW(NOTA[TANGGAL]),COLUMN(NOTA[TANGGAL]))&amp;":"&amp;ADDRESS(ROW(),COLUMN(NOTA[TANGGAL]))),-1)))</f>
        <v/>
      </c>
      <c r="AH467" s="42" t="str">
        <f ca="1">IF(NOTA[[#This Row],[NAMA BARANG]]="","",INDEX(NOTA[SUPPLIER],MATCH(,INDIRECT(ADDRESS(ROW(NOTA[ID]),COLUMN(NOTA[ID]))&amp;":"&amp;ADDRESS(ROW(),COLUMN(NOTA[ID]))),-1)))</f>
        <v/>
      </c>
      <c r="AI467" s="42" t="str">
        <f ca="1">IF(NOTA[[#This Row],[ID_H]]="","",IF(NOTA[[#This Row],[FAKTUR]]="",INDIRECT(ADDRESS(ROW()-1,COLUMN())),NOTA[[#This Row],[FAKTUR]]))</f>
        <v/>
      </c>
      <c r="AJ467" s="39" t="str">
        <f ca="1">IF(NOTA[[#This Row],[ID]]="","",COUNTIF(NOTA[ID_H],NOTA[[#This Row],[ID_H]]))</f>
        <v/>
      </c>
      <c r="AK467" s="39" t="str">
        <f ca="1">IF(NOTA[[#This Row],[TGL.NOTA]]="",IF(NOTA[[#This Row],[SUPPLIER_H]]="","",AK466),MONTH(NOTA[[#This Row],[TGL.NOTA]]))</f>
        <v/>
      </c>
      <c r="AL467" s="39" t="str">
        <f>LOWER(SUBSTITUTE(SUBSTITUTE(SUBSTITUTE(SUBSTITUTE(SUBSTITUTE(SUBSTITUTE(SUBSTITUTE(SUBSTITUTE(SUBSTITUTE(NOTA[NAMA BARANG]," ",),".",""),"-",""),"(",""),")",""),",",""),"/",""),"""",""),"+",""))</f>
        <v/>
      </c>
      <c r="AM4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9" t="str">
        <f>IF(NOTA[[#This Row],[CONCAT4]]="","",_xlfn.IFNA(MATCH(NOTA[[#This Row],[CONCAT4]],[2]!RAW[CONCAT_H],0),FALSE))</f>
        <v/>
      </c>
      <c r="AQ467" s="39" t="str">
        <f>IF(NOTA[[#This Row],[CONCAT1]]="","",MATCH(NOTA[[#This Row],[CONCAT1]],[3]!db[NB NOTA_C],0))</f>
        <v/>
      </c>
      <c r="AR467" s="39" t="str">
        <f>IF(NOTA[[#This Row],[QTY/ CTN]]="","",TRUE)</f>
        <v/>
      </c>
      <c r="AS467" s="39" t="str">
        <f ca="1">IF(NOTA[[#This Row],[ID_H]]="","",IF(NOTA[[#This Row],[Column3]]=TRUE,NOTA[[#This Row],[QTY/ CTN]],INDEX([3]!db[QTY/ CTN],NOTA[[#This Row],[//DB]])))</f>
        <v/>
      </c>
      <c r="AT4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9" t="str">
        <f ca="1">IF(NOTA[[#This Row],[ID_H]]="","",MATCH(NOTA[[#This Row],[NB NOTA_C_QTY]],[4]!db[NB NOTA_C_QTY+F],0))</f>
        <v/>
      </c>
      <c r="AV467" s="55" t="str">
        <f ca="1">IF(NOTA[[#This Row],[NB NOTA_C_QTY]]="","",ROW()-2)</f>
        <v/>
      </c>
    </row>
    <row r="468" spans="1:48" ht="20.100000000000001" customHeight="1" x14ac:dyDescent="0.25">
      <c r="A468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PAR_2107_020-2</v>
      </c>
      <c r="C468" s="39" t="e">
        <f ca="1">IF(NOTA[[#This Row],[ID_P]]="","",MATCH(NOTA[[#This Row],[ID_P]],[1]!B_MSK[N_ID],0))</f>
        <v>#REF!</v>
      </c>
      <c r="D468" s="39">
        <f ca="1">IF(NOTA[[#This Row],[NAMA BARANG]]="","",INDEX(NOTA[ID],MATCH(,INDIRECT(ADDRESS(ROW(NOTA[ID]),COLUMN(NOTA[ID]))&amp;":"&amp;ADDRESS(ROW(),COLUMN(NOTA[ID]))),-1)))</f>
        <v>97</v>
      </c>
      <c r="E468" s="47">
        <v>45128</v>
      </c>
      <c r="F468" s="38" t="s">
        <v>144</v>
      </c>
      <c r="G468" s="38" t="s">
        <v>23</v>
      </c>
      <c r="H468" s="48" t="s">
        <v>884</v>
      </c>
      <c r="J468" s="40">
        <v>45127</v>
      </c>
      <c r="L468" s="38" t="s">
        <v>146</v>
      </c>
      <c r="M468" s="41">
        <v>5</v>
      </c>
      <c r="N468" s="39">
        <f>180*5</f>
        <v>900</v>
      </c>
      <c r="O468" s="38" t="s">
        <v>117</v>
      </c>
      <c r="P468" s="42">
        <f>1359900/180</f>
        <v>7555</v>
      </c>
      <c r="Q468" s="43"/>
      <c r="R468" s="49" t="s">
        <v>260</v>
      </c>
      <c r="S468" s="50">
        <v>0.1</v>
      </c>
      <c r="T468" s="45">
        <v>0.1</v>
      </c>
      <c r="U468" s="51"/>
      <c r="V468" s="46"/>
      <c r="W468" s="51">
        <f>IF(NOTA[[#This Row],[HARGA/ CTN]]="",NOTA[[#This Row],[JUMLAH_H]],NOTA[[#This Row],[HARGA/ CTN]]*IF(NOTA[[#This Row],[C]]="",0,NOTA[[#This Row],[C]]))</f>
        <v>6799500</v>
      </c>
      <c r="X468" s="51">
        <f>IF(NOTA[[#This Row],[JUMLAH]]="","",NOTA[[#This Row],[JUMLAH]]*NOTA[[#This Row],[DISC 1]])</f>
        <v>679950</v>
      </c>
      <c r="Y468" s="51">
        <f>IF(NOTA[[#This Row],[JUMLAH]]="","",(NOTA[[#This Row],[JUMLAH]]-NOTA[[#This Row],[DISC 1-]])*NOTA[[#This Row],[DISC 2]])</f>
        <v>611955</v>
      </c>
      <c r="Z468" s="51">
        <f>IF(NOTA[[#This Row],[JUMLAH]]="","",NOTA[[#This Row],[DISC 1-]]+NOTA[[#This Row],[DISC 2-]])</f>
        <v>1291905</v>
      </c>
      <c r="AA468" s="51">
        <f>IF(NOTA[[#This Row],[JUMLAH]]="","",NOTA[[#This Row],[JUMLAH]]-NOTA[[#This Row],[DISC]])</f>
        <v>5507595</v>
      </c>
      <c r="AB468" s="51"/>
      <c r="AC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8" s="51">
        <f>IF(OR(NOTA[[#This Row],[QTY]]="",NOTA[[#This Row],[HARGA SATUAN]]="",),"",NOTA[[#This Row],[QTY]]*NOTA[[#This Row],[HARGA SATUAN]])</f>
        <v>6799500</v>
      </c>
      <c r="AG468" s="40">
        <f ca="1">IF(NOTA[ID_H]="","",INDEX(NOTA[TANGGAL],MATCH(,INDIRECT(ADDRESS(ROW(NOTA[TANGGAL]),COLUMN(NOTA[TANGGAL]))&amp;":"&amp;ADDRESS(ROW(),COLUMN(NOTA[TANGGAL]))),-1)))</f>
        <v>45128</v>
      </c>
      <c r="AH468" s="42" t="str">
        <f ca="1">IF(NOTA[[#This Row],[NAMA BARANG]]="","",INDEX(NOTA[SUPPLIER],MATCH(,INDIRECT(ADDRESS(ROW(NOTA[ID]),COLUMN(NOTA[ID]))&amp;":"&amp;ADDRESS(ROW(),COLUMN(NOTA[ID]))),-1)))</f>
        <v>PARAMA</v>
      </c>
      <c r="AI468" s="42" t="str">
        <f ca="1">IF(NOTA[[#This Row],[ID_H]]="","",IF(NOTA[[#This Row],[FAKTUR]]="",INDIRECT(ADDRESS(ROW()-1,COLUMN())),NOTA[[#This Row],[FAKTUR]]))</f>
        <v>ARTO MORO</v>
      </c>
      <c r="AJ468" s="39">
        <f ca="1">IF(NOTA[[#This Row],[ID]]="","",COUNTIF(NOTA[ID_H],NOTA[[#This Row],[ID_H]]))</f>
        <v>2</v>
      </c>
      <c r="AK468" s="39">
        <f>IF(NOTA[[#This Row],[TGL.NOTA]]="",IF(NOTA[[#This Row],[SUPPLIER_H]]="","",AK467),MONTH(NOTA[[#This Row],[TGL.NOTA]]))</f>
        <v>7</v>
      </c>
      <c r="AL468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8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MOROCV-48 / UTN-02045127sampulsamsonboxybatik</v>
      </c>
      <c r="AP468" s="39" t="e">
        <f>IF(NOTA[[#This Row],[CONCAT4]]="","",_xlfn.IFNA(MATCH(NOTA[[#This Row],[CONCAT4]],[2]!RAW[CONCAT_H],0),FALSE))</f>
        <v>#REF!</v>
      </c>
      <c r="AQ468" s="39">
        <f>IF(NOTA[[#This Row],[CONCAT1]]="","",MATCH(NOTA[[#This Row],[CONCAT1]],[3]!db[NB NOTA_C],0))</f>
        <v>2367</v>
      </c>
      <c r="AR468" s="39" t="b">
        <f>IF(NOTA[[#This Row],[QTY/ CTN]]="","",TRUE)</f>
        <v>1</v>
      </c>
      <c r="AS468" s="39" t="str">
        <f ca="1">IF(NOTA[[#This Row],[ID_H]]="","",IF(NOTA[[#This Row],[Column3]]=TRUE,NOTA[[#This Row],[QTY/ CTN]],INDEX([3]!db[QTY/ CTN],NOTA[[#This Row],[//DB]])))</f>
        <v>180 PCS</v>
      </c>
      <c r="AT4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468" s="39" t="e">
        <f ca="1">IF(NOTA[[#This Row],[ID_H]]="","",MATCH(NOTA[[#This Row],[NB NOTA_C_QTY]],[4]!db[NB NOTA_C_QTY+F],0))</f>
        <v>#REF!</v>
      </c>
      <c r="AV468" s="55">
        <f ca="1">IF(NOTA[[#This Row],[NB NOTA_C_QTY]]="","",ROW()-2)</f>
        <v>466</v>
      </c>
    </row>
    <row r="469" spans="1:48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97</v>
      </c>
      <c r="E469" s="47"/>
      <c r="H469" s="48"/>
      <c r="L469" s="38" t="s">
        <v>258</v>
      </c>
      <c r="M469" s="41">
        <v>5</v>
      </c>
      <c r="N469" s="39">
        <f>240*5</f>
        <v>1200</v>
      </c>
      <c r="O469" s="38" t="s">
        <v>117</v>
      </c>
      <c r="P469" s="42">
        <f>1316400/240</f>
        <v>5485</v>
      </c>
      <c r="Q469" s="43"/>
      <c r="R469" s="49" t="s">
        <v>259</v>
      </c>
      <c r="S469" s="50">
        <v>0.1</v>
      </c>
      <c r="T469" s="45">
        <v>0.1</v>
      </c>
      <c r="U469" s="51"/>
      <c r="V469" s="46"/>
      <c r="W469" s="51">
        <f>IF(NOTA[[#This Row],[HARGA/ CTN]]="",NOTA[[#This Row],[JUMLAH_H]],NOTA[[#This Row],[HARGA/ CTN]]*IF(NOTA[[#This Row],[C]]="",0,NOTA[[#This Row],[C]]))</f>
        <v>6582000</v>
      </c>
      <c r="X469" s="51">
        <f>IF(NOTA[[#This Row],[JUMLAH]]="","",NOTA[[#This Row],[JUMLAH]]*NOTA[[#This Row],[DISC 1]])</f>
        <v>658200</v>
      </c>
      <c r="Y469" s="51">
        <f>IF(NOTA[[#This Row],[JUMLAH]]="","",(NOTA[[#This Row],[JUMLAH]]-NOTA[[#This Row],[DISC 1-]])*NOTA[[#This Row],[DISC 2]])</f>
        <v>592380</v>
      </c>
      <c r="Z469" s="51">
        <f>IF(NOTA[[#This Row],[JUMLAH]]="","",NOTA[[#This Row],[DISC 1-]]+NOTA[[#This Row],[DISC 2-]])</f>
        <v>1250580</v>
      </c>
      <c r="AA469" s="51">
        <f>IF(NOTA[[#This Row],[JUMLAH]]="","",NOTA[[#This Row],[JUMLAH]]-NOTA[[#This Row],[DISC]])</f>
        <v>5331420</v>
      </c>
      <c r="AB469" s="51"/>
      <c r="AC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469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9" s="51">
        <f>IF(OR(NOTA[[#This Row],[QTY]]="",NOTA[[#This Row],[HARGA SATUAN]]="",),"",NOTA[[#This Row],[QTY]]*NOTA[[#This Row],[HARGA SATUAN]])</f>
        <v>6582000</v>
      </c>
      <c r="AG469" s="40">
        <f ca="1">IF(NOTA[ID_H]="","",INDEX(NOTA[TANGGAL],MATCH(,INDIRECT(ADDRESS(ROW(NOTA[TANGGAL]),COLUMN(NOTA[TANGGAL]))&amp;":"&amp;ADDRESS(ROW(),COLUMN(NOTA[TANGGAL]))),-1)))</f>
        <v>45128</v>
      </c>
      <c r="AH469" s="42" t="str">
        <f ca="1">IF(NOTA[[#This Row],[NAMA BARANG]]="","",INDEX(NOTA[SUPPLIER],MATCH(,INDIRECT(ADDRESS(ROW(NOTA[ID]),COLUMN(NOTA[ID]))&amp;":"&amp;ADDRESS(ROW(),COLUMN(NOTA[ID]))),-1)))</f>
        <v>PARAMA</v>
      </c>
      <c r="AI469" s="42" t="str">
        <f ca="1">IF(NOTA[[#This Row],[ID_H]]="","",IF(NOTA[[#This Row],[FAKTUR]]="",INDIRECT(ADDRESS(ROW()-1,COLUMN())),NOTA[[#This Row],[FAKTUR]]))</f>
        <v>ARTO MORO</v>
      </c>
      <c r="AJ469" s="39" t="str">
        <f ca="1">IF(NOTA[[#This Row],[ID]]="","",COUNTIF(NOTA[ID_H],NOTA[[#This Row],[ID_H]]))</f>
        <v/>
      </c>
      <c r="AK469" s="39">
        <f ca="1">IF(NOTA[[#This Row],[TGL.NOTA]]="",IF(NOTA[[#This Row],[SUPPLIER_H]]="","",AK468),MONTH(NOTA[[#This Row],[TGL.NOTA]]))</f>
        <v>7</v>
      </c>
      <c r="AL469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4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4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4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9" t="str">
        <f>IF(NOTA[[#This Row],[CONCAT4]]="","",_xlfn.IFNA(MATCH(NOTA[[#This Row],[CONCAT4]],[2]!RAW[CONCAT_H],0),FALSE))</f>
        <v/>
      </c>
      <c r="AQ469" s="39">
        <f>IF(NOTA[[#This Row],[CONCAT1]]="","",MATCH(NOTA[[#This Row],[CONCAT1]],[3]!db[NB NOTA_C],0))</f>
        <v>2373</v>
      </c>
      <c r="AR469" s="39" t="b">
        <f>IF(NOTA[[#This Row],[QTY/ CTN]]="","",TRUE)</f>
        <v>1</v>
      </c>
      <c r="AS469" s="39" t="str">
        <f ca="1">IF(NOTA[[#This Row],[ID_H]]="","",IF(NOTA[[#This Row],[Column3]]=TRUE,NOTA[[#This Row],[QTY/ CTN]],INDEX([3]!db[QTY/ CTN],NOTA[[#This Row],[//DB]])))</f>
        <v>240 PCS</v>
      </c>
      <c r="AT4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469" s="39" t="e">
        <f ca="1">IF(NOTA[[#This Row],[ID_H]]="","",MATCH(NOTA[[#This Row],[NB NOTA_C_QTY]],[4]!db[NB NOTA_C_QTY+F],0))</f>
        <v>#REF!</v>
      </c>
      <c r="AV469" s="55">
        <f ca="1">IF(NOTA[[#This Row],[NB NOTA_C_QTY]]="","",ROW()-2)</f>
        <v>467</v>
      </c>
    </row>
    <row r="470" spans="1:48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47"/>
      <c r="H470" s="48"/>
      <c r="N470" s="39"/>
      <c r="Q470" s="43"/>
      <c r="R470" s="49"/>
      <c r="S470" s="50"/>
      <c r="U470" s="51"/>
      <c r="V470" s="46"/>
      <c r="W470" s="51" t="str">
        <f>IF(NOTA[[#This Row],[HARGA/ CTN]]="",NOTA[[#This Row],[JUMLAH_H]],NOTA[[#This Row],[HARGA/ CTN]]*IF(NOTA[[#This Row],[C]]="",0,NOTA[[#This Row],[C]]))</f>
        <v/>
      </c>
      <c r="X470" s="51" t="str">
        <f>IF(NOTA[[#This Row],[JUMLAH]]="","",NOTA[[#This Row],[JUMLAH]]*NOTA[[#This Row],[DISC 1]])</f>
        <v/>
      </c>
      <c r="Y470" s="51" t="str">
        <f>IF(NOTA[[#This Row],[JUMLAH]]="","",(NOTA[[#This Row],[JUMLAH]]-NOTA[[#This Row],[DISC 1-]])*NOTA[[#This Row],[DISC 2]])</f>
        <v/>
      </c>
      <c r="Z470" s="51" t="str">
        <f>IF(NOTA[[#This Row],[JUMLAH]]="","",NOTA[[#This Row],[DISC 1-]]+NOTA[[#This Row],[DISC 2-]])</f>
        <v/>
      </c>
      <c r="AA470" s="51" t="str">
        <f>IF(NOTA[[#This Row],[JUMLAH]]="","",NOTA[[#This Row],[JUMLAH]]-NOTA[[#This Row],[DISC]])</f>
        <v/>
      </c>
      <c r="AB470" s="51"/>
      <c r="AC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1" t="str">
        <f>IF(OR(NOTA[[#This Row],[QTY]]="",NOTA[[#This Row],[HARGA SATUAN]]="",),"",NOTA[[#This Row],[QTY]]*NOTA[[#This Row],[HARGA SATUAN]])</f>
        <v/>
      </c>
      <c r="AG470" s="40" t="str">
        <f ca="1">IF(NOTA[ID_H]="","",INDEX(NOTA[TANGGAL],MATCH(,INDIRECT(ADDRESS(ROW(NOTA[TANGGAL]),COLUMN(NOTA[TANGGAL]))&amp;":"&amp;ADDRESS(ROW(),COLUMN(NOTA[TANGGAL]))),-1)))</f>
        <v/>
      </c>
      <c r="AH470" s="42" t="str">
        <f ca="1">IF(NOTA[[#This Row],[NAMA BARANG]]="","",INDEX(NOTA[SUPPLIER],MATCH(,INDIRECT(ADDRESS(ROW(NOTA[ID]),COLUMN(NOTA[ID]))&amp;":"&amp;ADDRESS(ROW(),COLUMN(NOTA[ID]))),-1)))</f>
        <v/>
      </c>
      <c r="AI470" s="42" t="str">
        <f ca="1">IF(NOTA[[#This Row],[ID_H]]="","",IF(NOTA[[#This Row],[FAKTUR]]="",INDIRECT(ADDRESS(ROW()-1,COLUMN())),NOTA[[#This Row],[FAKTUR]]))</f>
        <v/>
      </c>
      <c r="AJ470" s="39" t="str">
        <f ca="1">IF(NOTA[[#This Row],[ID]]="","",COUNTIF(NOTA[ID_H],NOTA[[#This Row],[ID_H]]))</f>
        <v/>
      </c>
      <c r="AK470" s="39" t="str">
        <f ca="1">IF(NOTA[[#This Row],[TGL.NOTA]]="",IF(NOTA[[#This Row],[SUPPLIER_H]]="","",AK469),MONTH(NOTA[[#This Row],[TGL.NOTA]]))</f>
        <v/>
      </c>
      <c r="AL470" s="39" t="str">
        <f>LOWER(SUBSTITUTE(SUBSTITUTE(SUBSTITUTE(SUBSTITUTE(SUBSTITUTE(SUBSTITUTE(SUBSTITUTE(SUBSTITUTE(SUBSTITUTE(NOTA[NAMA BARANG]," ",),".",""),"-",""),"(",""),")",""),",",""),"/",""),"""",""),"+",""))</f>
        <v/>
      </c>
      <c r="AM4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9" t="str">
        <f>IF(NOTA[[#This Row],[CONCAT4]]="","",_xlfn.IFNA(MATCH(NOTA[[#This Row],[CONCAT4]],[2]!RAW[CONCAT_H],0),FALSE))</f>
        <v/>
      </c>
      <c r="AQ470" s="39" t="str">
        <f>IF(NOTA[[#This Row],[CONCAT1]]="","",MATCH(NOTA[[#This Row],[CONCAT1]],[3]!db[NB NOTA_C],0))</f>
        <v/>
      </c>
      <c r="AR470" s="39" t="str">
        <f>IF(NOTA[[#This Row],[QTY/ CTN]]="","",TRUE)</f>
        <v/>
      </c>
      <c r="AS470" s="39" t="str">
        <f ca="1">IF(NOTA[[#This Row],[ID_H]]="","",IF(NOTA[[#This Row],[Column3]]=TRUE,NOTA[[#This Row],[QTY/ CTN]],INDEX([3]!db[QTY/ CTN],NOTA[[#This Row],[//DB]])))</f>
        <v/>
      </c>
      <c r="AT4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9" t="str">
        <f ca="1">IF(NOTA[[#This Row],[ID_H]]="","",MATCH(NOTA[[#This Row],[NB NOTA_C_QTY]],[4]!db[NB NOTA_C_QTY+F],0))</f>
        <v/>
      </c>
      <c r="AV470" s="55" t="str">
        <f ca="1">IF(NOTA[[#This Row],[NB NOTA_C_QTY]]="","",ROW()-2)</f>
        <v/>
      </c>
    </row>
    <row r="471" spans="1:48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BIN_2007_128-1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98</v>
      </c>
      <c r="E471" s="47">
        <v>45127</v>
      </c>
      <c r="F471" s="38" t="s">
        <v>539</v>
      </c>
      <c r="G471" s="38" t="s">
        <v>145</v>
      </c>
      <c r="H471" s="48" t="s">
        <v>563</v>
      </c>
      <c r="J471" s="40">
        <v>45119</v>
      </c>
      <c r="L471" s="38" t="s">
        <v>564</v>
      </c>
      <c r="M471" s="41">
        <v>2</v>
      </c>
      <c r="N471" s="39">
        <v>80</v>
      </c>
      <c r="O471" s="38" t="s">
        <v>152</v>
      </c>
      <c r="P471" s="42">
        <v>34000</v>
      </c>
      <c r="Q471" s="43"/>
      <c r="R471" s="49" t="s">
        <v>562</v>
      </c>
      <c r="S471" s="50"/>
      <c r="U471" s="51"/>
      <c r="V471" s="46"/>
      <c r="W471" s="51">
        <f>IF(NOTA[[#This Row],[HARGA/ CTN]]="",NOTA[[#This Row],[JUMLAH_H]],NOTA[[#This Row],[HARGA/ CTN]]*IF(NOTA[[#This Row],[C]]="",0,NOTA[[#This Row],[C]]))</f>
        <v>2720000</v>
      </c>
      <c r="X471" s="51">
        <f>IF(NOTA[[#This Row],[JUMLAH]]="","",NOTA[[#This Row],[JUMLAH]]*NOTA[[#This Row],[DISC 1]])</f>
        <v>0</v>
      </c>
      <c r="Y471" s="51">
        <f>IF(NOTA[[#This Row],[JUMLAH]]="","",(NOTA[[#This Row],[JUMLAH]]-NOTA[[#This Row],[DISC 1-]])*NOTA[[#This Row],[DISC 2]])</f>
        <v>0</v>
      </c>
      <c r="Z471" s="51">
        <f>IF(NOTA[[#This Row],[JUMLAH]]="","",NOTA[[#This Row],[DISC 1-]]+NOTA[[#This Row],[DISC 2-]])</f>
        <v>0</v>
      </c>
      <c r="AA471" s="51">
        <f>IF(NOTA[[#This Row],[JUMLAH]]="","",NOTA[[#This Row],[JUMLAH]]-NOTA[[#This Row],[DISC]])</f>
        <v>2720000</v>
      </c>
      <c r="AB471" s="51"/>
      <c r="AC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471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471" s="51">
        <f>IF(OR(NOTA[[#This Row],[QTY]]="",NOTA[[#This Row],[HARGA SATUAN]]="",),"",NOTA[[#This Row],[QTY]]*NOTA[[#This Row],[HARGA SATUAN]])</f>
        <v>2720000</v>
      </c>
      <c r="AG471" s="40">
        <f ca="1">IF(NOTA[ID_H]="","",INDEX(NOTA[TANGGAL],MATCH(,INDIRECT(ADDRESS(ROW(NOTA[TANGGAL]),COLUMN(NOTA[TANGGAL]))&amp;":"&amp;ADDRESS(ROW(),COLUMN(NOTA[TANGGAL]))),-1)))</f>
        <v>45127</v>
      </c>
      <c r="AH471" s="42" t="str">
        <f ca="1">IF(NOTA[[#This Row],[NAMA BARANG]]="","",INDEX(NOTA[SUPPLIER],MATCH(,INDIRECT(ADDRESS(ROW(NOTA[ID]),COLUMN(NOTA[ID]))&amp;":"&amp;ADDRESS(ROW(),COLUMN(NOTA[ID]))),-1)))</f>
        <v>BINTANG SAUDARA</v>
      </c>
      <c r="AI471" s="42" t="str">
        <f ca="1">IF(NOTA[[#This Row],[ID_H]]="","",IF(NOTA[[#This Row],[FAKTUR]]="",INDIRECT(ADDRESS(ROW()-1,COLUMN())),NOTA[[#This Row],[FAKTUR]]))</f>
        <v>UNTANA</v>
      </c>
      <c r="AJ471" s="39">
        <f ca="1">IF(NOTA[[#This Row],[ID]]="","",COUNTIF(NOTA[ID_H],NOTA[[#This Row],[ID_H]]))</f>
        <v>1</v>
      </c>
      <c r="AK471" s="39">
        <f>IF(NOTA[[#This Row],[TGL.NOTA]]="",IF(NOTA[[#This Row],[SUPPLIER_H]]="","",AK470),MONTH(NOTA[[#This Row],[TGL.NOTA]]))</f>
        <v>7</v>
      </c>
      <c r="AL471" s="39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4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4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471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SAUDARAUNTANASO202307008112845119shoppingbagsb116sdgbranded</v>
      </c>
      <c r="AP471" s="39" t="e">
        <f>IF(NOTA[[#This Row],[CONCAT4]]="","",_xlfn.IFNA(MATCH(NOTA[[#This Row],[CONCAT4]],[2]!RAW[CONCAT_H],0),FALSE))</f>
        <v>#REF!</v>
      </c>
      <c r="AQ471" s="39">
        <f>IF(NOTA[[#This Row],[CONCAT1]]="","",MATCH(NOTA[[#This Row],[CONCAT1]],[3]!db[NB NOTA_C],0))</f>
        <v>2586</v>
      </c>
      <c r="AR471" s="39" t="b">
        <f>IF(NOTA[[#This Row],[QTY/ CTN]]="","",TRUE)</f>
        <v>1</v>
      </c>
      <c r="AS471" s="39" t="str">
        <f ca="1">IF(NOTA[[#This Row],[ID_H]]="","",IF(NOTA[[#This Row],[Column3]]=TRUE,NOTA[[#This Row],[QTY/ CTN]],INDEX([3]!db[QTY/ CTN],NOTA[[#This Row],[//DB]])))</f>
        <v>40 LSN</v>
      </c>
      <c r="AT4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471" s="39" t="e">
        <f ca="1">IF(NOTA[[#This Row],[ID_H]]="","",MATCH(NOTA[[#This Row],[NB NOTA_C_QTY]],[4]!db[NB NOTA_C_QTY+F],0))</f>
        <v>#REF!</v>
      </c>
      <c r="AV471" s="55">
        <f ca="1">IF(NOTA[[#This Row],[NB NOTA_C_QTY]]="","",ROW()-2)</f>
        <v>469</v>
      </c>
    </row>
    <row r="472" spans="1:48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47"/>
      <c r="H472" s="48"/>
      <c r="N472" s="39"/>
      <c r="Q472" s="43"/>
      <c r="R472" s="49"/>
      <c r="S472" s="50"/>
      <c r="U472" s="51"/>
      <c r="V472" s="46"/>
      <c r="W472" s="51" t="str">
        <f>IF(NOTA[[#This Row],[HARGA/ CTN]]="",NOTA[[#This Row],[JUMLAH_H]],NOTA[[#This Row],[HARGA/ CTN]]*IF(NOTA[[#This Row],[C]]="",0,NOTA[[#This Row],[C]]))</f>
        <v/>
      </c>
      <c r="X472" s="51" t="str">
        <f>IF(NOTA[[#This Row],[JUMLAH]]="","",NOTA[[#This Row],[JUMLAH]]*NOTA[[#This Row],[DISC 1]])</f>
        <v/>
      </c>
      <c r="Y472" s="51" t="str">
        <f>IF(NOTA[[#This Row],[JUMLAH]]="","",(NOTA[[#This Row],[JUMLAH]]-NOTA[[#This Row],[DISC 1-]])*NOTA[[#This Row],[DISC 2]])</f>
        <v/>
      </c>
      <c r="Z472" s="51" t="str">
        <f>IF(NOTA[[#This Row],[JUMLAH]]="","",NOTA[[#This Row],[DISC 1-]]+NOTA[[#This Row],[DISC 2-]])</f>
        <v/>
      </c>
      <c r="AA472" s="51" t="str">
        <f>IF(NOTA[[#This Row],[JUMLAH]]="","",NOTA[[#This Row],[JUMLAH]]-NOTA[[#This Row],[DISC]])</f>
        <v/>
      </c>
      <c r="AB472" s="51"/>
      <c r="AC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1" t="str">
        <f>IF(OR(NOTA[[#This Row],[QTY]]="",NOTA[[#This Row],[HARGA SATUAN]]="",),"",NOTA[[#This Row],[QTY]]*NOTA[[#This Row],[HARGA SATUAN]])</f>
        <v/>
      </c>
      <c r="AG472" s="40" t="str">
        <f ca="1">IF(NOTA[ID_H]="","",INDEX(NOTA[TANGGAL],MATCH(,INDIRECT(ADDRESS(ROW(NOTA[TANGGAL]),COLUMN(NOTA[TANGGAL]))&amp;":"&amp;ADDRESS(ROW(),COLUMN(NOTA[TANGGAL]))),-1)))</f>
        <v/>
      </c>
      <c r="AH472" s="42" t="str">
        <f ca="1">IF(NOTA[[#This Row],[NAMA BARANG]]="","",INDEX(NOTA[SUPPLIER],MATCH(,INDIRECT(ADDRESS(ROW(NOTA[ID]),COLUMN(NOTA[ID]))&amp;":"&amp;ADDRESS(ROW(),COLUMN(NOTA[ID]))),-1)))</f>
        <v/>
      </c>
      <c r="AI472" s="42" t="str">
        <f ca="1">IF(NOTA[[#This Row],[ID_H]]="","",IF(NOTA[[#This Row],[FAKTUR]]="",INDIRECT(ADDRESS(ROW()-1,COLUMN())),NOTA[[#This Row],[FAKTUR]]))</f>
        <v/>
      </c>
      <c r="AJ472" s="39" t="str">
        <f ca="1">IF(NOTA[[#This Row],[ID]]="","",COUNTIF(NOTA[ID_H],NOTA[[#This Row],[ID_H]]))</f>
        <v/>
      </c>
      <c r="AK472" s="39" t="str">
        <f ca="1">IF(NOTA[[#This Row],[TGL.NOTA]]="",IF(NOTA[[#This Row],[SUPPLIER_H]]="","",AK471),MONTH(NOTA[[#This Row],[TGL.NOTA]]))</f>
        <v/>
      </c>
      <c r="AL472" s="39" t="str">
        <f>LOWER(SUBSTITUTE(SUBSTITUTE(SUBSTITUTE(SUBSTITUTE(SUBSTITUTE(SUBSTITUTE(SUBSTITUTE(SUBSTITUTE(SUBSTITUTE(NOTA[NAMA BARANG]," ",),".",""),"-",""),"(",""),")",""),",",""),"/",""),"""",""),"+",""))</f>
        <v/>
      </c>
      <c r="AM4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9" t="str">
        <f>IF(NOTA[[#This Row],[CONCAT4]]="","",_xlfn.IFNA(MATCH(NOTA[[#This Row],[CONCAT4]],[2]!RAW[CONCAT_H],0),FALSE))</f>
        <v/>
      </c>
      <c r="AQ472" s="39" t="str">
        <f>IF(NOTA[[#This Row],[CONCAT1]]="","",MATCH(NOTA[[#This Row],[CONCAT1]],[3]!db[NB NOTA_C],0))</f>
        <v/>
      </c>
      <c r="AR472" s="39" t="str">
        <f>IF(NOTA[[#This Row],[QTY/ CTN]]="","",TRUE)</f>
        <v/>
      </c>
      <c r="AS472" s="39" t="str">
        <f ca="1">IF(NOTA[[#This Row],[ID_H]]="","",IF(NOTA[[#This Row],[Column3]]=TRUE,NOTA[[#This Row],[QTY/ CTN]],INDEX([3]!db[QTY/ CTN],NOTA[[#This Row],[//DB]])))</f>
        <v/>
      </c>
      <c r="AT4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9" t="str">
        <f ca="1">IF(NOTA[[#This Row],[ID_H]]="","",MATCH(NOTA[[#This Row],[NB NOTA_C_QTY]],[4]!db[NB NOTA_C_QTY+F],0))</f>
        <v/>
      </c>
      <c r="AV472" s="55" t="str">
        <f ca="1">IF(NOTA[[#This Row],[NB NOTA_C_QTY]]="","",ROW()-2)</f>
        <v/>
      </c>
    </row>
    <row r="473" spans="1:48" ht="20.100000000000001" customHeight="1" x14ac:dyDescent="0.25">
      <c r="A473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BIN_2007_212-1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99</v>
      </c>
      <c r="E473" s="47"/>
      <c r="F473" s="38" t="s">
        <v>539</v>
      </c>
      <c r="G473" s="38" t="s">
        <v>145</v>
      </c>
      <c r="H473" s="48" t="s">
        <v>565</v>
      </c>
      <c r="J473" s="40">
        <v>45125</v>
      </c>
      <c r="L473" s="38" t="s">
        <v>566</v>
      </c>
      <c r="M473" s="41">
        <v>2</v>
      </c>
      <c r="N473" s="39">
        <v>120</v>
      </c>
      <c r="O473" s="38" t="s">
        <v>117</v>
      </c>
      <c r="P473" s="42">
        <v>25500</v>
      </c>
      <c r="Q473" s="43"/>
      <c r="R473" s="49" t="s">
        <v>560</v>
      </c>
      <c r="S473" s="50">
        <v>0.1</v>
      </c>
      <c r="T473" s="45">
        <v>0.05</v>
      </c>
      <c r="U473" s="51"/>
      <c r="V473" s="46"/>
      <c r="W473" s="51">
        <f>IF(NOTA[[#This Row],[HARGA/ CTN]]="",NOTA[[#This Row],[JUMLAH_H]],NOTA[[#This Row],[HARGA/ CTN]]*IF(NOTA[[#This Row],[C]]="",0,NOTA[[#This Row],[C]]))</f>
        <v>3060000</v>
      </c>
      <c r="X473" s="51">
        <f>IF(NOTA[[#This Row],[JUMLAH]]="","",NOTA[[#This Row],[JUMLAH]]*NOTA[[#This Row],[DISC 1]])</f>
        <v>306000</v>
      </c>
      <c r="Y473" s="51">
        <f>IF(NOTA[[#This Row],[JUMLAH]]="","",(NOTA[[#This Row],[JUMLAH]]-NOTA[[#This Row],[DISC 1-]])*NOTA[[#This Row],[DISC 2]])</f>
        <v>137700</v>
      </c>
      <c r="Z473" s="51">
        <f>IF(NOTA[[#This Row],[JUMLAH]]="","",NOTA[[#This Row],[DISC 1-]]+NOTA[[#This Row],[DISC 2-]])</f>
        <v>443700</v>
      </c>
      <c r="AA473" s="51">
        <f>IF(NOTA[[#This Row],[JUMLAH]]="","",NOTA[[#This Row],[JUMLAH]]-NOTA[[#This Row],[DISC]])</f>
        <v>2616300</v>
      </c>
      <c r="AB473" s="51"/>
      <c r="AC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443700</v>
      </c>
      <c r="AD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2616300</v>
      </c>
      <c r="AE473" s="42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F473" s="51">
        <f>IF(OR(NOTA[[#This Row],[QTY]]="",NOTA[[#This Row],[HARGA SATUAN]]="",),"",NOTA[[#This Row],[QTY]]*NOTA[[#This Row],[HARGA SATUAN]])</f>
        <v>3060000</v>
      </c>
      <c r="AG473" s="40">
        <f ca="1">IF(NOTA[ID_H]="","",INDEX(NOTA[TANGGAL],MATCH(,INDIRECT(ADDRESS(ROW(NOTA[TANGGAL]),COLUMN(NOTA[TANGGAL]))&amp;":"&amp;ADDRESS(ROW(),COLUMN(NOTA[TANGGAL]))),-1)))</f>
        <v>45127</v>
      </c>
      <c r="AH473" s="42" t="str">
        <f ca="1">IF(NOTA[[#This Row],[NAMA BARANG]]="","",INDEX(NOTA[SUPPLIER],MATCH(,INDIRECT(ADDRESS(ROW(NOTA[ID]),COLUMN(NOTA[ID]))&amp;":"&amp;ADDRESS(ROW(),COLUMN(NOTA[ID]))),-1)))</f>
        <v>BINTANG SAUDARA</v>
      </c>
      <c r="AI473" s="42" t="str">
        <f ca="1">IF(NOTA[[#This Row],[ID_H]]="","",IF(NOTA[[#This Row],[FAKTUR]]="",INDIRECT(ADDRESS(ROW()-1,COLUMN())),NOTA[[#This Row],[FAKTUR]]))</f>
        <v>UNTANA</v>
      </c>
      <c r="AJ473" s="39">
        <f ca="1">IF(NOTA[[#This Row],[ID]]="","",COUNTIF(NOTA[ID_H],NOTA[[#This Row],[ID_H]]))</f>
        <v>1</v>
      </c>
      <c r="AK473" s="39">
        <f>IF(NOTA[[#This Row],[TGL.NOTA]]="",IF(NOTA[[#This Row],[SUPPLIER_H]]="","",AK472),MONTH(NOTA[[#This Row],[TGL.NOTA]]))</f>
        <v>7</v>
      </c>
      <c r="AL473" s="39" t="str">
        <f>LOWER(SUBSTITUTE(SUBSTITUTE(SUBSTITUTE(SUBSTITUTE(SUBSTITUTE(SUBSTITUTE(SUBSTITUTE(SUBSTITUTE(SUBSTITUTE(NOTA[NAMA BARANG]," ",),".",""),"-",""),"(",""),")",""),",",""),"/",""),"""",""),"+",""))</f>
        <v>bindernoteb5abstrak</v>
      </c>
      <c r="AM4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bindernoteb5abstrak15300000.10.05</v>
      </c>
      <c r="AN4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bindernoteb5abstrak15300000.10.05</v>
      </c>
      <c r="AO473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SAUDARAUNTANASO202307008121245125bindernoteb5abstrak</v>
      </c>
      <c r="AP473" s="39" t="e">
        <f>IF(NOTA[[#This Row],[CONCAT4]]="","",_xlfn.IFNA(MATCH(NOTA[[#This Row],[CONCAT4]],[2]!RAW[CONCAT_H],0),FALSE))</f>
        <v>#REF!</v>
      </c>
      <c r="AQ473" s="39">
        <f>IF(NOTA[[#This Row],[CONCAT1]]="","",MATCH(NOTA[[#This Row],[CONCAT1]],[3]!db[NB NOTA_C],0))</f>
        <v>322</v>
      </c>
      <c r="AR473" s="39" t="b">
        <f>IF(NOTA[[#This Row],[QTY/ CTN]]="","",TRUE)</f>
        <v>1</v>
      </c>
      <c r="AS473" s="39" t="str">
        <f ca="1">IF(NOTA[[#This Row],[ID_H]]="","",IF(NOTA[[#This Row],[Column3]]=TRUE,NOTA[[#This Row],[QTY/ CTN]],INDEX([3]!db[QTY/ CTN],NOTA[[#This Row],[//DB]])))</f>
        <v>60 PCS</v>
      </c>
      <c r="AT4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bindernoteb5abstrak60pcsuntana</v>
      </c>
      <c r="AU473" s="39" t="e">
        <f ca="1">IF(NOTA[[#This Row],[ID_H]]="","",MATCH(NOTA[[#This Row],[NB NOTA_C_QTY]],[4]!db[NB NOTA_C_QTY+F],0))</f>
        <v>#REF!</v>
      </c>
      <c r="AV473" s="55">
        <f ca="1">IF(NOTA[[#This Row],[NB NOTA_C_QTY]]="","",ROW()-2)</f>
        <v>471</v>
      </c>
    </row>
    <row r="474" spans="1:48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47"/>
      <c r="H474" s="48"/>
      <c r="N474" s="39"/>
      <c r="Q474" s="43"/>
      <c r="R474" s="49"/>
      <c r="S474" s="50"/>
      <c r="U474" s="51"/>
      <c r="V474" s="46"/>
      <c r="W474" s="51" t="str">
        <f>IF(NOTA[[#This Row],[HARGA/ CTN]]="",NOTA[[#This Row],[JUMLAH_H]],NOTA[[#This Row],[HARGA/ CTN]]*IF(NOTA[[#This Row],[C]]="",0,NOTA[[#This Row],[C]]))</f>
        <v/>
      </c>
      <c r="X474" s="51" t="str">
        <f>IF(NOTA[[#This Row],[JUMLAH]]="","",NOTA[[#This Row],[JUMLAH]]*NOTA[[#This Row],[DISC 1]])</f>
        <v/>
      </c>
      <c r="Y474" s="51" t="str">
        <f>IF(NOTA[[#This Row],[JUMLAH]]="","",(NOTA[[#This Row],[JUMLAH]]-NOTA[[#This Row],[DISC 1-]])*NOTA[[#This Row],[DISC 2]])</f>
        <v/>
      </c>
      <c r="Z474" s="51" t="str">
        <f>IF(NOTA[[#This Row],[JUMLAH]]="","",NOTA[[#This Row],[DISC 1-]]+NOTA[[#This Row],[DISC 2-]])</f>
        <v/>
      </c>
      <c r="AA474" s="51" t="str">
        <f>IF(NOTA[[#This Row],[JUMLAH]]="","",NOTA[[#This Row],[JUMLAH]]-NOTA[[#This Row],[DISC]])</f>
        <v/>
      </c>
      <c r="AB474" s="51"/>
      <c r="AC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1" t="str">
        <f>IF(OR(NOTA[[#This Row],[QTY]]="",NOTA[[#This Row],[HARGA SATUAN]]="",),"",NOTA[[#This Row],[QTY]]*NOTA[[#This Row],[HARGA SATUAN]])</f>
        <v/>
      </c>
      <c r="AG474" s="40" t="str">
        <f ca="1">IF(NOTA[ID_H]="","",INDEX(NOTA[TANGGAL],MATCH(,INDIRECT(ADDRESS(ROW(NOTA[TANGGAL]),COLUMN(NOTA[TANGGAL]))&amp;":"&amp;ADDRESS(ROW(),COLUMN(NOTA[TANGGAL]))),-1)))</f>
        <v/>
      </c>
      <c r="AH474" s="42" t="str">
        <f ca="1">IF(NOTA[[#This Row],[NAMA BARANG]]="","",INDEX(NOTA[SUPPLIER],MATCH(,INDIRECT(ADDRESS(ROW(NOTA[ID]),COLUMN(NOTA[ID]))&amp;":"&amp;ADDRESS(ROW(),COLUMN(NOTA[ID]))),-1)))</f>
        <v/>
      </c>
      <c r="AI474" s="42" t="str">
        <f ca="1">IF(NOTA[[#This Row],[ID_H]]="","",IF(NOTA[[#This Row],[FAKTUR]]="",INDIRECT(ADDRESS(ROW()-1,COLUMN())),NOTA[[#This Row],[FAKTUR]]))</f>
        <v/>
      </c>
      <c r="AJ474" s="39" t="str">
        <f ca="1">IF(NOTA[[#This Row],[ID]]="","",COUNTIF(NOTA[ID_H],NOTA[[#This Row],[ID_H]]))</f>
        <v/>
      </c>
      <c r="AK474" s="39" t="str">
        <f ca="1">IF(NOTA[[#This Row],[TGL.NOTA]]="",IF(NOTA[[#This Row],[SUPPLIER_H]]="","",AK473),MONTH(NOTA[[#This Row],[TGL.NOTA]]))</f>
        <v/>
      </c>
      <c r="AL474" s="39" t="str">
        <f>LOWER(SUBSTITUTE(SUBSTITUTE(SUBSTITUTE(SUBSTITUTE(SUBSTITUTE(SUBSTITUTE(SUBSTITUTE(SUBSTITUTE(SUBSTITUTE(NOTA[NAMA BARANG]," ",),".",""),"-",""),"(",""),")",""),",",""),"/",""),"""",""),"+",""))</f>
        <v/>
      </c>
      <c r="AM4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9" t="str">
        <f>IF(NOTA[[#This Row],[CONCAT4]]="","",_xlfn.IFNA(MATCH(NOTA[[#This Row],[CONCAT4]],[2]!RAW[CONCAT_H],0),FALSE))</f>
        <v/>
      </c>
      <c r="AQ474" s="39" t="str">
        <f>IF(NOTA[[#This Row],[CONCAT1]]="","",MATCH(NOTA[[#This Row],[CONCAT1]],[3]!db[NB NOTA_C],0))</f>
        <v/>
      </c>
      <c r="AR474" s="39" t="str">
        <f>IF(NOTA[[#This Row],[QTY/ CTN]]="","",TRUE)</f>
        <v/>
      </c>
      <c r="AS474" s="39" t="str">
        <f ca="1">IF(NOTA[[#This Row],[ID_H]]="","",IF(NOTA[[#This Row],[Column3]]=TRUE,NOTA[[#This Row],[QTY/ CTN]],INDEX([3]!db[QTY/ CTN],NOTA[[#This Row],[//DB]])))</f>
        <v/>
      </c>
      <c r="AT4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9" t="str">
        <f ca="1">IF(NOTA[[#This Row],[ID_H]]="","",MATCH(NOTA[[#This Row],[NB NOTA_C_QTY]],[4]!db[NB NOTA_C_QTY+F],0))</f>
        <v/>
      </c>
      <c r="AV474" s="55" t="str">
        <f ca="1">IF(NOTA[[#This Row],[NB NOTA_C_QTY]]="","",ROW()-2)</f>
        <v/>
      </c>
    </row>
    <row r="475" spans="1:48" ht="20.100000000000001" customHeight="1" x14ac:dyDescent="0.25">
      <c r="A475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PUT_2007_039-1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100</v>
      </c>
      <c r="E475" s="47"/>
      <c r="F475" s="38" t="s">
        <v>567</v>
      </c>
      <c r="G475" s="38" t="s">
        <v>145</v>
      </c>
      <c r="H475" s="48" t="s">
        <v>568</v>
      </c>
      <c r="J475" s="40">
        <v>45124</v>
      </c>
      <c r="L475" s="38" t="s">
        <v>673</v>
      </c>
      <c r="M475" s="41">
        <v>28</v>
      </c>
      <c r="N475" s="39">
        <v>560</v>
      </c>
      <c r="O475" s="38" t="s">
        <v>210</v>
      </c>
      <c r="P475" s="42">
        <v>17000</v>
      </c>
      <c r="Q475" s="43"/>
      <c r="R475" s="49" t="s">
        <v>569</v>
      </c>
      <c r="S475" s="50">
        <v>0.2</v>
      </c>
      <c r="U475" s="51"/>
      <c r="V475" s="46"/>
      <c r="W475" s="51">
        <f>IF(NOTA[[#This Row],[HARGA/ CTN]]="",NOTA[[#This Row],[JUMLAH_H]],NOTA[[#This Row],[HARGA/ CTN]]*IF(NOTA[[#This Row],[C]]="",0,NOTA[[#This Row],[C]]))</f>
        <v>9520000</v>
      </c>
      <c r="X475" s="51">
        <f>IF(NOTA[[#This Row],[JUMLAH]]="","",NOTA[[#This Row],[JUMLAH]]*NOTA[[#This Row],[DISC 1]])</f>
        <v>1904000</v>
      </c>
      <c r="Y475" s="51">
        <f>IF(NOTA[[#This Row],[JUMLAH]]="","",(NOTA[[#This Row],[JUMLAH]]-NOTA[[#This Row],[DISC 1-]])*NOTA[[#This Row],[DISC 2]])</f>
        <v>0</v>
      </c>
      <c r="Z475" s="51">
        <f>IF(NOTA[[#This Row],[JUMLAH]]="","",NOTA[[#This Row],[DISC 1-]]+NOTA[[#This Row],[DISC 2-]])</f>
        <v>1904000</v>
      </c>
      <c r="AA475" s="51">
        <f>IF(NOTA[[#This Row],[JUMLAH]]="","",NOTA[[#This Row],[JUMLAH]]-NOTA[[#This Row],[DISC]])</f>
        <v>7616000</v>
      </c>
      <c r="AB475" s="51"/>
      <c r="AC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1904000</v>
      </c>
      <c r="AD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7616000</v>
      </c>
      <c r="AE475" s="42">
        <f>IF(NOTA[[#This Row],[NAMA BARANG]]="","",IF(NOTA[[#This Row],[JUMLAH_H]]="",NOTA[[#This Row],[HARGA/ CTN]],NOTA[[#This Row],[QTY]]*NOTA[[#This Row],[HARGA SATUAN]]/IF(ISNUMBER(NOTA[[#This Row],[C]]),NOTA[[#This Row],[C]],1)))</f>
        <v>340000</v>
      </c>
      <c r="AF475" s="51">
        <f>IF(OR(NOTA[[#This Row],[QTY]]="",NOTA[[#This Row],[HARGA SATUAN]]="",),"",NOTA[[#This Row],[QTY]]*NOTA[[#This Row],[HARGA SATUAN]])</f>
        <v>9520000</v>
      </c>
      <c r="AG475" s="40">
        <f ca="1">IF(NOTA[ID_H]="","",INDEX(NOTA[TANGGAL],MATCH(,INDIRECT(ADDRESS(ROW(NOTA[TANGGAL]),COLUMN(NOTA[TANGGAL]))&amp;":"&amp;ADDRESS(ROW(),COLUMN(NOTA[TANGGAL]))),-1)))</f>
        <v>45127</v>
      </c>
      <c r="AH475" s="42" t="str">
        <f ca="1">IF(NOTA[[#This Row],[NAMA BARANG]]="","",INDEX(NOTA[SUPPLIER],MATCH(,INDIRECT(ADDRESS(ROW(NOTA[ID]),COLUMN(NOTA[ID]))&amp;":"&amp;ADDRESS(ROW(),COLUMN(NOTA[ID]))),-1)))</f>
        <v>PUTRA SURYA MANDIRI</v>
      </c>
      <c r="AI475" s="42" t="str">
        <f ca="1">IF(NOTA[[#This Row],[ID_H]]="","",IF(NOTA[[#This Row],[FAKTUR]]="",INDIRECT(ADDRESS(ROW()-1,COLUMN())),NOTA[[#This Row],[FAKTUR]]))</f>
        <v>UNTANA</v>
      </c>
      <c r="AJ475" s="39">
        <f ca="1">IF(NOTA[[#This Row],[ID]]="","",COUNTIF(NOTA[ID_H],NOTA[[#This Row],[ID_H]]))</f>
        <v>1</v>
      </c>
      <c r="AK475" s="39">
        <f>IF(NOTA[[#This Row],[TGL.NOTA]]="",IF(NOTA[[#This Row],[SUPPLIER_H]]="","",AK474),MONTH(NOTA[[#This Row],[TGL.NOTA]]))</f>
        <v>7</v>
      </c>
      <c r="AL475" s="39" t="str">
        <f>LOWER(SUBSTITUTE(SUBSTITUTE(SUBSTITUTE(SUBSTITUTE(SUBSTITUTE(SUBSTITUTE(SUBSTITUTE(SUBSTITUTE(SUBSTITUTE(NOTA[NAMA BARANG]," ",),".",""),"-",""),"(",""),")",""),",",""),"/",""),"""",""),"+",""))</f>
        <v>baloncacing1022pompacpk2225</v>
      </c>
      <c r="AM4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baloncacing1022pompacpk22253400000.2</v>
      </c>
      <c r="AN4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baloncacing1022pompacpk22253400000.2</v>
      </c>
      <c r="AO475" s="39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MANDIRIUNTANAPSM-R230700003945124baloncacing1022pompacpk2225</v>
      </c>
      <c r="AP475" s="39" t="e">
        <f>IF(NOTA[[#This Row],[CONCAT4]]="","",_xlfn.IFNA(MATCH(NOTA[[#This Row],[CONCAT4]],[2]!RAW[CONCAT_H],0),FALSE))</f>
        <v>#REF!</v>
      </c>
      <c r="AQ475" s="39">
        <f>IF(NOTA[[#This Row],[CONCAT1]]="","",MATCH(NOTA[[#This Row],[CONCAT1]],[3]!db[NB NOTA_C],0))</f>
        <v>164</v>
      </c>
      <c r="AR475" s="39" t="b">
        <f>IF(NOTA[[#This Row],[QTY/ CTN]]="","",TRUE)</f>
        <v>1</v>
      </c>
      <c r="AS475" s="39" t="str">
        <f ca="1">IF(NOTA[[#This Row],[ID_H]]="","",IF(NOTA[[#This Row],[Column3]]=TRUE,NOTA[[#This Row],[QTY/ CTN]],INDEX([3]!db[QTY/ CTN],NOTA[[#This Row],[//DB]])))</f>
        <v>20 PAK</v>
      </c>
      <c r="AT4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baloncacing1022pompacpk222520pakuntana</v>
      </c>
      <c r="AU475" s="39" t="e">
        <f ca="1">IF(NOTA[[#This Row],[ID_H]]="","",MATCH(NOTA[[#This Row],[NB NOTA_C_QTY]],[4]!db[NB NOTA_C_QTY+F],0))</f>
        <v>#REF!</v>
      </c>
      <c r="AV475" s="55">
        <f ca="1">IF(NOTA[[#This Row],[NB NOTA_C_QTY]]="","",ROW()-2)</f>
        <v>473</v>
      </c>
    </row>
    <row r="476" spans="1:48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 t="str">
        <f ca="1">IF(NOTA[[#This Row],[NAMA BARANG]]="","",INDEX(NOTA[ID],MATCH(,INDIRECT(ADDRESS(ROW(NOTA[ID]),COLUMN(NOTA[ID]))&amp;":"&amp;ADDRESS(ROW(),COLUMN(NOTA[ID]))),-1)))</f>
        <v/>
      </c>
      <c r="E476" s="47"/>
      <c r="H476" s="48"/>
      <c r="N476" s="39"/>
      <c r="Q476" s="43"/>
      <c r="R476" s="49"/>
      <c r="S476" s="50"/>
      <c r="U476" s="51"/>
      <c r="V476" s="46"/>
      <c r="W476" s="51" t="str">
        <f>IF(NOTA[[#This Row],[HARGA/ CTN]]="",NOTA[[#This Row],[JUMLAH_H]],NOTA[[#This Row],[HARGA/ CTN]]*IF(NOTA[[#This Row],[C]]="",0,NOTA[[#This Row],[C]]))</f>
        <v/>
      </c>
      <c r="X476" s="51" t="str">
        <f>IF(NOTA[[#This Row],[JUMLAH]]="","",NOTA[[#This Row],[JUMLAH]]*NOTA[[#This Row],[DISC 1]])</f>
        <v/>
      </c>
      <c r="Y476" s="51" t="str">
        <f>IF(NOTA[[#This Row],[JUMLAH]]="","",(NOTA[[#This Row],[JUMLAH]]-NOTA[[#This Row],[DISC 1-]])*NOTA[[#This Row],[DISC 2]])</f>
        <v/>
      </c>
      <c r="Z476" s="51" t="str">
        <f>IF(NOTA[[#This Row],[JUMLAH]]="","",NOTA[[#This Row],[DISC 1-]]+NOTA[[#This Row],[DISC 2-]])</f>
        <v/>
      </c>
      <c r="AA476" s="51" t="str">
        <f>IF(NOTA[[#This Row],[JUMLAH]]="","",NOTA[[#This Row],[JUMLAH]]-NOTA[[#This Row],[DISC]])</f>
        <v/>
      </c>
      <c r="AB476" s="51"/>
      <c r="AC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1" t="str">
        <f>IF(OR(NOTA[[#This Row],[QTY]]="",NOTA[[#This Row],[HARGA SATUAN]]="",),"",NOTA[[#This Row],[QTY]]*NOTA[[#This Row],[HARGA SATUAN]])</f>
        <v/>
      </c>
      <c r="AG476" s="40" t="str">
        <f ca="1">IF(NOTA[ID_H]="","",INDEX(NOTA[TANGGAL],MATCH(,INDIRECT(ADDRESS(ROW(NOTA[TANGGAL]),COLUMN(NOTA[TANGGAL]))&amp;":"&amp;ADDRESS(ROW(),COLUMN(NOTA[TANGGAL]))),-1)))</f>
        <v/>
      </c>
      <c r="AH476" s="42" t="str">
        <f ca="1">IF(NOTA[[#This Row],[NAMA BARANG]]="","",INDEX(NOTA[SUPPLIER],MATCH(,INDIRECT(ADDRESS(ROW(NOTA[ID]),COLUMN(NOTA[ID]))&amp;":"&amp;ADDRESS(ROW(),COLUMN(NOTA[ID]))),-1)))</f>
        <v/>
      </c>
      <c r="AI476" s="42" t="str">
        <f ca="1">IF(NOTA[[#This Row],[ID_H]]="","",IF(NOTA[[#This Row],[FAKTUR]]="",INDIRECT(ADDRESS(ROW()-1,COLUMN())),NOTA[[#This Row],[FAKTUR]]))</f>
        <v/>
      </c>
      <c r="AJ476" s="39" t="str">
        <f ca="1">IF(NOTA[[#This Row],[ID]]="","",COUNTIF(NOTA[ID_H],NOTA[[#This Row],[ID_H]]))</f>
        <v/>
      </c>
      <c r="AK476" s="39" t="str">
        <f ca="1">IF(NOTA[[#This Row],[TGL.NOTA]]="",IF(NOTA[[#This Row],[SUPPLIER_H]]="","",AK475),MONTH(NOTA[[#This Row],[TGL.NOTA]]))</f>
        <v/>
      </c>
      <c r="AL476" s="39" t="str">
        <f>LOWER(SUBSTITUTE(SUBSTITUTE(SUBSTITUTE(SUBSTITUTE(SUBSTITUTE(SUBSTITUTE(SUBSTITUTE(SUBSTITUTE(SUBSTITUTE(NOTA[NAMA BARANG]," ",),".",""),"-",""),"(",""),")",""),",",""),"/",""),"""",""),"+",""))</f>
        <v/>
      </c>
      <c r="AM4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9" t="str">
        <f>IF(NOTA[[#This Row],[CONCAT4]]="","",_xlfn.IFNA(MATCH(NOTA[[#This Row],[CONCAT4]],[2]!RAW[CONCAT_H],0),FALSE))</f>
        <v/>
      </c>
      <c r="AQ476" s="39" t="str">
        <f>IF(NOTA[[#This Row],[CONCAT1]]="","",MATCH(NOTA[[#This Row],[CONCAT1]],[3]!db[NB NOTA_C],0))</f>
        <v/>
      </c>
      <c r="AR476" s="39" t="str">
        <f>IF(NOTA[[#This Row],[QTY/ CTN]]="","",TRUE)</f>
        <v/>
      </c>
      <c r="AS476" s="39" t="str">
        <f ca="1">IF(NOTA[[#This Row],[ID_H]]="","",IF(NOTA[[#This Row],[Column3]]=TRUE,NOTA[[#This Row],[QTY/ CTN]],INDEX([3]!db[QTY/ CTN],NOTA[[#This Row],[//DB]])))</f>
        <v/>
      </c>
      <c r="AT4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9" t="str">
        <f ca="1">IF(NOTA[[#This Row],[ID_H]]="","",MATCH(NOTA[[#This Row],[NB NOTA_C_QTY]],[4]!db[NB NOTA_C_QTY+F],0))</f>
        <v/>
      </c>
      <c r="AV476" s="55" t="str">
        <f ca="1">IF(NOTA[[#This Row],[NB NOTA_C_QTY]]="","",ROW()-2)</f>
        <v/>
      </c>
    </row>
    <row r="477" spans="1:48" ht="20.100000000000001" customHeight="1" x14ac:dyDescent="0.25">
      <c r="A477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99J_2007_023-7</v>
      </c>
      <c r="C477" s="39" t="e">
        <f ca="1">IF(NOTA[[#This Row],[ID_P]]="","",MATCH(NOTA[[#This Row],[ID_P]],[1]!B_MSK[N_ID],0))</f>
        <v>#REF!</v>
      </c>
      <c r="D477" s="39">
        <f ca="1">IF(NOTA[[#This Row],[NAMA BARANG]]="","",INDEX(NOTA[ID],MATCH(,INDIRECT(ADDRESS(ROW(NOTA[ID]),COLUMN(NOTA[ID]))&amp;":"&amp;ADDRESS(ROW(),COLUMN(NOTA[ID]))),-1)))</f>
        <v>101</v>
      </c>
      <c r="E477" s="47"/>
      <c r="F477" s="38" t="s">
        <v>25</v>
      </c>
      <c r="G477" s="38" t="s">
        <v>23</v>
      </c>
      <c r="H477" s="48" t="s">
        <v>570</v>
      </c>
      <c r="J477" s="40">
        <v>45125</v>
      </c>
      <c r="L477" s="38" t="s">
        <v>571</v>
      </c>
      <c r="M477" s="41">
        <v>5</v>
      </c>
      <c r="N477" s="39">
        <v>1800</v>
      </c>
      <c r="O477" s="38" t="s">
        <v>152</v>
      </c>
      <c r="P477" s="42">
        <v>8100</v>
      </c>
      <c r="Q477" s="43"/>
      <c r="R477" s="49" t="s">
        <v>572</v>
      </c>
      <c r="S477" s="50"/>
      <c r="U477" s="51"/>
      <c r="V477" s="46"/>
      <c r="W477" s="51">
        <f>IF(NOTA[[#This Row],[HARGA/ CTN]]="",NOTA[[#This Row],[JUMLAH_H]],NOTA[[#This Row],[HARGA/ CTN]]*IF(NOTA[[#This Row],[C]]="",0,NOTA[[#This Row],[C]]))</f>
        <v>14580000</v>
      </c>
      <c r="X477" s="51">
        <f>IF(NOTA[[#This Row],[JUMLAH]]="","",NOTA[[#This Row],[JUMLAH]]*NOTA[[#This Row],[DISC 1]])</f>
        <v>0</v>
      </c>
      <c r="Y477" s="51">
        <f>IF(NOTA[[#This Row],[JUMLAH]]="","",(NOTA[[#This Row],[JUMLAH]]-NOTA[[#This Row],[DISC 1-]])*NOTA[[#This Row],[DISC 2]])</f>
        <v>0</v>
      </c>
      <c r="Z477" s="51">
        <f>IF(NOTA[[#This Row],[JUMLAH]]="","",NOTA[[#This Row],[DISC 1-]]+NOTA[[#This Row],[DISC 2-]])</f>
        <v>0</v>
      </c>
      <c r="AA477" s="51">
        <f>IF(NOTA[[#This Row],[JUMLAH]]="","",NOTA[[#This Row],[JUMLAH]]-NOTA[[#This Row],[DISC]])</f>
        <v>14580000</v>
      </c>
      <c r="AB477" s="51"/>
      <c r="AC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2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477" s="51">
        <f>IF(OR(NOTA[[#This Row],[QTY]]="",NOTA[[#This Row],[HARGA SATUAN]]="",),"",NOTA[[#This Row],[QTY]]*NOTA[[#This Row],[HARGA SATUAN]])</f>
        <v>14580000</v>
      </c>
      <c r="AG477" s="40">
        <f ca="1">IF(NOTA[ID_H]="","",INDEX(NOTA[TANGGAL],MATCH(,INDIRECT(ADDRESS(ROW(NOTA[TANGGAL]),COLUMN(NOTA[TANGGAL]))&amp;":"&amp;ADDRESS(ROW(),COLUMN(NOTA[TANGGAL]))),-1)))</f>
        <v>45127</v>
      </c>
      <c r="AH477" s="42" t="str">
        <f ca="1">IF(NOTA[[#This Row],[NAMA BARANG]]="","",INDEX(NOTA[SUPPLIER],MATCH(,INDIRECT(ADDRESS(ROW(NOTA[ID]),COLUMN(NOTA[ID]))&amp;":"&amp;ADDRESS(ROW(),COLUMN(NOTA[ID]))),-1)))</f>
        <v>99 JAYA UTAMA</v>
      </c>
      <c r="AI477" s="42" t="str">
        <f ca="1">IF(NOTA[[#This Row],[ID_H]]="","",IF(NOTA[[#This Row],[FAKTUR]]="",INDIRECT(ADDRESS(ROW()-1,COLUMN())),NOTA[[#This Row],[FAKTUR]]))</f>
        <v>ARTO MORO</v>
      </c>
      <c r="AJ477" s="39">
        <f ca="1">IF(NOTA[[#This Row],[ID]]="","",COUNTIF(NOTA[ID_H],NOTA[[#This Row],[ID_H]]))</f>
        <v>7</v>
      </c>
      <c r="AK477" s="39">
        <f>IF(NOTA[[#This Row],[TGL.NOTA]]="",IF(NOTA[[#This Row],[SUPPLIER_H]]="","",AK476),MONTH(NOTA[[#This Row],[TGL.NOTA]]))</f>
        <v>7</v>
      </c>
      <c r="AL477" s="39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4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4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477" s="39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MOROJUG430/2345125pensilkayagi2bcoklatkyof122b2</v>
      </c>
      <c r="AP477" s="39" t="e">
        <f>IF(NOTA[[#This Row],[CONCAT4]]="","",_xlfn.IFNA(MATCH(NOTA[[#This Row],[CONCAT4]],[2]!RAW[CONCAT_H],0),FALSE))</f>
        <v>#REF!</v>
      </c>
      <c r="AQ477" s="39">
        <f>IF(NOTA[[#This Row],[CONCAT1]]="","",MATCH(NOTA[[#This Row],[CONCAT1]],[3]!db[NB NOTA_C],0))</f>
        <v>2166</v>
      </c>
      <c r="AR477" s="39" t="b">
        <f>IF(NOTA[[#This Row],[QTY/ CTN]]="","",TRUE)</f>
        <v>1</v>
      </c>
      <c r="AS477" s="39" t="str">
        <f ca="1">IF(NOTA[[#This Row],[ID_H]]="","",IF(NOTA[[#This Row],[Column3]]=TRUE,NOTA[[#This Row],[QTY/ CTN]],INDEX([3]!db[QTY/ CTN],NOTA[[#This Row],[//DB]])))</f>
        <v>360 LSN</v>
      </c>
      <c r="AT4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pensilkayagi2bcoklatkyof122b2360lsnartomoro</v>
      </c>
      <c r="AU477" s="39" t="e">
        <f ca="1">IF(NOTA[[#This Row],[ID_H]]="","",MATCH(NOTA[[#This Row],[NB NOTA_C_QTY]],[4]!db[NB NOTA_C_QTY+F],0))</f>
        <v>#REF!</v>
      </c>
      <c r="AV477" s="55">
        <f ca="1">IF(NOTA[[#This Row],[NB NOTA_C_QTY]]="","",ROW()-2)</f>
        <v>475</v>
      </c>
    </row>
    <row r="478" spans="1:48" ht="20.100000000000001" customHeight="1" x14ac:dyDescent="0.25">
      <c r="A4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101</v>
      </c>
      <c r="E478" s="47"/>
      <c r="H478" s="48"/>
      <c r="L478" s="38" t="s">
        <v>573</v>
      </c>
      <c r="M478" s="41">
        <v>1</v>
      </c>
      <c r="N478" s="39">
        <v>360</v>
      </c>
      <c r="O478" s="38" t="s">
        <v>152</v>
      </c>
      <c r="P478" s="42">
        <v>7700</v>
      </c>
      <c r="Q478" s="43"/>
      <c r="R478" s="49" t="s">
        <v>572</v>
      </c>
      <c r="S478" s="50"/>
      <c r="U478" s="51"/>
      <c r="V478" s="46"/>
      <c r="W478" s="51">
        <f>IF(NOTA[[#This Row],[HARGA/ CTN]]="",NOTA[[#This Row],[JUMLAH_H]],NOTA[[#This Row],[HARGA/ CTN]]*IF(NOTA[[#This Row],[C]]="",0,NOTA[[#This Row],[C]]))</f>
        <v>2772000</v>
      </c>
      <c r="X478" s="51">
        <f>IF(NOTA[[#This Row],[JUMLAH]]="","",NOTA[[#This Row],[JUMLAH]]*NOTA[[#This Row],[DISC 1]])</f>
        <v>0</v>
      </c>
      <c r="Y478" s="51">
        <f>IF(NOTA[[#This Row],[JUMLAH]]="","",(NOTA[[#This Row],[JUMLAH]]-NOTA[[#This Row],[DISC 1-]])*NOTA[[#This Row],[DISC 2]])</f>
        <v>0</v>
      </c>
      <c r="Z478" s="51">
        <f>IF(NOTA[[#This Row],[JUMLAH]]="","",NOTA[[#This Row],[DISC 1-]]+NOTA[[#This Row],[DISC 2-]])</f>
        <v>0</v>
      </c>
      <c r="AA478" s="51">
        <f>IF(NOTA[[#This Row],[JUMLAH]]="","",NOTA[[#This Row],[JUMLAH]]-NOTA[[#This Row],[DISC]])</f>
        <v>2772000</v>
      </c>
      <c r="AB478" s="51"/>
      <c r="AC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8" s="51">
        <f>IF(OR(NOTA[[#This Row],[QTY]]="",NOTA[[#This Row],[HARGA SATUAN]]="",),"",NOTA[[#This Row],[QTY]]*NOTA[[#This Row],[HARGA SATUAN]])</f>
        <v>2772000</v>
      </c>
      <c r="AG478" s="40">
        <f ca="1">IF(NOTA[ID_H]="","",INDEX(NOTA[TANGGAL],MATCH(,INDIRECT(ADDRESS(ROW(NOTA[TANGGAL]),COLUMN(NOTA[TANGGAL]))&amp;":"&amp;ADDRESS(ROW(),COLUMN(NOTA[TANGGAL]))),-1)))</f>
        <v>45127</v>
      </c>
      <c r="AH478" s="42" t="str">
        <f ca="1">IF(NOTA[[#This Row],[NAMA BARANG]]="","",INDEX(NOTA[SUPPLIER],MATCH(,INDIRECT(ADDRESS(ROW(NOTA[ID]),COLUMN(NOTA[ID]))&amp;":"&amp;ADDRESS(ROW(),COLUMN(NOTA[ID]))),-1)))</f>
        <v>99 JAYA UTAMA</v>
      </c>
      <c r="AI478" s="42" t="str">
        <f ca="1">IF(NOTA[[#This Row],[ID_H]]="","",IF(NOTA[[#This Row],[FAKTUR]]="",INDIRECT(ADDRESS(ROW()-1,COLUMN())),NOTA[[#This Row],[FAKTUR]]))</f>
        <v>ARTO MORO</v>
      </c>
      <c r="AJ478" s="39" t="str">
        <f ca="1">IF(NOTA[[#This Row],[ID]]="","",COUNTIF(NOTA[ID_H],NOTA[[#This Row],[ID_H]]))</f>
        <v/>
      </c>
      <c r="AK478" s="39">
        <f ca="1">IF(NOTA[[#This Row],[TGL.NOTA]]="",IF(NOTA[[#This Row],[SUPPLIER_H]]="","",AK477),MONTH(NOTA[[#This Row],[TGL.NOTA]]))</f>
        <v>7</v>
      </c>
      <c r="AL478" s="39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4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4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4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9" t="str">
        <f>IF(NOTA[[#This Row],[CONCAT4]]="","",_xlfn.IFNA(MATCH(NOTA[[#This Row],[CONCAT4]],[2]!RAW[CONCAT_H],0),FALSE))</f>
        <v/>
      </c>
      <c r="AQ478" s="39">
        <f>IF(NOTA[[#This Row],[CONCAT1]]="","",MATCH(NOTA[[#This Row],[CONCAT1]],[3]!db[NB NOTA_C],0))</f>
        <v>2155</v>
      </c>
      <c r="AR478" s="39" t="b">
        <f>IF(NOTA[[#This Row],[QTY/ CTN]]="","",TRUE)</f>
        <v>1</v>
      </c>
      <c r="AS478" s="39" t="str">
        <f ca="1">IF(NOTA[[#This Row],[ID_H]]="","",IF(NOTA[[#This Row],[Column3]]=TRUE,NOTA[[#This Row],[QTY/ CTN]],INDEX([3]!db[QTY/ CTN],NOTA[[#This Row],[//DB]])))</f>
        <v>360 LSN</v>
      </c>
      <c r="AT4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pensil2bfancykypf3051360lsnartomoro</v>
      </c>
      <c r="AU478" s="39" t="e">
        <f ca="1">IF(NOTA[[#This Row],[ID_H]]="","",MATCH(NOTA[[#This Row],[NB NOTA_C_QTY]],[4]!db[NB NOTA_C_QTY+F],0))</f>
        <v>#REF!</v>
      </c>
      <c r="AV478" s="55">
        <f ca="1">IF(NOTA[[#This Row],[NB NOTA_C_QTY]]="","",ROW()-2)</f>
        <v>476</v>
      </c>
    </row>
    <row r="479" spans="1:48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101</v>
      </c>
      <c r="E479" s="47"/>
      <c r="H479" s="48"/>
      <c r="L479" s="38" t="s">
        <v>574</v>
      </c>
      <c r="M479" s="41">
        <v>1</v>
      </c>
      <c r="N479" s="39">
        <v>360</v>
      </c>
      <c r="O479" s="38" t="s">
        <v>152</v>
      </c>
      <c r="P479" s="42">
        <v>7700</v>
      </c>
      <c r="Q479" s="43"/>
      <c r="R479" s="49" t="s">
        <v>572</v>
      </c>
      <c r="S479" s="50"/>
      <c r="U479" s="51"/>
      <c r="V479" s="46"/>
      <c r="W479" s="51">
        <f>IF(NOTA[[#This Row],[HARGA/ CTN]]="",NOTA[[#This Row],[JUMLAH_H]],NOTA[[#This Row],[HARGA/ CTN]]*IF(NOTA[[#This Row],[C]]="",0,NOTA[[#This Row],[C]]))</f>
        <v>2772000</v>
      </c>
      <c r="X479" s="51">
        <f>IF(NOTA[[#This Row],[JUMLAH]]="","",NOTA[[#This Row],[JUMLAH]]*NOTA[[#This Row],[DISC 1]])</f>
        <v>0</v>
      </c>
      <c r="Y479" s="51">
        <f>IF(NOTA[[#This Row],[JUMLAH]]="","",(NOTA[[#This Row],[JUMLAH]]-NOTA[[#This Row],[DISC 1-]])*NOTA[[#This Row],[DISC 2]])</f>
        <v>0</v>
      </c>
      <c r="Z479" s="51">
        <f>IF(NOTA[[#This Row],[JUMLAH]]="","",NOTA[[#This Row],[DISC 1-]]+NOTA[[#This Row],[DISC 2-]])</f>
        <v>0</v>
      </c>
      <c r="AA479" s="51">
        <f>IF(NOTA[[#This Row],[JUMLAH]]="","",NOTA[[#This Row],[JUMLAH]]-NOTA[[#This Row],[DISC]])</f>
        <v>2772000</v>
      </c>
      <c r="AB479" s="51"/>
      <c r="AC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9" s="51">
        <f>IF(OR(NOTA[[#This Row],[QTY]]="",NOTA[[#This Row],[HARGA SATUAN]]="",),"",NOTA[[#This Row],[QTY]]*NOTA[[#This Row],[HARGA SATUAN]])</f>
        <v>2772000</v>
      </c>
      <c r="AG479" s="40">
        <f ca="1">IF(NOTA[ID_H]="","",INDEX(NOTA[TANGGAL],MATCH(,INDIRECT(ADDRESS(ROW(NOTA[TANGGAL]),COLUMN(NOTA[TANGGAL]))&amp;":"&amp;ADDRESS(ROW(),COLUMN(NOTA[TANGGAL]))),-1)))</f>
        <v>45127</v>
      </c>
      <c r="AH479" s="42" t="str">
        <f ca="1">IF(NOTA[[#This Row],[NAMA BARANG]]="","",INDEX(NOTA[SUPPLIER],MATCH(,INDIRECT(ADDRESS(ROW(NOTA[ID]),COLUMN(NOTA[ID]))&amp;":"&amp;ADDRESS(ROW(),COLUMN(NOTA[ID]))),-1)))</f>
        <v>99 JAYA UTAMA</v>
      </c>
      <c r="AI479" s="42" t="str">
        <f ca="1">IF(NOTA[[#This Row],[ID_H]]="","",IF(NOTA[[#This Row],[FAKTUR]]="",INDIRECT(ADDRESS(ROW()-1,COLUMN())),NOTA[[#This Row],[FAKTUR]]))</f>
        <v>ARTO MORO</v>
      </c>
      <c r="AJ479" s="39" t="str">
        <f ca="1">IF(NOTA[[#This Row],[ID]]="","",COUNTIF(NOTA[ID_H],NOTA[[#This Row],[ID_H]]))</f>
        <v/>
      </c>
      <c r="AK479" s="39">
        <f ca="1">IF(NOTA[[#This Row],[TGL.NOTA]]="",IF(NOTA[[#This Row],[SUPPLIER_H]]="","",AK478),MONTH(NOTA[[#This Row],[TGL.NOTA]]))</f>
        <v>7</v>
      </c>
      <c r="AL479" s="39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4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4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4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9" t="str">
        <f>IF(NOTA[[#This Row],[CONCAT4]]="","",_xlfn.IFNA(MATCH(NOTA[[#This Row],[CONCAT4]],[2]!RAW[CONCAT_H],0),FALSE))</f>
        <v/>
      </c>
      <c r="AQ479" s="39">
        <f>IF(NOTA[[#This Row],[CONCAT1]]="","",MATCH(NOTA[[#This Row],[CONCAT1]],[3]!db[NB NOTA_C],0))</f>
        <v>2159</v>
      </c>
      <c r="AR479" s="39" t="b">
        <f>IF(NOTA[[#This Row],[QTY/ CTN]]="","",TRUE)</f>
        <v>1</v>
      </c>
      <c r="AS479" s="39" t="str">
        <f ca="1">IF(NOTA[[#This Row],[ID_H]]="","",IF(NOTA[[#This Row],[Column3]]=TRUE,NOTA[[#This Row],[QTY/ CTN]],INDEX([3]!db[QTY/ CTN],NOTA[[#This Row],[//DB]])))</f>
        <v>360 LSN</v>
      </c>
      <c r="AT4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pensil2bfancykypf3065360lsnartomoro</v>
      </c>
      <c r="AU479" s="39" t="e">
        <f ca="1">IF(NOTA[[#This Row],[ID_H]]="","",MATCH(NOTA[[#This Row],[NB NOTA_C_QTY]],[4]!db[NB NOTA_C_QTY+F],0))</f>
        <v>#REF!</v>
      </c>
      <c r="AV479" s="55">
        <f ca="1">IF(NOTA[[#This Row],[NB NOTA_C_QTY]]="","",ROW()-2)</f>
        <v>477</v>
      </c>
    </row>
    <row r="480" spans="1:48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101</v>
      </c>
      <c r="E480" s="47"/>
      <c r="H480" s="48"/>
      <c r="L480" s="38" t="s">
        <v>575</v>
      </c>
      <c r="M480" s="41">
        <v>1</v>
      </c>
      <c r="N480" s="39">
        <v>360</v>
      </c>
      <c r="O480" s="38" t="s">
        <v>152</v>
      </c>
      <c r="P480" s="42">
        <v>7700</v>
      </c>
      <c r="Q480" s="43"/>
      <c r="R480" s="49" t="s">
        <v>572</v>
      </c>
      <c r="S480" s="50"/>
      <c r="U480" s="51"/>
      <c r="V480" s="46"/>
      <c r="W480" s="51">
        <f>IF(NOTA[[#This Row],[HARGA/ CTN]]="",NOTA[[#This Row],[JUMLAH_H]],NOTA[[#This Row],[HARGA/ CTN]]*IF(NOTA[[#This Row],[C]]="",0,NOTA[[#This Row],[C]]))</f>
        <v>2772000</v>
      </c>
      <c r="X480" s="51">
        <f>IF(NOTA[[#This Row],[JUMLAH]]="","",NOTA[[#This Row],[JUMLAH]]*NOTA[[#This Row],[DISC 1]])</f>
        <v>0</v>
      </c>
      <c r="Y480" s="51">
        <f>IF(NOTA[[#This Row],[JUMLAH]]="","",(NOTA[[#This Row],[JUMLAH]]-NOTA[[#This Row],[DISC 1-]])*NOTA[[#This Row],[DISC 2]])</f>
        <v>0</v>
      </c>
      <c r="Z480" s="51">
        <f>IF(NOTA[[#This Row],[JUMLAH]]="","",NOTA[[#This Row],[DISC 1-]]+NOTA[[#This Row],[DISC 2-]])</f>
        <v>0</v>
      </c>
      <c r="AA480" s="51">
        <f>IF(NOTA[[#This Row],[JUMLAH]]="","",NOTA[[#This Row],[JUMLAH]]-NOTA[[#This Row],[DISC]])</f>
        <v>2772000</v>
      </c>
      <c r="AB480" s="51"/>
      <c r="AC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0" s="51">
        <f>IF(OR(NOTA[[#This Row],[QTY]]="",NOTA[[#This Row],[HARGA SATUAN]]="",),"",NOTA[[#This Row],[QTY]]*NOTA[[#This Row],[HARGA SATUAN]])</f>
        <v>2772000</v>
      </c>
      <c r="AG480" s="40">
        <f ca="1">IF(NOTA[ID_H]="","",INDEX(NOTA[TANGGAL],MATCH(,INDIRECT(ADDRESS(ROW(NOTA[TANGGAL]),COLUMN(NOTA[TANGGAL]))&amp;":"&amp;ADDRESS(ROW(),COLUMN(NOTA[TANGGAL]))),-1)))</f>
        <v>45127</v>
      </c>
      <c r="AH480" s="42" t="str">
        <f ca="1">IF(NOTA[[#This Row],[NAMA BARANG]]="","",INDEX(NOTA[SUPPLIER],MATCH(,INDIRECT(ADDRESS(ROW(NOTA[ID]),COLUMN(NOTA[ID]))&amp;":"&amp;ADDRESS(ROW(),COLUMN(NOTA[ID]))),-1)))</f>
        <v>99 JAYA UTAMA</v>
      </c>
      <c r="AI480" s="42" t="str">
        <f ca="1">IF(NOTA[[#This Row],[ID_H]]="","",IF(NOTA[[#This Row],[FAKTUR]]="",INDIRECT(ADDRESS(ROW()-1,COLUMN())),NOTA[[#This Row],[FAKTUR]]))</f>
        <v>ARTO MORO</v>
      </c>
      <c r="AJ480" s="39" t="str">
        <f ca="1">IF(NOTA[[#This Row],[ID]]="","",COUNTIF(NOTA[ID_H],NOTA[[#This Row],[ID_H]]))</f>
        <v/>
      </c>
      <c r="AK480" s="39">
        <f ca="1">IF(NOTA[[#This Row],[TGL.NOTA]]="",IF(NOTA[[#This Row],[SUPPLIER_H]]="","",AK479),MONTH(NOTA[[#This Row],[TGL.NOTA]]))</f>
        <v>7</v>
      </c>
      <c r="AL480" s="39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4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4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4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9" t="str">
        <f>IF(NOTA[[#This Row],[CONCAT4]]="","",_xlfn.IFNA(MATCH(NOTA[[#This Row],[CONCAT4]],[2]!RAW[CONCAT_H],0),FALSE))</f>
        <v/>
      </c>
      <c r="AQ480" s="39">
        <f>IF(NOTA[[#This Row],[CONCAT1]]="","",MATCH(NOTA[[#This Row],[CONCAT1]],[3]!db[NB NOTA_C],0))</f>
        <v>2164</v>
      </c>
      <c r="AR480" s="39" t="b">
        <f>IF(NOTA[[#This Row],[QTY/ CTN]]="","",TRUE)</f>
        <v>1</v>
      </c>
      <c r="AS480" s="39" t="str">
        <f ca="1">IF(NOTA[[#This Row],[ID_H]]="","",IF(NOTA[[#This Row],[Column3]]=TRUE,NOTA[[#This Row],[QTY/ CTN]],INDEX([3]!db[QTY/ CTN],NOTA[[#This Row],[//DB]])))</f>
        <v>360 LSN</v>
      </c>
      <c r="AT4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pensil2bkayagifancykypf3063360lsnartomoro</v>
      </c>
      <c r="AU480" s="39" t="e">
        <f ca="1">IF(NOTA[[#This Row],[ID_H]]="","",MATCH(NOTA[[#This Row],[NB NOTA_C_QTY]],[4]!db[NB NOTA_C_QTY+F],0))</f>
        <v>#REF!</v>
      </c>
      <c r="AV480" s="55">
        <f ca="1">IF(NOTA[[#This Row],[NB NOTA_C_QTY]]="","",ROW()-2)</f>
        <v>478</v>
      </c>
    </row>
    <row r="481" spans="1:48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101</v>
      </c>
      <c r="E481" s="47"/>
      <c r="H481" s="48"/>
      <c r="L481" s="38" t="s">
        <v>576</v>
      </c>
      <c r="M481" s="41">
        <v>1</v>
      </c>
      <c r="N481" s="39">
        <v>360</v>
      </c>
      <c r="O481" s="38" t="s">
        <v>152</v>
      </c>
      <c r="P481" s="42">
        <v>7700</v>
      </c>
      <c r="Q481" s="43"/>
      <c r="R481" s="49" t="s">
        <v>572</v>
      </c>
      <c r="S481" s="50"/>
      <c r="U481" s="51"/>
      <c r="V481" s="46"/>
      <c r="W481" s="51">
        <f>IF(NOTA[[#This Row],[HARGA/ CTN]]="",NOTA[[#This Row],[JUMLAH_H]],NOTA[[#This Row],[HARGA/ CTN]]*IF(NOTA[[#This Row],[C]]="",0,NOTA[[#This Row],[C]]))</f>
        <v>2772000</v>
      </c>
      <c r="X481" s="51">
        <f>IF(NOTA[[#This Row],[JUMLAH]]="","",NOTA[[#This Row],[JUMLAH]]*NOTA[[#This Row],[DISC 1]])</f>
        <v>0</v>
      </c>
      <c r="Y481" s="51">
        <f>IF(NOTA[[#This Row],[JUMLAH]]="","",(NOTA[[#This Row],[JUMLAH]]-NOTA[[#This Row],[DISC 1-]])*NOTA[[#This Row],[DISC 2]])</f>
        <v>0</v>
      </c>
      <c r="Z481" s="51">
        <f>IF(NOTA[[#This Row],[JUMLAH]]="","",NOTA[[#This Row],[DISC 1-]]+NOTA[[#This Row],[DISC 2-]])</f>
        <v>0</v>
      </c>
      <c r="AA481" s="51">
        <f>IF(NOTA[[#This Row],[JUMLAH]]="","",NOTA[[#This Row],[JUMLAH]]-NOTA[[#This Row],[DISC]])</f>
        <v>2772000</v>
      </c>
      <c r="AB481" s="51"/>
      <c r="AC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1" s="51">
        <f>IF(OR(NOTA[[#This Row],[QTY]]="",NOTA[[#This Row],[HARGA SATUAN]]="",),"",NOTA[[#This Row],[QTY]]*NOTA[[#This Row],[HARGA SATUAN]])</f>
        <v>2772000</v>
      </c>
      <c r="AG481" s="40">
        <f ca="1">IF(NOTA[ID_H]="","",INDEX(NOTA[TANGGAL],MATCH(,INDIRECT(ADDRESS(ROW(NOTA[TANGGAL]),COLUMN(NOTA[TANGGAL]))&amp;":"&amp;ADDRESS(ROW(),COLUMN(NOTA[TANGGAL]))),-1)))</f>
        <v>45127</v>
      </c>
      <c r="AH481" s="42" t="str">
        <f ca="1">IF(NOTA[[#This Row],[NAMA BARANG]]="","",INDEX(NOTA[SUPPLIER],MATCH(,INDIRECT(ADDRESS(ROW(NOTA[ID]),COLUMN(NOTA[ID]))&amp;":"&amp;ADDRESS(ROW(),COLUMN(NOTA[ID]))),-1)))</f>
        <v>99 JAYA UTAMA</v>
      </c>
      <c r="AI481" s="42" t="str">
        <f ca="1">IF(NOTA[[#This Row],[ID_H]]="","",IF(NOTA[[#This Row],[FAKTUR]]="",INDIRECT(ADDRESS(ROW()-1,COLUMN())),NOTA[[#This Row],[FAKTUR]]))</f>
        <v>ARTO MORO</v>
      </c>
      <c r="AJ481" s="39" t="str">
        <f ca="1">IF(NOTA[[#This Row],[ID]]="","",COUNTIF(NOTA[ID_H],NOTA[[#This Row],[ID_H]]))</f>
        <v/>
      </c>
      <c r="AK481" s="39">
        <f ca="1">IF(NOTA[[#This Row],[TGL.NOTA]]="",IF(NOTA[[#This Row],[SUPPLIER_H]]="","",AK480),MONTH(NOTA[[#This Row],[TGL.NOTA]]))</f>
        <v>7</v>
      </c>
      <c r="AL481" s="39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4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4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4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9" t="str">
        <f>IF(NOTA[[#This Row],[CONCAT4]]="","",_xlfn.IFNA(MATCH(NOTA[[#This Row],[CONCAT4]],[2]!RAW[CONCAT_H],0),FALSE))</f>
        <v/>
      </c>
      <c r="AQ481" s="39">
        <f>IF(NOTA[[#This Row],[CONCAT1]]="","",MATCH(NOTA[[#This Row],[CONCAT1]],[3]!db[NB NOTA_C],0))</f>
        <v>2181</v>
      </c>
      <c r="AR481" s="39" t="b">
        <f>IF(NOTA[[#This Row],[QTY/ CTN]]="","",TRUE)</f>
        <v>1</v>
      </c>
      <c r="AS481" s="39" t="str">
        <f ca="1">IF(NOTA[[#This Row],[ID_H]]="","",IF(NOTA[[#This Row],[Column3]]=TRUE,NOTA[[#This Row],[QTY/ CTN]],INDEX([3]!db[QTY/ CTN],NOTA[[#This Row],[//DB]])))</f>
        <v>360 LSN</v>
      </c>
      <c r="AT4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pensil2bkayagikypf3060360lsnartomoro</v>
      </c>
      <c r="AU481" s="39" t="e">
        <f ca="1">IF(NOTA[[#This Row],[ID_H]]="","",MATCH(NOTA[[#This Row],[NB NOTA_C_QTY]],[4]!db[NB NOTA_C_QTY+F],0))</f>
        <v>#REF!</v>
      </c>
      <c r="AV481" s="55">
        <f ca="1">IF(NOTA[[#This Row],[NB NOTA_C_QTY]]="","",ROW()-2)</f>
        <v>479</v>
      </c>
    </row>
    <row r="482" spans="1:48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101</v>
      </c>
      <c r="E482" s="47"/>
      <c r="H482" s="48"/>
      <c r="L482" s="38" t="s">
        <v>577</v>
      </c>
      <c r="M482" s="41">
        <v>1</v>
      </c>
      <c r="N482" s="39">
        <v>360</v>
      </c>
      <c r="O482" s="38" t="s">
        <v>152</v>
      </c>
      <c r="P482" s="42">
        <v>7700</v>
      </c>
      <c r="Q482" s="43"/>
      <c r="R482" s="49" t="s">
        <v>572</v>
      </c>
      <c r="S482" s="50"/>
      <c r="U482" s="51"/>
      <c r="V482" s="46"/>
      <c r="W482" s="51">
        <f>IF(NOTA[[#This Row],[HARGA/ CTN]]="",NOTA[[#This Row],[JUMLAH_H]],NOTA[[#This Row],[HARGA/ CTN]]*IF(NOTA[[#This Row],[C]]="",0,NOTA[[#This Row],[C]]))</f>
        <v>2772000</v>
      </c>
      <c r="X482" s="51">
        <f>IF(NOTA[[#This Row],[JUMLAH]]="","",NOTA[[#This Row],[JUMLAH]]*NOTA[[#This Row],[DISC 1]])</f>
        <v>0</v>
      </c>
      <c r="Y482" s="51">
        <f>IF(NOTA[[#This Row],[JUMLAH]]="","",(NOTA[[#This Row],[JUMLAH]]-NOTA[[#This Row],[DISC 1-]])*NOTA[[#This Row],[DISC 2]])</f>
        <v>0</v>
      </c>
      <c r="Z482" s="51">
        <f>IF(NOTA[[#This Row],[JUMLAH]]="","",NOTA[[#This Row],[DISC 1-]]+NOTA[[#This Row],[DISC 2-]])</f>
        <v>0</v>
      </c>
      <c r="AA482" s="51">
        <f>IF(NOTA[[#This Row],[JUMLAH]]="","",NOTA[[#This Row],[JUMLAH]]-NOTA[[#This Row],[DISC]])</f>
        <v>2772000</v>
      </c>
      <c r="AB482" s="51"/>
      <c r="AC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2" s="51">
        <f>IF(OR(NOTA[[#This Row],[QTY]]="",NOTA[[#This Row],[HARGA SATUAN]]="",),"",NOTA[[#This Row],[QTY]]*NOTA[[#This Row],[HARGA SATUAN]])</f>
        <v>2772000</v>
      </c>
      <c r="AG482" s="40">
        <f ca="1">IF(NOTA[ID_H]="","",INDEX(NOTA[TANGGAL],MATCH(,INDIRECT(ADDRESS(ROW(NOTA[TANGGAL]),COLUMN(NOTA[TANGGAL]))&amp;":"&amp;ADDRESS(ROW(),COLUMN(NOTA[TANGGAL]))),-1)))</f>
        <v>45127</v>
      </c>
      <c r="AH482" s="42" t="str">
        <f ca="1">IF(NOTA[[#This Row],[NAMA BARANG]]="","",INDEX(NOTA[SUPPLIER],MATCH(,INDIRECT(ADDRESS(ROW(NOTA[ID]),COLUMN(NOTA[ID]))&amp;":"&amp;ADDRESS(ROW(),COLUMN(NOTA[ID]))),-1)))</f>
        <v>99 JAYA UTAMA</v>
      </c>
      <c r="AI482" s="42" t="str">
        <f ca="1">IF(NOTA[[#This Row],[ID_H]]="","",IF(NOTA[[#This Row],[FAKTUR]]="",INDIRECT(ADDRESS(ROW()-1,COLUMN())),NOTA[[#This Row],[FAKTUR]]))</f>
        <v>ARTO MORO</v>
      </c>
      <c r="AJ482" s="39" t="str">
        <f ca="1">IF(NOTA[[#This Row],[ID]]="","",COUNTIF(NOTA[ID_H],NOTA[[#This Row],[ID_H]]))</f>
        <v/>
      </c>
      <c r="AK482" s="39">
        <f ca="1">IF(NOTA[[#This Row],[TGL.NOTA]]="",IF(NOTA[[#This Row],[SUPPLIER_H]]="","",AK481),MONTH(NOTA[[#This Row],[TGL.NOTA]]))</f>
        <v>7</v>
      </c>
      <c r="AL482" s="39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4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4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4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9" t="str">
        <f>IF(NOTA[[#This Row],[CONCAT4]]="","",_xlfn.IFNA(MATCH(NOTA[[#This Row],[CONCAT4]],[2]!RAW[CONCAT_H],0),FALSE))</f>
        <v/>
      </c>
      <c r="AQ482" s="39">
        <f>IF(NOTA[[#This Row],[CONCAT1]]="","",MATCH(NOTA[[#This Row],[CONCAT1]],[3]!db[NB NOTA_C],0))</f>
        <v>2172</v>
      </c>
      <c r="AR482" s="39" t="b">
        <f>IF(NOTA[[#This Row],[QTY/ CTN]]="","",TRUE)</f>
        <v>1</v>
      </c>
      <c r="AS482" s="39" t="str">
        <f ca="1">IF(NOTA[[#This Row],[ID_H]]="","",IF(NOTA[[#This Row],[Column3]]=TRUE,NOTA[[#This Row],[QTY/ CTN]],INDEX([3]!db[QTY/ CTN],NOTA[[#This Row],[//DB]])))</f>
        <v>360 LSN</v>
      </c>
      <c r="AT4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pensilkayagiskinkypf2025360lsnartomoro</v>
      </c>
      <c r="AU482" s="39" t="e">
        <f ca="1">IF(NOTA[[#This Row],[ID_H]]="","",MATCH(NOTA[[#This Row],[NB NOTA_C_QTY]],[4]!db[NB NOTA_C_QTY+F],0))</f>
        <v>#REF!</v>
      </c>
      <c r="AV482" s="55">
        <f ca="1">IF(NOTA[[#This Row],[NB NOTA_C_QTY]]="","",ROW()-2)</f>
        <v>480</v>
      </c>
    </row>
    <row r="483" spans="1:48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>
        <f ca="1">IF(NOTA[[#This Row],[NAMA BARANG]]="","",INDEX(NOTA[ID],MATCH(,INDIRECT(ADDRESS(ROW(NOTA[ID]),COLUMN(NOTA[ID]))&amp;":"&amp;ADDRESS(ROW(),COLUMN(NOTA[ID]))),-1)))</f>
        <v>101</v>
      </c>
      <c r="E483" s="47"/>
      <c r="H483" s="48"/>
      <c r="L483" s="38" t="s">
        <v>714</v>
      </c>
      <c r="M483" s="41">
        <v>1</v>
      </c>
      <c r="N483" s="39">
        <v>1</v>
      </c>
      <c r="O483" s="38" t="s">
        <v>117</v>
      </c>
      <c r="Q483" s="43"/>
      <c r="R483" s="49"/>
      <c r="S483" s="50"/>
      <c r="U483" s="51"/>
      <c r="V483" s="46" t="s">
        <v>395</v>
      </c>
      <c r="W483" s="51" t="str">
        <f>IF(NOTA[[#This Row],[HARGA/ CTN]]="",NOTA[[#This Row],[JUMLAH_H]],NOTA[[#This Row],[HARGA/ CTN]]*IF(NOTA[[#This Row],[C]]="",0,NOTA[[#This Row],[C]]))</f>
        <v/>
      </c>
      <c r="X483" s="51" t="str">
        <f>IF(NOTA[[#This Row],[JUMLAH]]="","",NOTA[[#This Row],[JUMLAH]]*NOTA[[#This Row],[DISC 1]])</f>
        <v/>
      </c>
      <c r="Y483" s="51" t="str">
        <f>IF(NOTA[[#This Row],[JUMLAH]]="","",(NOTA[[#This Row],[JUMLAH]]-NOTA[[#This Row],[DISC 1-]])*NOTA[[#This Row],[DISC 2]])</f>
        <v/>
      </c>
      <c r="Z483" s="51" t="str">
        <f>IF(NOTA[[#This Row],[JUMLAH]]="","",NOTA[[#This Row],[DISC 1-]]+NOTA[[#This Row],[DISC 2-]])</f>
        <v/>
      </c>
      <c r="AA483" s="51" t="str">
        <f>IF(NOTA[[#This Row],[JUMLAH]]="","",NOTA[[#This Row],[JUMLAH]]-NOTA[[#This Row],[DISC]])</f>
        <v/>
      </c>
      <c r="AB483" s="51"/>
      <c r="AC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28440000</v>
      </c>
      <c r="AE483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1" t="str">
        <f>IF(OR(NOTA[[#This Row],[QTY]]="",NOTA[[#This Row],[HARGA SATUAN]]="",),"",NOTA[[#This Row],[QTY]]*NOTA[[#This Row],[HARGA SATUAN]])</f>
        <v/>
      </c>
      <c r="AG483" s="40">
        <f ca="1">IF(NOTA[ID_H]="","",INDEX(NOTA[TANGGAL],MATCH(,INDIRECT(ADDRESS(ROW(NOTA[TANGGAL]),COLUMN(NOTA[TANGGAL]))&amp;":"&amp;ADDRESS(ROW(),COLUMN(NOTA[TANGGAL]))),-1)))</f>
        <v>45127</v>
      </c>
      <c r="AH483" s="42" t="str">
        <f ca="1">IF(NOTA[[#This Row],[NAMA BARANG]]="","",INDEX(NOTA[SUPPLIER],MATCH(,INDIRECT(ADDRESS(ROW(NOTA[ID]),COLUMN(NOTA[ID]))&amp;":"&amp;ADDRESS(ROW(),COLUMN(NOTA[ID]))),-1)))</f>
        <v>99 JAYA UTAMA</v>
      </c>
      <c r="AI483" s="42" t="str">
        <f ca="1">IF(NOTA[[#This Row],[ID_H]]="","",IF(NOTA[[#This Row],[FAKTUR]]="",INDIRECT(ADDRESS(ROW()-1,COLUMN())),NOTA[[#This Row],[FAKTUR]]))</f>
        <v>ARTO MORO</v>
      </c>
      <c r="AJ483" s="39" t="str">
        <f ca="1">IF(NOTA[[#This Row],[ID]]="","",COUNTIF(NOTA[ID_H],NOTA[[#This Row],[ID_H]]))</f>
        <v/>
      </c>
      <c r="AK483" s="39">
        <f ca="1">IF(NOTA[[#This Row],[TGL.NOTA]]="",IF(NOTA[[#This Row],[SUPPLIER_H]]="","",AK482),MONTH(NOTA[[#This Row],[TGL.NOTA]]))</f>
        <v>7</v>
      </c>
      <c r="AL483" s="39" t="str">
        <f>LOWER(SUBSTITUTE(SUBSTITUTE(SUBSTITUTE(SUBSTITUTE(SUBSTITUTE(SUBSTITUTE(SUBSTITUTE(SUBSTITUTE(SUBSTITUTE(NOTA[NAMA BARANG]," ",),".",""),"-",""),"(",""),")",""),",",""),"/",""),"""",""),"+",""))</f>
        <v>tascabinelpidabonus</v>
      </c>
      <c r="AM4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tascabinelpidabonus0</v>
      </c>
      <c r="AN4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tascabinelpidabonus0</v>
      </c>
      <c r="AO4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9" t="str">
        <f>IF(NOTA[[#This Row],[CONCAT4]]="","",_xlfn.IFNA(MATCH(NOTA[[#This Row],[CONCAT4]],[2]!RAW[CONCAT_H],0),FALSE))</f>
        <v/>
      </c>
      <c r="AQ483" s="39">
        <f>IF(NOTA[[#This Row],[CONCAT1]]="","",MATCH(NOTA[[#This Row],[CONCAT1]],[3]!db[NB NOTA_C],0))</f>
        <v>2545</v>
      </c>
      <c r="AR483" s="39" t="str">
        <f>IF(NOTA[[#This Row],[QTY/ CTN]]="","",TRUE)</f>
        <v/>
      </c>
      <c r="AS483" s="39" t="str">
        <f ca="1">IF(NOTA[[#This Row],[ID_H]]="","",IF(NOTA[[#This Row],[Column3]]=TRUE,NOTA[[#This Row],[QTY/ CTN]],INDEX([3]!db[QTY/ CTN],NOTA[[#This Row],[//DB]])))</f>
        <v>1 CTN (1 PCS)</v>
      </c>
      <c r="AT4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tascabinelpidabonus1ctn1pcsartomoro</v>
      </c>
      <c r="AU483" s="39" t="e">
        <f ca="1">IF(NOTA[[#This Row],[ID_H]]="","",MATCH(NOTA[[#This Row],[NB NOTA_C_QTY]],[4]!db[NB NOTA_C_QTY+F],0))</f>
        <v>#REF!</v>
      </c>
      <c r="AV483" s="55">
        <f ca="1">IF(NOTA[[#This Row],[NB NOTA_C_QTY]]="","",ROW()-2)</f>
        <v>481</v>
      </c>
    </row>
    <row r="484" spans="1:48" ht="20.100000000000001" customHeight="1" x14ac:dyDescent="0.25">
      <c r="A4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 t="str">
        <f ca="1">IF(NOTA[[#This Row],[NAMA BARANG]]="","",INDEX(NOTA[ID],MATCH(,INDIRECT(ADDRESS(ROW(NOTA[ID]),COLUMN(NOTA[ID]))&amp;":"&amp;ADDRESS(ROW(),COLUMN(NOTA[ID]))),-1)))</f>
        <v/>
      </c>
      <c r="E484" s="47"/>
      <c r="H484" s="48"/>
      <c r="N484" s="39"/>
      <c r="Q484" s="43"/>
      <c r="R484" s="49"/>
      <c r="S484" s="50"/>
      <c r="U484" s="51"/>
      <c r="V484" s="46"/>
      <c r="W484" s="51" t="str">
        <f>IF(NOTA[[#This Row],[HARGA/ CTN]]="",NOTA[[#This Row],[JUMLAH_H]],NOTA[[#This Row],[HARGA/ CTN]]*IF(NOTA[[#This Row],[C]]="",0,NOTA[[#This Row],[C]]))</f>
        <v/>
      </c>
      <c r="X484" s="51" t="str">
        <f>IF(NOTA[[#This Row],[JUMLAH]]="","",NOTA[[#This Row],[JUMLAH]]*NOTA[[#This Row],[DISC 1]])</f>
        <v/>
      </c>
      <c r="Y484" s="51" t="str">
        <f>IF(NOTA[[#This Row],[JUMLAH]]="","",(NOTA[[#This Row],[JUMLAH]]-NOTA[[#This Row],[DISC 1-]])*NOTA[[#This Row],[DISC 2]])</f>
        <v/>
      </c>
      <c r="Z484" s="51" t="str">
        <f>IF(NOTA[[#This Row],[JUMLAH]]="","",NOTA[[#This Row],[DISC 1-]]+NOTA[[#This Row],[DISC 2-]])</f>
        <v/>
      </c>
      <c r="AA484" s="51" t="str">
        <f>IF(NOTA[[#This Row],[JUMLAH]]="","",NOTA[[#This Row],[JUMLAH]]-NOTA[[#This Row],[DISC]])</f>
        <v/>
      </c>
      <c r="AB484" s="51"/>
      <c r="AC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1" t="str">
        <f>IF(OR(NOTA[[#This Row],[QTY]]="",NOTA[[#This Row],[HARGA SATUAN]]="",),"",NOTA[[#This Row],[QTY]]*NOTA[[#This Row],[HARGA SATUAN]])</f>
        <v/>
      </c>
      <c r="AG484" s="40" t="str">
        <f ca="1">IF(NOTA[ID_H]="","",INDEX(NOTA[TANGGAL],MATCH(,INDIRECT(ADDRESS(ROW(NOTA[TANGGAL]),COLUMN(NOTA[TANGGAL]))&amp;":"&amp;ADDRESS(ROW(),COLUMN(NOTA[TANGGAL]))),-1)))</f>
        <v/>
      </c>
      <c r="AH484" s="42" t="str">
        <f ca="1">IF(NOTA[[#This Row],[NAMA BARANG]]="","",INDEX(NOTA[SUPPLIER],MATCH(,INDIRECT(ADDRESS(ROW(NOTA[ID]),COLUMN(NOTA[ID]))&amp;":"&amp;ADDRESS(ROW(),COLUMN(NOTA[ID]))),-1)))</f>
        <v/>
      </c>
      <c r="AI484" s="42" t="str">
        <f ca="1">IF(NOTA[[#This Row],[ID_H]]="","",IF(NOTA[[#This Row],[FAKTUR]]="",INDIRECT(ADDRESS(ROW()-1,COLUMN())),NOTA[[#This Row],[FAKTUR]]))</f>
        <v/>
      </c>
      <c r="AJ484" s="39" t="str">
        <f ca="1">IF(NOTA[[#This Row],[ID]]="","",COUNTIF(NOTA[ID_H],NOTA[[#This Row],[ID_H]]))</f>
        <v/>
      </c>
      <c r="AK484" s="39" t="str">
        <f ca="1">IF(NOTA[[#This Row],[TGL.NOTA]]="",IF(NOTA[[#This Row],[SUPPLIER_H]]="","",AK483),MONTH(NOTA[[#This Row],[TGL.NOTA]]))</f>
        <v/>
      </c>
      <c r="AL484" s="39" t="str">
        <f>LOWER(SUBSTITUTE(SUBSTITUTE(SUBSTITUTE(SUBSTITUTE(SUBSTITUTE(SUBSTITUTE(SUBSTITUTE(SUBSTITUTE(SUBSTITUTE(NOTA[NAMA BARANG]," ",),".",""),"-",""),"(",""),")",""),",",""),"/",""),"""",""),"+",""))</f>
        <v/>
      </c>
      <c r="AM4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9" t="str">
        <f>IF(NOTA[[#This Row],[CONCAT4]]="","",_xlfn.IFNA(MATCH(NOTA[[#This Row],[CONCAT4]],[2]!RAW[CONCAT_H],0),FALSE))</f>
        <v/>
      </c>
      <c r="AQ484" s="39" t="str">
        <f>IF(NOTA[[#This Row],[CONCAT1]]="","",MATCH(NOTA[[#This Row],[CONCAT1]],[3]!db[NB NOTA_C],0))</f>
        <v/>
      </c>
      <c r="AR484" s="39" t="str">
        <f>IF(NOTA[[#This Row],[QTY/ CTN]]="","",TRUE)</f>
        <v/>
      </c>
      <c r="AS484" s="39" t="str">
        <f ca="1">IF(NOTA[[#This Row],[ID_H]]="","",IF(NOTA[[#This Row],[Column3]]=TRUE,NOTA[[#This Row],[QTY/ CTN]],INDEX([3]!db[QTY/ CTN],NOTA[[#This Row],[//DB]])))</f>
        <v/>
      </c>
      <c r="AT4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9" t="str">
        <f ca="1">IF(NOTA[[#This Row],[ID_H]]="","",MATCH(NOTA[[#This Row],[NB NOTA_C_QTY]],[4]!db[NB NOTA_C_QTY+F],0))</f>
        <v/>
      </c>
      <c r="AV484" s="55" t="str">
        <f ca="1">IF(NOTA[[#This Row],[NB NOTA_C_QTY]]="","",ROW()-2)</f>
        <v/>
      </c>
    </row>
    <row r="485" spans="1:48" ht="20.100000000000001" customHeight="1" x14ac:dyDescent="0.25">
      <c r="A485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DBS_2007_223-14</v>
      </c>
      <c r="C485" s="39" t="e">
        <f ca="1">IF(NOTA[[#This Row],[ID_P]]="","",MATCH(NOTA[[#This Row],[ID_P]],[1]!B_MSK[N_ID],0))</f>
        <v>#REF!</v>
      </c>
      <c r="D485" s="39">
        <f ca="1">IF(NOTA[[#This Row],[NAMA BARANG]]="","",INDEX(NOTA[ID],MATCH(,INDIRECT(ADDRESS(ROW(NOTA[ID]),COLUMN(NOTA[ID]))&amp;":"&amp;ADDRESS(ROW(),COLUMN(NOTA[ID]))),-1)))</f>
        <v>102</v>
      </c>
      <c r="E485" s="47"/>
      <c r="F485" s="38" t="s">
        <v>218</v>
      </c>
      <c r="G485" s="38" t="s">
        <v>145</v>
      </c>
      <c r="H485" s="48" t="s">
        <v>578</v>
      </c>
      <c r="J485" s="40">
        <v>45125</v>
      </c>
      <c r="L485" s="38" t="s">
        <v>579</v>
      </c>
      <c r="M485" s="41">
        <v>1</v>
      </c>
      <c r="N485" s="39">
        <v>120</v>
      </c>
      <c r="O485" s="38" t="s">
        <v>152</v>
      </c>
      <c r="P485" s="42">
        <v>18250</v>
      </c>
      <c r="Q485" s="43"/>
      <c r="R485" s="49" t="s">
        <v>226</v>
      </c>
      <c r="S485" s="50"/>
      <c r="U485" s="51"/>
      <c r="V485" s="46"/>
      <c r="W485" s="51">
        <f>IF(NOTA[[#This Row],[HARGA/ CTN]]="",NOTA[[#This Row],[JUMLAH_H]],NOTA[[#This Row],[HARGA/ CTN]]*IF(NOTA[[#This Row],[C]]="",0,NOTA[[#This Row],[C]]))</f>
        <v>2190000</v>
      </c>
      <c r="X485" s="51">
        <f>IF(NOTA[[#This Row],[JUMLAH]]="","",NOTA[[#This Row],[JUMLAH]]*NOTA[[#This Row],[DISC 1]])</f>
        <v>0</v>
      </c>
      <c r="Y485" s="51">
        <f>IF(NOTA[[#This Row],[JUMLAH]]="","",(NOTA[[#This Row],[JUMLAH]]-NOTA[[#This Row],[DISC 1-]])*NOTA[[#This Row],[DISC 2]])</f>
        <v>0</v>
      </c>
      <c r="Z485" s="51">
        <f>IF(NOTA[[#This Row],[JUMLAH]]="","",NOTA[[#This Row],[DISC 1-]]+NOTA[[#This Row],[DISC 2-]])</f>
        <v>0</v>
      </c>
      <c r="AA485" s="51">
        <f>IF(NOTA[[#This Row],[JUMLAH]]="","",NOTA[[#This Row],[JUMLAH]]-NOTA[[#This Row],[DISC]])</f>
        <v>2190000</v>
      </c>
      <c r="AB485" s="51"/>
      <c r="AC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5" s="51">
        <f>IF(OR(NOTA[[#This Row],[QTY]]="",NOTA[[#This Row],[HARGA SATUAN]]="",),"",NOTA[[#This Row],[QTY]]*NOTA[[#This Row],[HARGA SATUAN]])</f>
        <v>2190000</v>
      </c>
      <c r="AG485" s="40">
        <f ca="1">IF(NOTA[ID_H]="","",INDEX(NOTA[TANGGAL],MATCH(,INDIRECT(ADDRESS(ROW(NOTA[TANGGAL]),COLUMN(NOTA[TANGGAL]))&amp;":"&amp;ADDRESS(ROW(),COLUMN(NOTA[TANGGAL]))),-1)))</f>
        <v>45127</v>
      </c>
      <c r="AH485" s="42" t="str">
        <f ca="1">IF(NOTA[[#This Row],[NAMA BARANG]]="","",INDEX(NOTA[SUPPLIER],MATCH(,INDIRECT(ADDRESS(ROW(NOTA[ID]),COLUMN(NOTA[ID]))&amp;":"&amp;ADDRESS(ROW(),COLUMN(NOTA[ID]))),-1)))</f>
        <v>DB STATIONERY</v>
      </c>
      <c r="AI485" s="42" t="str">
        <f ca="1">IF(NOTA[[#This Row],[ID_H]]="","",IF(NOTA[[#This Row],[FAKTUR]]="",INDIRECT(ADDRESS(ROW()-1,COLUMN())),NOTA[[#This Row],[FAKTUR]]))</f>
        <v>UNTANA</v>
      </c>
      <c r="AJ485" s="39">
        <f ca="1">IF(NOTA[[#This Row],[ID]]="","",COUNTIF(NOTA[ID_H],NOTA[[#This Row],[ID_H]]))</f>
        <v>14</v>
      </c>
      <c r="AK485" s="39">
        <f>IF(NOTA[[#This Row],[TGL.NOTA]]="",IF(NOTA[[#This Row],[SUPPLIER_H]]="","",AK484),MONTH(NOTA[[#This Row],[TGL.NOTA]]))</f>
        <v>7</v>
      </c>
      <c r="AL485" s="39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M4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N4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O485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STATIONERYUNTANAJUG432/2345125gelzhixinrefillg3109</v>
      </c>
      <c r="AP485" s="39" t="e">
        <f>IF(NOTA[[#This Row],[CONCAT4]]="","",_xlfn.IFNA(MATCH(NOTA[[#This Row],[CONCAT4]],[2]!RAW[CONCAT_H],0),FALSE))</f>
        <v>#REF!</v>
      </c>
      <c r="AQ485" s="39">
        <f>IF(NOTA[[#This Row],[CONCAT1]]="","",MATCH(NOTA[[#This Row],[CONCAT1]],[3]!db[NB NOTA_C],0))</f>
        <v>573</v>
      </c>
      <c r="AR485" s="39" t="b">
        <f>IF(NOTA[[#This Row],[QTY/ CTN]]="","",TRUE)</f>
        <v>1</v>
      </c>
      <c r="AS485" s="39" t="str">
        <f ca="1">IF(NOTA[[#This Row],[ID_H]]="","",IF(NOTA[[#This Row],[Column3]]=TRUE,NOTA[[#This Row],[QTY/ CTN]],INDEX([3]!db[QTY/ CTN],NOTA[[#This Row],[//DB]])))</f>
        <v>120 LSN</v>
      </c>
      <c r="AT4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gelzhixinrefillg3109120lsnuntana</v>
      </c>
      <c r="AU485" s="39" t="e">
        <f ca="1">IF(NOTA[[#This Row],[ID_H]]="","",MATCH(NOTA[[#This Row],[NB NOTA_C_QTY]],[4]!db[NB NOTA_C_QTY+F],0))</f>
        <v>#REF!</v>
      </c>
      <c r="AV485" s="55">
        <f ca="1">IF(NOTA[[#This Row],[NB NOTA_C_QTY]]="","",ROW()-2)</f>
        <v>483</v>
      </c>
    </row>
    <row r="486" spans="1:48" ht="20.100000000000001" customHeight="1" x14ac:dyDescent="0.25">
      <c r="A4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102</v>
      </c>
      <c r="E486" s="47"/>
      <c r="H486" s="48"/>
      <c r="L486" s="38" t="s">
        <v>580</v>
      </c>
      <c r="M486" s="41">
        <v>1</v>
      </c>
      <c r="N486" s="39">
        <v>120</v>
      </c>
      <c r="O486" s="38" t="s">
        <v>152</v>
      </c>
      <c r="P486" s="42">
        <v>18250</v>
      </c>
      <c r="Q486" s="43"/>
      <c r="R486" s="49" t="s">
        <v>226</v>
      </c>
      <c r="S486" s="50"/>
      <c r="U486" s="51"/>
      <c r="V486" s="46"/>
      <c r="W486" s="51">
        <f>IF(NOTA[[#This Row],[HARGA/ CTN]]="",NOTA[[#This Row],[JUMLAH_H]],NOTA[[#This Row],[HARGA/ CTN]]*IF(NOTA[[#This Row],[C]]="",0,NOTA[[#This Row],[C]]))</f>
        <v>2190000</v>
      </c>
      <c r="X486" s="51">
        <f>IF(NOTA[[#This Row],[JUMLAH]]="","",NOTA[[#This Row],[JUMLAH]]*NOTA[[#This Row],[DISC 1]])</f>
        <v>0</v>
      </c>
      <c r="Y486" s="51">
        <f>IF(NOTA[[#This Row],[JUMLAH]]="","",(NOTA[[#This Row],[JUMLAH]]-NOTA[[#This Row],[DISC 1-]])*NOTA[[#This Row],[DISC 2]])</f>
        <v>0</v>
      </c>
      <c r="Z486" s="51">
        <f>IF(NOTA[[#This Row],[JUMLAH]]="","",NOTA[[#This Row],[DISC 1-]]+NOTA[[#This Row],[DISC 2-]])</f>
        <v>0</v>
      </c>
      <c r="AA486" s="51">
        <f>IF(NOTA[[#This Row],[JUMLAH]]="","",NOTA[[#This Row],[JUMLAH]]-NOTA[[#This Row],[DISC]])</f>
        <v>2190000</v>
      </c>
      <c r="AB486" s="51"/>
      <c r="AC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6" s="51">
        <f>IF(OR(NOTA[[#This Row],[QTY]]="",NOTA[[#This Row],[HARGA SATUAN]]="",),"",NOTA[[#This Row],[QTY]]*NOTA[[#This Row],[HARGA SATUAN]])</f>
        <v>2190000</v>
      </c>
      <c r="AG486" s="40">
        <f ca="1">IF(NOTA[ID_H]="","",INDEX(NOTA[TANGGAL],MATCH(,INDIRECT(ADDRESS(ROW(NOTA[TANGGAL]),COLUMN(NOTA[TANGGAL]))&amp;":"&amp;ADDRESS(ROW(),COLUMN(NOTA[TANGGAL]))),-1)))</f>
        <v>45127</v>
      </c>
      <c r="AH486" s="42" t="str">
        <f ca="1">IF(NOTA[[#This Row],[NAMA BARANG]]="","",INDEX(NOTA[SUPPLIER],MATCH(,INDIRECT(ADDRESS(ROW(NOTA[ID]),COLUMN(NOTA[ID]))&amp;":"&amp;ADDRESS(ROW(),COLUMN(NOTA[ID]))),-1)))</f>
        <v>DB STATIONERY</v>
      </c>
      <c r="AI486" s="42" t="str">
        <f ca="1">IF(NOTA[[#This Row],[ID_H]]="","",IF(NOTA[[#This Row],[FAKTUR]]="",INDIRECT(ADDRESS(ROW()-1,COLUMN())),NOTA[[#This Row],[FAKTUR]]))</f>
        <v>UNTANA</v>
      </c>
      <c r="AJ486" s="39" t="str">
        <f ca="1">IF(NOTA[[#This Row],[ID]]="","",COUNTIF(NOTA[ID_H],NOTA[[#This Row],[ID_H]]))</f>
        <v/>
      </c>
      <c r="AK486" s="39">
        <f ca="1">IF(NOTA[[#This Row],[TGL.NOTA]]="",IF(NOTA[[#This Row],[SUPPLIER_H]]="","",AK485),MONTH(NOTA[[#This Row],[TGL.NOTA]]))</f>
        <v>7</v>
      </c>
      <c r="AL486" s="39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M4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N4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O4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9" t="str">
        <f>IF(NOTA[[#This Row],[CONCAT4]]="","",_xlfn.IFNA(MATCH(NOTA[[#This Row],[CONCAT4]],[2]!RAW[CONCAT_H],0),FALSE))</f>
        <v/>
      </c>
      <c r="AQ486" s="39">
        <f>IF(NOTA[[#This Row],[CONCAT1]]="","",MATCH(NOTA[[#This Row],[CONCAT1]],[3]!db[NB NOTA_C],0))</f>
        <v>578</v>
      </c>
      <c r="AR486" s="39" t="b">
        <f>IF(NOTA[[#This Row],[QTY/ CTN]]="","",TRUE)</f>
        <v>1</v>
      </c>
      <c r="AS486" s="39" t="str">
        <f ca="1">IF(NOTA[[#This Row],[ID_H]]="","",IF(NOTA[[#This Row],[Column3]]=TRUE,NOTA[[#This Row],[QTY/ CTN]],INDEX([3]!db[QTY/ CTN],NOTA[[#This Row],[//DB]])))</f>
        <v>120 LSN</v>
      </c>
      <c r="AT4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gelzhixinrefillg3116120lsnuntana</v>
      </c>
      <c r="AU486" s="39" t="e">
        <f ca="1">IF(NOTA[[#This Row],[ID_H]]="","",MATCH(NOTA[[#This Row],[NB NOTA_C_QTY]],[4]!db[NB NOTA_C_QTY+F],0))</f>
        <v>#REF!</v>
      </c>
      <c r="AV486" s="55">
        <f ca="1">IF(NOTA[[#This Row],[NB NOTA_C_QTY]]="","",ROW()-2)</f>
        <v>484</v>
      </c>
    </row>
    <row r="487" spans="1:48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102</v>
      </c>
      <c r="E487" s="47"/>
      <c r="H487" s="48"/>
      <c r="L487" s="38" t="s">
        <v>581</v>
      </c>
      <c r="M487" s="41">
        <v>1</v>
      </c>
      <c r="N487" s="39">
        <v>120</v>
      </c>
      <c r="O487" s="38" t="s">
        <v>152</v>
      </c>
      <c r="P487" s="42">
        <v>18250</v>
      </c>
      <c r="Q487" s="43"/>
      <c r="R487" s="49" t="s">
        <v>226</v>
      </c>
      <c r="S487" s="50"/>
      <c r="U487" s="51"/>
      <c r="V487" s="46"/>
      <c r="W487" s="51">
        <f>IF(NOTA[[#This Row],[HARGA/ CTN]]="",NOTA[[#This Row],[JUMLAH_H]],NOTA[[#This Row],[HARGA/ CTN]]*IF(NOTA[[#This Row],[C]]="",0,NOTA[[#This Row],[C]]))</f>
        <v>2190000</v>
      </c>
      <c r="X487" s="51">
        <f>IF(NOTA[[#This Row],[JUMLAH]]="","",NOTA[[#This Row],[JUMLAH]]*NOTA[[#This Row],[DISC 1]])</f>
        <v>0</v>
      </c>
      <c r="Y487" s="51">
        <f>IF(NOTA[[#This Row],[JUMLAH]]="","",(NOTA[[#This Row],[JUMLAH]]-NOTA[[#This Row],[DISC 1-]])*NOTA[[#This Row],[DISC 2]])</f>
        <v>0</v>
      </c>
      <c r="Z487" s="51">
        <f>IF(NOTA[[#This Row],[JUMLAH]]="","",NOTA[[#This Row],[DISC 1-]]+NOTA[[#This Row],[DISC 2-]])</f>
        <v>0</v>
      </c>
      <c r="AA487" s="51">
        <f>IF(NOTA[[#This Row],[JUMLAH]]="","",NOTA[[#This Row],[JUMLAH]]-NOTA[[#This Row],[DISC]])</f>
        <v>2190000</v>
      </c>
      <c r="AB487" s="51"/>
      <c r="AC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7" s="51">
        <f>IF(OR(NOTA[[#This Row],[QTY]]="",NOTA[[#This Row],[HARGA SATUAN]]="",),"",NOTA[[#This Row],[QTY]]*NOTA[[#This Row],[HARGA SATUAN]])</f>
        <v>2190000</v>
      </c>
      <c r="AG487" s="40">
        <f ca="1">IF(NOTA[ID_H]="","",INDEX(NOTA[TANGGAL],MATCH(,INDIRECT(ADDRESS(ROW(NOTA[TANGGAL]),COLUMN(NOTA[TANGGAL]))&amp;":"&amp;ADDRESS(ROW(),COLUMN(NOTA[TANGGAL]))),-1)))</f>
        <v>45127</v>
      </c>
      <c r="AH487" s="42" t="str">
        <f ca="1">IF(NOTA[[#This Row],[NAMA BARANG]]="","",INDEX(NOTA[SUPPLIER],MATCH(,INDIRECT(ADDRESS(ROW(NOTA[ID]),COLUMN(NOTA[ID]))&amp;":"&amp;ADDRESS(ROW(),COLUMN(NOTA[ID]))),-1)))</f>
        <v>DB STATIONERY</v>
      </c>
      <c r="AI487" s="42" t="str">
        <f ca="1">IF(NOTA[[#This Row],[ID_H]]="","",IF(NOTA[[#This Row],[FAKTUR]]="",INDIRECT(ADDRESS(ROW()-1,COLUMN())),NOTA[[#This Row],[FAKTUR]]))</f>
        <v>UNTANA</v>
      </c>
      <c r="AJ487" s="39" t="str">
        <f ca="1">IF(NOTA[[#This Row],[ID]]="","",COUNTIF(NOTA[ID_H],NOTA[[#This Row],[ID_H]]))</f>
        <v/>
      </c>
      <c r="AK487" s="39">
        <f ca="1">IF(NOTA[[#This Row],[TGL.NOTA]]="",IF(NOTA[[#This Row],[SUPPLIER_H]]="","",AK486),MONTH(NOTA[[#This Row],[TGL.NOTA]]))</f>
        <v>7</v>
      </c>
      <c r="AL487" s="39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4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N4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O4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9" t="str">
        <f>IF(NOTA[[#This Row],[CONCAT4]]="","",_xlfn.IFNA(MATCH(NOTA[[#This Row],[CONCAT4]],[2]!RAW[CONCAT_H],0),FALSE))</f>
        <v/>
      </c>
      <c r="AQ487" s="39">
        <f>IF(NOTA[[#This Row],[CONCAT1]]="","",MATCH(NOTA[[#This Row],[CONCAT1]],[3]!db[NB NOTA_C],0))</f>
        <v>580</v>
      </c>
      <c r="AR487" s="39" t="b">
        <f>IF(NOTA[[#This Row],[QTY/ CTN]]="","",TRUE)</f>
        <v>1</v>
      </c>
      <c r="AS487" s="39" t="str">
        <f ca="1">IF(NOTA[[#This Row],[ID_H]]="","",IF(NOTA[[#This Row],[Column3]]=TRUE,NOTA[[#This Row],[QTY/ CTN]],INDEX([3]!db[QTY/ CTN],NOTA[[#This Row],[//DB]])))</f>
        <v>120 LSN</v>
      </c>
      <c r="AT4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gelzhixinrefillg3118120lsnuntana</v>
      </c>
      <c r="AU487" s="39" t="e">
        <f ca="1">IF(NOTA[[#This Row],[ID_H]]="","",MATCH(NOTA[[#This Row],[NB NOTA_C_QTY]],[4]!db[NB NOTA_C_QTY+F],0))</f>
        <v>#REF!</v>
      </c>
      <c r="AV487" s="55">
        <f ca="1">IF(NOTA[[#This Row],[NB NOTA_C_QTY]]="","",ROW()-2)</f>
        <v>485</v>
      </c>
    </row>
    <row r="488" spans="1:48" ht="20.100000000000001" customHeight="1" x14ac:dyDescent="0.25">
      <c r="A4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>
        <f ca="1">IF(NOTA[[#This Row],[NAMA BARANG]]="","",INDEX(NOTA[ID],MATCH(,INDIRECT(ADDRESS(ROW(NOTA[ID]),COLUMN(NOTA[ID]))&amp;":"&amp;ADDRESS(ROW(),COLUMN(NOTA[ID]))),-1)))</f>
        <v>102</v>
      </c>
      <c r="E488" s="47"/>
      <c r="H488" s="48"/>
      <c r="L488" s="38" t="s">
        <v>582</v>
      </c>
      <c r="M488" s="41">
        <v>1</v>
      </c>
      <c r="N488" s="39">
        <v>120</v>
      </c>
      <c r="O488" s="38" t="s">
        <v>152</v>
      </c>
      <c r="P488" s="42">
        <v>18250</v>
      </c>
      <c r="Q488" s="43"/>
      <c r="R488" s="49" t="s">
        <v>226</v>
      </c>
      <c r="S488" s="50"/>
      <c r="U488" s="51"/>
      <c r="V488" s="46"/>
      <c r="W488" s="51">
        <f>IF(NOTA[[#This Row],[HARGA/ CTN]]="",NOTA[[#This Row],[JUMLAH_H]],NOTA[[#This Row],[HARGA/ CTN]]*IF(NOTA[[#This Row],[C]]="",0,NOTA[[#This Row],[C]]))</f>
        <v>2190000</v>
      </c>
      <c r="X488" s="51">
        <f>IF(NOTA[[#This Row],[JUMLAH]]="","",NOTA[[#This Row],[JUMLAH]]*NOTA[[#This Row],[DISC 1]])</f>
        <v>0</v>
      </c>
      <c r="Y488" s="51">
        <f>IF(NOTA[[#This Row],[JUMLAH]]="","",(NOTA[[#This Row],[JUMLAH]]-NOTA[[#This Row],[DISC 1-]])*NOTA[[#This Row],[DISC 2]])</f>
        <v>0</v>
      </c>
      <c r="Z488" s="51">
        <f>IF(NOTA[[#This Row],[JUMLAH]]="","",NOTA[[#This Row],[DISC 1-]]+NOTA[[#This Row],[DISC 2-]])</f>
        <v>0</v>
      </c>
      <c r="AA488" s="51">
        <f>IF(NOTA[[#This Row],[JUMLAH]]="","",NOTA[[#This Row],[JUMLAH]]-NOTA[[#This Row],[DISC]])</f>
        <v>2190000</v>
      </c>
      <c r="AB488" s="51"/>
      <c r="AC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8" s="51">
        <f>IF(OR(NOTA[[#This Row],[QTY]]="",NOTA[[#This Row],[HARGA SATUAN]]="",),"",NOTA[[#This Row],[QTY]]*NOTA[[#This Row],[HARGA SATUAN]])</f>
        <v>2190000</v>
      </c>
      <c r="AG488" s="40">
        <f ca="1">IF(NOTA[ID_H]="","",INDEX(NOTA[TANGGAL],MATCH(,INDIRECT(ADDRESS(ROW(NOTA[TANGGAL]),COLUMN(NOTA[TANGGAL]))&amp;":"&amp;ADDRESS(ROW(),COLUMN(NOTA[TANGGAL]))),-1)))</f>
        <v>45127</v>
      </c>
      <c r="AH488" s="42" t="str">
        <f ca="1">IF(NOTA[[#This Row],[NAMA BARANG]]="","",INDEX(NOTA[SUPPLIER],MATCH(,INDIRECT(ADDRESS(ROW(NOTA[ID]),COLUMN(NOTA[ID]))&amp;":"&amp;ADDRESS(ROW(),COLUMN(NOTA[ID]))),-1)))</f>
        <v>DB STATIONERY</v>
      </c>
      <c r="AI488" s="42" t="str">
        <f ca="1">IF(NOTA[[#This Row],[ID_H]]="","",IF(NOTA[[#This Row],[FAKTUR]]="",INDIRECT(ADDRESS(ROW()-1,COLUMN())),NOTA[[#This Row],[FAKTUR]]))</f>
        <v>UNTANA</v>
      </c>
      <c r="AJ488" s="39" t="str">
        <f ca="1">IF(NOTA[[#This Row],[ID]]="","",COUNTIF(NOTA[ID_H],NOTA[[#This Row],[ID_H]]))</f>
        <v/>
      </c>
      <c r="AK488" s="39">
        <f ca="1">IF(NOTA[[#This Row],[TGL.NOTA]]="",IF(NOTA[[#This Row],[SUPPLIER_H]]="","",AK487),MONTH(NOTA[[#This Row],[TGL.NOTA]]))</f>
        <v>7</v>
      </c>
      <c r="AL488" s="39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4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N4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O4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9" t="str">
        <f>IF(NOTA[[#This Row],[CONCAT4]]="","",_xlfn.IFNA(MATCH(NOTA[[#This Row],[CONCAT4]],[2]!RAW[CONCAT_H],0),FALSE))</f>
        <v/>
      </c>
      <c r="AQ488" s="39">
        <f>IF(NOTA[[#This Row],[CONCAT1]]="","",MATCH(NOTA[[#This Row],[CONCAT1]],[3]!db[NB NOTA_C],0))</f>
        <v>581</v>
      </c>
      <c r="AR488" s="39" t="b">
        <f>IF(NOTA[[#This Row],[QTY/ CTN]]="","",TRUE)</f>
        <v>1</v>
      </c>
      <c r="AS488" s="39" t="str">
        <f ca="1">IF(NOTA[[#This Row],[ID_H]]="","",IF(NOTA[[#This Row],[Column3]]=TRUE,NOTA[[#This Row],[QTY/ CTN]],INDEX([3]!db[QTY/ CTN],NOTA[[#This Row],[//DB]])))</f>
        <v>120 LSN</v>
      </c>
      <c r="AT4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gelzhixinrefillg3119120lsnuntana</v>
      </c>
      <c r="AU488" s="39" t="e">
        <f ca="1">IF(NOTA[[#This Row],[ID_H]]="","",MATCH(NOTA[[#This Row],[NB NOTA_C_QTY]],[4]!db[NB NOTA_C_QTY+F],0))</f>
        <v>#REF!</v>
      </c>
      <c r="AV488" s="55">
        <f ca="1">IF(NOTA[[#This Row],[NB NOTA_C_QTY]]="","",ROW()-2)</f>
        <v>486</v>
      </c>
    </row>
    <row r="489" spans="1:48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>
        <f ca="1">IF(NOTA[[#This Row],[NAMA BARANG]]="","",INDEX(NOTA[ID],MATCH(,INDIRECT(ADDRESS(ROW(NOTA[ID]),COLUMN(NOTA[ID]))&amp;":"&amp;ADDRESS(ROW(),COLUMN(NOTA[ID]))),-1)))</f>
        <v>102</v>
      </c>
      <c r="E489" s="47"/>
      <c r="H489" s="48"/>
      <c r="L489" s="38" t="s">
        <v>583</v>
      </c>
      <c r="M489" s="41">
        <v>1</v>
      </c>
      <c r="N489" s="39">
        <v>120</v>
      </c>
      <c r="O489" s="38" t="s">
        <v>152</v>
      </c>
      <c r="P489" s="42">
        <v>18250</v>
      </c>
      <c r="Q489" s="43"/>
      <c r="R489" s="49" t="s">
        <v>226</v>
      </c>
      <c r="S489" s="50"/>
      <c r="U489" s="51"/>
      <c r="V489" s="46"/>
      <c r="W489" s="51">
        <f>IF(NOTA[[#This Row],[HARGA/ CTN]]="",NOTA[[#This Row],[JUMLAH_H]],NOTA[[#This Row],[HARGA/ CTN]]*IF(NOTA[[#This Row],[C]]="",0,NOTA[[#This Row],[C]]))</f>
        <v>2190000</v>
      </c>
      <c r="X489" s="51">
        <f>IF(NOTA[[#This Row],[JUMLAH]]="","",NOTA[[#This Row],[JUMLAH]]*NOTA[[#This Row],[DISC 1]])</f>
        <v>0</v>
      </c>
      <c r="Y489" s="51">
        <f>IF(NOTA[[#This Row],[JUMLAH]]="","",(NOTA[[#This Row],[JUMLAH]]-NOTA[[#This Row],[DISC 1-]])*NOTA[[#This Row],[DISC 2]])</f>
        <v>0</v>
      </c>
      <c r="Z489" s="51">
        <f>IF(NOTA[[#This Row],[JUMLAH]]="","",NOTA[[#This Row],[DISC 1-]]+NOTA[[#This Row],[DISC 2-]])</f>
        <v>0</v>
      </c>
      <c r="AA489" s="51">
        <f>IF(NOTA[[#This Row],[JUMLAH]]="","",NOTA[[#This Row],[JUMLAH]]-NOTA[[#This Row],[DISC]])</f>
        <v>2190000</v>
      </c>
      <c r="AB489" s="51"/>
      <c r="AC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9" s="51">
        <f>IF(OR(NOTA[[#This Row],[QTY]]="",NOTA[[#This Row],[HARGA SATUAN]]="",),"",NOTA[[#This Row],[QTY]]*NOTA[[#This Row],[HARGA SATUAN]])</f>
        <v>2190000</v>
      </c>
      <c r="AG489" s="40">
        <f ca="1">IF(NOTA[ID_H]="","",INDEX(NOTA[TANGGAL],MATCH(,INDIRECT(ADDRESS(ROW(NOTA[TANGGAL]),COLUMN(NOTA[TANGGAL]))&amp;":"&amp;ADDRESS(ROW(),COLUMN(NOTA[TANGGAL]))),-1)))</f>
        <v>45127</v>
      </c>
      <c r="AH489" s="42" t="str">
        <f ca="1">IF(NOTA[[#This Row],[NAMA BARANG]]="","",INDEX(NOTA[SUPPLIER],MATCH(,INDIRECT(ADDRESS(ROW(NOTA[ID]),COLUMN(NOTA[ID]))&amp;":"&amp;ADDRESS(ROW(),COLUMN(NOTA[ID]))),-1)))</f>
        <v>DB STATIONERY</v>
      </c>
      <c r="AI489" s="42" t="str">
        <f ca="1">IF(NOTA[[#This Row],[ID_H]]="","",IF(NOTA[[#This Row],[FAKTUR]]="",INDIRECT(ADDRESS(ROW()-1,COLUMN())),NOTA[[#This Row],[FAKTUR]]))</f>
        <v>UNTANA</v>
      </c>
      <c r="AJ489" s="39" t="str">
        <f ca="1">IF(NOTA[[#This Row],[ID]]="","",COUNTIF(NOTA[ID_H],NOTA[[#This Row],[ID_H]]))</f>
        <v/>
      </c>
      <c r="AK489" s="39">
        <f ca="1">IF(NOTA[[#This Row],[TGL.NOTA]]="",IF(NOTA[[#This Row],[SUPPLIER_H]]="","",AK488),MONTH(NOTA[[#This Row],[TGL.NOTA]]))</f>
        <v>7</v>
      </c>
      <c r="AL489" s="39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M4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N4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O4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9" t="str">
        <f>IF(NOTA[[#This Row],[CONCAT4]]="","",_xlfn.IFNA(MATCH(NOTA[[#This Row],[CONCAT4]],[2]!RAW[CONCAT_H],0),FALSE))</f>
        <v/>
      </c>
      <c r="AQ489" s="39">
        <f>IF(NOTA[[#This Row],[CONCAT1]]="","",MATCH(NOTA[[#This Row],[CONCAT1]],[3]!db[NB NOTA_C],0))</f>
        <v>582</v>
      </c>
      <c r="AR489" s="39" t="b">
        <f>IF(NOTA[[#This Row],[QTY/ CTN]]="","",TRUE)</f>
        <v>1</v>
      </c>
      <c r="AS489" s="39" t="str">
        <f ca="1">IF(NOTA[[#This Row],[ID_H]]="","",IF(NOTA[[#This Row],[Column3]]=TRUE,NOTA[[#This Row],[QTY/ CTN]],INDEX([3]!db[QTY/ CTN],NOTA[[#This Row],[//DB]])))</f>
        <v>120 LSN</v>
      </c>
      <c r="AT4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U489" s="39" t="e">
        <f ca="1">IF(NOTA[[#This Row],[ID_H]]="","",MATCH(NOTA[[#This Row],[NB NOTA_C_QTY]],[4]!db[NB NOTA_C_QTY+F],0))</f>
        <v>#REF!</v>
      </c>
      <c r="AV489" s="55">
        <f ca="1">IF(NOTA[[#This Row],[NB NOTA_C_QTY]]="","",ROW()-2)</f>
        <v>487</v>
      </c>
    </row>
    <row r="490" spans="1:48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9" t="str">
        <f>IF(NOTA[[#This Row],[ID_P]]="","",MATCH(NOTA[[#This Row],[ID_P]],[1]!B_MSK[N_ID],0))</f>
        <v/>
      </c>
      <c r="D490" s="39">
        <f ca="1">IF(NOTA[[#This Row],[NAMA BARANG]]="","",INDEX(NOTA[ID],MATCH(,INDIRECT(ADDRESS(ROW(NOTA[ID]),COLUMN(NOTA[ID]))&amp;":"&amp;ADDRESS(ROW(),COLUMN(NOTA[ID]))),-1)))</f>
        <v>102</v>
      </c>
      <c r="E490" s="47"/>
      <c r="H490" s="48"/>
      <c r="L490" s="38" t="s">
        <v>584</v>
      </c>
      <c r="M490" s="41">
        <v>1</v>
      </c>
      <c r="N490" s="39">
        <v>120</v>
      </c>
      <c r="O490" s="38" t="s">
        <v>152</v>
      </c>
      <c r="P490" s="42">
        <v>18250</v>
      </c>
      <c r="Q490" s="43"/>
      <c r="R490" s="49" t="s">
        <v>226</v>
      </c>
      <c r="S490" s="50"/>
      <c r="U490" s="51"/>
      <c r="V490" s="46"/>
      <c r="W490" s="51">
        <f>IF(NOTA[[#This Row],[HARGA/ CTN]]="",NOTA[[#This Row],[JUMLAH_H]],NOTA[[#This Row],[HARGA/ CTN]]*IF(NOTA[[#This Row],[C]]="",0,NOTA[[#This Row],[C]]))</f>
        <v>2190000</v>
      </c>
      <c r="X490" s="51">
        <f>IF(NOTA[[#This Row],[JUMLAH]]="","",NOTA[[#This Row],[JUMLAH]]*NOTA[[#This Row],[DISC 1]])</f>
        <v>0</v>
      </c>
      <c r="Y490" s="51">
        <f>IF(NOTA[[#This Row],[JUMLAH]]="","",(NOTA[[#This Row],[JUMLAH]]-NOTA[[#This Row],[DISC 1-]])*NOTA[[#This Row],[DISC 2]])</f>
        <v>0</v>
      </c>
      <c r="Z490" s="51">
        <f>IF(NOTA[[#This Row],[JUMLAH]]="","",NOTA[[#This Row],[DISC 1-]]+NOTA[[#This Row],[DISC 2-]])</f>
        <v>0</v>
      </c>
      <c r="AA490" s="51">
        <f>IF(NOTA[[#This Row],[JUMLAH]]="","",NOTA[[#This Row],[JUMLAH]]-NOTA[[#This Row],[DISC]])</f>
        <v>2190000</v>
      </c>
      <c r="AB490" s="51"/>
      <c r="AC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0" s="51">
        <f>IF(OR(NOTA[[#This Row],[QTY]]="",NOTA[[#This Row],[HARGA SATUAN]]="",),"",NOTA[[#This Row],[QTY]]*NOTA[[#This Row],[HARGA SATUAN]])</f>
        <v>2190000</v>
      </c>
      <c r="AG490" s="40">
        <f ca="1">IF(NOTA[ID_H]="","",INDEX(NOTA[TANGGAL],MATCH(,INDIRECT(ADDRESS(ROW(NOTA[TANGGAL]),COLUMN(NOTA[TANGGAL]))&amp;":"&amp;ADDRESS(ROW(),COLUMN(NOTA[TANGGAL]))),-1)))</f>
        <v>45127</v>
      </c>
      <c r="AH490" s="42" t="str">
        <f ca="1">IF(NOTA[[#This Row],[NAMA BARANG]]="","",INDEX(NOTA[SUPPLIER],MATCH(,INDIRECT(ADDRESS(ROW(NOTA[ID]),COLUMN(NOTA[ID]))&amp;":"&amp;ADDRESS(ROW(),COLUMN(NOTA[ID]))),-1)))</f>
        <v>DB STATIONERY</v>
      </c>
      <c r="AI490" s="42" t="str">
        <f ca="1">IF(NOTA[[#This Row],[ID_H]]="","",IF(NOTA[[#This Row],[FAKTUR]]="",INDIRECT(ADDRESS(ROW()-1,COLUMN())),NOTA[[#This Row],[FAKTUR]]))</f>
        <v>UNTANA</v>
      </c>
      <c r="AJ490" s="39" t="str">
        <f ca="1">IF(NOTA[[#This Row],[ID]]="","",COUNTIF(NOTA[ID_H],NOTA[[#This Row],[ID_H]]))</f>
        <v/>
      </c>
      <c r="AK490" s="39">
        <f ca="1">IF(NOTA[[#This Row],[TGL.NOTA]]="",IF(NOTA[[#This Row],[SUPPLIER_H]]="","",AK489),MONTH(NOTA[[#This Row],[TGL.NOTA]]))</f>
        <v>7</v>
      </c>
      <c r="AL490" s="39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4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N4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O4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9" t="str">
        <f>IF(NOTA[[#This Row],[CONCAT4]]="","",_xlfn.IFNA(MATCH(NOTA[[#This Row],[CONCAT4]],[2]!RAW[CONCAT_H],0),FALSE))</f>
        <v/>
      </c>
      <c r="AQ490" s="39">
        <f>IF(NOTA[[#This Row],[CONCAT1]]="","",MATCH(NOTA[[#This Row],[CONCAT1]],[3]!db[NB NOTA_C],0))</f>
        <v>590</v>
      </c>
      <c r="AR490" s="39" t="b">
        <f>IF(NOTA[[#This Row],[QTY/ CTN]]="","",TRUE)</f>
        <v>1</v>
      </c>
      <c r="AS490" s="39" t="str">
        <f ca="1">IF(NOTA[[#This Row],[ID_H]]="","",IF(NOTA[[#This Row],[Column3]]=TRUE,NOTA[[#This Row],[QTY/ CTN]],INDEX([3]!db[QTY/ CTN],NOTA[[#This Row],[//DB]])))</f>
        <v>120 LSN</v>
      </c>
      <c r="AT4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gelzhixinrefillg3128120lsnuntana</v>
      </c>
      <c r="AU490" s="39" t="e">
        <f ca="1">IF(NOTA[[#This Row],[ID_H]]="","",MATCH(NOTA[[#This Row],[NB NOTA_C_QTY]],[4]!db[NB NOTA_C_QTY+F],0))</f>
        <v>#REF!</v>
      </c>
      <c r="AV490" s="55">
        <f ca="1">IF(NOTA[[#This Row],[NB NOTA_C_QTY]]="","",ROW()-2)</f>
        <v>488</v>
      </c>
    </row>
    <row r="491" spans="1:48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>
        <f ca="1">IF(NOTA[[#This Row],[NAMA BARANG]]="","",INDEX(NOTA[ID],MATCH(,INDIRECT(ADDRESS(ROW(NOTA[ID]),COLUMN(NOTA[ID]))&amp;":"&amp;ADDRESS(ROW(),COLUMN(NOTA[ID]))),-1)))</f>
        <v>102</v>
      </c>
      <c r="E491" s="47"/>
      <c r="H491" s="48"/>
      <c r="L491" s="38" t="s">
        <v>585</v>
      </c>
      <c r="M491" s="41">
        <v>1</v>
      </c>
      <c r="N491" s="39">
        <v>120</v>
      </c>
      <c r="O491" s="38" t="s">
        <v>152</v>
      </c>
      <c r="P491" s="42">
        <v>18250</v>
      </c>
      <c r="Q491" s="43"/>
      <c r="R491" s="49" t="s">
        <v>226</v>
      </c>
      <c r="S491" s="50"/>
      <c r="U491" s="51"/>
      <c r="V491" s="46"/>
      <c r="W491" s="51">
        <f>IF(NOTA[[#This Row],[HARGA/ CTN]]="",NOTA[[#This Row],[JUMLAH_H]],NOTA[[#This Row],[HARGA/ CTN]]*IF(NOTA[[#This Row],[C]]="",0,NOTA[[#This Row],[C]]))</f>
        <v>2190000</v>
      </c>
      <c r="X491" s="51">
        <f>IF(NOTA[[#This Row],[JUMLAH]]="","",NOTA[[#This Row],[JUMLAH]]*NOTA[[#This Row],[DISC 1]])</f>
        <v>0</v>
      </c>
      <c r="Y491" s="51">
        <f>IF(NOTA[[#This Row],[JUMLAH]]="","",(NOTA[[#This Row],[JUMLAH]]-NOTA[[#This Row],[DISC 1-]])*NOTA[[#This Row],[DISC 2]])</f>
        <v>0</v>
      </c>
      <c r="Z491" s="51">
        <f>IF(NOTA[[#This Row],[JUMLAH]]="","",NOTA[[#This Row],[DISC 1-]]+NOTA[[#This Row],[DISC 2-]])</f>
        <v>0</v>
      </c>
      <c r="AA491" s="51">
        <f>IF(NOTA[[#This Row],[JUMLAH]]="","",NOTA[[#This Row],[JUMLAH]]-NOTA[[#This Row],[DISC]])</f>
        <v>2190000</v>
      </c>
      <c r="AB491" s="51"/>
      <c r="AC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1" s="51">
        <f>IF(OR(NOTA[[#This Row],[QTY]]="",NOTA[[#This Row],[HARGA SATUAN]]="",),"",NOTA[[#This Row],[QTY]]*NOTA[[#This Row],[HARGA SATUAN]])</f>
        <v>2190000</v>
      </c>
      <c r="AG491" s="40">
        <f ca="1">IF(NOTA[ID_H]="","",INDEX(NOTA[TANGGAL],MATCH(,INDIRECT(ADDRESS(ROW(NOTA[TANGGAL]),COLUMN(NOTA[TANGGAL]))&amp;":"&amp;ADDRESS(ROW(),COLUMN(NOTA[TANGGAL]))),-1)))</f>
        <v>45127</v>
      </c>
      <c r="AH491" s="42" t="str">
        <f ca="1">IF(NOTA[[#This Row],[NAMA BARANG]]="","",INDEX(NOTA[SUPPLIER],MATCH(,INDIRECT(ADDRESS(ROW(NOTA[ID]),COLUMN(NOTA[ID]))&amp;":"&amp;ADDRESS(ROW(),COLUMN(NOTA[ID]))),-1)))</f>
        <v>DB STATIONERY</v>
      </c>
      <c r="AI491" s="42" t="str">
        <f ca="1">IF(NOTA[[#This Row],[ID_H]]="","",IF(NOTA[[#This Row],[FAKTUR]]="",INDIRECT(ADDRESS(ROW()-1,COLUMN())),NOTA[[#This Row],[FAKTUR]]))</f>
        <v>UNTANA</v>
      </c>
      <c r="AJ491" s="39" t="str">
        <f ca="1">IF(NOTA[[#This Row],[ID]]="","",COUNTIF(NOTA[ID_H],NOTA[[#This Row],[ID_H]]))</f>
        <v/>
      </c>
      <c r="AK491" s="39">
        <f ca="1">IF(NOTA[[#This Row],[TGL.NOTA]]="",IF(NOTA[[#This Row],[SUPPLIER_H]]="","",AK490),MONTH(NOTA[[#This Row],[TGL.NOTA]]))</f>
        <v>7</v>
      </c>
      <c r="AL491" s="39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4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N4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O4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9" t="str">
        <f>IF(NOTA[[#This Row],[CONCAT4]]="","",_xlfn.IFNA(MATCH(NOTA[[#This Row],[CONCAT4]],[2]!RAW[CONCAT_H],0),FALSE))</f>
        <v/>
      </c>
      <c r="AQ491" s="39">
        <f>IF(NOTA[[#This Row],[CONCAT1]]="","",MATCH(NOTA[[#This Row],[CONCAT1]],[3]!db[NB NOTA_C],0))</f>
        <v>591</v>
      </c>
      <c r="AR491" s="39" t="b">
        <f>IF(NOTA[[#This Row],[QTY/ CTN]]="","",TRUE)</f>
        <v>1</v>
      </c>
      <c r="AS491" s="39" t="str">
        <f ca="1">IF(NOTA[[#This Row],[ID_H]]="","",IF(NOTA[[#This Row],[Column3]]=TRUE,NOTA[[#This Row],[QTY/ CTN]],INDEX([3]!db[QTY/ CTN],NOTA[[#This Row],[//DB]])))</f>
        <v>120 LSN</v>
      </c>
      <c r="AT4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U491" s="39" t="e">
        <f ca="1">IF(NOTA[[#This Row],[ID_H]]="","",MATCH(NOTA[[#This Row],[NB NOTA_C_QTY]],[4]!db[NB NOTA_C_QTY+F],0))</f>
        <v>#REF!</v>
      </c>
      <c r="AV491" s="55">
        <f ca="1">IF(NOTA[[#This Row],[NB NOTA_C_QTY]]="","",ROW()-2)</f>
        <v>489</v>
      </c>
    </row>
    <row r="492" spans="1:48" ht="20.100000000000001" customHeight="1" x14ac:dyDescent="0.25">
      <c r="A4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9" t="str">
        <f>IF(NOTA[[#This Row],[ID_P]]="","",MATCH(NOTA[[#This Row],[ID_P]],[1]!B_MSK[N_ID],0))</f>
        <v/>
      </c>
      <c r="D492" s="39">
        <f ca="1">IF(NOTA[[#This Row],[NAMA BARANG]]="","",INDEX(NOTA[ID],MATCH(,INDIRECT(ADDRESS(ROW(NOTA[ID]),COLUMN(NOTA[ID]))&amp;":"&amp;ADDRESS(ROW(),COLUMN(NOTA[ID]))),-1)))</f>
        <v>102</v>
      </c>
      <c r="E492" s="47"/>
      <c r="H492" s="48"/>
      <c r="L492" s="38" t="s">
        <v>586</v>
      </c>
      <c r="M492" s="41">
        <v>1</v>
      </c>
      <c r="N492" s="39">
        <v>120</v>
      </c>
      <c r="O492" s="38" t="s">
        <v>152</v>
      </c>
      <c r="P492" s="42">
        <v>18250</v>
      </c>
      <c r="Q492" s="43"/>
      <c r="R492" s="49" t="s">
        <v>226</v>
      </c>
      <c r="S492" s="50"/>
      <c r="U492" s="51"/>
      <c r="V492" s="46"/>
      <c r="W492" s="51">
        <f>IF(NOTA[[#This Row],[HARGA/ CTN]]="",NOTA[[#This Row],[JUMLAH_H]],NOTA[[#This Row],[HARGA/ CTN]]*IF(NOTA[[#This Row],[C]]="",0,NOTA[[#This Row],[C]]))</f>
        <v>2190000</v>
      </c>
      <c r="X492" s="51">
        <f>IF(NOTA[[#This Row],[JUMLAH]]="","",NOTA[[#This Row],[JUMLAH]]*NOTA[[#This Row],[DISC 1]])</f>
        <v>0</v>
      </c>
      <c r="Y492" s="51">
        <f>IF(NOTA[[#This Row],[JUMLAH]]="","",(NOTA[[#This Row],[JUMLAH]]-NOTA[[#This Row],[DISC 1-]])*NOTA[[#This Row],[DISC 2]])</f>
        <v>0</v>
      </c>
      <c r="Z492" s="51">
        <f>IF(NOTA[[#This Row],[JUMLAH]]="","",NOTA[[#This Row],[DISC 1-]]+NOTA[[#This Row],[DISC 2-]])</f>
        <v>0</v>
      </c>
      <c r="AA492" s="51">
        <f>IF(NOTA[[#This Row],[JUMLAH]]="","",NOTA[[#This Row],[JUMLAH]]-NOTA[[#This Row],[DISC]])</f>
        <v>2190000</v>
      </c>
      <c r="AB492" s="51"/>
      <c r="AC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2" s="51">
        <f>IF(OR(NOTA[[#This Row],[QTY]]="",NOTA[[#This Row],[HARGA SATUAN]]="",),"",NOTA[[#This Row],[QTY]]*NOTA[[#This Row],[HARGA SATUAN]])</f>
        <v>2190000</v>
      </c>
      <c r="AG492" s="40">
        <f ca="1">IF(NOTA[ID_H]="","",INDEX(NOTA[TANGGAL],MATCH(,INDIRECT(ADDRESS(ROW(NOTA[TANGGAL]),COLUMN(NOTA[TANGGAL]))&amp;":"&amp;ADDRESS(ROW(),COLUMN(NOTA[TANGGAL]))),-1)))</f>
        <v>45127</v>
      </c>
      <c r="AH492" s="42" t="str">
        <f ca="1">IF(NOTA[[#This Row],[NAMA BARANG]]="","",INDEX(NOTA[SUPPLIER],MATCH(,INDIRECT(ADDRESS(ROW(NOTA[ID]),COLUMN(NOTA[ID]))&amp;":"&amp;ADDRESS(ROW(),COLUMN(NOTA[ID]))),-1)))</f>
        <v>DB STATIONERY</v>
      </c>
      <c r="AI492" s="42" t="str">
        <f ca="1">IF(NOTA[[#This Row],[ID_H]]="","",IF(NOTA[[#This Row],[FAKTUR]]="",INDIRECT(ADDRESS(ROW()-1,COLUMN())),NOTA[[#This Row],[FAKTUR]]))</f>
        <v>UNTANA</v>
      </c>
      <c r="AJ492" s="39" t="str">
        <f ca="1">IF(NOTA[[#This Row],[ID]]="","",COUNTIF(NOTA[ID_H],NOTA[[#This Row],[ID_H]]))</f>
        <v/>
      </c>
      <c r="AK492" s="39">
        <f ca="1">IF(NOTA[[#This Row],[TGL.NOTA]]="",IF(NOTA[[#This Row],[SUPPLIER_H]]="","",AK491),MONTH(NOTA[[#This Row],[TGL.NOTA]]))</f>
        <v>7</v>
      </c>
      <c r="AL492" s="39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M4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N4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O4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9" t="str">
        <f>IF(NOTA[[#This Row],[CONCAT4]]="","",_xlfn.IFNA(MATCH(NOTA[[#This Row],[CONCAT4]],[2]!RAW[CONCAT_H],0),FALSE))</f>
        <v/>
      </c>
      <c r="AQ492" s="39">
        <f>IF(NOTA[[#This Row],[CONCAT1]]="","",MATCH(NOTA[[#This Row],[CONCAT1]],[3]!db[NB NOTA_C],0))</f>
        <v>600</v>
      </c>
      <c r="AR492" s="39" t="b">
        <f>IF(NOTA[[#This Row],[QTY/ CTN]]="","",TRUE)</f>
        <v>1</v>
      </c>
      <c r="AS492" s="39" t="str">
        <f ca="1">IF(NOTA[[#This Row],[ID_H]]="","",IF(NOTA[[#This Row],[Column3]]=TRUE,NOTA[[#This Row],[QTY/ CTN]],INDEX([3]!db[QTY/ CTN],NOTA[[#This Row],[//DB]])))</f>
        <v>120 LSN</v>
      </c>
      <c r="AT4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U492" s="39" t="e">
        <f ca="1">IF(NOTA[[#This Row],[ID_H]]="","",MATCH(NOTA[[#This Row],[NB NOTA_C_QTY]],[4]!db[NB NOTA_C_QTY+F],0))</f>
        <v>#REF!</v>
      </c>
      <c r="AV492" s="55">
        <f ca="1">IF(NOTA[[#This Row],[NB NOTA_C_QTY]]="","",ROW()-2)</f>
        <v>490</v>
      </c>
    </row>
    <row r="493" spans="1:48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>
        <f ca="1">IF(NOTA[[#This Row],[NAMA BARANG]]="","",INDEX(NOTA[ID],MATCH(,INDIRECT(ADDRESS(ROW(NOTA[ID]),COLUMN(NOTA[ID]))&amp;":"&amp;ADDRESS(ROW(),COLUMN(NOTA[ID]))),-1)))</f>
        <v>102</v>
      </c>
      <c r="E493" s="47"/>
      <c r="H493" s="48"/>
      <c r="L493" s="38" t="s">
        <v>587</v>
      </c>
      <c r="M493" s="41">
        <v>1</v>
      </c>
      <c r="N493" s="39">
        <v>120</v>
      </c>
      <c r="O493" s="38" t="s">
        <v>152</v>
      </c>
      <c r="P493" s="42">
        <v>18250</v>
      </c>
      <c r="Q493" s="43"/>
      <c r="R493" s="49" t="s">
        <v>226</v>
      </c>
      <c r="S493" s="50"/>
      <c r="U493" s="51"/>
      <c r="V493" s="46"/>
      <c r="W493" s="51">
        <f>IF(NOTA[[#This Row],[HARGA/ CTN]]="",NOTA[[#This Row],[JUMLAH_H]],NOTA[[#This Row],[HARGA/ CTN]]*IF(NOTA[[#This Row],[C]]="",0,NOTA[[#This Row],[C]]))</f>
        <v>2190000</v>
      </c>
      <c r="X493" s="51">
        <f>IF(NOTA[[#This Row],[JUMLAH]]="","",NOTA[[#This Row],[JUMLAH]]*NOTA[[#This Row],[DISC 1]])</f>
        <v>0</v>
      </c>
      <c r="Y493" s="51">
        <f>IF(NOTA[[#This Row],[JUMLAH]]="","",(NOTA[[#This Row],[JUMLAH]]-NOTA[[#This Row],[DISC 1-]])*NOTA[[#This Row],[DISC 2]])</f>
        <v>0</v>
      </c>
      <c r="Z493" s="51">
        <f>IF(NOTA[[#This Row],[JUMLAH]]="","",NOTA[[#This Row],[DISC 1-]]+NOTA[[#This Row],[DISC 2-]])</f>
        <v>0</v>
      </c>
      <c r="AA493" s="51">
        <f>IF(NOTA[[#This Row],[JUMLAH]]="","",NOTA[[#This Row],[JUMLAH]]-NOTA[[#This Row],[DISC]])</f>
        <v>2190000</v>
      </c>
      <c r="AB493" s="51"/>
      <c r="AC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3" s="51">
        <f>IF(OR(NOTA[[#This Row],[QTY]]="",NOTA[[#This Row],[HARGA SATUAN]]="",),"",NOTA[[#This Row],[QTY]]*NOTA[[#This Row],[HARGA SATUAN]])</f>
        <v>2190000</v>
      </c>
      <c r="AG493" s="40">
        <f ca="1">IF(NOTA[ID_H]="","",INDEX(NOTA[TANGGAL],MATCH(,INDIRECT(ADDRESS(ROW(NOTA[TANGGAL]),COLUMN(NOTA[TANGGAL]))&amp;":"&amp;ADDRESS(ROW(),COLUMN(NOTA[TANGGAL]))),-1)))</f>
        <v>45127</v>
      </c>
      <c r="AH493" s="42" t="str">
        <f ca="1">IF(NOTA[[#This Row],[NAMA BARANG]]="","",INDEX(NOTA[SUPPLIER],MATCH(,INDIRECT(ADDRESS(ROW(NOTA[ID]),COLUMN(NOTA[ID]))&amp;":"&amp;ADDRESS(ROW(),COLUMN(NOTA[ID]))),-1)))</f>
        <v>DB STATIONERY</v>
      </c>
      <c r="AI493" s="42" t="str">
        <f ca="1">IF(NOTA[[#This Row],[ID_H]]="","",IF(NOTA[[#This Row],[FAKTUR]]="",INDIRECT(ADDRESS(ROW()-1,COLUMN())),NOTA[[#This Row],[FAKTUR]]))</f>
        <v>UNTANA</v>
      </c>
      <c r="AJ493" s="39" t="str">
        <f ca="1">IF(NOTA[[#This Row],[ID]]="","",COUNTIF(NOTA[ID_H],NOTA[[#This Row],[ID_H]]))</f>
        <v/>
      </c>
      <c r="AK493" s="39">
        <f ca="1">IF(NOTA[[#This Row],[TGL.NOTA]]="",IF(NOTA[[#This Row],[SUPPLIER_H]]="","",AK492),MONTH(NOTA[[#This Row],[TGL.NOTA]]))</f>
        <v>7</v>
      </c>
      <c r="AL493" s="39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4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4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4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9" t="str">
        <f>IF(NOTA[[#This Row],[CONCAT4]]="","",_xlfn.IFNA(MATCH(NOTA[[#This Row],[CONCAT4]],[2]!RAW[CONCAT_H],0),FALSE))</f>
        <v/>
      </c>
      <c r="AQ493" s="39">
        <f>IF(NOTA[[#This Row],[CONCAT1]]="","",MATCH(NOTA[[#This Row],[CONCAT1]],[3]!db[NB NOTA_C],0))</f>
        <v>599</v>
      </c>
      <c r="AR493" s="39" t="b">
        <f>IF(NOTA[[#This Row],[QTY/ CTN]]="","",TRUE)</f>
        <v>1</v>
      </c>
      <c r="AS493" s="39" t="str">
        <f ca="1">IF(NOTA[[#This Row],[ID_H]]="","",IF(NOTA[[#This Row],[Column3]]=TRUE,NOTA[[#This Row],[QTY/ CTN]],INDEX([3]!db[QTY/ CTN],NOTA[[#This Row],[//DB]])))</f>
        <v>120 LSN</v>
      </c>
      <c r="AT4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U493" s="39" t="e">
        <f ca="1">IF(NOTA[[#This Row],[ID_H]]="","",MATCH(NOTA[[#This Row],[NB NOTA_C_QTY]],[4]!db[NB NOTA_C_QTY+F],0))</f>
        <v>#REF!</v>
      </c>
      <c r="AV493" s="55">
        <f ca="1">IF(NOTA[[#This Row],[NB NOTA_C_QTY]]="","",ROW()-2)</f>
        <v>491</v>
      </c>
    </row>
    <row r="494" spans="1:48" ht="20.100000000000001" customHeight="1" x14ac:dyDescent="0.25">
      <c r="A4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9" t="str">
        <f>IF(NOTA[[#This Row],[ID_P]]="","",MATCH(NOTA[[#This Row],[ID_P]],[1]!B_MSK[N_ID],0))</f>
        <v/>
      </c>
      <c r="D494" s="39">
        <f ca="1">IF(NOTA[[#This Row],[NAMA BARANG]]="","",INDEX(NOTA[ID],MATCH(,INDIRECT(ADDRESS(ROW(NOTA[ID]),COLUMN(NOTA[ID]))&amp;":"&amp;ADDRESS(ROW(),COLUMN(NOTA[ID]))),-1)))</f>
        <v>102</v>
      </c>
      <c r="E494" s="47"/>
      <c r="H494" s="48"/>
      <c r="L494" s="38" t="s">
        <v>588</v>
      </c>
      <c r="M494" s="41">
        <v>1</v>
      </c>
      <c r="N494" s="39">
        <v>120</v>
      </c>
      <c r="O494" s="38" t="s">
        <v>152</v>
      </c>
      <c r="P494" s="42">
        <v>18250</v>
      </c>
      <c r="Q494" s="43"/>
      <c r="R494" s="49" t="s">
        <v>226</v>
      </c>
      <c r="S494" s="50"/>
      <c r="U494" s="51"/>
      <c r="V494" s="46"/>
      <c r="W494" s="51">
        <f>IF(NOTA[[#This Row],[HARGA/ CTN]]="",NOTA[[#This Row],[JUMLAH_H]],NOTA[[#This Row],[HARGA/ CTN]]*IF(NOTA[[#This Row],[C]]="",0,NOTA[[#This Row],[C]]))</f>
        <v>2190000</v>
      </c>
      <c r="X494" s="51">
        <f>IF(NOTA[[#This Row],[JUMLAH]]="","",NOTA[[#This Row],[JUMLAH]]*NOTA[[#This Row],[DISC 1]])</f>
        <v>0</v>
      </c>
      <c r="Y494" s="51">
        <f>IF(NOTA[[#This Row],[JUMLAH]]="","",(NOTA[[#This Row],[JUMLAH]]-NOTA[[#This Row],[DISC 1-]])*NOTA[[#This Row],[DISC 2]])</f>
        <v>0</v>
      </c>
      <c r="Z494" s="51">
        <f>IF(NOTA[[#This Row],[JUMLAH]]="","",NOTA[[#This Row],[DISC 1-]]+NOTA[[#This Row],[DISC 2-]])</f>
        <v>0</v>
      </c>
      <c r="AA494" s="51">
        <f>IF(NOTA[[#This Row],[JUMLAH]]="","",NOTA[[#This Row],[JUMLAH]]-NOTA[[#This Row],[DISC]])</f>
        <v>2190000</v>
      </c>
      <c r="AB494" s="51"/>
      <c r="AC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4" s="51">
        <f>IF(OR(NOTA[[#This Row],[QTY]]="",NOTA[[#This Row],[HARGA SATUAN]]="",),"",NOTA[[#This Row],[QTY]]*NOTA[[#This Row],[HARGA SATUAN]])</f>
        <v>2190000</v>
      </c>
      <c r="AG494" s="40">
        <f ca="1">IF(NOTA[ID_H]="","",INDEX(NOTA[TANGGAL],MATCH(,INDIRECT(ADDRESS(ROW(NOTA[TANGGAL]),COLUMN(NOTA[TANGGAL]))&amp;":"&amp;ADDRESS(ROW(),COLUMN(NOTA[TANGGAL]))),-1)))</f>
        <v>45127</v>
      </c>
      <c r="AH494" s="42" t="str">
        <f ca="1">IF(NOTA[[#This Row],[NAMA BARANG]]="","",INDEX(NOTA[SUPPLIER],MATCH(,INDIRECT(ADDRESS(ROW(NOTA[ID]),COLUMN(NOTA[ID]))&amp;":"&amp;ADDRESS(ROW(),COLUMN(NOTA[ID]))),-1)))</f>
        <v>DB STATIONERY</v>
      </c>
      <c r="AI494" s="42" t="str">
        <f ca="1">IF(NOTA[[#This Row],[ID_H]]="","",IF(NOTA[[#This Row],[FAKTUR]]="",INDIRECT(ADDRESS(ROW()-1,COLUMN())),NOTA[[#This Row],[FAKTUR]]))</f>
        <v>UNTANA</v>
      </c>
      <c r="AJ494" s="39" t="str">
        <f ca="1">IF(NOTA[[#This Row],[ID]]="","",COUNTIF(NOTA[ID_H],NOTA[[#This Row],[ID_H]]))</f>
        <v/>
      </c>
      <c r="AK494" s="39">
        <f ca="1">IF(NOTA[[#This Row],[TGL.NOTA]]="",IF(NOTA[[#This Row],[SUPPLIER_H]]="","",AK493),MONTH(NOTA[[#This Row],[TGL.NOTA]]))</f>
        <v>7</v>
      </c>
      <c r="AL494" s="39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4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4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4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9" t="str">
        <f>IF(NOTA[[#This Row],[CONCAT4]]="","",_xlfn.IFNA(MATCH(NOTA[[#This Row],[CONCAT4]],[2]!RAW[CONCAT_H],0),FALSE))</f>
        <v/>
      </c>
      <c r="AQ494" s="39">
        <f>IF(NOTA[[#This Row],[CONCAT1]]="","",MATCH(NOTA[[#This Row],[CONCAT1]],[3]!db[NB NOTA_C],0))</f>
        <v>606</v>
      </c>
      <c r="AR494" s="39" t="b">
        <f>IF(NOTA[[#This Row],[QTY/ CTN]]="","",TRUE)</f>
        <v>1</v>
      </c>
      <c r="AS494" s="39" t="str">
        <f ca="1">IF(NOTA[[#This Row],[ID_H]]="","",IF(NOTA[[#This Row],[Column3]]=TRUE,NOTA[[#This Row],[QTY/ CTN]],INDEX([3]!db[QTY/ CTN],NOTA[[#This Row],[//DB]])))</f>
        <v>120 LSN</v>
      </c>
      <c r="AT4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U494" s="39" t="e">
        <f ca="1">IF(NOTA[[#This Row],[ID_H]]="","",MATCH(NOTA[[#This Row],[NB NOTA_C_QTY]],[4]!db[NB NOTA_C_QTY+F],0))</f>
        <v>#REF!</v>
      </c>
      <c r="AV494" s="55">
        <f ca="1">IF(NOTA[[#This Row],[NB NOTA_C_QTY]]="","",ROW()-2)</f>
        <v>492</v>
      </c>
    </row>
    <row r="495" spans="1:48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102</v>
      </c>
      <c r="E495" s="47"/>
      <c r="H495" s="48"/>
      <c r="L495" s="38" t="s">
        <v>589</v>
      </c>
      <c r="M495" s="41">
        <v>1</v>
      </c>
      <c r="N495" s="39">
        <v>120</v>
      </c>
      <c r="O495" s="38" t="s">
        <v>152</v>
      </c>
      <c r="P495" s="42">
        <v>18250</v>
      </c>
      <c r="Q495" s="43"/>
      <c r="R495" s="49" t="s">
        <v>226</v>
      </c>
      <c r="S495" s="50"/>
      <c r="U495" s="51"/>
      <c r="V495" s="46"/>
      <c r="W495" s="51">
        <f>IF(NOTA[[#This Row],[HARGA/ CTN]]="",NOTA[[#This Row],[JUMLAH_H]],NOTA[[#This Row],[HARGA/ CTN]]*IF(NOTA[[#This Row],[C]]="",0,NOTA[[#This Row],[C]]))</f>
        <v>2190000</v>
      </c>
      <c r="X495" s="51">
        <f>IF(NOTA[[#This Row],[JUMLAH]]="","",NOTA[[#This Row],[JUMLAH]]*NOTA[[#This Row],[DISC 1]])</f>
        <v>0</v>
      </c>
      <c r="Y495" s="51">
        <f>IF(NOTA[[#This Row],[JUMLAH]]="","",(NOTA[[#This Row],[JUMLAH]]-NOTA[[#This Row],[DISC 1-]])*NOTA[[#This Row],[DISC 2]])</f>
        <v>0</v>
      </c>
      <c r="Z495" s="51">
        <f>IF(NOTA[[#This Row],[JUMLAH]]="","",NOTA[[#This Row],[DISC 1-]]+NOTA[[#This Row],[DISC 2-]])</f>
        <v>0</v>
      </c>
      <c r="AA495" s="51">
        <f>IF(NOTA[[#This Row],[JUMLAH]]="","",NOTA[[#This Row],[JUMLAH]]-NOTA[[#This Row],[DISC]])</f>
        <v>2190000</v>
      </c>
      <c r="AB495" s="51"/>
      <c r="AC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5" s="51">
        <f>IF(OR(NOTA[[#This Row],[QTY]]="",NOTA[[#This Row],[HARGA SATUAN]]="",),"",NOTA[[#This Row],[QTY]]*NOTA[[#This Row],[HARGA SATUAN]])</f>
        <v>2190000</v>
      </c>
      <c r="AG495" s="40">
        <f ca="1">IF(NOTA[ID_H]="","",INDEX(NOTA[TANGGAL],MATCH(,INDIRECT(ADDRESS(ROW(NOTA[TANGGAL]),COLUMN(NOTA[TANGGAL]))&amp;":"&amp;ADDRESS(ROW(),COLUMN(NOTA[TANGGAL]))),-1)))</f>
        <v>45127</v>
      </c>
      <c r="AH495" s="42" t="str">
        <f ca="1">IF(NOTA[[#This Row],[NAMA BARANG]]="","",INDEX(NOTA[SUPPLIER],MATCH(,INDIRECT(ADDRESS(ROW(NOTA[ID]),COLUMN(NOTA[ID]))&amp;":"&amp;ADDRESS(ROW(),COLUMN(NOTA[ID]))),-1)))</f>
        <v>DB STATIONERY</v>
      </c>
      <c r="AI495" s="42" t="str">
        <f ca="1">IF(NOTA[[#This Row],[ID_H]]="","",IF(NOTA[[#This Row],[FAKTUR]]="",INDIRECT(ADDRESS(ROW()-1,COLUMN())),NOTA[[#This Row],[FAKTUR]]))</f>
        <v>UNTANA</v>
      </c>
      <c r="AJ495" s="39" t="str">
        <f ca="1">IF(NOTA[[#This Row],[ID]]="","",COUNTIF(NOTA[ID_H],NOTA[[#This Row],[ID_H]]))</f>
        <v/>
      </c>
      <c r="AK495" s="39">
        <f ca="1">IF(NOTA[[#This Row],[TGL.NOTA]]="",IF(NOTA[[#This Row],[SUPPLIER_H]]="","",AK494),MONTH(NOTA[[#This Row],[TGL.NOTA]]))</f>
        <v>7</v>
      </c>
      <c r="AL495" s="39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4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N4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O4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9" t="str">
        <f>IF(NOTA[[#This Row],[CONCAT4]]="","",_xlfn.IFNA(MATCH(NOTA[[#This Row],[CONCAT4]],[2]!RAW[CONCAT_H],0),FALSE))</f>
        <v/>
      </c>
      <c r="AQ495" s="39">
        <f>IF(NOTA[[#This Row],[CONCAT1]]="","",MATCH(NOTA[[#This Row],[CONCAT1]],[3]!db[NB NOTA_C],0))</f>
        <v>608</v>
      </c>
      <c r="AR495" s="39" t="b">
        <f>IF(NOTA[[#This Row],[QTY/ CTN]]="","",TRUE)</f>
        <v>1</v>
      </c>
      <c r="AS495" s="39" t="str">
        <f ca="1">IF(NOTA[[#This Row],[ID_H]]="","",IF(NOTA[[#This Row],[Column3]]=TRUE,NOTA[[#This Row],[QTY/ CTN]],INDEX([3]!db[QTY/ CTN],NOTA[[#This Row],[//DB]])))</f>
        <v>120 LSN</v>
      </c>
      <c r="AT4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U495" s="39" t="e">
        <f ca="1">IF(NOTA[[#This Row],[ID_H]]="","",MATCH(NOTA[[#This Row],[NB NOTA_C_QTY]],[4]!db[NB NOTA_C_QTY+F],0))</f>
        <v>#REF!</v>
      </c>
      <c r="AV495" s="55">
        <f ca="1">IF(NOTA[[#This Row],[NB NOTA_C_QTY]]="","",ROW()-2)</f>
        <v>493</v>
      </c>
    </row>
    <row r="496" spans="1:48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102</v>
      </c>
      <c r="E496" s="47"/>
      <c r="H496" s="48"/>
      <c r="L496" s="38" t="s">
        <v>590</v>
      </c>
      <c r="M496" s="41">
        <v>1</v>
      </c>
      <c r="N496" s="39">
        <v>120</v>
      </c>
      <c r="O496" s="38" t="s">
        <v>152</v>
      </c>
      <c r="P496" s="42">
        <v>18250</v>
      </c>
      <c r="Q496" s="43"/>
      <c r="R496" s="49" t="s">
        <v>226</v>
      </c>
      <c r="S496" s="50"/>
      <c r="U496" s="51"/>
      <c r="V496" s="46"/>
      <c r="W496" s="51">
        <f>IF(NOTA[[#This Row],[HARGA/ CTN]]="",NOTA[[#This Row],[JUMLAH_H]],NOTA[[#This Row],[HARGA/ CTN]]*IF(NOTA[[#This Row],[C]]="",0,NOTA[[#This Row],[C]]))</f>
        <v>2190000</v>
      </c>
      <c r="X496" s="51">
        <f>IF(NOTA[[#This Row],[JUMLAH]]="","",NOTA[[#This Row],[JUMLAH]]*NOTA[[#This Row],[DISC 1]])</f>
        <v>0</v>
      </c>
      <c r="Y496" s="51">
        <f>IF(NOTA[[#This Row],[JUMLAH]]="","",(NOTA[[#This Row],[JUMLAH]]-NOTA[[#This Row],[DISC 1-]])*NOTA[[#This Row],[DISC 2]])</f>
        <v>0</v>
      </c>
      <c r="Z496" s="51">
        <f>IF(NOTA[[#This Row],[JUMLAH]]="","",NOTA[[#This Row],[DISC 1-]]+NOTA[[#This Row],[DISC 2-]])</f>
        <v>0</v>
      </c>
      <c r="AA496" s="51">
        <f>IF(NOTA[[#This Row],[JUMLAH]]="","",NOTA[[#This Row],[JUMLAH]]-NOTA[[#This Row],[DISC]])</f>
        <v>2190000</v>
      </c>
      <c r="AB496" s="51"/>
      <c r="AC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6" s="51">
        <f>IF(OR(NOTA[[#This Row],[QTY]]="",NOTA[[#This Row],[HARGA SATUAN]]="",),"",NOTA[[#This Row],[QTY]]*NOTA[[#This Row],[HARGA SATUAN]])</f>
        <v>2190000</v>
      </c>
      <c r="AG496" s="40">
        <f ca="1">IF(NOTA[ID_H]="","",INDEX(NOTA[TANGGAL],MATCH(,INDIRECT(ADDRESS(ROW(NOTA[TANGGAL]),COLUMN(NOTA[TANGGAL]))&amp;":"&amp;ADDRESS(ROW(),COLUMN(NOTA[TANGGAL]))),-1)))</f>
        <v>45127</v>
      </c>
      <c r="AH496" s="42" t="str">
        <f ca="1">IF(NOTA[[#This Row],[NAMA BARANG]]="","",INDEX(NOTA[SUPPLIER],MATCH(,INDIRECT(ADDRESS(ROW(NOTA[ID]),COLUMN(NOTA[ID]))&amp;":"&amp;ADDRESS(ROW(),COLUMN(NOTA[ID]))),-1)))</f>
        <v>DB STATIONERY</v>
      </c>
      <c r="AI496" s="42" t="str">
        <f ca="1">IF(NOTA[[#This Row],[ID_H]]="","",IF(NOTA[[#This Row],[FAKTUR]]="",INDIRECT(ADDRESS(ROW()-1,COLUMN())),NOTA[[#This Row],[FAKTUR]]))</f>
        <v>UNTANA</v>
      </c>
      <c r="AJ496" s="39" t="str">
        <f ca="1">IF(NOTA[[#This Row],[ID]]="","",COUNTIF(NOTA[ID_H],NOTA[[#This Row],[ID_H]]))</f>
        <v/>
      </c>
      <c r="AK496" s="39">
        <f ca="1">IF(NOTA[[#This Row],[TGL.NOTA]]="",IF(NOTA[[#This Row],[SUPPLIER_H]]="","",AK495),MONTH(NOTA[[#This Row],[TGL.NOTA]]))</f>
        <v>7</v>
      </c>
      <c r="AL496" s="39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4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4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4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9" t="str">
        <f>IF(NOTA[[#This Row],[CONCAT4]]="","",_xlfn.IFNA(MATCH(NOTA[[#This Row],[CONCAT4]],[2]!RAW[CONCAT_H],0),FALSE))</f>
        <v/>
      </c>
      <c r="AQ496" s="39">
        <f>IF(NOTA[[#This Row],[CONCAT1]]="","",MATCH(NOTA[[#This Row],[CONCAT1]],[3]!db[NB NOTA_C],0))</f>
        <v>610</v>
      </c>
      <c r="AR496" s="39" t="b">
        <f>IF(NOTA[[#This Row],[QTY/ CTN]]="","",TRUE)</f>
        <v>1</v>
      </c>
      <c r="AS496" s="39" t="str">
        <f ca="1">IF(NOTA[[#This Row],[ID_H]]="","",IF(NOTA[[#This Row],[Column3]]=TRUE,NOTA[[#This Row],[QTY/ CTN]],INDEX([3]!db[QTY/ CTN],NOTA[[#This Row],[//DB]])))</f>
        <v>120 LSN</v>
      </c>
      <c r="AT4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gelzhixinrefillg5016120lsnuntana</v>
      </c>
      <c r="AU496" s="39" t="e">
        <f ca="1">IF(NOTA[[#This Row],[ID_H]]="","",MATCH(NOTA[[#This Row],[NB NOTA_C_QTY]],[4]!db[NB NOTA_C_QTY+F],0))</f>
        <v>#REF!</v>
      </c>
      <c r="AV496" s="55">
        <f ca="1">IF(NOTA[[#This Row],[NB NOTA_C_QTY]]="","",ROW()-2)</f>
        <v>494</v>
      </c>
    </row>
    <row r="497" spans="1:48" ht="20.100000000000001" customHeight="1" x14ac:dyDescent="0.25">
      <c r="A4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>
        <f ca="1">IF(NOTA[[#This Row],[NAMA BARANG]]="","",INDEX(NOTA[ID],MATCH(,INDIRECT(ADDRESS(ROW(NOTA[ID]),COLUMN(NOTA[ID]))&amp;":"&amp;ADDRESS(ROW(),COLUMN(NOTA[ID]))),-1)))</f>
        <v>102</v>
      </c>
      <c r="E497" s="47"/>
      <c r="H497" s="48"/>
      <c r="L497" s="38" t="s">
        <v>591</v>
      </c>
      <c r="N497" s="39">
        <v>60</v>
      </c>
      <c r="O497" s="38" t="s">
        <v>152</v>
      </c>
      <c r="P497" s="42">
        <v>18250</v>
      </c>
      <c r="Q497" s="43"/>
      <c r="R497" s="49" t="s">
        <v>153</v>
      </c>
      <c r="S497" s="50"/>
      <c r="U497" s="51"/>
      <c r="V497" s="46"/>
      <c r="W497" s="51">
        <f>IF(NOTA[[#This Row],[HARGA/ CTN]]="",NOTA[[#This Row],[JUMLAH_H]],NOTA[[#This Row],[HARGA/ CTN]]*IF(NOTA[[#This Row],[C]]="",0,NOTA[[#This Row],[C]]))</f>
        <v>1095000</v>
      </c>
      <c r="X497" s="51">
        <f>IF(NOTA[[#This Row],[JUMLAH]]="","",NOTA[[#This Row],[JUMLAH]]*NOTA[[#This Row],[DISC 1]])</f>
        <v>0</v>
      </c>
      <c r="Y497" s="51">
        <f>IF(NOTA[[#This Row],[JUMLAH]]="","",(NOTA[[#This Row],[JUMLAH]]-NOTA[[#This Row],[DISC 1-]])*NOTA[[#This Row],[DISC 2]])</f>
        <v>0</v>
      </c>
      <c r="Z497" s="51">
        <f>IF(NOTA[[#This Row],[JUMLAH]]="","",NOTA[[#This Row],[DISC 1-]]+NOTA[[#This Row],[DISC 2-]])</f>
        <v>0</v>
      </c>
      <c r="AA497" s="51">
        <f>IF(NOTA[[#This Row],[JUMLAH]]="","",NOTA[[#This Row],[JUMLAH]]-NOTA[[#This Row],[DISC]])</f>
        <v>1095000</v>
      </c>
      <c r="AB497" s="51"/>
      <c r="AC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2">
        <f>IF(NOTA[[#This Row],[NAMA BARANG]]="","",IF(NOTA[[#This Row],[JUMLAH_H]]="",NOTA[[#This Row],[HARGA/ CTN]],NOTA[[#This Row],[QTY]]*NOTA[[#This Row],[HARGA SATUAN]]/IF(ISNUMBER(NOTA[[#This Row],[C]]),NOTA[[#This Row],[C]],1)))</f>
        <v>1095000</v>
      </c>
      <c r="AF497" s="51">
        <f>IF(OR(NOTA[[#This Row],[QTY]]="",NOTA[[#This Row],[HARGA SATUAN]]="",),"",NOTA[[#This Row],[QTY]]*NOTA[[#This Row],[HARGA SATUAN]])</f>
        <v>1095000</v>
      </c>
      <c r="AG497" s="40">
        <f ca="1">IF(NOTA[ID_H]="","",INDEX(NOTA[TANGGAL],MATCH(,INDIRECT(ADDRESS(ROW(NOTA[TANGGAL]),COLUMN(NOTA[TANGGAL]))&amp;":"&amp;ADDRESS(ROW(),COLUMN(NOTA[TANGGAL]))),-1)))</f>
        <v>45127</v>
      </c>
      <c r="AH497" s="42" t="str">
        <f ca="1">IF(NOTA[[#This Row],[NAMA BARANG]]="","",INDEX(NOTA[SUPPLIER],MATCH(,INDIRECT(ADDRESS(ROW(NOTA[ID]),COLUMN(NOTA[ID]))&amp;":"&amp;ADDRESS(ROW(),COLUMN(NOTA[ID]))),-1)))</f>
        <v>DB STATIONERY</v>
      </c>
      <c r="AI497" s="42" t="str">
        <f ca="1">IF(NOTA[[#This Row],[ID_H]]="","",IF(NOTA[[#This Row],[FAKTUR]]="",INDIRECT(ADDRESS(ROW()-1,COLUMN())),NOTA[[#This Row],[FAKTUR]]))</f>
        <v>UNTANA</v>
      </c>
      <c r="AJ497" s="39" t="str">
        <f ca="1">IF(NOTA[[#This Row],[ID]]="","",COUNTIF(NOTA[ID_H],NOTA[[#This Row],[ID_H]]))</f>
        <v/>
      </c>
      <c r="AK497" s="39">
        <f ca="1">IF(NOTA[[#This Row],[TGL.NOTA]]="",IF(NOTA[[#This Row],[SUPPLIER_H]]="","",AK496),MONTH(NOTA[[#This Row],[TGL.NOTA]]))</f>
        <v>7</v>
      </c>
      <c r="AL497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gelzhixinrefillg5034l1095000</v>
      </c>
      <c r="AN4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gelzhixinrefillg5034l18250</v>
      </c>
      <c r="AO4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9" t="str">
        <f>IF(NOTA[[#This Row],[CONCAT4]]="","",_xlfn.IFNA(MATCH(NOTA[[#This Row],[CONCAT4]],[2]!RAW[CONCAT_H],0),FALSE))</f>
        <v/>
      </c>
      <c r="AQ497" s="39">
        <f>IF(NOTA[[#This Row],[CONCAT1]]="","",MATCH(NOTA[[#This Row],[CONCAT1]],[3]!db[NB NOTA_C],0))</f>
        <v>612</v>
      </c>
      <c r="AR497" s="39" t="b">
        <f>IF(NOTA[[#This Row],[QTY/ CTN]]="","",TRUE)</f>
        <v>1</v>
      </c>
      <c r="AS497" s="39" t="str">
        <f ca="1">IF(NOTA[[#This Row],[ID_H]]="","",IF(NOTA[[#This Row],[Column3]]=TRUE,NOTA[[#This Row],[QTY/ CTN]],INDEX([3]!db[QTY/ CTN],NOTA[[#This Row],[//DB]])))</f>
        <v>60 LSN</v>
      </c>
      <c r="AT4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7" s="39" t="e">
        <f ca="1">IF(NOTA[[#This Row],[ID_H]]="","",MATCH(NOTA[[#This Row],[NB NOTA_C_QTY]],[4]!db[NB NOTA_C_QTY+F],0))</f>
        <v>#REF!</v>
      </c>
      <c r="AV497" s="55">
        <f ca="1">IF(NOTA[[#This Row],[NB NOTA_C_QTY]]="","",ROW()-2)</f>
        <v>495</v>
      </c>
    </row>
    <row r="498" spans="1:48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9" t="str">
        <f>IF(NOTA[[#This Row],[ID_P]]="","",MATCH(NOTA[[#This Row],[ID_P]],[1]!B_MSK[N_ID],0))</f>
        <v/>
      </c>
      <c r="D498" s="39">
        <f ca="1">IF(NOTA[[#This Row],[NAMA BARANG]]="","",INDEX(NOTA[ID],MATCH(,INDIRECT(ADDRESS(ROW(NOTA[ID]),COLUMN(NOTA[ID]))&amp;":"&amp;ADDRESS(ROW(),COLUMN(NOTA[ID]))),-1)))</f>
        <v>102</v>
      </c>
      <c r="E498" s="47"/>
      <c r="H498" s="48"/>
      <c r="L498" s="38" t="s">
        <v>591</v>
      </c>
      <c r="N498" s="39">
        <v>60</v>
      </c>
      <c r="O498" s="38" t="s">
        <v>152</v>
      </c>
      <c r="Q498" s="43"/>
      <c r="R498" s="49" t="s">
        <v>153</v>
      </c>
      <c r="S498" s="50"/>
      <c r="U498" s="51"/>
      <c r="V498" s="46" t="s">
        <v>395</v>
      </c>
      <c r="W498" s="51" t="str">
        <f>IF(NOTA[[#This Row],[HARGA/ CTN]]="",NOTA[[#This Row],[JUMLAH_H]],NOTA[[#This Row],[HARGA/ CTN]]*IF(NOTA[[#This Row],[C]]="",0,NOTA[[#This Row],[C]]))</f>
        <v/>
      </c>
      <c r="X498" s="51" t="str">
        <f>IF(NOTA[[#This Row],[JUMLAH]]="","",NOTA[[#This Row],[JUMLAH]]*NOTA[[#This Row],[DISC 1]])</f>
        <v/>
      </c>
      <c r="Y498" s="51" t="str">
        <f>IF(NOTA[[#This Row],[JUMLAH]]="","",(NOTA[[#This Row],[JUMLAH]]-NOTA[[#This Row],[DISC 1-]])*NOTA[[#This Row],[DISC 2]])</f>
        <v/>
      </c>
      <c r="Z498" s="51" t="str">
        <f>IF(NOTA[[#This Row],[JUMLAH]]="","",NOTA[[#This Row],[DISC 1-]]+NOTA[[#This Row],[DISC 2-]])</f>
        <v/>
      </c>
      <c r="AA498" s="51" t="str">
        <f>IF(NOTA[[#This Row],[JUMLAH]]="","",NOTA[[#This Row],[JUMLAH]]-NOTA[[#This Row],[DISC]])</f>
        <v/>
      </c>
      <c r="AB498" s="51"/>
      <c r="AC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27375000</v>
      </c>
      <c r="AE49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98" s="51" t="str">
        <f>IF(OR(NOTA[[#This Row],[QTY]]="",NOTA[[#This Row],[HARGA SATUAN]]="",),"",NOTA[[#This Row],[QTY]]*NOTA[[#This Row],[HARGA SATUAN]])</f>
        <v/>
      </c>
      <c r="AG498" s="40">
        <f ca="1">IF(NOTA[ID_H]="","",INDEX(NOTA[TANGGAL],MATCH(,INDIRECT(ADDRESS(ROW(NOTA[TANGGAL]),COLUMN(NOTA[TANGGAL]))&amp;":"&amp;ADDRESS(ROW(),COLUMN(NOTA[TANGGAL]))),-1)))</f>
        <v>45127</v>
      </c>
      <c r="AH498" s="42" t="str">
        <f ca="1">IF(NOTA[[#This Row],[NAMA BARANG]]="","",INDEX(NOTA[SUPPLIER],MATCH(,INDIRECT(ADDRESS(ROW(NOTA[ID]),COLUMN(NOTA[ID]))&amp;":"&amp;ADDRESS(ROW(),COLUMN(NOTA[ID]))),-1)))</f>
        <v>DB STATIONERY</v>
      </c>
      <c r="AI498" s="42" t="str">
        <f ca="1">IF(NOTA[[#This Row],[ID_H]]="","",IF(NOTA[[#This Row],[FAKTUR]]="",INDIRECT(ADDRESS(ROW()-1,COLUMN())),NOTA[[#This Row],[FAKTUR]]))</f>
        <v>UNTANA</v>
      </c>
      <c r="AJ498" s="39" t="str">
        <f ca="1">IF(NOTA[[#This Row],[ID]]="","",COUNTIF(NOTA[ID_H],NOTA[[#This Row],[ID_H]]))</f>
        <v/>
      </c>
      <c r="AK498" s="39">
        <f ca="1">IF(NOTA[[#This Row],[TGL.NOTA]]="",IF(NOTA[[#This Row],[SUPPLIER_H]]="","",AK497),MONTH(NOTA[[#This Row],[TGL.NOTA]]))</f>
        <v>7</v>
      </c>
      <c r="AL498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gelzhixinrefillg5034l0</v>
      </c>
      <c r="AN4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gelzhixinrefillg5034l0</v>
      </c>
      <c r="AO4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9" t="str">
        <f>IF(NOTA[[#This Row],[CONCAT4]]="","",_xlfn.IFNA(MATCH(NOTA[[#This Row],[CONCAT4]],[2]!RAW[CONCAT_H],0),FALSE))</f>
        <v/>
      </c>
      <c r="AQ498" s="39">
        <f>IF(NOTA[[#This Row],[CONCAT1]]="","",MATCH(NOTA[[#This Row],[CONCAT1]],[3]!db[NB NOTA_C],0))</f>
        <v>612</v>
      </c>
      <c r="AR498" s="39" t="b">
        <f>IF(NOTA[[#This Row],[QTY/ CTN]]="","",TRUE)</f>
        <v>1</v>
      </c>
      <c r="AS498" s="39" t="str">
        <f ca="1">IF(NOTA[[#This Row],[ID_H]]="","",IF(NOTA[[#This Row],[Column3]]=TRUE,NOTA[[#This Row],[QTY/ CTN]],INDEX([3]!db[QTY/ CTN],NOTA[[#This Row],[//DB]])))</f>
        <v>60 LSN</v>
      </c>
      <c r="AT4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8" s="39" t="e">
        <f ca="1">IF(NOTA[[#This Row],[ID_H]]="","",MATCH(NOTA[[#This Row],[NB NOTA_C_QTY]],[4]!db[NB NOTA_C_QTY+F],0))</f>
        <v>#REF!</v>
      </c>
      <c r="AV498" s="55">
        <f ca="1">IF(NOTA[[#This Row],[NB NOTA_C_QTY]]="","",ROW()-2)</f>
        <v>496</v>
      </c>
    </row>
    <row r="499" spans="1:48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47"/>
      <c r="H499" s="48"/>
      <c r="N499" s="39"/>
      <c r="Q499" s="43"/>
      <c r="R499" s="49"/>
      <c r="S499" s="50"/>
      <c r="U499" s="51"/>
      <c r="V499" s="46"/>
      <c r="W499" s="51" t="str">
        <f>IF(NOTA[[#This Row],[HARGA/ CTN]]="",NOTA[[#This Row],[JUMLAH_H]],NOTA[[#This Row],[HARGA/ CTN]]*IF(NOTA[[#This Row],[C]]="",0,NOTA[[#This Row],[C]]))</f>
        <v/>
      </c>
      <c r="X499" s="51" t="str">
        <f>IF(NOTA[[#This Row],[JUMLAH]]="","",NOTA[[#This Row],[JUMLAH]]*NOTA[[#This Row],[DISC 1]])</f>
        <v/>
      </c>
      <c r="Y499" s="51" t="str">
        <f>IF(NOTA[[#This Row],[JUMLAH]]="","",(NOTA[[#This Row],[JUMLAH]]-NOTA[[#This Row],[DISC 1-]])*NOTA[[#This Row],[DISC 2]])</f>
        <v/>
      </c>
      <c r="Z499" s="51" t="str">
        <f>IF(NOTA[[#This Row],[JUMLAH]]="","",NOTA[[#This Row],[DISC 1-]]+NOTA[[#This Row],[DISC 2-]])</f>
        <v/>
      </c>
      <c r="AA499" s="51" t="str">
        <f>IF(NOTA[[#This Row],[JUMLAH]]="","",NOTA[[#This Row],[JUMLAH]]-NOTA[[#This Row],[DISC]])</f>
        <v/>
      </c>
      <c r="AB499" s="51"/>
      <c r="AC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1" t="str">
        <f>IF(OR(NOTA[[#This Row],[QTY]]="",NOTA[[#This Row],[HARGA SATUAN]]="",),"",NOTA[[#This Row],[QTY]]*NOTA[[#This Row],[HARGA SATUAN]])</f>
        <v/>
      </c>
      <c r="AG499" s="40" t="str">
        <f ca="1">IF(NOTA[ID_H]="","",INDEX(NOTA[TANGGAL],MATCH(,INDIRECT(ADDRESS(ROW(NOTA[TANGGAL]),COLUMN(NOTA[TANGGAL]))&amp;":"&amp;ADDRESS(ROW(),COLUMN(NOTA[TANGGAL]))),-1)))</f>
        <v/>
      </c>
      <c r="AH499" s="42" t="str">
        <f ca="1">IF(NOTA[[#This Row],[NAMA BARANG]]="","",INDEX(NOTA[SUPPLIER],MATCH(,INDIRECT(ADDRESS(ROW(NOTA[ID]),COLUMN(NOTA[ID]))&amp;":"&amp;ADDRESS(ROW(),COLUMN(NOTA[ID]))),-1)))</f>
        <v/>
      </c>
      <c r="AI499" s="42" t="str">
        <f ca="1">IF(NOTA[[#This Row],[ID_H]]="","",IF(NOTA[[#This Row],[FAKTUR]]="",INDIRECT(ADDRESS(ROW()-1,COLUMN())),NOTA[[#This Row],[FAKTUR]]))</f>
        <v/>
      </c>
      <c r="AJ499" s="39" t="str">
        <f ca="1">IF(NOTA[[#This Row],[ID]]="","",COUNTIF(NOTA[ID_H],NOTA[[#This Row],[ID_H]]))</f>
        <v/>
      </c>
      <c r="AK499" s="39" t="str">
        <f ca="1">IF(NOTA[[#This Row],[TGL.NOTA]]="",IF(NOTA[[#This Row],[SUPPLIER_H]]="","",AK498),MONTH(NOTA[[#This Row],[TGL.NOTA]]))</f>
        <v/>
      </c>
      <c r="AL499" s="39" t="str">
        <f>LOWER(SUBSTITUTE(SUBSTITUTE(SUBSTITUTE(SUBSTITUTE(SUBSTITUTE(SUBSTITUTE(SUBSTITUTE(SUBSTITUTE(SUBSTITUTE(NOTA[NAMA BARANG]," ",),".",""),"-",""),"(",""),")",""),",",""),"/",""),"""",""),"+",""))</f>
        <v/>
      </c>
      <c r="AM4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9" t="str">
        <f>IF(NOTA[[#This Row],[CONCAT4]]="","",_xlfn.IFNA(MATCH(NOTA[[#This Row],[CONCAT4]],[2]!RAW[CONCAT_H],0),FALSE))</f>
        <v/>
      </c>
      <c r="AQ499" s="39" t="str">
        <f>IF(NOTA[[#This Row],[CONCAT1]]="","",MATCH(NOTA[[#This Row],[CONCAT1]],[3]!db[NB NOTA_C],0))</f>
        <v/>
      </c>
      <c r="AR499" s="39" t="str">
        <f>IF(NOTA[[#This Row],[QTY/ CTN]]="","",TRUE)</f>
        <v/>
      </c>
      <c r="AS499" s="39" t="str">
        <f ca="1">IF(NOTA[[#This Row],[ID_H]]="","",IF(NOTA[[#This Row],[Column3]]=TRUE,NOTA[[#This Row],[QTY/ CTN]],INDEX([3]!db[QTY/ CTN],NOTA[[#This Row],[//DB]])))</f>
        <v/>
      </c>
      <c r="AT4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9" t="str">
        <f ca="1">IF(NOTA[[#This Row],[ID_H]]="","",MATCH(NOTA[[#This Row],[NB NOTA_C_QTY]],[4]!db[NB NOTA_C_QTY+F],0))</f>
        <v/>
      </c>
      <c r="AV499" s="55" t="str">
        <f ca="1">IF(NOTA[[#This Row],[NB NOTA_C_QTY]]="","",ROW()-2)</f>
        <v/>
      </c>
    </row>
    <row r="500" spans="1:48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DBS_2007_123-15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103</v>
      </c>
      <c r="E500" s="47"/>
      <c r="F500" s="38" t="s">
        <v>218</v>
      </c>
      <c r="G500" s="38" t="s">
        <v>145</v>
      </c>
      <c r="H500" s="48" t="s">
        <v>592</v>
      </c>
      <c r="J500" s="40">
        <v>45120</v>
      </c>
      <c r="L500" s="38" t="s">
        <v>593</v>
      </c>
      <c r="M500" s="41">
        <v>1</v>
      </c>
      <c r="N500" s="39">
        <v>144</v>
      </c>
      <c r="O500" s="38" t="s">
        <v>152</v>
      </c>
      <c r="P500" s="42">
        <v>18250</v>
      </c>
      <c r="Q500" s="43"/>
      <c r="R500" s="49" t="s">
        <v>538</v>
      </c>
      <c r="S500" s="50"/>
      <c r="U500" s="51"/>
      <c r="V500" s="46"/>
      <c r="W500" s="51">
        <f>IF(NOTA[[#This Row],[HARGA/ CTN]]="",NOTA[[#This Row],[JUMLAH_H]],NOTA[[#This Row],[HARGA/ CTN]]*IF(NOTA[[#This Row],[C]]="",0,NOTA[[#This Row],[C]]))</f>
        <v>2628000</v>
      </c>
      <c r="X500" s="51">
        <f>IF(NOTA[[#This Row],[JUMLAH]]="","",NOTA[[#This Row],[JUMLAH]]*NOTA[[#This Row],[DISC 1]])</f>
        <v>0</v>
      </c>
      <c r="Y500" s="51">
        <f>IF(NOTA[[#This Row],[JUMLAH]]="","",(NOTA[[#This Row],[JUMLAH]]-NOTA[[#This Row],[DISC 1-]])*NOTA[[#This Row],[DISC 2]])</f>
        <v>0</v>
      </c>
      <c r="Z500" s="51">
        <f>IF(NOTA[[#This Row],[JUMLAH]]="","",NOTA[[#This Row],[DISC 1-]]+NOTA[[#This Row],[DISC 2-]])</f>
        <v>0</v>
      </c>
      <c r="AA500" s="51">
        <f>IF(NOTA[[#This Row],[JUMLAH]]="","",NOTA[[#This Row],[JUMLAH]]-NOTA[[#This Row],[DISC]])</f>
        <v>2628000</v>
      </c>
      <c r="AB500" s="51"/>
      <c r="AC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0" s="51">
        <f>IF(OR(NOTA[[#This Row],[QTY]]="",NOTA[[#This Row],[HARGA SATUAN]]="",),"",NOTA[[#This Row],[QTY]]*NOTA[[#This Row],[HARGA SATUAN]])</f>
        <v>2628000</v>
      </c>
      <c r="AG500" s="40">
        <f ca="1">IF(NOTA[ID_H]="","",INDEX(NOTA[TANGGAL],MATCH(,INDIRECT(ADDRESS(ROW(NOTA[TANGGAL]),COLUMN(NOTA[TANGGAL]))&amp;":"&amp;ADDRESS(ROW(),COLUMN(NOTA[TANGGAL]))),-1)))</f>
        <v>45127</v>
      </c>
      <c r="AH500" s="42" t="str">
        <f ca="1">IF(NOTA[[#This Row],[NAMA BARANG]]="","",INDEX(NOTA[SUPPLIER],MATCH(,INDIRECT(ADDRESS(ROW(NOTA[ID]),COLUMN(NOTA[ID]))&amp;":"&amp;ADDRESS(ROW(),COLUMN(NOTA[ID]))),-1)))</f>
        <v>DB STATIONERY</v>
      </c>
      <c r="AI500" s="42" t="str">
        <f ca="1">IF(NOTA[[#This Row],[ID_H]]="","",IF(NOTA[[#This Row],[FAKTUR]]="",INDIRECT(ADDRESS(ROW()-1,COLUMN())),NOTA[[#This Row],[FAKTUR]]))</f>
        <v>UNTANA</v>
      </c>
      <c r="AJ500" s="39">
        <f ca="1">IF(NOTA[[#This Row],[ID]]="","",COUNTIF(NOTA[ID_H],NOTA[[#This Row],[ID_H]]))</f>
        <v>15</v>
      </c>
      <c r="AK500" s="39">
        <f>IF(NOTA[[#This Row],[TGL.NOTA]]="",IF(NOTA[[#This Row],[SUPPLIER_H]]="","",AK499),MONTH(NOTA[[#This Row],[TGL.NOTA]]))</f>
        <v>7</v>
      </c>
      <c r="AL500" s="39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5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5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50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STATIONERYUNTANAJUG431/2345120geltizofancytg31810e</v>
      </c>
      <c r="AP500" s="39" t="e">
        <f>IF(NOTA[[#This Row],[CONCAT4]]="","",_xlfn.IFNA(MATCH(NOTA[[#This Row],[CONCAT4]],[2]!RAW[CONCAT_H],0),FALSE))</f>
        <v>#REF!</v>
      </c>
      <c r="AQ500" s="39">
        <f>IF(NOTA[[#This Row],[CONCAT1]]="","",MATCH(NOTA[[#This Row],[CONCAT1]],[3]!db[NB NOTA_C],0))</f>
        <v>524</v>
      </c>
      <c r="AR500" s="39" t="b">
        <f>IF(NOTA[[#This Row],[QTY/ CTN]]="","",TRUE)</f>
        <v>1</v>
      </c>
      <c r="AS500" s="39" t="str">
        <f ca="1">IF(NOTA[[#This Row],[ID_H]]="","",IF(NOTA[[#This Row],[Column3]]=TRUE,NOTA[[#This Row],[QTY/ CTN]],INDEX([3]!db[QTY/ CTN],NOTA[[#This Row],[//DB]])))</f>
        <v>144 LSN</v>
      </c>
      <c r="AT5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U500" s="39" t="e">
        <f ca="1">IF(NOTA[[#This Row],[ID_H]]="","",MATCH(NOTA[[#This Row],[NB NOTA_C_QTY]],[4]!db[NB NOTA_C_QTY+F],0))</f>
        <v>#REF!</v>
      </c>
      <c r="AV500" s="55">
        <f ca="1">IF(NOTA[[#This Row],[NB NOTA_C_QTY]]="","",ROW()-2)</f>
        <v>498</v>
      </c>
    </row>
    <row r="501" spans="1:48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103</v>
      </c>
      <c r="E501" s="47"/>
      <c r="H501" s="48"/>
      <c r="L501" s="38" t="s">
        <v>594</v>
      </c>
      <c r="M501" s="41">
        <v>1</v>
      </c>
      <c r="N501" s="39">
        <v>144</v>
      </c>
      <c r="O501" s="38" t="s">
        <v>152</v>
      </c>
      <c r="P501" s="42">
        <v>18250</v>
      </c>
      <c r="Q501" s="43"/>
      <c r="R501" s="49" t="s">
        <v>538</v>
      </c>
      <c r="S501" s="50"/>
      <c r="U501" s="51"/>
      <c r="V501" s="46"/>
      <c r="W501" s="51">
        <f>IF(NOTA[[#This Row],[HARGA/ CTN]]="",NOTA[[#This Row],[JUMLAH_H]],NOTA[[#This Row],[HARGA/ CTN]]*IF(NOTA[[#This Row],[C]]="",0,NOTA[[#This Row],[C]]))</f>
        <v>2628000</v>
      </c>
      <c r="X501" s="51">
        <f>IF(NOTA[[#This Row],[JUMLAH]]="","",NOTA[[#This Row],[JUMLAH]]*NOTA[[#This Row],[DISC 1]])</f>
        <v>0</v>
      </c>
      <c r="Y501" s="51">
        <f>IF(NOTA[[#This Row],[JUMLAH]]="","",(NOTA[[#This Row],[JUMLAH]]-NOTA[[#This Row],[DISC 1-]])*NOTA[[#This Row],[DISC 2]])</f>
        <v>0</v>
      </c>
      <c r="Z501" s="51">
        <f>IF(NOTA[[#This Row],[JUMLAH]]="","",NOTA[[#This Row],[DISC 1-]]+NOTA[[#This Row],[DISC 2-]])</f>
        <v>0</v>
      </c>
      <c r="AA501" s="51">
        <f>IF(NOTA[[#This Row],[JUMLAH]]="","",NOTA[[#This Row],[JUMLAH]]-NOTA[[#This Row],[DISC]])</f>
        <v>2628000</v>
      </c>
      <c r="AB501" s="51"/>
      <c r="AC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1" s="51">
        <f>IF(OR(NOTA[[#This Row],[QTY]]="",NOTA[[#This Row],[HARGA SATUAN]]="",),"",NOTA[[#This Row],[QTY]]*NOTA[[#This Row],[HARGA SATUAN]])</f>
        <v>2628000</v>
      </c>
      <c r="AG501" s="40">
        <f ca="1">IF(NOTA[ID_H]="","",INDEX(NOTA[TANGGAL],MATCH(,INDIRECT(ADDRESS(ROW(NOTA[TANGGAL]),COLUMN(NOTA[TANGGAL]))&amp;":"&amp;ADDRESS(ROW(),COLUMN(NOTA[TANGGAL]))),-1)))</f>
        <v>45127</v>
      </c>
      <c r="AH501" s="42" t="str">
        <f ca="1">IF(NOTA[[#This Row],[NAMA BARANG]]="","",INDEX(NOTA[SUPPLIER],MATCH(,INDIRECT(ADDRESS(ROW(NOTA[ID]),COLUMN(NOTA[ID]))&amp;":"&amp;ADDRESS(ROW(),COLUMN(NOTA[ID]))),-1)))</f>
        <v>DB STATIONERY</v>
      </c>
      <c r="AI501" s="42" t="str">
        <f ca="1">IF(NOTA[[#This Row],[ID_H]]="","",IF(NOTA[[#This Row],[FAKTUR]]="",INDIRECT(ADDRESS(ROW()-1,COLUMN())),NOTA[[#This Row],[FAKTUR]]))</f>
        <v>UNTANA</v>
      </c>
      <c r="AJ501" s="39" t="str">
        <f ca="1">IF(NOTA[[#This Row],[ID]]="","",COUNTIF(NOTA[ID_H],NOTA[[#This Row],[ID_H]]))</f>
        <v/>
      </c>
      <c r="AK501" s="39">
        <f ca="1">IF(NOTA[[#This Row],[TGL.NOTA]]="",IF(NOTA[[#This Row],[SUPPLIER_H]]="","",AK500),MONTH(NOTA[[#This Row],[TGL.NOTA]]))</f>
        <v>7</v>
      </c>
      <c r="AL501" s="39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5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5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5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9" t="str">
        <f>IF(NOTA[[#This Row],[CONCAT4]]="","",_xlfn.IFNA(MATCH(NOTA[[#This Row],[CONCAT4]],[2]!RAW[CONCAT_H],0),FALSE))</f>
        <v/>
      </c>
      <c r="AQ501" s="39">
        <f>IF(NOTA[[#This Row],[CONCAT1]]="","",MATCH(NOTA[[#This Row],[CONCAT1]],[3]!db[NB NOTA_C],0))</f>
        <v>522</v>
      </c>
      <c r="AR501" s="39" t="b">
        <f>IF(NOTA[[#This Row],[QTY/ CTN]]="","",TRUE)</f>
        <v>1</v>
      </c>
      <c r="AS501" s="39" t="str">
        <f ca="1">IF(NOTA[[#This Row],[ID_H]]="","",IF(NOTA[[#This Row],[Column3]]=TRUE,NOTA[[#This Row],[QTY/ CTN]],INDEX([3]!db[QTY/ CTN],NOTA[[#This Row],[//DB]])))</f>
        <v>144 LSN</v>
      </c>
      <c r="AT5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U501" s="39" t="e">
        <f ca="1">IF(NOTA[[#This Row],[ID_H]]="","",MATCH(NOTA[[#This Row],[NB NOTA_C_QTY]],[4]!db[NB NOTA_C_QTY+F],0))</f>
        <v>#REF!</v>
      </c>
      <c r="AV501" s="55">
        <f ca="1">IF(NOTA[[#This Row],[NB NOTA_C_QTY]]="","",ROW()-2)</f>
        <v>499</v>
      </c>
    </row>
    <row r="502" spans="1:48" ht="20.100000000000001" customHeight="1" x14ac:dyDescent="0.25">
      <c r="A5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103</v>
      </c>
      <c r="E502" s="47"/>
      <c r="H502" s="48"/>
      <c r="L502" s="38" t="s">
        <v>595</v>
      </c>
      <c r="M502" s="41">
        <v>1</v>
      </c>
      <c r="N502" s="39">
        <v>144</v>
      </c>
      <c r="O502" s="38" t="s">
        <v>152</v>
      </c>
      <c r="P502" s="42">
        <v>18250</v>
      </c>
      <c r="Q502" s="43"/>
      <c r="R502" s="49" t="s">
        <v>538</v>
      </c>
      <c r="S502" s="50"/>
      <c r="U502" s="51"/>
      <c r="V502" s="46"/>
      <c r="W502" s="51">
        <f>IF(NOTA[[#This Row],[HARGA/ CTN]]="",NOTA[[#This Row],[JUMLAH_H]],NOTA[[#This Row],[HARGA/ CTN]]*IF(NOTA[[#This Row],[C]]="",0,NOTA[[#This Row],[C]]))</f>
        <v>2628000</v>
      </c>
      <c r="X502" s="51">
        <f>IF(NOTA[[#This Row],[JUMLAH]]="","",NOTA[[#This Row],[JUMLAH]]*NOTA[[#This Row],[DISC 1]])</f>
        <v>0</v>
      </c>
      <c r="Y502" s="51">
        <f>IF(NOTA[[#This Row],[JUMLAH]]="","",(NOTA[[#This Row],[JUMLAH]]-NOTA[[#This Row],[DISC 1-]])*NOTA[[#This Row],[DISC 2]])</f>
        <v>0</v>
      </c>
      <c r="Z502" s="51">
        <f>IF(NOTA[[#This Row],[JUMLAH]]="","",NOTA[[#This Row],[DISC 1-]]+NOTA[[#This Row],[DISC 2-]])</f>
        <v>0</v>
      </c>
      <c r="AA502" s="51">
        <f>IF(NOTA[[#This Row],[JUMLAH]]="","",NOTA[[#This Row],[JUMLAH]]-NOTA[[#This Row],[DISC]])</f>
        <v>2628000</v>
      </c>
      <c r="AB502" s="51"/>
      <c r="AC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2" s="51">
        <f>IF(OR(NOTA[[#This Row],[QTY]]="",NOTA[[#This Row],[HARGA SATUAN]]="",),"",NOTA[[#This Row],[QTY]]*NOTA[[#This Row],[HARGA SATUAN]])</f>
        <v>2628000</v>
      </c>
      <c r="AG502" s="40">
        <f ca="1">IF(NOTA[ID_H]="","",INDEX(NOTA[TANGGAL],MATCH(,INDIRECT(ADDRESS(ROW(NOTA[TANGGAL]),COLUMN(NOTA[TANGGAL]))&amp;":"&amp;ADDRESS(ROW(),COLUMN(NOTA[TANGGAL]))),-1)))</f>
        <v>45127</v>
      </c>
      <c r="AH502" s="42" t="str">
        <f ca="1">IF(NOTA[[#This Row],[NAMA BARANG]]="","",INDEX(NOTA[SUPPLIER],MATCH(,INDIRECT(ADDRESS(ROW(NOTA[ID]),COLUMN(NOTA[ID]))&amp;":"&amp;ADDRESS(ROW(),COLUMN(NOTA[ID]))),-1)))</f>
        <v>DB STATIONERY</v>
      </c>
      <c r="AI502" s="42" t="str">
        <f ca="1">IF(NOTA[[#This Row],[ID_H]]="","",IF(NOTA[[#This Row],[FAKTUR]]="",INDIRECT(ADDRESS(ROW()-1,COLUMN())),NOTA[[#This Row],[FAKTUR]]))</f>
        <v>UNTANA</v>
      </c>
      <c r="AJ502" s="39" t="str">
        <f ca="1">IF(NOTA[[#This Row],[ID]]="","",COUNTIF(NOTA[ID_H],NOTA[[#This Row],[ID_H]]))</f>
        <v/>
      </c>
      <c r="AK502" s="39">
        <f ca="1">IF(NOTA[[#This Row],[TGL.NOTA]]="",IF(NOTA[[#This Row],[SUPPLIER_H]]="","",AK501),MONTH(NOTA[[#This Row],[TGL.NOTA]]))</f>
        <v>7</v>
      </c>
      <c r="AL502" s="39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5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5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5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9" t="str">
        <f>IF(NOTA[[#This Row],[CONCAT4]]="","",_xlfn.IFNA(MATCH(NOTA[[#This Row],[CONCAT4]],[2]!RAW[CONCAT_H],0),FALSE))</f>
        <v/>
      </c>
      <c r="AQ502" s="39">
        <f>IF(NOTA[[#This Row],[CONCAT1]]="","",MATCH(NOTA[[#This Row],[CONCAT1]],[3]!db[NB NOTA_C],0))</f>
        <v>529</v>
      </c>
      <c r="AR502" s="39" t="b">
        <f>IF(NOTA[[#This Row],[QTY/ CTN]]="","",TRUE)</f>
        <v>1</v>
      </c>
      <c r="AS502" s="39" t="str">
        <f ca="1">IF(NOTA[[#This Row],[ID_H]]="","",IF(NOTA[[#This Row],[Column3]]=TRUE,NOTA[[#This Row],[QTY/ CTN]],INDEX([3]!db[QTY/ CTN],NOTA[[#This Row],[//DB]])))</f>
        <v>144 LSN</v>
      </c>
      <c r="AT5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U502" s="39" t="e">
        <f ca="1">IF(NOTA[[#This Row],[ID_H]]="","",MATCH(NOTA[[#This Row],[NB NOTA_C_QTY]],[4]!db[NB NOTA_C_QTY+F],0))</f>
        <v>#REF!</v>
      </c>
      <c r="AV502" s="55">
        <f ca="1">IF(NOTA[[#This Row],[NB NOTA_C_QTY]]="","",ROW()-2)</f>
        <v>500</v>
      </c>
    </row>
    <row r="503" spans="1:48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103</v>
      </c>
      <c r="E503" s="47"/>
      <c r="H503" s="48"/>
      <c r="L503" s="38" t="s">
        <v>596</v>
      </c>
      <c r="M503" s="41">
        <v>1</v>
      </c>
      <c r="N503" s="39">
        <v>144</v>
      </c>
      <c r="O503" s="38" t="s">
        <v>152</v>
      </c>
      <c r="P503" s="42">
        <v>18250</v>
      </c>
      <c r="Q503" s="43"/>
      <c r="R503" s="49" t="s">
        <v>538</v>
      </c>
      <c r="S503" s="50"/>
      <c r="U503" s="51"/>
      <c r="V503" s="46"/>
      <c r="W503" s="51">
        <f>IF(NOTA[[#This Row],[HARGA/ CTN]]="",NOTA[[#This Row],[JUMLAH_H]],NOTA[[#This Row],[HARGA/ CTN]]*IF(NOTA[[#This Row],[C]]="",0,NOTA[[#This Row],[C]]))</f>
        <v>2628000</v>
      </c>
      <c r="X503" s="51">
        <f>IF(NOTA[[#This Row],[JUMLAH]]="","",NOTA[[#This Row],[JUMLAH]]*NOTA[[#This Row],[DISC 1]])</f>
        <v>0</v>
      </c>
      <c r="Y503" s="51">
        <f>IF(NOTA[[#This Row],[JUMLAH]]="","",(NOTA[[#This Row],[JUMLAH]]-NOTA[[#This Row],[DISC 1-]])*NOTA[[#This Row],[DISC 2]])</f>
        <v>0</v>
      </c>
      <c r="Z503" s="51">
        <f>IF(NOTA[[#This Row],[JUMLAH]]="","",NOTA[[#This Row],[DISC 1-]]+NOTA[[#This Row],[DISC 2-]])</f>
        <v>0</v>
      </c>
      <c r="AA503" s="51">
        <f>IF(NOTA[[#This Row],[JUMLAH]]="","",NOTA[[#This Row],[JUMLAH]]-NOTA[[#This Row],[DISC]])</f>
        <v>2628000</v>
      </c>
      <c r="AB503" s="51"/>
      <c r="AC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3" s="51">
        <f>IF(OR(NOTA[[#This Row],[QTY]]="",NOTA[[#This Row],[HARGA SATUAN]]="",),"",NOTA[[#This Row],[QTY]]*NOTA[[#This Row],[HARGA SATUAN]])</f>
        <v>2628000</v>
      </c>
      <c r="AG503" s="40">
        <f ca="1">IF(NOTA[ID_H]="","",INDEX(NOTA[TANGGAL],MATCH(,INDIRECT(ADDRESS(ROW(NOTA[TANGGAL]),COLUMN(NOTA[TANGGAL]))&amp;":"&amp;ADDRESS(ROW(),COLUMN(NOTA[TANGGAL]))),-1)))</f>
        <v>45127</v>
      </c>
      <c r="AH503" s="42" t="str">
        <f ca="1">IF(NOTA[[#This Row],[NAMA BARANG]]="","",INDEX(NOTA[SUPPLIER],MATCH(,INDIRECT(ADDRESS(ROW(NOTA[ID]),COLUMN(NOTA[ID]))&amp;":"&amp;ADDRESS(ROW(),COLUMN(NOTA[ID]))),-1)))</f>
        <v>DB STATIONERY</v>
      </c>
      <c r="AI503" s="42" t="str">
        <f ca="1">IF(NOTA[[#This Row],[ID_H]]="","",IF(NOTA[[#This Row],[FAKTUR]]="",INDIRECT(ADDRESS(ROW()-1,COLUMN())),NOTA[[#This Row],[FAKTUR]]))</f>
        <v>UNTANA</v>
      </c>
      <c r="AJ503" s="39" t="str">
        <f ca="1">IF(NOTA[[#This Row],[ID]]="","",COUNTIF(NOTA[ID_H],NOTA[[#This Row],[ID_H]]))</f>
        <v/>
      </c>
      <c r="AK503" s="39">
        <f ca="1">IF(NOTA[[#This Row],[TGL.NOTA]]="",IF(NOTA[[#This Row],[SUPPLIER_H]]="","",AK502),MONTH(NOTA[[#This Row],[TGL.NOTA]]))</f>
        <v>7</v>
      </c>
      <c r="AL503" s="39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5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5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5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9" t="str">
        <f>IF(NOTA[[#This Row],[CONCAT4]]="","",_xlfn.IFNA(MATCH(NOTA[[#This Row],[CONCAT4]],[2]!RAW[CONCAT_H],0),FALSE))</f>
        <v/>
      </c>
      <c r="AQ503" s="39">
        <f>IF(NOTA[[#This Row],[CONCAT1]]="","",MATCH(NOTA[[#This Row],[CONCAT1]],[3]!db[NB NOTA_C],0))</f>
        <v>527</v>
      </c>
      <c r="AR503" s="39" t="b">
        <f>IF(NOTA[[#This Row],[QTY/ CTN]]="","",TRUE)</f>
        <v>1</v>
      </c>
      <c r="AS503" s="39" t="str">
        <f ca="1">IF(NOTA[[#This Row],[ID_H]]="","",IF(NOTA[[#This Row],[Column3]]=TRUE,NOTA[[#This Row],[QTY/ CTN]],INDEX([3]!db[QTY/ CTN],NOTA[[#This Row],[//DB]])))</f>
        <v>144 LSN</v>
      </c>
      <c r="AT5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geltizofancytg31831e144lsnuntana</v>
      </c>
      <c r="AU503" s="39" t="e">
        <f ca="1">IF(NOTA[[#This Row],[ID_H]]="","",MATCH(NOTA[[#This Row],[NB NOTA_C_QTY]],[4]!db[NB NOTA_C_QTY+F],0))</f>
        <v>#REF!</v>
      </c>
      <c r="AV503" s="55">
        <f ca="1">IF(NOTA[[#This Row],[NB NOTA_C_QTY]]="","",ROW()-2)</f>
        <v>501</v>
      </c>
    </row>
    <row r="504" spans="1:48" ht="20.100000000000001" customHeight="1" x14ac:dyDescent="0.25">
      <c r="A5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103</v>
      </c>
      <c r="E504" s="47"/>
      <c r="H504" s="48"/>
      <c r="L504" s="38" t="s">
        <v>597</v>
      </c>
      <c r="M504" s="41">
        <v>1</v>
      </c>
      <c r="N504" s="39">
        <v>144</v>
      </c>
      <c r="O504" s="38" t="s">
        <v>152</v>
      </c>
      <c r="P504" s="42">
        <v>18250</v>
      </c>
      <c r="Q504" s="43"/>
      <c r="R504" s="49" t="s">
        <v>538</v>
      </c>
      <c r="S504" s="50"/>
      <c r="U504" s="51"/>
      <c r="V504" s="46"/>
      <c r="W504" s="51">
        <f>IF(NOTA[[#This Row],[HARGA/ CTN]]="",NOTA[[#This Row],[JUMLAH_H]],NOTA[[#This Row],[HARGA/ CTN]]*IF(NOTA[[#This Row],[C]]="",0,NOTA[[#This Row],[C]]))</f>
        <v>2628000</v>
      </c>
      <c r="X504" s="51">
        <f>IF(NOTA[[#This Row],[JUMLAH]]="","",NOTA[[#This Row],[JUMLAH]]*NOTA[[#This Row],[DISC 1]])</f>
        <v>0</v>
      </c>
      <c r="Y504" s="51">
        <f>IF(NOTA[[#This Row],[JUMLAH]]="","",(NOTA[[#This Row],[JUMLAH]]-NOTA[[#This Row],[DISC 1-]])*NOTA[[#This Row],[DISC 2]])</f>
        <v>0</v>
      </c>
      <c r="Z504" s="51">
        <f>IF(NOTA[[#This Row],[JUMLAH]]="","",NOTA[[#This Row],[DISC 1-]]+NOTA[[#This Row],[DISC 2-]])</f>
        <v>0</v>
      </c>
      <c r="AA504" s="51">
        <f>IF(NOTA[[#This Row],[JUMLAH]]="","",NOTA[[#This Row],[JUMLAH]]-NOTA[[#This Row],[DISC]])</f>
        <v>2628000</v>
      </c>
      <c r="AB504" s="51"/>
      <c r="AC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4" s="51">
        <f>IF(OR(NOTA[[#This Row],[QTY]]="",NOTA[[#This Row],[HARGA SATUAN]]="",),"",NOTA[[#This Row],[QTY]]*NOTA[[#This Row],[HARGA SATUAN]])</f>
        <v>2628000</v>
      </c>
      <c r="AG504" s="40">
        <f ca="1">IF(NOTA[ID_H]="","",INDEX(NOTA[TANGGAL],MATCH(,INDIRECT(ADDRESS(ROW(NOTA[TANGGAL]),COLUMN(NOTA[TANGGAL]))&amp;":"&amp;ADDRESS(ROW(),COLUMN(NOTA[TANGGAL]))),-1)))</f>
        <v>45127</v>
      </c>
      <c r="AH504" s="42" t="str">
        <f ca="1">IF(NOTA[[#This Row],[NAMA BARANG]]="","",INDEX(NOTA[SUPPLIER],MATCH(,INDIRECT(ADDRESS(ROW(NOTA[ID]),COLUMN(NOTA[ID]))&amp;":"&amp;ADDRESS(ROW(),COLUMN(NOTA[ID]))),-1)))</f>
        <v>DB STATIONERY</v>
      </c>
      <c r="AI504" s="42" t="str">
        <f ca="1">IF(NOTA[[#This Row],[ID_H]]="","",IF(NOTA[[#This Row],[FAKTUR]]="",INDIRECT(ADDRESS(ROW()-1,COLUMN())),NOTA[[#This Row],[FAKTUR]]))</f>
        <v>UNTANA</v>
      </c>
      <c r="AJ504" s="39" t="str">
        <f ca="1">IF(NOTA[[#This Row],[ID]]="","",COUNTIF(NOTA[ID_H],NOTA[[#This Row],[ID_H]]))</f>
        <v/>
      </c>
      <c r="AK504" s="39">
        <f ca="1">IF(NOTA[[#This Row],[TGL.NOTA]]="",IF(NOTA[[#This Row],[SUPPLIER_H]]="","",AK503),MONTH(NOTA[[#This Row],[TGL.NOTA]]))</f>
        <v>7</v>
      </c>
      <c r="AL504" s="39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5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5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5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9" t="str">
        <f>IF(NOTA[[#This Row],[CONCAT4]]="","",_xlfn.IFNA(MATCH(NOTA[[#This Row],[CONCAT4]],[2]!RAW[CONCAT_H],0),FALSE))</f>
        <v/>
      </c>
      <c r="AQ504" s="39">
        <f>IF(NOTA[[#This Row],[CONCAT1]]="","",MATCH(NOTA[[#This Row],[CONCAT1]],[3]!db[NB NOTA_C],0))</f>
        <v>526</v>
      </c>
      <c r="AR504" s="39" t="b">
        <f>IF(NOTA[[#This Row],[QTY/ CTN]]="","",TRUE)</f>
        <v>1</v>
      </c>
      <c r="AS504" s="39" t="str">
        <f ca="1">IF(NOTA[[#This Row],[ID_H]]="","",IF(NOTA[[#This Row],[Column3]]=TRUE,NOTA[[#This Row],[QTY/ CTN]],INDEX([3]!db[QTY/ CTN],NOTA[[#This Row],[//DB]])))</f>
        <v>144 LSN</v>
      </c>
      <c r="AT5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geltizofancytg31830e144lsnuntana</v>
      </c>
      <c r="AU504" s="39" t="e">
        <f ca="1">IF(NOTA[[#This Row],[ID_H]]="","",MATCH(NOTA[[#This Row],[NB NOTA_C_QTY]],[4]!db[NB NOTA_C_QTY+F],0))</f>
        <v>#REF!</v>
      </c>
      <c r="AV504" s="55">
        <f ca="1">IF(NOTA[[#This Row],[NB NOTA_C_QTY]]="","",ROW()-2)</f>
        <v>502</v>
      </c>
    </row>
    <row r="505" spans="1:48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103</v>
      </c>
      <c r="E505" s="47"/>
      <c r="H505" s="48"/>
      <c r="L505" s="38" t="s">
        <v>598</v>
      </c>
      <c r="M505" s="41">
        <v>1</v>
      </c>
      <c r="N505" s="39">
        <v>144</v>
      </c>
      <c r="O505" s="38" t="s">
        <v>152</v>
      </c>
      <c r="P505" s="42">
        <v>18250</v>
      </c>
      <c r="Q505" s="43"/>
      <c r="R505" s="49" t="s">
        <v>538</v>
      </c>
      <c r="S505" s="50"/>
      <c r="U505" s="51"/>
      <c r="V505" s="46"/>
      <c r="W505" s="51">
        <f>IF(NOTA[[#This Row],[HARGA/ CTN]]="",NOTA[[#This Row],[JUMLAH_H]],NOTA[[#This Row],[HARGA/ CTN]]*IF(NOTA[[#This Row],[C]]="",0,NOTA[[#This Row],[C]]))</f>
        <v>2628000</v>
      </c>
      <c r="X505" s="51">
        <f>IF(NOTA[[#This Row],[JUMLAH]]="","",NOTA[[#This Row],[JUMLAH]]*NOTA[[#This Row],[DISC 1]])</f>
        <v>0</v>
      </c>
      <c r="Y505" s="51">
        <f>IF(NOTA[[#This Row],[JUMLAH]]="","",(NOTA[[#This Row],[JUMLAH]]-NOTA[[#This Row],[DISC 1-]])*NOTA[[#This Row],[DISC 2]])</f>
        <v>0</v>
      </c>
      <c r="Z505" s="51">
        <f>IF(NOTA[[#This Row],[JUMLAH]]="","",NOTA[[#This Row],[DISC 1-]]+NOTA[[#This Row],[DISC 2-]])</f>
        <v>0</v>
      </c>
      <c r="AA505" s="51">
        <f>IF(NOTA[[#This Row],[JUMLAH]]="","",NOTA[[#This Row],[JUMLAH]]-NOTA[[#This Row],[DISC]])</f>
        <v>2628000</v>
      </c>
      <c r="AB505" s="51"/>
      <c r="AC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5" s="51">
        <f>IF(OR(NOTA[[#This Row],[QTY]]="",NOTA[[#This Row],[HARGA SATUAN]]="",),"",NOTA[[#This Row],[QTY]]*NOTA[[#This Row],[HARGA SATUAN]])</f>
        <v>2628000</v>
      </c>
      <c r="AG505" s="40">
        <f ca="1">IF(NOTA[ID_H]="","",INDEX(NOTA[TANGGAL],MATCH(,INDIRECT(ADDRESS(ROW(NOTA[TANGGAL]),COLUMN(NOTA[TANGGAL]))&amp;":"&amp;ADDRESS(ROW(),COLUMN(NOTA[TANGGAL]))),-1)))</f>
        <v>45127</v>
      </c>
      <c r="AH505" s="42" t="str">
        <f ca="1">IF(NOTA[[#This Row],[NAMA BARANG]]="","",INDEX(NOTA[SUPPLIER],MATCH(,INDIRECT(ADDRESS(ROW(NOTA[ID]),COLUMN(NOTA[ID]))&amp;":"&amp;ADDRESS(ROW(),COLUMN(NOTA[ID]))),-1)))</f>
        <v>DB STATIONERY</v>
      </c>
      <c r="AI505" s="42" t="str">
        <f ca="1">IF(NOTA[[#This Row],[ID_H]]="","",IF(NOTA[[#This Row],[FAKTUR]]="",INDIRECT(ADDRESS(ROW()-1,COLUMN())),NOTA[[#This Row],[FAKTUR]]))</f>
        <v>UNTANA</v>
      </c>
      <c r="AJ505" s="39" t="str">
        <f ca="1">IF(NOTA[[#This Row],[ID]]="","",COUNTIF(NOTA[ID_H],NOTA[[#This Row],[ID_H]]))</f>
        <v/>
      </c>
      <c r="AK505" s="39">
        <f ca="1">IF(NOTA[[#This Row],[TGL.NOTA]]="",IF(NOTA[[#This Row],[SUPPLIER_H]]="","",AK504),MONTH(NOTA[[#This Row],[TGL.NOTA]]))</f>
        <v>7</v>
      </c>
      <c r="AL505" s="39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5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5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5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39" t="str">
        <f>IF(NOTA[[#This Row],[CONCAT4]]="","",_xlfn.IFNA(MATCH(NOTA[[#This Row],[CONCAT4]],[2]!RAW[CONCAT_H],0),FALSE))</f>
        <v/>
      </c>
      <c r="AQ505" s="39">
        <f>IF(NOTA[[#This Row],[CONCAT1]]="","",MATCH(NOTA[[#This Row],[CONCAT1]],[3]!db[NB NOTA_C],0))</f>
        <v>509</v>
      </c>
      <c r="AR505" s="39" t="b">
        <f>IF(NOTA[[#This Row],[QTY/ CTN]]="","",TRUE)</f>
        <v>1</v>
      </c>
      <c r="AS505" s="39" t="str">
        <f ca="1">IF(NOTA[[#This Row],[ID_H]]="","",IF(NOTA[[#This Row],[Column3]]=TRUE,NOTA[[#This Row],[QTY/ CTN]],INDEX([3]!db[QTY/ CTN],NOTA[[#This Row],[//DB]])))</f>
        <v>144 LSN</v>
      </c>
      <c r="AT5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geltizofancytg31037e144lsnuntana</v>
      </c>
      <c r="AU505" s="39" t="e">
        <f ca="1">IF(NOTA[[#This Row],[ID_H]]="","",MATCH(NOTA[[#This Row],[NB NOTA_C_QTY]],[4]!db[NB NOTA_C_QTY+F],0))</f>
        <v>#REF!</v>
      </c>
      <c r="AV505" s="55">
        <f ca="1">IF(NOTA[[#This Row],[NB NOTA_C_QTY]]="","",ROW()-2)</f>
        <v>503</v>
      </c>
    </row>
    <row r="506" spans="1:48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103</v>
      </c>
      <c r="E506" s="47"/>
      <c r="H506" s="48"/>
      <c r="L506" s="38" t="s">
        <v>599</v>
      </c>
      <c r="M506" s="41">
        <v>1</v>
      </c>
      <c r="N506" s="39">
        <v>144</v>
      </c>
      <c r="O506" s="38" t="s">
        <v>152</v>
      </c>
      <c r="P506" s="42">
        <v>18250</v>
      </c>
      <c r="Q506" s="43"/>
      <c r="R506" s="49" t="s">
        <v>538</v>
      </c>
      <c r="S506" s="50"/>
      <c r="U506" s="51"/>
      <c r="V506" s="46"/>
      <c r="W506" s="51">
        <f>IF(NOTA[[#This Row],[HARGA/ CTN]]="",NOTA[[#This Row],[JUMLAH_H]],NOTA[[#This Row],[HARGA/ CTN]]*IF(NOTA[[#This Row],[C]]="",0,NOTA[[#This Row],[C]]))</f>
        <v>2628000</v>
      </c>
      <c r="X506" s="51">
        <f>IF(NOTA[[#This Row],[JUMLAH]]="","",NOTA[[#This Row],[JUMLAH]]*NOTA[[#This Row],[DISC 1]])</f>
        <v>0</v>
      </c>
      <c r="Y506" s="51">
        <f>IF(NOTA[[#This Row],[JUMLAH]]="","",(NOTA[[#This Row],[JUMLAH]]-NOTA[[#This Row],[DISC 1-]])*NOTA[[#This Row],[DISC 2]])</f>
        <v>0</v>
      </c>
      <c r="Z506" s="51">
        <f>IF(NOTA[[#This Row],[JUMLAH]]="","",NOTA[[#This Row],[DISC 1-]]+NOTA[[#This Row],[DISC 2-]])</f>
        <v>0</v>
      </c>
      <c r="AA506" s="51">
        <f>IF(NOTA[[#This Row],[JUMLAH]]="","",NOTA[[#This Row],[JUMLAH]]-NOTA[[#This Row],[DISC]])</f>
        <v>2628000</v>
      </c>
      <c r="AB506" s="51"/>
      <c r="AC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6" s="51">
        <f>IF(OR(NOTA[[#This Row],[QTY]]="",NOTA[[#This Row],[HARGA SATUAN]]="",),"",NOTA[[#This Row],[QTY]]*NOTA[[#This Row],[HARGA SATUAN]])</f>
        <v>2628000</v>
      </c>
      <c r="AG506" s="40">
        <f ca="1">IF(NOTA[ID_H]="","",INDEX(NOTA[TANGGAL],MATCH(,INDIRECT(ADDRESS(ROW(NOTA[TANGGAL]),COLUMN(NOTA[TANGGAL]))&amp;":"&amp;ADDRESS(ROW(),COLUMN(NOTA[TANGGAL]))),-1)))</f>
        <v>45127</v>
      </c>
      <c r="AH506" s="42" t="str">
        <f ca="1">IF(NOTA[[#This Row],[NAMA BARANG]]="","",INDEX(NOTA[SUPPLIER],MATCH(,INDIRECT(ADDRESS(ROW(NOTA[ID]),COLUMN(NOTA[ID]))&amp;":"&amp;ADDRESS(ROW(),COLUMN(NOTA[ID]))),-1)))</f>
        <v>DB STATIONERY</v>
      </c>
      <c r="AI506" s="42" t="str">
        <f ca="1">IF(NOTA[[#This Row],[ID_H]]="","",IF(NOTA[[#This Row],[FAKTUR]]="",INDIRECT(ADDRESS(ROW()-1,COLUMN())),NOTA[[#This Row],[FAKTUR]]))</f>
        <v>UNTANA</v>
      </c>
      <c r="AJ506" s="39" t="str">
        <f ca="1">IF(NOTA[[#This Row],[ID]]="","",COUNTIF(NOTA[ID_H],NOTA[[#This Row],[ID_H]]))</f>
        <v/>
      </c>
      <c r="AK506" s="39">
        <f ca="1">IF(NOTA[[#This Row],[TGL.NOTA]]="",IF(NOTA[[#This Row],[SUPPLIER_H]]="","",AK505),MONTH(NOTA[[#This Row],[TGL.NOTA]]))</f>
        <v>7</v>
      </c>
      <c r="AL506" s="39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5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5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5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39" t="str">
        <f>IF(NOTA[[#This Row],[CONCAT4]]="","",_xlfn.IFNA(MATCH(NOTA[[#This Row],[CONCAT4]],[2]!RAW[CONCAT_H],0),FALSE))</f>
        <v/>
      </c>
      <c r="AQ506" s="39">
        <f>IF(NOTA[[#This Row],[CONCAT1]]="","",MATCH(NOTA[[#This Row],[CONCAT1]],[3]!db[NB NOTA_C],0))</f>
        <v>498</v>
      </c>
      <c r="AR506" s="39" t="b">
        <f>IF(NOTA[[#This Row],[QTY/ CTN]]="","",TRUE)</f>
        <v>1</v>
      </c>
      <c r="AS506" s="39" t="str">
        <f ca="1">IF(NOTA[[#This Row],[ID_H]]="","",IF(NOTA[[#This Row],[Column3]]=TRUE,NOTA[[#This Row],[QTY/ CTN]],INDEX([3]!db[QTY/ CTN],NOTA[[#This Row],[//DB]])))</f>
        <v>144 LSN</v>
      </c>
      <c r="AT5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U506" s="39" t="e">
        <f ca="1">IF(NOTA[[#This Row],[ID_H]]="","",MATCH(NOTA[[#This Row],[NB NOTA_C_QTY]],[4]!db[NB NOTA_C_QTY+F],0))</f>
        <v>#REF!</v>
      </c>
      <c r="AV506" s="55">
        <f ca="1">IF(NOTA[[#This Row],[NB NOTA_C_QTY]]="","",ROW()-2)</f>
        <v>504</v>
      </c>
    </row>
    <row r="507" spans="1:48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103</v>
      </c>
      <c r="E507" s="47"/>
      <c r="H507" s="48"/>
      <c r="L507" s="38" t="s">
        <v>600</v>
      </c>
      <c r="M507" s="41">
        <v>1</v>
      </c>
      <c r="N507" s="39">
        <v>144</v>
      </c>
      <c r="O507" s="38" t="s">
        <v>152</v>
      </c>
      <c r="P507" s="42">
        <v>18250</v>
      </c>
      <c r="Q507" s="43"/>
      <c r="R507" s="49" t="s">
        <v>538</v>
      </c>
      <c r="S507" s="50"/>
      <c r="U507" s="51"/>
      <c r="V507" s="46"/>
      <c r="W507" s="51">
        <f>IF(NOTA[[#This Row],[HARGA/ CTN]]="",NOTA[[#This Row],[JUMLAH_H]],NOTA[[#This Row],[HARGA/ CTN]]*IF(NOTA[[#This Row],[C]]="",0,NOTA[[#This Row],[C]]))</f>
        <v>2628000</v>
      </c>
      <c r="X507" s="51">
        <f>IF(NOTA[[#This Row],[JUMLAH]]="","",NOTA[[#This Row],[JUMLAH]]*NOTA[[#This Row],[DISC 1]])</f>
        <v>0</v>
      </c>
      <c r="Y507" s="51">
        <f>IF(NOTA[[#This Row],[JUMLAH]]="","",(NOTA[[#This Row],[JUMLAH]]-NOTA[[#This Row],[DISC 1-]])*NOTA[[#This Row],[DISC 2]])</f>
        <v>0</v>
      </c>
      <c r="Z507" s="51">
        <f>IF(NOTA[[#This Row],[JUMLAH]]="","",NOTA[[#This Row],[DISC 1-]]+NOTA[[#This Row],[DISC 2-]])</f>
        <v>0</v>
      </c>
      <c r="AA507" s="51">
        <f>IF(NOTA[[#This Row],[JUMLAH]]="","",NOTA[[#This Row],[JUMLAH]]-NOTA[[#This Row],[DISC]])</f>
        <v>2628000</v>
      </c>
      <c r="AB507" s="51"/>
      <c r="AC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7" s="51">
        <f>IF(OR(NOTA[[#This Row],[QTY]]="",NOTA[[#This Row],[HARGA SATUAN]]="",),"",NOTA[[#This Row],[QTY]]*NOTA[[#This Row],[HARGA SATUAN]])</f>
        <v>2628000</v>
      </c>
      <c r="AG507" s="40">
        <f ca="1">IF(NOTA[ID_H]="","",INDEX(NOTA[TANGGAL],MATCH(,INDIRECT(ADDRESS(ROW(NOTA[TANGGAL]),COLUMN(NOTA[TANGGAL]))&amp;":"&amp;ADDRESS(ROW(),COLUMN(NOTA[TANGGAL]))),-1)))</f>
        <v>45127</v>
      </c>
      <c r="AH507" s="42" t="str">
        <f ca="1">IF(NOTA[[#This Row],[NAMA BARANG]]="","",INDEX(NOTA[SUPPLIER],MATCH(,INDIRECT(ADDRESS(ROW(NOTA[ID]),COLUMN(NOTA[ID]))&amp;":"&amp;ADDRESS(ROW(),COLUMN(NOTA[ID]))),-1)))</f>
        <v>DB STATIONERY</v>
      </c>
      <c r="AI507" s="42" t="str">
        <f ca="1">IF(NOTA[[#This Row],[ID_H]]="","",IF(NOTA[[#This Row],[FAKTUR]]="",INDIRECT(ADDRESS(ROW()-1,COLUMN())),NOTA[[#This Row],[FAKTUR]]))</f>
        <v>UNTANA</v>
      </c>
      <c r="AJ507" s="39" t="str">
        <f ca="1">IF(NOTA[[#This Row],[ID]]="","",COUNTIF(NOTA[ID_H],NOTA[[#This Row],[ID_H]]))</f>
        <v/>
      </c>
      <c r="AK507" s="39">
        <f ca="1">IF(NOTA[[#This Row],[TGL.NOTA]]="",IF(NOTA[[#This Row],[SUPPLIER_H]]="","",AK506),MONTH(NOTA[[#This Row],[TGL.NOTA]]))</f>
        <v>7</v>
      </c>
      <c r="AL507" s="39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5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5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5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39" t="str">
        <f>IF(NOTA[[#This Row],[CONCAT4]]="","",_xlfn.IFNA(MATCH(NOTA[[#This Row],[CONCAT4]],[2]!RAW[CONCAT_H],0),FALSE))</f>
        <v/>
      </c>
      <c r="AQ507" s="39">
        <f>IF(NOTA[[#This Row],[CONCAT1]]="","",MATCH(NOTA[[#This Row],[CONCAT1]],[3]!db[NB NOTA_C],0))</f>
        <v>495</v>
      </c>
      <c r="AR507" s="39" t="b">
        <f>IF(NOTA[[#This Row],[QTY/ CTN]]="","",TRUE)</f>
        <v>1</v>
      </c>
      <c r="AS507" s="39" t="str">
        <f ca="1">IF(NOTA[[#This Row],[ID_H]]="","",IF(NOTA[[#This Row],[Column3]]=TRUE,NOTA[[#This Row],[QTY/ CTN]],INDEX([3]!db[QTY/ CTN],NOTA[[#This Row],[//DB]])))</f>
        <v>144 LSN</v>
      </c>
      <c r="AT5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U507" s="39" t="e">
        <f ca="1">IF(NOTA[[#This Row],[ID_H]]="","",MATCH(NOTA[[#This Row],[NB NOTA_C_QTY]],[4]!db[NB NOTA_C_QTY+F],0))</f>
        <v>#REF!</v>
      </c>
      <c r="AV507" s="55">
        <f ca="1">IF(NOTA[[#This Row],[NB NOTA_C_QTY]]="","",ROW()-2)</f>
        <v>505</v>
      </c>
    </row>
    <row r="508" spans="1:48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103</v>
      </c>
      <c r="E508" s="47"/>
      <c r="H508" s="48"/>
      <c r="L508" s="38" t="s">
        <v>601</v>
      </c>
      <c r="M508" s="41">
        <v>1</v>
      </c>
      <c r="N508" s="39">
        <v>144</v>
      </c>
      <c r="O508" s="38" t="s">
        <v>152</v>
      </c>
      <c r="P508" s="42">
        <v>18250</v>
      </c>
      <c r="Q508" s="43"/>
      <c r="R508" s="49" t="s">
        <v>538</v>
      </c>
      <c r="S508" s="50"/>
      <c r="U508" s="51"/>
      <c r="V508" s="46"/>
      <c r="W508" s="51">
        <f>IF(NOTA[[#This Row],[HARGA/ CTN]]="",NOTA[[#This Row],[JUMLAH_H]],NOTA[[#This Row],[HARGA/ CTN]]*IF(NOTA[[#This Row],[C]]="",0,NOTA[[#This Row],[C]]))</f>
        <v>2628000</v>
      </c>
      <c r="X508" s="51">
        <f>IF(NOTA[[#This Row],[JUMLAH]]="","",NOTA[[#This Row],[JUMLAH]]*NOTA[[#This Row],[DISC 1]])</f>
        <v>0</v>
      </c>
      <c r="Y508" s="51">
        <f>IF(NOTA[[#This Row],[JUMLAH]]="","",(NOTA[[#This Row],[JUMLAH]]-NOTA[[#This Row],[DISC 1-]])*NOTA[[#This Row],[DISC 2]])</f>
        <v>0</v>
      </c>
      <c r="Z508" s="51">
        <f>IF(NOTA[[#This Row],[JUMLAH]]="","",NOTA[[#This Row],[DISC 1-]]+NOTA[[#This Row],[DISC 2-]])</f>
        <v>0</v>
      </c>
      <c r="AA508" s="51">
        <f>IF(NOTA[[#This Row],[JUMLAH]]="","",NOTA[[#This Row],[JUMLAH]]-NOTA[[#This Row],[DISC]])</f>
        <v>2628000</v>
      </c>
      <c r="AB508" s="51"/>
      <c r="AC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8" s="51">
        <f>IF(OR(NOTA[[#This Row],[QTY]]="",NOTA[[#This Row],[HARGA SATUAN]]="",),"",NOTA[[#This Row],[QTY]]*NOTA[[#This Row],[HARGA SATUAN]])</f>
        <v>2628000</v>
      </c>
      <c r="AG508" s="40">
        <f ca="1">IF(NOTA[ID_H]="","",INDEX(NOTA[TANGGAL],MATCH(,INDIRECT(ADDRESS(ROW(NOTA[TANGGAL]),COLUMN(NOTA[TANGGAL]))&amp;":"&amp;ADDRESS(ROW(),COLUMN(NOTA[TANGGAL]))),-1)))</f>
        <v>45127</v>
      </c>
      <c r="AH508" s="42" t="str">
        <f ca="1">IF(NOTA[[#This Row],[NAMA BARANG]]="","",INDEX(NOTA[SUPPLIER],MATCH(,INDIRECT(ADDRESS(ROW(NOTA[ID]),COLUMN(NOTA[ID]))&amp;":"&amp;ADDRESS(ROW(),COLUMN(NOTA[ID]))),-1)))</f>
        <v>DB STATIONERY</v>
      </c>
      <c r="AI508" s="42" t="str">
        <f ca="1">IF(NOTA[[#This Row],[ID_H]]="","",IF(NOTA[[#This Row],[FAKTUR]]="",INDIRECT(ADDRESS(ROW()-1,COLUMN())),NOTA[[#This Row],[FAKTUR]]))</f>
        <v>UNTANA</v>
      </c>
      <c r="AJ508" s="39" t="str">
        <f ca="1">IF(NOTA[[#This Row],[ID]]="","",COUNTIF(NOTA[ID_H],NOTA[[#This Row],[ID_H]]))</f>
        <v/>
      </c>
      <c r="AK508" s="39">
        <f ca="1">IF(NOTA[[#This Row],[TGL.NOTA]]="",IF(NOTA[[#This Row],[SUPPLIER_H]]="","",AK507),MONTH(NOTA[[#This Row],[TGL.NOTA]]))</f>
        <v>7</v>
      </c>
      <c r="AL508" s="39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5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5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5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39" t="str">
        <f>IF(NOTA[[#This Row],[CONCAT4]]="","",_xlfn.IFNA(MATCH(NOTA[[#This Row],[CONCAT4]],[2]!RAW[CONCAT_H],0),FALSE))</f>
        <v/>
      </c>
      <c r="AQ508" s="39">
        <f>IF(NOTA[[#This Row],[CONCAT1]]="","",MATCH(NOTA[[#This Row],[CONCAT1]],[3]!db[NB NOTA_C],0))</f>
        <v>492</v>
      </c>
      <c r="AR508" s="39" t="b">
        <f>IF(NOTA[[#This Row],[QTY/ CTN]]="","",TRUE)</f>
        <v>1</v>
      </c>
      <c r="AS508" s="39" t="str">
        <f ca="1">IF(NOTA[[#This Row],[ID_H]]="","",IF(NOTA[[#This Row],[Column3]]=TRUE,NOTA[[#This Row],[QTY/ CTN]],INDEX([3]!db[QTY/ CTN],NOTA[[#This Row],[//DB]])))</f>
        <v>144 LSN</v>
      </c>
      <c r="AT5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geltizofancytg30541e144lsnuntana</v>
      </c>
      <c r="AU508" s="39" t="e">
        <f ca="1">IF(NOTA[[#This Row],[ID_H]]="","",MATCH(NOTA[[#This Row],[NB NOTA_C_QTY]],[4]!db[NB NOTA_C_QTY+F],0))</f>
        <v>#REF!</v>
      </c>
      <c r="AV508" s="55">
        <f ca="1">IF(NOTA[[#This Row],[NB NOTA_C_QTY]]="","",ROW()-2)</f>
        <v>506</v>
      </c>
    </row>
    <row r="509" spans="1:48" ht="20.100000000000001" customHeight="1" x14ac:dyDescent="0.25">
      <c r="A5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103</v>
      </c>
      <c r="E509" s="47"/>
      <c r="H509" s="48"/>
      <c r="L509" s="38" t="s">
        <v>602</v>
      </c>
      <c r="M509" s="41">
        <v>1</v>
      </c>
      <c r="N509" s="39">
        <v>144</v>
      </c>
      <c r="O509" s="38" t="s">
        <v>152</v>
      </c>
      <c r="P509" s="42">
        <v>18250</v>
      </c>
      <c r="Q509" s="43"/>
      <c r="R509" s="49" t="s">
        <v>538</v>
      </c>
      <c r="S509" s="50"/>
      <c r="U509" s="51"/>
      <c r="V509" s="46"/>
      <c r="W509" s="51">
        <f>IF(NOTA[[#This Row],[HARGA/ CTN]]="",NOTA[[#This Row],[JUMLAH_H]],NOTA[[#This Row],[HARGA/ CTN]]*IF(NOTA[[#This Row],[C]]="",0,NOTA[[#This Row],[C]]))</f>
        <v>2628000</v>
      </c>
      <c r="X509" s="51">
        <f>IF(NOTA[[#This Row],[JUMLAH]]="","",NOTA[[#This Row],[JUMLAH]]*NOTA[[#This Row],[DISC 1]])</f>
        <v>0</v>
      </c>
      <c r="Y509" s="51">
        <f>IF(NOTA[[#This Row],[JUMLAH]]="","",(NOTA[[#This Row],[JUMLAH]]-NOTA[[#This Row],[DISC 1-]])*NOTA[[#This Row],[DISC 2]])</f>
        <v>0</v>
      </c>
      <c r="Z509" s="51">
        <f>IF(NOTA[[#This Row],[JUMLAH]]="","",NOTA[[#This Row],[DISC 1-]]+NOTA[[#This Row],[DISC 2-]])</f>
        <v>0</v>
      </c>
      <c r="AA509" s="51">
        <f>IF(NOTA[[#This Row],[JUMLAH]]="","",NOTA[[#This Row],[JUMLAH]]-NOTA[[#This Row],[DISC]])</f>
        <v>2628000</v>
      </c>
      <c r="AB509" s="51"/>
      <c r="AC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9" s="51">
        <f>IF(OR(NOTA[[#This Row],[QTY]]="",NOTA[[#This Row],[HARGA SATUAN]]="",),"",NOTA[[#This Row],[QTY]]*NOTA[[#This Row],[HARGA SATUAN]])</f>
        <v>2628000</v>
      </c>
      <c r="AG509" s="40">
        <f ca="1">IF(NOTA[ID_H]="","",INDEX(NOTA[TANGGAL],MATCH(,INDIRECT(ADDRESS(ROW(NOTA[TANGGAL]),COLUMN(NOTA[TANGGAL]))&amp;":"&amp;ADDRESS(ROW(),COLUMN(NOTA[TANGGAL]))),-1)))</f>
        <v>45127</v>
      </c>
      <c r="AH509" s="42" t="str">
        <f ca="1">IF(NOTA[[#This Row],[NAMA BARANG]]="","",INDEX(NOTA[SUPPLIER],MATCH(,INDIRECT(ADDRESS(ROW(NOTA[ID]),COLUMN(NOTA[ID]))&amp;":"&amp;ADDRESS(ROW(),COLUMN(NOTA[ID]))),-1)))</f>
        <v>DB STATIONERY</v>
      </c>
      <c r="AI509" s="42" t="str">
        <f ca="1">IF(NOTA[[#This Row],[ID_H]]="","",IF(NOTA[[#This Row],[FAKTUR]]="",INDIRECT(ADDRESS(ROW()-1,COLUMN())),NOTA[[#This Row],[FAKTUR]]))</f>
        <v>UNTANA</v>
      </c>
      <c r="AJ509" s="39" t="str">
        <f ca="1">IF(NOTA[[#This Row],[ID]]="","",COUNTIF(NOTA[ID_H],NOTA[[#This Row],[ID_H]]))</f>
        <v/>
      </c>
      <c r="AK509" s="39">
        <f ca="1">IF(NOTA[[#This Row],[TGL.NOTA]]="",IF(NOTA[[#This Row],[SUPPLIER_H]]="","",AK508),MONTH(NOTA[[#This Row],[TGL.NOTA]]))</f>
        <v>7</v>
      </c>
      <c r="AL509" s="39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5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5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5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39" t="str">
        <f>IF(NOTA[[#This Row],[CONCAT4]]="","",_xlfn.IFNA(MATCH(NOTA[[#This Row],[CONCAT4]],[2]!RAW[CONCAT_H],0),FALSE))</f>
        <v/>
      </c>
      <c r="AQ509" s="39">
        <f>IF(NOTA[[#This Row],[CONCAT1]]="","",MATCH(NOTA[[#This Row],[CONCAT1]],[3]!db[NB NOTA_C],0))</f>
        <v>508</v>
      </c>
      <c r="AR509" s="39" t="b">
        <f>IF(NOTA[[#This Row],[QTY/ CTN]]="","",TRUE)</f>
        <v>1</v>
      </c>
      <c r="AS509" s="39" t="str">
        <f ca="1">IF(NOTA[[#This Row],[ID_H]]="","",IF(NOTA[[#This Row],[Column3]]=TRUE,NOTA[[#This Row],[QTY/ CTN]],INDEX([3]!db[QTY/ CTN],NOTA[[#This Row],[//DB]])))</f>
        <v>144 LSN</v>
      </c>
      <c r="AT5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U509" s="39" t="e">
        <f ca="1">IF(NOTA[[#This Row],[ID_H]]="","",MATCH(NOTA[[#This Row],[NB NOTA_C_QTY]],[4]!db[NB NOTA_C_QTY+F],0))</f>
        <v>#REF!</v>
      </c>
      <c r="AV509" s="55">
        <f ca="1">IF(NOTA[[#This Row],[NB NOTA_C_QTY]]="","",ROW()-2)</f>
        <v>507</v>
      </c>
    </row>
    <row r="510" spans="1:48" ht="20.100000000000001" customHeight="1" x14ac:dyDescent="0.25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103</v>
      </c>
      <c r="E510" s="47"/>
      <c r="H510" s="48"/>
      <c r="L510" s="38" t="s">
        <v>603</v>
      </c>
      <c r="M510" s="41">
        <v>1</v>
      </c>
      <c r="N510" s="39">
        <v>144</v>
      </c>
      <c r="O510" s="38" t="s">
        <v>152</v>
      </c>
      <c r="P510" s="42">
        <v>18250</v>
      </c>
      <c r="Q510" s="43"/>
      <c r="R510" s="49" t="s">
        <v>538</v>
      </c>
      <c r="S510" s="50"/>
      <c r="U510" s="51"/>
      <c r="V510" s="46"/>
      <c r="W510" s="51">
        <f>IF(NOTA[[#This Row],[HARGA/ CTN]]="",NOTA[[#This Row],[JUMLAH_H]],NOTA[[#This Row],[HARGA/ CTN]]*IF(NOTA[[#This Row],[C]]="",0,NOTA[[#This Row],[C]]))</f>
        <v>2628000</v>
      </c>
      <c r="X510" s="51">
        <f>IF(NOTA[[#This Row],[JUMLAH]]="","",NOTA[[#This Row],[JUMLAH]]*NOTA[[#This Row],[DISC 1]])</f>
        <v>0</v>
      </c>
      <c r="Y510" s="51">
        <f>IF(NOTA[[#This Row],[JUMLAH]]="","",(NOTA[[#This Row],[JUMLAH]]-NOTA[[#This Row],[DISC 1-]])*NOTA[[#This Row],[DISC 2]])</f>
        <v>0</v>
      </c>
      <c r="Z510" s="51">
        <f>IF(NOTA[[#This Row],[JUMLAH]]="","",NOTA[[#This Row],[DISC 1-]]+NOTA[[#This Row],[DISC 2-]])</f>
        <v>0</v>
      </c>
      <c r="AA510" s="51">
        <f>IF(NOTA[[#This Row],[JUMLAH]]="","",NOTA[[#This Row],[JUMLAH]]-NOTA[[#This Row],[DISC]])</f>
        <v>2628000</v>
      </c>
      <c r="AB510" s="51"/>
      <c r="AC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0" s="51">
        <f>IF(OR(NOTA[[#This Row],[QTY]]="",NOTA[[#This Row],[HARGA SATUAN]]="",),"",NOTA[[#This Row],[QTY]]*NOTA[[#This Row],[HARGA SATUAN]])</f>
        <v>2628000</v>
      </c>
      <c r="AG510" s="40">
        <f ca="1">IF(NOTA[ID_H]="","",INDEX(NOTA[TANGGAL],MATCH(,INDIRECT(ADDRESS(ROW(NOTA[TANGGAL]),COLUMN(NOTA[TANGGAL]))&amp;":"&amp;ADDRESS(ROW(),COLUMN(NOTA[TANGGAL]))),-1)))</f>
        <v>45127</v>
      </c>
      <c r="AH510" s="42" t="str">
        <f ca="1">IF(NOTA[[#This Row],[NAMA BARANG]]="","",INDEX(NOTA[SUPPLIER],MATCH(,INDIRECT(ADDRESS(ROW(NOTA[ID]),COLUMN(NOTA[ID]))&amp;":"&amp;ADDRESS(ROW(),COLUMN(NOTA[ID]))),-1)))</f>
        <v>DB STATIONERY</v>
      </c>
      <c r="AI510" s="42" t="str">
        <f ca="1">IF(NOTA[[#This Row],[ID_H]]="","",IF(NOTA[[#This Row],[FAKTUR]]="",INDIRECT(ADDRESS(ROW()-1,COLUMN())),NOTA[[#This Row],[FAKTUR]]))</f>
        <v>UNTANA</v>
      </c>
      <c r="AJ510" s="39" t="str">
        <f ca="1">IF(NOTA[[#This Row],[ID]]="","",COUNTIF(NOTA[ID_H],NOTA[[#This Row],[ID_H]]))</f>
        <v/>
      </c>
      <c r="AK510" s="39">
        <f ca="1">IF(NOTA[[#This Row],[TGL.NOTA]]="",IF(NOTA[[#This Row],[SUPPLIER_H]]="","",AK509),MONTH(NOTA[[#This Row],[TGL.NOTA]]))</f>
        <v>7</v>
      </c>
      <c r="AL510" s="39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5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5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5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39" t="str">
        <f>IF(NOTA[[#This Row],[CONCAT4]]="","",_xlfn.IFNA(MATCH(NOTA[[#This Row],[CONCAT4]],[2]!RAW[CONCAT_H],0),FALSE))</f>
        <v/>
      </c>
      <c r="AQ510" s="39">
        <f>IF(NOTA[[#This Row],[CONCAT1]]="","",MATCH(NOTA[[#This Row],[CONCAT1]],[3]!db[NB NOTA_C],0))</f>
        <v>517</v>
      </c>
      <c r="AR510" s="39" t="b">
        <f>IF(NOTA[[#This Row],[QTY/ CTN]]="","",TRUE)</f>
        <v>1</v>
      </c>
      <c r="AS510" s="39" t="str">
        <f ca="1">IF(NOTA[[#This Row],[ID_H]]="","",IF(NOTA[[#This Row],[Column3]]=TRUE,NOTA[[#This Row],[QTY/ CTN]],INDEX([3]!db[QTY/ CTN],NOTA[[#This Row],[//DB]])))</f>
        <v>144 LSN</v>
      </c>
      <c r="AT5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geltizofancytg31762e144lsnuntana</v>
      </c>
      <c r="AU510" s="39" t="e">
        <f ca="1">IF(NOTA[[#This Row],[ID_H]]="","",MATCH(NOTA[[#This Row],[NB NOTA_C_QTY]],[4]!db[NB NOTA_C_QTY+F],0))</f>
        <v>#REF!</v>
      </c>
      <c r="AV510" s="55">
        <f ca="1">IF(NOTA[[#This Row],[NB NOTA_C_QTY]]="","",ROW()-2)</f>
        <v>508</v>
      </c>
    </row>
    <row r="511" spans="1:48" ht="20.100000000000001" customHeight="1" x14ac:dyDescent="0.25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103</v>
      </c>
      <c r="E511" s="47"/>
      <c r="H511" s="48"/>
      <c r="L511" s="38" t="s">
        <v>604</v>
      </c>
      <c r="M511" s="41">
        <v>1</v>
      </c>
      <c r="N511" s="39">
        <v>144</v>
      </c>
      <c r="O511" s="38" t="s">
        <v>152</v>
      </c>
      <c r="P511" s="42">
        <v>18250</v>
      </c>
      <c r="Q511" s="43"/>
      <c r="R511" s="49" t="s">
        <v>538</v>
      </c>
      <c r="S511" s="50"/>
      <c r="U511" s="51"/>
      <c r="V511" s="46"/>
      <c r="W511" s="51">
        <f>IF(NOTA[[#This Row],[HARGA/ CTN]]="",NOTA[[#This Row],[JUMLAH_H]],NOTA[[#This Row],[HARGA/ CTN]]*IF(NOTA[[#This Row],[C]]="",0,NOTA[[#This Row],[C]]))</f>
        <v>2628000</v>
      </c>
      <c r="X511" s="51">
        <f>IF(NOTA[[#This Row],[JUMLAH]]="","",NOTA[[#This Row],[JUMLAH]]*NOTA[[#This Row],[DISC 1]])</f>
        <v>0</v>
      </c>
      <c r="Y511" s="51">
        <f>IF(NOTA[[#This Row],[JUMLAH]]="","",(NOTA[[#This Row],[JUMLAH]]-NOTA[[#This Row],[DISC 1-]])*NOTA[[#This Row],[DISC 2]])</f>
        <v>0</v>
      </c>
      <c r="Z511" s="51">
        <f>IF(NOTA[[#This Row],[JUMLAH]]="","",NOTA[[#This Row],[DISC 1-]]+NOTA[[#This Row],[DISC 2-]])</f>
        <v>0</v>
      </c>
      <c r="AA511" s="51">
        <f>IF(NOTA[[#This Row],[JUMLAH]]="","",NOTA[[#This Row],[JUMLAH]]-NOTA[[#This Row],[DISC]])</f>
        <v>2628000</v>
      </c>
      <c r="AB511" s="51"/>
      <c r="AC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1" s="51">
        <f>IF(OR(NOTA[[#This Row],[QTY]]="",NOTA[[#This Row],[HARGA SATUAN]]="",),"",NOTA[[#This Row],[QTY]]*NOTA[[#This Row],[HARGA SATUAN]])</f>
        <v>2628000</v>
      </c>
      <c r="AG511" s="40">
        <f ca="1">IF(NOTA[ID_H]="","",INDEX(NOTA[TANGGAL],MATCH(,INDIRECT(ADDRESS(ROW(NOTA[TANGGAL]),COLUMN(NOTA[TANGGAL]))&amp;":"&amp;ADDRESS(ROW(),COLUMN(NOTA[TANGGAL]))),-1)))</f>
        <v>45127</v>
      </c>
      <c r="AH511" s="42" t="str">
        <f ca="1">IF(NOTA[[#This Row],[NAMA BARANG]]="","",INDEX(NOTA[SUPPLIER],MATCH(,INDIRECT(ADDRESS(ROW(NOTA[ID]),COLUMN(NOTA[ID]))&amp;":"&amp;ADDRESS(ROW(),COLUMN(NOTA[ID]))),-1)))</f>
        <v>DB STATIONERY</v>
      </c>
      <c r="AI511" s="42" t="str">
        <f ca="1">IF(NOTA[[#This Row],[ID_H]]="","",IF(NOTA[[#This Row],[FAKTUR]]="",INDIRECT(ADDRESS(ROW()-1,COLUMN())),NOTA[[#This Row],[FAKTUR]]))</f>
        <v>UNTANA</v>
      </c>
      <c r="AJ511" s="39" t="str">
        <f ca="1">IF(NOTA[[#This Row],[ID]]="","",COUNTIF(NOTA[ID_H],NOTA[[#This Row],[ID_H]]))</f>
        <v/>
      </c>
      <c r="AK511" s="39">
        <f ca="1">IF(NOTA[[#This Row],[TGL.NOTA]]="",IF(NOTA[[#This Row],[SUPPLIER_H]]="","",AK510),MONTH(NOTA[[#This Row],[TGL.NOTA]]))</f>
        <v>7</v>
      </c>
      <c r="AL511" s="39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5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5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5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39" t="str">
        <f>IF(NOTA[[#This Row],[CONCAT4]]="","",_xlfn.IFNA(MATCH(NOTA[[#This Row],[CONCAT4]],[2]!RAW[CONCAT_H],0),FALSE))</f>
        <v/>
      </c>
      <c r="AQ511" s="39">
        <f>IF(NOTA[[#This Row],[CONCAT1]]="","",MATCH(NOTA[[#This Row],[CONCAT1]],[3]!db[NB NOTA_C],0))</f>
        <v>519</v>
      </c>
      <c r="AR511" s="39" t="b">
        <f>IF(NOTA[[#This Row],[QTY/ CTN]]="","",TRUE)</f>
        <v>1</v>
      </c>
      <c r="AS511" s="39" t="str">
        <f ca="1">IF(NOTA[[#This Row],[ID_H]]="","",IF(NOTA[[#This Row],[Column3]]=TRUE,NOTA[[#This Row],[QTY/ CTN]],INDEX([3]!db[QTY/ CTN],NOTA[[#This Row],[//DB]])))</f>
        <v>144 LSN</v>
      </c>
      <c r="AT5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U511" s="39" t="e">
        <f ca="1">IF(NOTA[[#This Row],[ID_H]]="","",MATCH(NOTA[[#This Row],[NB NOTA_C_QTY]],[4]!db[NB NOTA_C_QTY+F],0))</f>
        <v>#REF!</v>
      </c>
      <c r="AV511" s="55">
        <f ca="1">IF(NOTA[[#This Row],[NB NOTA_C_QTY]]="","",ROW()-2)</f>
        <v>509</v>
      </c>
    </row>
    <row r="512" spans="1:48" ht="20.100000000000001" customHeight="1" x14ac:dyDescent="0.25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103</v>
      </c>
      <c r="E512" s="47"/>
      <c r="H512" s="48"/>
      <c r="L512" s="38" t="s">
        <v>605</v>
      </c>
      <c r="M512" s="41">
        <v>1</v>
      </c>
      <c r="N512" s="39">
        <v>144</v>
      </c>
      <c r="O512" s="38" t="s">
        <v>152</v>
      </c>
      <c r="P512" s="42">
        <v>18250</v>
      </c>
      <c r="Q512" s="43"/>
      <c r="R512" s="49" t="s">
        <v>538</v>
      </c>
      <c r="S512" s="50"/>
      <c r="U512" s="51"/>
      <c r="V512" s="46"/>
      <c r="W512" s="51">
        <f>IF(NOTA[[#This Row],[HARGA/ CTN]]="",NOTA[[#This Row],[JUMLAH_H]],NOTA[[#This Row],[HARGA/ CTN]]*IF(NOTA[[#This Row],[C]]="",0,NOTA[[#This Row],[C]]))</f>
        <v>2628000</v>
      </c>
      <c r="X512" s="51">
        <f>IF(NOTA[[#This Row],[JUMLAH]]="","",NOTA[[#This Row],[JUMLAH]]*NOTA[[#This Row],[DISC 1]])</f>
        <v>0</v>
      </c>
      <c r="Y512" s="51">
        <f>IF(NOTA[[#This Row],[JUMLAH]]="","",(NOTA[[#This Row],[JUMLAH]]-NOTA[[#This Row],[DISC 1-]])*NOTA[[#This Row],[DISC 2]])</f>
        <v>0</v>
      </c>
      <c r="Z512" s="51">
        <f>IF(NOTA[[#This Row],[JUMLAH]]="","",NOTA[[#This Row],[DISC 1-]]+NOTA[[#This Row],[DISC 2-]])</f>
        <v>0</v>
      </c>
      <c r="AA512" s="51">
        <f>IF(NOTA[[#This Row],[JUMLAH]]="","",NOTA[[#This Row],[JUMLAH]]-NOTA[[#This Row],[DISC]])</f>
        <v>2628000</v>
      </c>
      <c r="AB512" s="51"/>
      <c r="AC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2" s="51">
        <f>IF(OR(NOTA[[#This Row],[QTY]]="",NOTA[[#This Row],[HARGA SATUAN]]="",),"",NOTA[[#This Row],[QTY]]*NOTA[[#This Row],[HARGA SATUAN]])</f>
        <v>2628000</v>
      </c>
      <c r="AG512" s="40">
        <f ca="1">IF(NOTA[ID_H]="","",INDEX(NOTA[TANGGAL],MATCH(,INDIRECT(ADDRESS(ROW(NOTA[TANGGAL]),COLUMN(NOTA[TANGGAL]))&amp;":"&amp;ADDRESS(ROW(),COLUMN(NOTA[TANGGAL]))),-1)))</f>
        <v>45127</v>
      </c>
      <c r="AH512" s="42" t="str">
        <f ca="1">IF(NOTA[[#This Row],[NAMA BARANG]]="","",INDEX(NOTA[SUPPLIER],MATCH(,INDIRECT(ADDRESS(ROW(NOTA[ID]),COLUMN(NOTA[ID]))&amp;":"&amp;ADDRESS(ROW(),COLUMN(NOTA[ID]))),-1)))</f>
        <v>DB STATIONERY</v>
      </c>
      <c r="AI512" s="42" t="str">
        <f ca="1">IF(NOTA[[#This Row],[ID_H]]="","",IF(NOTA[[#This Row],[FAKTUR]]="",INDIRECT(ADDRESS(ROW()-1,COLUMN())),NOTA[[#This Row],[FAKTUR]]))</f>
        <v>UNTANA</v>
      </c>
      <c r="AJ512" s="39" t="str">
        <f ca="1">IF(NOTA[[#This Row],[ID]]="","",COUNTIF(NOTA[ID_H],NOTA[[#This Row],[ID_H]]))</f>
        <v/>
      </c>
      <c r="AK512" s="39">
        <f ca="1">IF(NOTA[[#This Row],[TGL.NOTA]]="",IF(NOTA[[#This Row],[SUPPLIER_H]]="","",AK511),MONTH(NOTA[[#This Row],[TGL.NOTA]]))</f>
        <v>7</v>
      </c>
      <c r="AL512" s="39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5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5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5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39" t="str">
        <f>IF(NOTA[[#This Row],[CONCAT4]]="","",_xlfn.IFNA(MATCH(NOTA[[#This Row],[CONCAT4]],[2]!RAW[CONCAT_H],0),FALSE))</f>
        <v/>
      </c>
      <c r="AQ512" s="39">
        <f>IF(NOTA[[#This Row],[CONCAT1]]="","",MATCH(NOTA[[#This Row],[CONCAT1]],[3]!db[NB NOTA_C],0))</f>
        <v>513</v>
      </c>
      <c r="AR512" s="39" t="b">
        <f>IF(NOTA[[#This Row],[QTY/ CTN]]="","",TRUE)</f>
        <v>1</v>
      </c>
      <c r="AS512" s="39" t="str">
        <f ca="1">IF(NOTA[[#This Row],[ID_H]]="","",IF(NOTA[[#This Row],[Column3]]=TRUE,NOTA[[#This Row],[QTY/ CTN]],INDEX([3]!db[QTY/ CTN],NOTA[[#This Row],[//DB]])))</f>
        <v>144 LSN</v>
      </c>
      <c r="AT5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U512" s="39" t="e">
        <f ca="1">IF(NOTA[[#This Row],[ID_H]]="","",MATCH(NOTA[[#This Row],[NB NOTA_C_QTY]],[4]!db[NB NOTA_C_QTY+F],0))</f>
        <v>#REF!</v>
      </c>
      <c r="AV512" s="55">
        <f ca="1">IF(NOTA[[#This Row],[NB NOTA_C_QTY]]="","",ROW()-2)</f>
        <v>510</v>
      </c>
    </row>
    <row r="513" spans="1:48" ht="20.100000000000001" customHeight="1" x14ac:dyDescent="0.25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103</v>
      </c>
      <c r="E513" s="47"/>
      <c r="H513" s="48"/>
      <c r="L513" s="38" t="s">
        <v>606</v>
      </c>
      <c r="M513" s="41">
        <v>2</v>
      </c>
      <c r="N513" s="39">
        <v>288</v>
      </c>
      <c r="O513" s="38" t="s">
        <v>152</v>
      </c>
      <c r="P513" s="42">
        <v>18250</v>
      </c>
      <c r="Q513" s="43"/>
      <c r="R513" s="49" t="s">
        <v>538</v>
      </c>
      <c r="S513" s="50"/>
      <c r="U513" s="51"/>
      <c r="V513" s="46"/>
      <c r="W513" s="51">
        <f>IF(NOTA[[#This Row],[HARGA/ CTN]]="",NOTA[[#This Row],[JUMLAH_H]],NOTA[[#This Row],[HARGA/ CTN]]*IF(NOTA[[#This Row],[C]]="",0,NOTA[[#This Row],[C]]))</f>
        <v>5256000</v>
      </c>
      <c r="X513" s="51">
        <f>IF(NOTA[[#This Row],[JUMLAH]]="","",NOTA[[#This Row],[JUMLAH]]*NOTA[[#This Row],[DISC 1]])</f>
        <v>0</v>
      </c>
      <c r="Y513" s="51">
        <f>IF(NOTA[[#This Row],[JUMLAH]]="","",(NOTA[[#This Row],[JUMLAH]]-NOTA[[#This Row],[DISC 1-]])*NOTA[[#This Row],[DISC 2]])</f>
        <v>0</v>
      </c>
      <c r="Z513" s="51">
        <f>IF(NOTA[[#This Row],[JUMLAH]]="","",NOTA[[#This Row],[DISC 1-]]+NOTA[[#This Row],[DISC 2-]])</f>
        <v>0</v>
      </c>
      <c r="AA513" s="51">
        <f>IF(NOTA[[#This Row],[JUMLAH]]="","",NOTA[[#This Row],[JUMLAH]]-NOTA[[#This Row],[DISC]])</f>
        <v>5256000</v>
      </c>
      <c r="AB513" s="51"/>
      <c r="AC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3" s="51">
        <f>IF(OR(NOTA[[#This Row],[QTY]]="",NOTA[[#This Row],[HARGA SATUAN]]="",),"",NOTA[[#This Row],[QTY]]*NOTA[[#This Row],[HARGA SATUAN]])</f>
        <v>5256000</v>
      </c>
      <c r="AG513" s="40">
        <f ca="1">IF(NOTA[ID_H]="","",INDEX(NOTA[TANGGAL],MATCH(,INDIRECT(ADDRESS(ROW(NOTA[TANGGAL]),COLUMN(NOTA[TANGGAL]))&amp;":"&amp;ADDRESS(ROW(),COLUMN(NOTA[TANGGAL]))),-1)))</f>
        <v>45127</v>
      </c>
      <c r="AH513" s="42" t="str">
        <f ca="1">IF(NOTA[[#This Row],[NAMA BARANG]]="","",INDEX(NOTA[SUPPLIER],MATCH(,INDIRECT(ADDRESS(ROW(NOTA[ID]),COLUMN(NOTA[ID]))&amp;":"&amp;ADDRESS(ROW(),COLUMN(NOTA[ID]))),-1)))</f>
        <v>DB STATIONERY</v>
      </c>
      <c r="AI513" s="42" t="str">
        <f ca="1">IF(NOTA[[#This Row],[ID_H]]="","",IF(NOTA[[#This Row],[FAKTUR]]="",INDIRECT(ADDRESS(ROW()-1,COLUMN())),NOTA[[#This Row],[FAKTUR]]))</f>
        <v>UNTANA</v>
      </c>
      <c r="AJ513" s="39" t="str">
        <f ca="1">IF(NOTA[[#This Row],[ID]]="","",COUNTIF(NOTA[ID_H],NOTA[[#This Row],[ID_H]]))</f>
        <v/>
      </c>
      <c r="AK513" s="39">
        <f ca="1">IF(NOTA[[#This Row],[TGL.NOTA]]="",IF(NOTA[[#This Row],[SUPPLIER_H]]="","",AK512),MONTH(NOTA[[#This Row],[TGL.NOTA]]))</f>
        <v>7</v>
      </c>
      <c r="AL513" s="39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5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5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5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39" t="str">
        <f>IF(NOTA[[#This Row],[CONCAT4]]="","",_xlfn.IFNA(MATCH(NOTA[[#This Row],[CONCAT4]],[2]!RAW[CONCAT_H],0),FALSE))</f>
        <v/>
      </c>
      <c r="AQ513" s="39">
        <f>IF(NOTA[[#This Row],[CONCAT1]]="","",MATCH(NOTA[[#This Row],[CONCAT1]],[3]!db[NB NOTA_C],0))</f>
        <v>503</v>
      </c>
      <c r="AR513" s="39" t="b">
        <f>IF(NOTA[[#This Row],[QTY/ CTN]]="","",TRUE)</f>
        <v>1</v>
      </c>
      <c r="AS513" s="39" t="str">
        <f ca="1">IF(NOTA[[#This Row],[ID_H]]="","",IF(NOTA[[#This Row],[Column3]]=TRUE,NOTA[[#This Row],[QTY/ CTN]],INDEX([3]!db[QTY/ CTN],NOTA[[#This Row],[//DB]])))</f>
        <v>144 LSN</v>
      </c>
      <c r="AT5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geltizofancytg30802e144lsnuntana</v>
      </c>
      <c r="AU513" s="39" t="e">
        <f ca="1">IF(NOTA[[#This Row],[ID_H]]="","",MATCH(NOTA[[#This Row],[NB NOTA_C_QTY]],[4]!db[NB NOTA_C_QTY+F],0))</f>
        <v>#REF!</v>
      </c>
      <c r="AV513" s="55">
        <f ca="1">IF(NOTA[[#This Row],[NB NOTA_C_QTY]]="","",ROW()-2)</f>
        <v>511</v>
      </c>
    </row>
    <row r="514" spans="1:48" ht="20.100000000000001" customHeight="1" x14ac:dyDescent="0.25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103</v>
      </c>
      <c r="E514" s="47"/>
      <c r="H514" s="48"/>
      <c r="L514" s="38" t="s">
        <v>607</v>
      </c>
      <c r="M514" s="41">
        <v>1</v>
      </c>
      <c r="N514" s="39">
        <v>144</v>
      </c>
      <c r="O514" s="38" t="s">
        <v>152</v>
      </c>
      <c r="Q514" s="43"/>
      <c r="R514" s="49" t="s">
        <v>538</v>
      </c>
      <c r="S514" s="50"/>
      <c r="U514" s="51"/>
      <c r="V514" s="46" t="s">
        <v>395</v>
      </c>
      <c r="W514" s="51" t="str">
        <f>IF(NOTA[[#This Row],[HARGA/ CTN]]="",NOTA[[#This Row],[JUMLAH_H]],NOTA[[#This Row],[HARGA/ CTN]]*IF(NOTA[[#This Row],[C]]="",0,NOTA[[#This Row],[C]]))</f>
        <v/>
      </c>
      <c r="X514" s="51" t="str">
        <f>IF(NOTA[[#This Row],[JUMLAH]]="","",NOTA[[#This Row],[JUMLAH]]*NOTA[[#This Row],[DISC 1]])</f>
        <v/>
      </c>
      <c r="Y514" s="51" t="str">
        <f>IF(NOTA[[#This Row],[JUMLAH]]="","",(NOTA[[#This Row],[JUMLAH]]-NOTA[[#This Row],[DISC 1-]])*NOTA[[#This Row],[DISC 2]])</f>
        <v/>
      </c>
      <c r="Z514" s="51" t="str">
        <f>IF(NOTA[[#This Row],[JUMLAH]]="","",NOTA[[#This Row],[DISC 1-]]+NOTA[[#This Row],[DISC 2-]])</f>
        <v/>
      </c>
      <c r="AA514" s="51" t="str">
        <f>IF(NOTA[[#This Row],[JUMLAH]]="","",NOTA[[#This Row],[JUMLAH]]-NOTA[[#This Row],[DISC]])</f>
        <v/>
      </c>
      <c r="AB514" s="51"/>
      <c r="AC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514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14" s="51" t="str">
        <f>IF(OR(NOTA[[#This Row],[QTY]]="",NOTA[[#This Row],[HARGA SATUAN]]="",),"",NOTA[[#This Row],[QTY]]*NOTA[[#This Row],[HARGA SATUAN]])</f>
        <v/>
      </c>
      <c r="AG514" s="40">
        <f ca="1">IF(NOTA[ID_H]="","",INDEX(NOTA[TANGGAL],MATCH(,INDIRECT(ADDRESS(ROW(NOTA[TANGGAL]),COLUMN(NOTA[TANGGAL]))&amp;":"&amp;ADDRESS(ROW(),COLUMN(NOTA[TANGGAL]))),-1)))</f>
        <v>45127</v>
      </c>
      <c r="AH514" s="42" t="str">
        <f ca="1">IF(NOTA[[#This Row],[NAMA BARANG]]="","",INDEX(NOTA[SUPPLIER],MATCH(,INDIRECT(ADDRESS(ROW(NOTA[ID]),COLUMN(NOTA[ID]))&amp;":"&amp;ADDRESS(ROW(),COLUMN(NOTA[ID]))),-1)))</f>
        <v>DB STATIONERY</v>
      </c>
      <c r="AI514" s="42" t="str">
        <f ca="1">IF(NOTA[[#This Row],[ID_H]]="","",IF(NOTA[[#This Row],[FAKTUR]]="",INDIRECT(ADDRESS(ROW()-1,COLUMN())),NOTA[[#This Row],[FAKTUR]]))</f>
        <v>UNTANA</v>
      </c>
      <c r="AJ514" s="39" t="str">
        <f ca="1">IF(NOTA[[#This Row],[ID]]="","",COUNTIF(NOTA[ID_H],NOTA[[#This Row],[ID_H]]))</f>
        <v/>
      </c>
      <c r="AK514" s="39">
        <f ca="1">IF(NOTA[[#This Row],[TGL.NOTA]]="",IF(NOTA[[#This Row],[SUPPLIER_H]]="","",AK513),MONTH(NOTA[[#This Row],[TGL.NOTA]]))</f>
        <v>7</v>
      </c>
      <c r="AL514" s="3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5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geltizofancytg30900e0</v>
      </c>
      <c r="AN5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geltizofancytg30900e0</v>
      </c>
      <c r="AO5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39" t="str">
        <f>IF(NOTA[[#This Row],[CONCAT4]]="","",_xlfn.IFNA(MATCH(NOTA[[#This Row],[CONCAT4]],[2]!RAW[CONCAT_H],0),FALSE))</f>
        <v/>
      </c>
      <c r="AQ514" s="39">
        <f>IF(NOTA[[#This Row],[CONCAT1]]="","",MATCH(NOTA[[#This Row],[CONCAT1]],[3]!db[NB NOTA_C],0))</f>
        <v>505</v>
      </c>
      <c r="AR514" s="39" t="b">
        <f>IF(NOTA[[#This Row],[QTY/ CTN]]="","",TRUE)</f>
        <v>1</v>
      </c>
      <c r="AS514" s="39" t="str">
        <f ca="1">IF(NOTA[[#This Row],[ID_H]]="","",IF(NOTA[[#This Row],[Column3]]=TRUE,NOTA[[#This Row],[QTY/ CTN]],INDEX([3]!db[QTY/ CTN],NOTA[[#This Row],[//DB]])))</f>
        <v>144 LSN</v>
      </c>
      <c r="AT5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geltizofancytg30900e144lsnuntana</v>
      </c>
      <c r="AU514" s="39" t="e">
        <f ca="1">IF(NOTA[[#This Row],[ID_H]]="","",MATCH(NOTA[[#This Row],[NB NOTA_C_QTY]],[4]!db[NB NOTA_C_QTY+F],0))</f>
        <v>#REF!</v>
      </c>
      <c r="AV514" s="55">
        <f ca="1">IF(NOTA[[#This Row],[NB NOTA_C_QTY]]="","",ROW()-2)</f>
        <v>512</v>
      </c>
    </row>
    <row r="515" spans="1:48" ht="20.100000000000001" customHeight="1" x14ac:dyDescent="0.25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 t="str">
        <f ca="1">IF(NOTA[[#This Row],[NAMA BARANG]]="","",INDEX(NOTA[ID],MATCH(,INDIRECT(ADDRESS(ROW(NOTA[ID]),COLUMN(NOTA[ID]))&amp;":"&amp;ADDRESS(ROW(),COLUMN(NOTA[ID]))),-1)))</f>
        <v/>
      </c>
      <c r="E515" s="47"/>
      <c r="H515" s="48"/>
      <c r="N515" s="39"/>
      <c r="Q515" s="43"/>
      <c r="R515" s="49"/>
      <c r="S515" s="50"/>
      <c r="U515" s="51"/>
      <c r="V515" s="46"/>
      <c r="W515" s="51" t="str">
        <f>IF(NOTA[[#This Row],[HARGA/ CTN]]="",NOTA[[#This Row],[JUMLAH_H]],NOTA[[#This Row],[HARGA/ CTN]]*IF(NOTA[[#This Row],[C]]="",0,NOTA[[#This Row],[C]]))</f>
        <v/>
      </c>
      <c r="X515" s="51" t="str">
        <f>IF(NOTA[[#This Row],[JUMLAH]]="","",NOTA[[#This Row],[JUMLAH]]*NOTA[[#This Row],[DISC 1]])</f>
        <v/>
      </c>
      <c r="Y515" s="51" t="str">
        <f>IF(NOTA[[#This Row],[JUMLAH]]="","",(NOTA[[#This Row],[JUMLAH]]-NOTA[[#This Row],[DISC 1-]])*NOTA[[#This Row],[DISC 2]])</f>
        <v/>
      </c>
      <c r="Z515" s="51" t="str">
        <f>IF(NOTA[[#This Row],[JUMLAH]]="","",NOTA[[#This Row],[DISC 1-]]+NOTA[[#This Row],[DISC 2-]])</f>
        <v/>
      </c>
      <c r="AA515" s="51" t="str">
        <f>IF(NOTA[[#This Row],[JUMLAH]]="","",NOTA[[#This Row],[JUMLAH]]-NOTA[[#This Row],[DISC]])</f>
        <v/>
      </c>
      <c r="AB515" s="51"/>
      <c r="AC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51" t="str">
        <f>IF(OR(NOTA[[#This Row],[QTY]]="",NOTA[[#This Row],[HARGA SATUAN]]="",),"",NOTA[[#This Row],[QTY]]*NOTA[[#This Row],[HARGA SATUAN]])</f>
        <v/>
      </c>
      <c r="AG515" s="40" t="str">
        <f ca="1">IF(NOTA[ID_H]="","",INDEX(NOTA[TANGGAL],MATCH(,INDIRECT(ADDRESS(ROW(NOTA[TANGGAL]),COLUMN(NOTA[TANGGAL]))&amp;":"&amp;ADDRESS(ROW(),COLUMN(NOTA[TANGGAL]))),-1)))</f>
        <v/>
      </c>
      <c r="AH515" s="42" t="str">
        <f ca="1">IF(NOTA[[#This Row],[NAMA BARANG]]="","",INDEX(NOTA[SUPPLIER],MATCH(,INDIRECT(ADDRESS(ROW(NOTA[ID]),COLUMN(NOTA[ID]))&amp;":"&amp;ADDRESS(ROW(),COLUMN(NOTA[ID]))),-1)))</f>
        <v/>
      </c>
      <c r="AI515" s="42" t="str">
        <f ca="1">IF(NOTA[[#This Row],[ID_H]]="","",IF(NOTA[[#This Row],[FAKTUR]]="",INDIRECT(ADDRESS(ROW()-1,COLUMN())),NOTA[[#This Row],[FAKTUR]]))</f>
        <v/>
      </c>
      <c r="AJ515" s="39" t="str">
        <f ca="1">IF(NOTA[[#This Row],[ID]]="","",COUNTIF(NOTA[ID_H],NOTA[[#This Row],[ID_H]]))</f>
        <v/>
      </c>
      <c r="AK515" s="39" t="str">
        <f ca="1">IF(NOTA[[#This Row],[TGL.NOTA]]="",IF(NOTA[[#This Row],[SUPPLIER_H]]="","",AK514),MONTH(NOTA[[#This Row],[TGL.NOTA]]))</f>
        <v/>
      </c>
      <c r="AL515" s="39" t="str">
        <f>LOWER(SUBSTITUTE(SUBSTITUTE(SUBSTITUTE(SUBSTITUTE(SUBSTITUTE(SUBSTITUTE(SUBSTITUTE(SUBSTITUTE(SUBSTITUTE(NOTA[NAMA BARANG]," ",),".",""),"-",""),"(",""),")",""),",",""),"/",""),"""",""),"+",""))</f>
        <v/>
      </c>
      <c r="AM5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39" t="str">
        <f>IF(NOTA[[#This Row],[CONCAT4]]="","",_xlfn.IFNA(MATCH(NOTA[[#This Row],[CONCAT4]],[2]!RAW[CONCAT_H],0),FALSE))</f>
        <v/>
      </c>
      <c r="AQ515" s="39" t="str">
        <f>IF(NOTA[[#This Row],[CONCAT1]]="","",MATCH(NOTA[[#This Row],[CONCAT1]],[3]!db[NB NOTA_C],0))</f>
        <v/>
      </c>
      <c r="AR515" s="39" t="str">
        <f>IF(NOTA[[#This Row],[QTY/ CTN]]="","",TRUE)</f>
        <v/>
      </c>
      <c r="AS515" s="39" t="str">
        <f ca="1">IF(NOTA[[#This Row],[ID_H]]="","",IF(NOTA[[#This Row],[Column3]]=TRUE,NOTA[[#This Row],[QTY/ CTN]],INDEX([3]!db[QTY/ CTN],NOTA[[#This Row],[//DB]])))</f>
        <v/>
      </c>
      <c r="AT5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5" s="39" t="str">
        <f ca="1">IF(NOTA[[#This Row],[ID_H]]="","",MATCH(NOTA[[#This Row],[NB NOTA_C_QTY]],[4]!db[NB NOTA_C_QTY+F],0))</f>
        <v/>
      </c>
      <c r="AV515" s="55" t="str">
        <f ca="1">IF(NOTA[[#This Row],[NB NOTA_C_QTY]]="","",ROW()-2)</f>
        <v/>
      </c>
    </row>
    <row r="516" spans="1:48" ht="20.100000000000001" customHeight="1" x14ac:dyDescent="0.25">
      <c r="A516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KAW_2007_-1</v>
      </c>
      <c r="C516" s="39" t="e">
        <f ca="1">IF(NOTA[[#This Row],[ID_P]]="","",MATCH(NOTA[[#This Row],[ID_P]],[1]!B_MSK[N_ID],0))</f>
        <v>#REF!</v>
      </c>
      <c r="D516" s="39">
        <f ca="1">IF(NOTA[[#This Row],[NAMA BARANG]]="","",INDEX(NOTA[ID],MATCH(,INDIRECT(ADDRESS(ROW(NOTA[ID]),COLUMN(NOTA[ID]))&amp;":"&amp;ADDRESS(ROW(),COLUMN(NOTA[ID]))),-1)))</f>
        <v>104</v>
      </c>
      <c r="E516" s="47"/>
      <c r="F516" s="38" t="s">
        <v>608</v>
      </c>
      <c r="G516" s="38" t="s">
        <v>145</v>
      </c>
      <c r="H516" s="48"/>
      <c r="J516" s="40">
        <v>45124</v>
      </c>
      <c r="L516" s="38" t="s">
        <v>609</v>
      </c>
      <c r="M516" s="41">
        <v>44</v>
      </c>
      <c r="N516" s="39">
        <v>440</v>
      </c>
      <c r="O516" s="38" t="s">
        <v>117</v>
      </c>
      <c r="P516" s="42">
        <v>47500</v>
      </c>
      <c r="Q516" s="43"/>
      <c r="R516" s="49" t="s">
        <v>150</v>
      </c>
      <c r="S516" s="50"/>
      <c r="U516" s="51"/>
      <c r="V516" s="46" t="s">
        <v>610</v>
      </c>
      <c r="W516" s="51">
        <f>IF(NOTA[[#This Row],[HARGA/ CTN]]="",NOTA[[#This Row],[JUMLAH_H]],NOTA[[#This Row],[HARGA/ CTN]]*IF(NOTA[[#This Row],[C]]="",0,NOTA[[#This Row],[C]]))</f>
        <v>20900000</v>
      </c>
      <c r="X516" s="51">
        <f>IF(NOTA[[#This Row],[JUMLAH]]="","",NOTA[[#This Row],[JUMLAH]]*NOTA[[#This Row],[DISC 1]])</f>
        <v>0</v>
      </c>
      <c r="Y516" s="51">
        <f>IF(NOTA[[#This Row],[JUMLAH]]="","",(NOTA[[#This Row],[JUMLAH]]-NOTA[[#This Row],[DISC 1-]])*NOTA[[#This Row],[DISC 2]])</f>
        <v>0</v>
      </c>
      <c r="Z516" s="51">
        <f>IF(NOTA[[#This Row],[JUMLAH]]="","",NOTA[[#This Row],[DISC 1-]]+NOTA[[#This Row],[DISC 2-]])</f>
        <v>0</v>
      </c>
      <c r="AA516" s="51">
        <f>IF(NOTA[[#This Row],[JUMLAH]]="","",NOTA[[#This Row],[JUMLAH]]-NOTA[[#This Row],[DISC]])</f>
        <v>20900000</v>
      </c>
      <c r="AB516" s="51"/>
      <c r="AC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5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516" s="51">
        <f>IF(OR(NOTA[[#This Row],[QTY]]="",NOTA[[#This Row],[HARGA SATUAN]]="",),"",NOTA[[#This Row],[QTY]]*NOTA[[#This Row],[HARGA SATUAN]])</f>
        <v>20900000</v>
      </c>
      <c r="AG516" s="40">
        <f ca="1">IF(NOTA[ID_H]="","",INDEX(NOTA[TANGGAL],MATCH(,INDIRECT(ADDRESS(ROW(NOTA[TANGGAL]),COLUMN(NOTA[TANGGAL]))&amp;":"&amp;ADDRESS(ROW(),COLUMN(NOTA[TANGGAL]))),-1)))</f>
        <v>45127</v>
      </c>
      <c r="AH516" s="42" t="str">
        <f ca="1">IF(NOTA[[#This Row],[NAMA BARANG]]="","",INDEX(NOTA[SUPPLIER],MATCH(,INDIRECT(ADDRESS(ROW(NOTA[ID]),COLUMN(NOTA[ID]))&amp;":"&amp;ADDRESS(ROW(),COLUMN(NOTA[ID]))),-1)))</f>
        <v>KAWAN SETIA</v>
      </c>
      <c r="AI516" s="42" t="str">
        <f ca="1">IF(NOTA[[#This Row],[ID_H]]="","",IF(NOTA[[#This Row],[FAKTUR]]="",INDIRECT(ADDRESS(ROW()-1,COLUMN())),NOTA[[#This Row],[FAKTUR]]))</f>
        <v>UNTANA</v>
      </c>
      <c r="AJ516" s="39">
        <f ca="1">IF(NOTA[[#This Row],[ID]]="","",COUNTIF(NOTA[ID_H],NOTA[[#This Row],[ID_H]]))</f>
        <v>1</v>
      </c>
      <c r="AK516" s="39">
        <f>IF(NOTA[[#This Row],[TGL.NOTA]]="",IF(NOTA[[#This Row],[SUPPLIER_H]]="","",AK515),MONTH(NOTA[[#This Row],[TGL.NOTA]]))</f>
        <v>7</v>
      </c>
      <c r="AL5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5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5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5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SETIAUNTANA45124mejakarakter</v>
      </c>
      <c r="AP516" s="39" t="e">
        <f>IF(NOTA[[#This Row],[CONCAT4]]="","",_xlfn.IFNA(MATCH(NOTA[[#This Row],[CONCAT4]],[2]!RAW[CONCAT_H],0),FALSE))</f>
        <v>#REF!</v>
      </c>
      <c r="AQ516" s="39">
        <f>IF(NOTA[[#This Row],[CONCAT1]]="","",MATCH(NOTA[[#This Row],[CONCAT1]],[3]!db[NB NOTA_C],0))</f>
        <v>1722</v>
      </c>
      <c r="AR516" s="39" t="b">
        <f>IF(NOTA[[#This Row],[QTY/ CTN]]="","",TRUE)</f>
        <v>1</v>
      </c>
      <c r="AS516" s="39" t="str">
        <f ca="1">IF(NOTA[[#This Row],[ID_H]]="","",IF(NOTA[[#This Row],[Column3]]=TRUE,NOTA[[#This Row],[QTY/ CTN]],INDEX([3]!db[QTY/ CTN],NOTA[[#This Row],[//DB]])))</f>
        <v>10 PCS</v>
      </c>
      <c r="AT5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516" s="39" t="e">
        <f ca="1">IF(NOTA[[#This Row],[ID_H]]="","",MATCH(NOTA[[#This Row],[NB NOTA_C_QTY]],[4]!db[NB NOTA_C_QTY+F],0))</f>
        <v>#REF!</v>
      </c>
      <c r="AV516" s="55">
        <f ca="1">IF(NOTA[[#This Row],[NB NOTA_C_QTY]]="","",ROW()-2)</f>
        <v>514</v>
      </c>
    </row>
    <row r="517" spans="1:48" ht="20.100000000000001" customHeight="1" x14ac:dyDescent="0.25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 t="str">
        <f ca="1">IF(NOTA[[#This Row],[NAMA BARANG]]="","",INDEX(NOTA[ID],MATCH(,INDIRECT(ADDRESS(ROW(NOTA[ID]),COLUMN(NOTA[ID]))&amp;":"&amp;ADDRESS(ROW(),COLUMN(NOTA[ID]))),-1)))</f>
        <v/>
      </c>
      <c r="E517" s="47"/>
      <c r="H517" s="48"/>
      <c r="N517" s="39"/>
      <c r="Q517" s="43"/>
      <c r="R517" s="49"/>
      <c r="S517" s="50"/>
      <c r="U517" s="51"/>
      <c r="V517" s="46"/>
      <c r="W517" s="51" t="str">
        <f>IF(NOTA[[#This Row],[HARGA/ CTN]]="",NOTA[[#This Row],[JUMLAH_H]],NOTA[[#This Row],[HARGA/ CTN]]*IF(NOTA[[#This Row],[C]]="",0,NOTA[[#This Row],[C]]))</f>
        <v/>
      </c>
      <c r="X517" s="51" t="str">
        <f>IF(NOTA[[#This Row],[JUMLAH]]="","",NOTA[[#This Row],[JUMLAH]]*NOTA[[#This Row],[DISC 1]])</f>
        <v/>
      </c>
      <c r="Y517" s="51" t="str">
        <f>IF(NOTA[[#This Row],[JUMLAH]]="","",(NOTA[[#This Row],[JUMLAH]]-NOTA[[#This Row],[DISC 1-]])*NOTA[[#This Row],[DISC 2]])</f>
        <v/>
      </c>
      <c r="Z517" s="51" t="str">
        <f>IF(NOTA[[#This Row],[JUMLAH]]="","",NOTA[[#This Row],[DISC 1-]]+NOTA[[#This Row],[DISC 2-]])</f>
        <v/>
      </c>
      <c r="AA517" s="51" t="str">
        <f>IF(NOTA[[#This Row],[JUMLAH]]="","",NOTA[[#This Row],[JUMLAH]]-NOTA[[#This Row],[DISC]])</f>
        <v/>
      </c>
      <c r="AB517" s="51"/>
      <c r="AC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51" t="str">
        <f>IF(OR(NOTA[[#This Row],[QTY]]="",NOTA[[#This Row],[HARGA SATUAN]]="",),"",NOTA[[#This Row],[QTY]]*NOTA[[#This Row],[HARGA SATUAN]])</f>
        <v/>
      </c>
      <c r="AG517" s="40" t="str">
        <f ca="1">IF(NOTA[ID_H]="","",INDEX(NOTA[TANGGAL],MATCH(,INDIRECT(ADDRESS(ROW(NOTA[TANGGAL]),COLUMN(NOTA[TANGGAL]))&amp;":"&amp;ADDRESS(ROW(),COLUMN(NOTA[TANGGAL]))),-1)))</f>
        <v/>
      </c>
      <c r="AH517" s="42" t="str">
        <f ca="1">IF(NOTA[[#This Row],[NAMA BARANG]]="","",INDEX(NOTA[SUPPLIER],MATCH(,INDIRECT(ADDRESS(ROW(NOTA[ID]),COLUMN(NOTA[ID]))&amp;":"&amp;ADDRESS(ROW(),COLUMN(NOTA[ID]))),-1)))</f>
        <v/>
      </c>
      <c r="AI517" s="42" t="str">
        <f ca="1">IF(NOTA[[#This Row],[ID_H]]="","",IF(NOTA[[#This Row],[FAKTUR]]="",INDIRECT(ADDRESS(ROW()-1,COLUMN())),NOTA[[#This Row],[FAKTUR]]))</f>
        <v/>
      </c>
      <c r="AJ517" s="39" t="str">
        <f ca="1">IF(NOTA[[#This Row],[ID]]="","",COUNTIF(NOTA[ID_H],NOTA[[#This Row],[ID_H]]))</f>
        <v/>
      </c>
      <c r="AK517" s="39" t="str">
        <f ca="1">IF(NOTA[[#This Row],[TGL.NOTA]]="",IF(NOTA[[#This Row],[SUPPLIER_H]]="","",AK516),MONTH(NOTA[[#This Row],[TGL.NOTA]]))</f>
        <v/>
      </c>
      <c r="AL517" s="39" t="str">
        <f>LOWER(SUBSTITUTE(SUBSTITUTE(SUBSTITUTE(SUBSTITUTE(SUBSTITUTE(SUBSTITUTE(SUBSTITUTE(SUBSTITUTE(SUBSTITUTE(NOTA[NAMA BARANG]," ",),".",""),"-",""),"(",""),")",""),",",""),"/",""),"""",""),"+",""))</f>
        <v/>
      </c>
      <c r="AM5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39" t="str">
        <f>IF(NOTA[[#This Row],[CONCAT4]]="","",_xlfn.IFNA(MATCH(NOTA[[#This Row],[CONCAT4]],[2]!RAW[CONCAT_H],0),FALSE))</f>
        <v/>
      </c>
      <c r="AQ517" s="39" t="str">
        <f>IF(NOTA[[#This Row],[CONCAT1]]="","",MATCH(NOTA[[#This Row],[CONCAT1]],[3]!db[NB NOTA_C],0))</f>
        <v/>
      </c>
      <c r="AR517" s="39" t="str">
        <f>IF(NOTA[[#This Row],[QTY/ CTN]]="","",TRUE)</f>
        <v/>
      </c>
      <c r="AS517" s="39" t="str">
        <f ca="1">IF(NOTA[[#This Row],[ID_H]]="","",IF(NOTA[[#This Row],[Column3]]=TRUE,NOTA[[#This Row],[QTY/ CTN]],INDEX([3]!db[QTY/ CTN],NOTA[[#This Row],[//DB]])))</f>
        <v/>
      </c>
      <c r="AT5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7" s="39" t="str">
        <f ca="1">IF(NOTA[[#This Row],[ID_H]]="","",MATCH(NOTA[[#This Row],[NB NOTA_C_QTY]],[4]!db[NB NOTA_C_QTY+F],0))</f>
        <v/>
      </c>
      <c r="AV517" s="55" t="str">
        <f ca="1">IF(NOTA[[#This Row],[NB NOTA_C_QTY]]="","",ROW()-2)</f>
        <v/>
      </c>
    </row>
    <row r="518" spans="1:48" ht="20.100000000000001" customHeight="1" x14ac:dyDescent="0.25">
      <c r="A518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GUN_2007_535-2</v>
      </c>
      <c r="C518" s="39" t="e">
        <f ca="1">IF(NOTA[[#This Row],[ID_P]]="","",MATCH(NOTA[[#This Row],[ID_P]],[1]!B_MSK[N_ID],0))</f>
        <v>#REF!</v>
      </c>
      <c r="D518" s="39">
        <f ca="1">IF(NOTA[[#This Row],[NAMA BARANG]]="","",INDEX(NOTA[ID],MATCH(,INDIRECT(ADDRESS(ROW(NOTA[ID]),COLUMN(NOTA[ID]))&amp;":"&amp;ADDRESS(ROW(),COLUMN(NOTA[ID]))),-1)))</f>
        <v>105</v>
      </c>
      <c r="E518" s="47"/>
      <c r="F518" s="38" t="s">
        <v>524</v>
      </c>
      <c r="G518" s="38" t="s">
        <v>145</v>
      </c>
      <c r="H518" s="48" t="s">
        <v>611</v>
      </c>
      <c r="J518" s="40">
        <v>45124</v>
      </c>
      <c r="L518" s="38" t="s">
        <v>612</v>
      </c>
      <c r="M518" s="41">
        <v>2</v>
      </c>
      <c r="N518" s="39">
        <v>120</v>
      </c>
      <c r="O518" s="38" t="s">
        <v>152</v>
      </c>
      <c r="P518" s="42">
        <v>51500</v>
      </c>
      <c r="Q518" s="43"/>
      <c r="R518" s="49" t="s">
        <v>153</v>
      </c>
      <c r="S518" s="50">
        <v>0.05</v>
      </c>
      <c r="T518" s="45">
        <v>0.1</v>
      </c>
      <c r="U518" s="51"/>
      <c r="V518" s="46"/>
      <c r="W518" s="51">
        <f>IF(NOTA[[#This Row],[HARGA/ CTN]]="",NOTA[[#This Row],[JUMLAH_H]],NOTA[[#This Row],[HARGA/ CTN]]*IF(NOTA[[#This Row],[C]]="",0,NOTA[[#This Row],[C]]))</f>
        <v>6180000</v>
      </c>
      <c r="X518" s="51">
        <f>IF(NOTA[[#This Row],[JUMLAH]]="","",NOTA[[#This Row],[JUMLAH]]*NOTA[[#This Row],[DISC 1]])</f>
        <v>309000</v>
      </c>
      <c r="Y518" s="51">
        <f>IF(NOTA[[#This Row],[JUMLAH]]="","",(NOTA[[#This Row],[JUMLAH]]-NOTA[[#This Row],[DISC 1-]])*NOTA[[#This Row],[DISC 2]])</f>
        <v>587100</v>
      </c>
      <c r="Z518" s="51">
        <f>IF(NOTA[[#This Row],[JUMLAH]]="","",NOTA[[#This Row],[DISC 1-]]+NOTA[[#This Row],[DISC 2-]])</f>
        <v>896100</v>
      </c>
      <c r="AA518" s="51">
        <f>IF(NOTA[[#This Row],[JUMLAH]]="","",NOTA[[#This Row],[JUMLAH]]-NOTA[[#This Row],[DISC]])</f>
        <v>5283900</v>
      </c>
      <c r="AB518" s="51"/>
      <c r="AC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42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F518" s="51">
        <f>IF(OR(NOTA[[#This Row],[QTY]]="",NOTA[[#This Row],[HARGA SATUAN]]="",),"",NOTA[[#This Row],[QTY]]*NOTA[[#This Row],[HARGA SATUAN]])</f>
        <v>6180000</v>
      </c>
      <c r="AG518" s="40">
        <f ca="1">IF(NOTA[ID_H]="","",INDEX(NOTA[TANGGAL],MATCH(,INDIRECT(ADDRESS(ROW(NOTA[TANGGAL]),COLUMN(NOTA[TANGGAL]))&amp;":"&amp;ADDRESS(ROW(),COLUMN(NOTA[TANGGAL]))),-1)))</f>
        <v>45127</v>
      </c>
      <c r="AH518" s="42" t="str">
        <f ca="1">IF(NOTA[[#This Row],[NAMA BARANG]]="","",INDEX(NOTA[SUPPLIER],MATCH(,INDIRECT(ADDRESS(ROW(NOTA[ID]),COLUMN(NOTA[ID]))&amp;":"&amp;ADDRESS(ROW(),COLUMN(NOTA[ID]))),-1)))</f>
        <v>GUNINDO</v>
      </c>
      <c r="AI518" s="42" t="str">
        <f ca="1">IF(NOTA[[#This Row],[ID_H]]="","",IF(NOTA[[#This Row],[FAKTUR]]="",INDIRECT(ADDRESS(ROW()-1,COLUMN())),NOTA[[#This Row],[FAKTUR]]))</f>
        <v>UNTANA</v>
      </c>
      <c r="AJ518" s="39">
        <f ca="1">IF(NOTA[[#This Row],[ID]]="","",COUNTIF(NOTA[ID_H],NOTA[[#This Row],[ID_H]]))</f>
        <v>2</v>
      </c>
      <c r="AK518" s="39">
        <f>IF(NOTA[[#This Row],[TGL.NOTA]]="",IF(NOTA[[#This Row],[SUPPLIER_H]]="","",AK517),MONTH(NOTA[[#This Row],[TGL.NOTA]]))</f>
        <v>7</v>
      </c>
      <c r="AL518" s="39" t="str">
        <f>LOWER(SUBSTITUTE(SUBSTITUTE(SUBSTITUTE(SUBSTITUTE(SUBSTITUTE(SUBSTITUTE(SUBSTITUTE(SUBSTITUTE(SUBSTITUTE(NOTA[NAMA BARANG]," ",),".",""),"-",""),"(",""),")",""),",",""),"/",""),"""",""),"+",""))</f>
        <v>gunindospmcoklat</v>
      </c>
      <c r="AM5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N5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O5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GUNINDOUNTANA230153545124gunindospmcoklat</v>
      </c>
      <c r="AP518" s="39" t="e">
        <f>IF(NOTA[[#This Row],[CONCAT4]]="","",_xlfn.IFNA(MATCH(NOTA[[#This Row],[CONCAT4]],[2]!RAW[CONCAT_H],0),FALSE))</f>
        <v>#REF!</v>
      </c>
      <c r="AQ518" s="39">
        <f>IF(NOTA[[#This Row],[CONCAT1]]="","",MATCH(NOTA[[#This Row],[CONCAT1]],[3]!db[NB NOTA_C],0))</f>
        <v>1243</v>
      </c>
      <c r="AR518" s="39" t="b">
        <f>IF(NOTA[[#This Row],[QTY/ CTN]]="","",TRUE)</f>
        <v>1</v>
      </c>
      <c r="AS518" s="39" t="str">
        <f ca="1">IF(NOTA[[#This Row],[ID_H]]="","",IF(NOTA[[#This Row],[Column3]]=TRUE,NOTA[[#This Row],[QTY/ CTN]],INDEX([3]!db[QTY/ CTN],NOTA[[#This Row],[//DB]])))</f>
        <v>60 LSN</v>
      </c>
      <c r="AT5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U518" s="39" t="e">
        <f ca="1">IF(NOTA[[#This Row],[ID_H]]="","",MATCH(NOTA[[#This Row],[NB NOTA_C_QTY]],[4]!db[NB NOTA_C_QTY+F],0))</f>
        <v>#REF!</v>
      </c>
      <c r="AV518" s="55">
        <f ca="1">IF(NOTA[[#This Row],[NB NOTA_C_QTY]]="","",ROW()-2)</f>
        <v>516</v>
      </c>
    </row>
    <row r="519" spans="1:48" ht="20.100000000000001" customHeight="1" x14ac:dyDescent="0.25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105</v>
      </c>
      <c r="E519" s="47"/>
      <c r="H519" s="48"/>
      <c r="K519" s="38">
        <v>1</v>
      </c>
      <c r="L519" s="38" t="s">
        <v>530</v>
      </c>
      <c r="M519" s="41">
        <v>2</v>
      </c>
      <c r="N519" s="39">
        <v>60</v>
      </c>
      <c r="O519" s="38" t="s">
        <v>152</v>
      </c>
      <c r="P519" s="42">
        <v>60000</v>
      </c>
      <c r="Q519" s="43"/>
      <c r="R519" s="49" t="s">
        <v>236</v>
      </c>
      <c r="S519" s="50">
        <v>0.05</v>
      </c>
      <c r="T519" s="45">
        <v>0.1</v>
      </c>
      <c r="U519" s="51"/>
      <c r="V519" s="46"/>
      <c r="W519" s="51">
        <f>IF(NOTA[[#This Row],[HARGA/ CTN]]="",NOTA[[#This Row],[JUMLAH_H]],NOTA[[#This Row],[HARGA/ CTN]]*IF(NOTA[[#This Row],[C]]="",0,NOTA[[#This Row],[C]]))</f>
        <v>3600000</v>
      </c>
      <c r="X519" s="51">
        <f>IF(NOTA[[#This Row],[JUMLAH]]="","",NOTA[[#This Row],[JUMLAH]]*NOTA[[#This Row],[DISC 1]])</f>
        <v>180000</v>
      </c>
      <c r="Y519" s="51">
        <f>IF(NOTA[[#This Row],[JUMLAH]]="","",(NOTA[[#This Row],[JUMLAH]]-NOTA[[#This Row],[DISC 1-]])*NOTA[[#This Row],[DISC 2]])</f>
        <v>342000</v>
      </c>
      <c r="Z519" s="51">
        <f>IF(NOTA[[#This Row],[JUMLAH]]="","",NOTA[[#This Row],[DISC 1-]]+NOTA[[#This Row],[DISC 2-]])</f>
        <v>522000</v>
      </c>
      <c r="AA519" s="51">
        <f>IF(NOTA[[#This Row],[JUMLAH]]="","",NOTA[[#This Row],[JUMLAH]]-NOTA[[#This Row],[DISC]])</f>
        <v>3078000</v>
      </c>
      <c r="AB519" s="51"/>
      <c r="AC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1418100</v>
      </c>
      <c r="AD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8361900</v>
      </c>
      <c r="AE51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519" s="51">
        <f>IF(OR(NOTA[[#This Row],[QTY]]="",NOTA[[#This Row],[HARGA SATUAN]]="",),"",NOTA[[#This Row],[QTY]]*NOTA[[#This Row],[HARGA SATUAN]])</f>
        <v>3600000</v>
      </c>
      <c r="AG519" s="40">
        <f ca="1">IF(NOTA[ID_H]="","",INDEX(NOTA[TANGGAL],MATCH(,INDIRECT(ADDRESS(ROW(NOTA[TANGGAL]),COLUMN(NOTA[TANGGAL]))&amp;":"&amp;ADDRESS(ROW(),COLUMN(NOTA[TANGGAL]))),-1)))</f>
        <v>45127</v>
      </c>
      <c r="AH519" s="42" t="str">
        <f ca="1">IF(NOTA[[#This Row],[NAMA BARANG]]="","",INDEX(NOTA[SUPPLIER],MATCH(,INDIRECT(ADDRESS(ROW(NOTA[ID]),COLUMN(NOTA[ID]))&amp;":"&amp;ADDRESS(ROW(),COLUMN(NOTA[ID]))),-1)))</f>
        <v>GUNINDO</v>
      </c>
      <c r="AI519" s="42" t="str">
        <f ca="1">IF(NOTA[[#This Row],[ID_H]]="","",IF(NOTA[[#This Row],[FAKTUR]]="",INDIRECT(ADDRESS(ROW()-1,COLUMN())),NOTA[[#This Row],[FAKTUR]]))</f>
        <v>UNTANA</v>
      </c>
      <c r="AJ519" s="39" t="str">
        <f ca="1">IF(NOTA[[#This Row],[ID]]="","",COUNTIF(NOTA[ID_H],NOTA[[#This Row],[ID_H]]))</f>
        <v/>
      </c>
      <c r="AK519" s="39">
        <f ca="1">IF(NOTA[[#This Row],[TGL.NOTA]]="",IF(NOTA[[#This Row],[SUPPLIER_H]]="","",AK518),MONTH(NOTA[[#This Row],[TGL.NOTA]]))</f>
        <v>7</v>
      </c>
      <c r="AL519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5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5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5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39" t="str">
        <f>IF(NOTA[[#This Row],[CONCAT4]]="","",_xlfn.IFNA(MATCH(NOTA[[#This Row],[CONCAT4]],[2]!RAW[CONCAT_H],0),FALSE))</f>
        <v/>
      </c>
      <c r="AQ519" s="39">
        <f>IF(NOTA[[#This Row],[CONCAT1]]="","",MATCH(NOTA[[#This Row],[CONCAT1]],[3]!db[NB NOTA_C],0))</f>
        <v>1240</v>
      </c>
      <c r="AR519" s="39" t="b">
        <f>IF(NOTA[[#This Row],[QTY/ CTN]]="","",TRUE)</f>
        <v>1</v>
      </c>
      <c r="AS519" s="39" t="str">
        <f ca="1">IF(NOTA[[#This Row],[ID_H]]="","",IF(NOTA[[#This Row],[Column3]]=TRUE,NOTA[[#This Row],[QTY/ CTN]],INDEX([3]!db[QTY/ CTN],NOTA[[#This Row],[//DB]])))</f>
        <v>30 LSN</v>
      </c>
      <c r="AT5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519" s="39" t="e">
        <f ca="1">IF(NOTA[[#This Row],[ID_H]]="","",MATCH(NOTA[[#This Row],[NB NOTA_C_QTY]],[4]!db[NB NOTA_C_QTY+F],0))</f>
        <v>#REF!</v>
      </c>
      <c r="AV519" s="55">
        <f ca="1">IF(NOTA[[#This Row],[NB NOTA_C_QTY]]="","",ROW()-2)</f>
        <v>517</v>
      </c>
    </row>
    <row r="520" spans="1:48" ht="20.100000000000001" customHeight="1" x14ac:dyDescent="0.25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 t="str">
        <f ca="1">IF(NOTA[[#This Row],[NAMA BARANG]]="","",INDEX(NOTA[ID],MATCH(,INDIRECT(ADDRESS(ROW(NOTA[ID]),COLUMN(NOTA[ID]))&amp;":"&amp;ADDRESS(ROW(),COLUMN(NOTA[ID]))),-1)))</f>
        <v/>
      </c>
      <c r="E520" s="47"/>
      <c r="H520" s="48"/>
      <c r="N520" s="39"/>
      <c r="Q520" s="43"/>
      <c r="R520" s="49"/>
      <c r="S520" s="50"/>
      <c r="U520" s="51"/>
      <c r="V520" s="46"/>
      <c r="W520" s="51" t="str">
        <f>IF(NOTA[[#This Row],[HARGA/ CTN]]="",NOTA[[#This Row],[JUMLAH_H]],NOTA[[#This Row],[HARGA/ CTN]]*IF(NOTA[[#This Row],[C]]="",0,NOTA[[#This Row],[C]]))</f>
        <v/>
      </c>
      <c r="X520" s="51" t="str">
        <f>IF(NOTA[[#This Row],[JUMLAH]]="","",NOTA[[#This Row],[JUMLAH]]*NOTA[[#This Row],[DISC 1]])</f>
        <v/>
      </c>
      <c r="Y520" s="51" t="str">
        <f>IF(NOTA[[#This Row],[JUMLAH]]="","",(NOTA[[#This Row],[JUMLAH]]-NOTA[[#This Row],[DISC 1-]])*NOTA[[#This Row],[DISC 2]])</f>
        <v/>
      </c>
      <c r="Z520" s="51" t="str">
        <f>IF(NOTA[[#This Row],[JUMLAH]]="","",NOTA[[#This Row],[DISC 1-]]+NOTA[[#This Row],[DISC 2-]])</f>
        <v/>
      </c>
      <c r="AA520" s="51" t="str">
        <f>IF(NOTA[[#This Row],[JUMLAH]]="","",NOTA[[#This Row],[JUMLAH]]-NOTA[[#This Row],[DISC]])</f>
        <v/>
      </c>
      <c r="AB520" s="51"/>
      <c r="AC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51" t="str">
        <f>IF(OR(NOTA[[#This Row],[QTY]]="",NOTA[[#This Row],[HARGA SATUAN]]="",),"",NOTA[[#This Row],[QTY]]*NOTA[[#This Row],[HARGA SATUAN]])</f>
        <v/>
      </c>
      <c r="AG520" s="40" t="str">
        <f ca="1">IF(NOTA[ID_H]="","",INDEX(NOTA[TANGGAL],MATCH(,INDIRECT(ADDRESS(ROW(NOTA[TANGGAL]),COLUMN(NOTA[TANGGAL]))&amp;":"&amp;ADDRESS(ROW(),COLUMN(NOTA[TANGGAL]))),-1)))</f>
        <v/>
      </c>
      <c r="AH520" s="42" t="str">
        <f ca="1">IF(NOTA[[#This Row],[NAMA BARANG]]="","",INDEX(NOTA[SUPPLIER],MATCH(,INDIRECT(ADDRESS(ROW(NOTA[ID]),COLUMN(NOTA[ID]))&amp;":"&amp;ADDRESS(ROW(),COLUMN(NOTA[ID]))),-1)))</f>
        <v/>
      </c>
      <c r="AI520" s="42" t="str">
        <f ca="1">IF(NOTA[[#This Row],[ID_H]]="","",IF(NOTA[[#This Row],[FAKTUR]]="",INDIRECT(ADDRESS(ROW()-1,COLUMN())),NOTA[[#This Row],[FAKTUR]]))</f>
        <v/>
      </c>
      <c r="AJ520" s="39" t="str">
        <f ca="1">IF(NOTA[[#This Row],[ID]]="","",COUNTIF(NOTA[ID_H],NOTA[[#This Row],[ID_H]]))</f>
        <v/>
      </c>
      <c r="AK520" s="39" t="str">
        <f ca="1">IF(NOTA[[#This Row],[TGL.NOTA]]="",IF(NOTA[[#This Row],[SUPPLIER_H]]="","",AK519),MONTH(NOTA[[#This Row],[TGL.NOTA]]))</f>
        <v/>
      </c>
      <c r="AL520" s="39" t="str">
        <f>LOWER(SUBSTITUTE(SUBSTITUTE(SUBSTITUTE(SUBSTITUTE(SUBSTITUTE(SUBSTITUTE(SUBSTITUTE(SUBSTITUTE(SUBSTITUTE(NOTA[NAMA BARANG]," ",),".",""),"-",""),"(",""),")",""),",",""),"/",""),"""",""),"+",""))</f>
        <v/>
      </c>
      <c r="AM5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39" t="str">
        <f>IF(NOTA[[#This Row],[CONCAT4]]="","",_xlfn.IFNA(MATCH(NOTA[[#This Row],[CONCAT4]],[2]!RAW[CONCAT_H],0),FALSE))</f>
        <v/>
      </c>
      <c r="AQ520" s="39" t="str">
        <f>IF(NOTA[[#This Row],[CONCAT1]]="","",MATCH(NOTA[[#This Row],[CONCAT1]],[3]!db[NB NOTA_C],0))</f>
        <v/>
      </c>
      <c r="AR520" s="39" t="str">
        <f>IF(NOTA[[#This Row],[QTY/ CTN]]="","",TRUE)</f>
        <v/>
      </c>
      <c r="AS520" s="39" t="str">
        <f ca="1">IF(NOTA[[#This Row],[ID_H]]="","",IF(NOTA[[#This Row],[Column3]]=TRUE,NOTA[[#This Row],[QTY/ CTN]],INDEX([3]!db[QTY/ CTN],NOTA[[#This Row],[//DB]])))</f>
        <v/>
      </c>
      <c r="AT5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0" s="39" t="str">
        <f ca="1">IF(NOTA[[#This Row],[ID_H]]="","",MATCH(NOTA[[#This Row],[NB NOTA_C_QTY]],[4]!db[NB NOTA_C_QTY+F],0))</f>
        <v/>
      </c>
      <c r="AV520" s="55" t="str">
        <f ca="1">IF(NOTA[[#This Row],[NB NOTA_C_QTY]]="","",ROW()-2)</f>
        <v/>
      </c>
    </row>
    <row r="521" spans="1:48" ht="20.100000000000001" customHeight="1" x14ac:dyDescent="0.25">
      <c r="A521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WIN_2007_LGS-2</v>
      </c>
      <c r="C521" s="39" t="e">
        <f ca="1">IF(NOTA[[#This Row],[ID_P]]="","",MATCH(NOTA[[#This Row],[ID_P]],[1]!B_MSK[N_ID],0))</f>
        <v>#REF!</v>
      </c>
      <c r="D521" s="39">
        <f ca="1">IF(NOTA[[#This Row],[NAMA BARANG]]="","",INDEX(NOTA[ID],MATCH(,INDIRECT(ADDRESS(ROW(NOTA[ID]),COLUMN(NOTA[ID]))&amp;":"&amp;ADDRESS(ROW(),COLUMN(NOTA[ID]))),-1)))</f>
        <v>106</v>
      </c>
      <c r="E521" s="47"/>
      <c r="F521" s="38" t="s">
        <v>613</v>
      </c>
      <c r="G521" s="38" t="s">
        <v>145</v>
      </c>
      <c r="H521" s="48" t="s">
        <v>614</v>
      </c>
      <c r="J521" s="40">
        <v>45124</v>
      </c>
      <c r="K521" s="38">
        <v>1</v>
      </c>
      <c r="L521" s="38" t="s">
        <v>616</v>
      </c>
      <c r="M521" s="41">
        <v>5</v>
      </c>
      <c r="N521" s="39">
        <v>600</v>
      </c>
      <c r="O521" s="38" t="s">
        <v>117</v>
      </c>
      <c r="P521" s="42">
        <f>1440000/120</f>
        <v>12000</v>
      </c>
      <c r="Q521" s="43"/>
      <c r="R521" s="49" t="s">
        <v>168</v>
      </c>
      <c r="S521" s="50"/>
      <c r="U521" s="51"/>
      <c r="V521" s="46"/>
      <c r="W521" s="51">
        <f>IF(NOTA[[#This Row],[HARGA/ CTN]]="",NOTA[[#This Row],[JUMLAH_H]],NOTA[[#This Row],[HARGA/ CTN]]*IF(NOTA[[#This Row],[C]]="",0,NOTA[[#This Row],[C]]))</f>
        <v>7200000</v>
      </c>
      <c r="X521" s="51">
        <f>IF(NOTA[[#This Row],[JUMLAH]]="","",NOTA[[#This Row],[JUMLAH]]*NOTA[[#This Row],[DISC 1]])</f>
        <v>0</v>
      </c>
      <c r="Y521" s="51">
        <f>IF(NOTA[[#This Row],[JUMLAH]]="","",(NOTA[[#This Row],[JUMLAH]]-NOTA[[#This Row],[DISC 1-]])*NOTA[[#This Row],[DISC 2]])</f>
        <v>0</v>
      </c>
      <c r="Z521" s="51">
        <f>IF(NOTA[[#This Row],[JUMLAH]]="","",NOTA[[#This Row],[DISC 1-]]+NOTA[[#This Row],[DISC 2-]])</f>
        <v>0</v>
      </c>
      <c r="AA521" s="51">
        <f>IF(NOTA[[#This Row],[JUMLAH]]="","",NOTA[[#This Row],[JUMLAH]]-NOTA[[#This Row],[DISC]])</f>
        <v>7200000</v>
      </c>
      <c r="AB521" s="51"/>
      <c r="AC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21" s="51">
        <f>IF(OR(NOTA[[#This Row],[QTY]]="",NOTA[[#This Row],[HARGA SATUAN]]="",),"",NOTA[[#This Row],[QTY]]*NOTA[[#This Row],[HARGA SATUAN]])</f>
        <v>7200000</v>
      </c>
      <c r="AG521" s="40">
        <f ca="1">IF(NOTA[ID_H]="","",INDEX(NOTA[TANGGAL],MATCH(,INDIRECT(ADDRESS(ROW(NOTA[TANGGAL]),COLUMN(NOTA[TANGGAL]))&amp;":"&amp;ADDRESS(ROW(),COLUMN(NOTA[TANGGAL]))),-1)))</f>
        <v>45127</v>
      </c>
      <c r="AH521" s="42" t="str">
        <f ca="1">IF(NOTA[[#This Row],[NAMA BARANG]]="","",INDEX(NOTA[SUPPLIER],MATCH(,INDIRECT(ADDRESS(ROW(NOTA[ID]),COLUMN(NOTA[ID]))&amp;":"&amp;ADDRESS(ROW(),COLUMN(NOTA[ID]))),-1)))</f>
        <v>WIN'S SENTOSA</v>
      </c>
      <c r="AI521" s="42" t="str">
        <f ca="1">IF(NOTA[[#This Row],[ID_H]]="","",IF(NOTA[[#This Row],[FAKTUR]]="",INDIRECT(ADDRESS(ROW()-1,COLUMN())),NOTA[[#This Row],[FAKTUR]]))</f>
        <v>UNTANA</v>
      </c>
      <c r="AJ521" s="39">
        <f ca="1">IF(NOTA[[#This Row],[ID]]="","",COUNTIF(NOTA[ID_H],NOTA[[#This Row],[ID_H]]))</f>
        <v>2</v>
      </c>
      <c r="AK521" s="39">
        <f>IF(NOTA[[#This Row],[TGL.NOTA]]="",IF(NOTA[[#This Row],[SUPPLIER_H]]="","",AK520),MONTH(NOTA[[#This Row],[TGL.NOTA]]))</f>
        <v>7</v>
      </c>
      <c r="AL521" s="39" t="str">
        <f>LOWER(SUBSTITUTE(SUBSTITUTE(SUBSTITUTE(SUBSTITUTE(SUBSTITUTE(SUBSTITUTE(SUBSTITUTE(SUBSTITUTE(SUBSTITUTE(NOTA[NAMA BARANG]," ",),".",""),"-",""),"(",""),")",""),",",""),"/",""),"""",""),"+",""))</f>
        <v>taskarung45*50</v>
      </c>
      <c r="AM5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taskarung45*501440000</v>
      </c>
      <c r="AN5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taskarung45*501440000</v>
      </c>
      <c r="AO521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SENTOSAUNTANASI-2023/07-0146/LGS45124taskarung45*50</v>
      </c>
      <c r="AP521" s="39" t="e">
        <f>IF(NOTA[[#This Row],[CONCAT4]]="","",_xlfn.IFNA(MATCH(NOTA[[#This Row],[CONCAT4]],[2]!RAW[CONCAT_H],0),FALSE))</f>
        <v>#REF!</v>
      </c>
      <c r="AQ521" s="39">
        <f>IF(NOTA[[#This Row],[CONCAT1]]="","",MATCH(NOTA[[#This Row],[CONCAT1]],[3]!db[NB NOTA_C],0))</f>
        <v>2565</v>
      </c>
      <c r="AR521" s="39" t="b">
        <f>IF(NOTA[[#This Row],[QTY/ CTN]]="","",TRUE)</f>
        <v>1</v>
      </c>
      <c r="AS521" s="39" t="str">
        <f ca="1">IF(NOTA[[#This Row],[ID_H]]="","",IF(NOTA[[#This Row],[Column3]]=TRUE,NOTA[[#This Row],[QTY/ CTN]],INDEX([3]!db[QTY/ CTN],NOTA[[#This Row],[//DB]])))</f>
        <v>120 PCS</v>
      </c>
      <c r="AT5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taskarung45*50120pcsuntana</v>
      </c>
      <c r="AU521" s="39" t="e">
        <f ca="1">IF(NOTA[[#This Row],[ID_H]]="","",MATCH(NOTA[[#This Row],[NB NOTA_C_QTY]],[4]!db[NB NOTA_C_QTY+F],0))</f>
        <v>#REF!</v>
      </c>
      <c r="AV521" s="55">
        <f ca="1">IF(NOTA[[#This Row],[NB NOTA_C_QTY]]="","",ROW()-2)</f>
        <v>519</v>
      </c>
    </row>
    <row r="522" spans="1:48" ht="20.100000000000001" customHeight="1" x14ac:dyDescent="0.25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106</v>
      </c>
      <c r="E522" s="47"/>
      <c r="H522" s="48"/>
      <c r="K522" s="38">
        <v>1</v>
      </c>
      <c r="L522" s="38" t="s">
        <v>615</v>
      </c>
      <c r="M522" s="41">
        <v>5</v>
      </c>
      <c r="N522" s="39">
        <v>600</v>
      </c>
      <c r="O522" s="38" t="s">
        <v>117</v>
      </c>
      <c r="P522" s="42">
        <f>1860000/120</f>
        <v>15500</v>
      </c>
      <c r="Q522" s="43"/>
      <c r="R522" s="49" t="s">
        <v>168</v>
      </c>
      <c r="S522" s="50"/>
      <c r="U522" s="51"/>
      <c r="V522" s="46"/>
      <c r="W522" s="51">
        <f>IF(NOTA[[#This Row],[HARGA/ CTN]]="",NOTA[[#This Row],[JUMLAH_H]],NOTA[[#This Row],[HARGA/ CTN]]*IF(NOTA[[#This Row],[C]]="",0,NOTA[[#This Row],[C]]))</f>
        <v>9300000</v>
      </c>
      <c r="X522" s="51">
        <f>IF(NOTA[[#This Row],[JUMLAH]]="","",NOTA[[#This Row],[JUMLAH]]*NOTA[[#This Row],[DISC 1]])</f>
        <v>0</v>
      </c>
      <c r="Y522" s="51">
        <f>IF(NOTA[[#This Row],[JUMLAH]]="","",(NOTA[[#This Row],[JUMLAH]]-NOTA[[#This Row],[DISC 1-]])*NOTA[[#This Row],[DISC 2]])</f>
        <v>0</v>
      </c>
      <c r="Z522" s="51">
        <f>IF(NOTA[[#This Row],[JUMLAH]]="","",NOTA[[#This Row],[DISC 1-]]+NOTA[[#This Row],[DISC 2-]])</f>
        <v>0</v>
      </c>
      <c r="AA522" s="51">
        <f>IF(NOTA[[#This Row],[JUMLAH]]="","",NOTA[[#This Row],[JUMLAH]]-NOTA[[#This Row],[DISC]])</f>
        <v>9300000</v>
      </c>
      <c r="AB522" s="51"/>
      <c r="AC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E52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22" s="51">
        <f>IF(OR(NOTA[[#This Row],[QTY]]="",NOTA[[#This Row],[HARGA SATUAN]]="",),"",NOTA[[#This Row],[QTY]]*NOTA[[#This Row],[HARGA SATUAN]])</f>
        <v>9300000</v>
      </c>
      <c r="AG522" s="40">
        <f ca="1">IF(NOTA[ID_H]="","",INDEX(NOTA[TANGGAL],MATCH(,INDIRECT(ADDRESS(ROW(NOTA[TANGGAL]),COLUMN(NOTA[TANGGAL]))&amp;":"&amp;ADDRESS(ROW(),COLUMN(NOTA[TANGGAL]))),-1)))</f>
        <v>45127</v>
      </c>
      <c r="AH522" s="42" t="str">
        <f ca="1">IF(NOTA[[#This Row],[NAMA BARANG]]="","",INDEX(NOTA[SUPPLIER],MATCH(,INDIRECT(ADDRESS(ROW(NOTA[ID]),COLUMN(NOTA[ID]))&amp;":"&amp;ADDRESS(ROW(),COLUMN(NOTA[ID]))),-1)))</f>
        <v>WIN'S SENTOSA</v>
      </c>
      <c r="AI522" s="42" t="str">
        <f ca="1">IF(NOTA[[#This Row],[ID_H]]="","",IF(NOTA[[#This Row],[FAKTUR]]="",INDIRECT(ADDRESS(ROW()-1,COLUMN())),NOTA[[#This Row],[FAKTUR]]))</f>
        <v>UNTANA</v>
      </c>
      <c r="AJ522" s="39" t="str">
        <f ca="1">IF(NOTA[[#This Row],[ID]]="","",COUNTIF(NOTA[ID_H],NOTA[[#This Row],[ID_H]]))</f>
        <v/>
      </c>
      <c r="AK522" s="39">
        <f ca="1">IF(NOTA[[#This Row],[TGL.NOTA]]="",IF(NOTA[[#This Row],[SUPPLIER_H]]="","",AK521),MONTH(NOTA[[#This Row],[TGL.NOTA]]))</f>
        <v>7</v>
      </c>
      <c r="AL522" s="39" t="str">
        <f>LOWER(SUBSTITUTE(SUBSTITUTE(SUBSTITUTE(SUBSTITUTE(SUBSTITUTE(SUBSTITUTE(SUBSTITUTE(SUBSTITUTE(SUBSTITUTE(NOTA[NAMA BARANG]," ",),".",""),"-",""),"(",""),")",""),",",""),"/",""),"""",""),"+",""))</f>
        <v>taskarung55*65*25</v>
      </c>
      <c r="AM5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taskarung55*65*251860000</v>
      </c>
      <c r="AN5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taskarung55*65*251860000</v>
      </c>
      <c r="AO5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39" t="str">
        <f>IF(NOTA[[#This Row],[CONCAT4]]="","",_xlfn.IFNA(MATCH(NOTA[[#This Row],[CONCAT4]],[2]!RAW[CONCAT_H],0),FALSE))</f>
        <v/>
      </c>
      <c r="AQ522" s="39">
        <f>IF(NOTA[[#This Row],[CONCAT1]]="","",MATCH(NOTA[[#This Row],[CONCAT1]],[3]!db[NB NOTA_C],0))</f>
        <v>2568</v>
      </c>
      <c r="AR522" s="39" t="b">
        <f>IF(NOTA[[#This Row],[QTY/ CTN]]="","",TRUE)</f>
        <v>1</v>
      </c>
      <c r="AS522" s="39" t="str">
        <f ca="1">IF(NOTA[[#This Row],[ID_H]]="","",IF(NOTA[[#This Row],[Column3]]=TRUE,NOTA[[#This Row],[QTY/ CTN]],INDEX([3]!db[QTY/ CTN],NOTA[[#This Row],[//DB]])))</f>
        <v>120 PCS</v>
      </c>
      <c r="AT5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taskarung55*65*25120pcsuntana</v>
      </c>
      <c r="AU522" s="39" t="e">
        <f ca="1">IF(NOTA[[#This Row],[ID_H]]="","",MATCH(NOTA[[#This Row],[NB NOTA_C_QTY]],[4]!db[NB NOTA_C_QTY+F],0))</f>
        <v>#REF!</v>
      </c>
      <c r="AV522" s="55">
        <f ca="1">IF(NOTA[[#This Row],[NB NOTA_C_QTY]]="","",ROW()-2)</f>
        <v>520</v>
      </c>
    </row>
    <row r="523" spans="1:48" ht="20.100000000000001" customHeight="1" x14ac:dyDescent="0.25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 t="str">
        <f ca="1">IF(NOTA[[#This Row],[NAMA BARANG]]="","",INDEX(NOTA[ID],MATCH(,INDIRECT(ADDRESS(ROW(NOTA[ID]),COLUMN(NOTA[ID]))&amp;":"&amp;ADDRESS(ROW(),COLUMN(NOTA[ID]))),-1)))</f>
        <v/>
      </c>
      <c r="E523" s="47"/>
      <c r="H523" s="48"/>
      <c r="N523" s="39"/>
      <c r="Q523" s="43"/>
      <c r="R523" s="49"/>
      <c r="S523" s="50"/>
      <c r="U523" s="51"/>
      <c r="V523" s="46"/>
      <c r="W523" s="51" t="str">
        <f>IF(NOTA[[#This Row],[HARGA/ CTN]]="",NOTA[[#This Row],[JUMLAH_H]],NOTA[[#This Row],[HARGA/ CTN]]*IF(NOTA[[#This Row],[C]]="",0,NOTA[[#This Row],[C]]))</f>
        <v/>
      </c>
      <c r="X523" s="51" t="str">
        <f>IF(NOTA[[#This Row],[JUMLAH]]="","",NOTA[[#This Row],[JUMLAH]]*NOTA[[#This Row],[DISC 1]])</f>
        <v/>
      </c>
      <c r="Y523" s="51" t="str">
        <f>IF(NOTA[[#This Row],[JUMLAH]]="","",(NOTA[[#This Row],[JUMLAH]]-NOTA[[#This Row],[DISC 1-]])*NOTA[[#This Row],[DISC 2]])</f>
        <v/>
      </c>
      <c r="Z523" s="51" t="str">
        <f>IF(NOTA[[#This Row],[JUMLAH]]="","",NOTA[[#This Row],[DISC 1-]]+NOTA[[#This Row],[DISC 2-]])</f>
        <v/>
      </c>
      <c r="AA523" s="51" t="str">
        <f>IF(NOTA[[#This Row],[JUMLAH]]="","",NOTA[[#This Row],[JUMLAH]]-NOTA[[#This Row],[DISC]])</f>
        <v/>
      </c>
      <c r="AB523" s="51"/>
      <c r="AC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51" t="str">
        <f>IF(OR(NOTA[[#This Row],[QTY]]="",NOTA[[#This Row],[HARGA SATUAN]]="",),"",NOTA[[#This Row],[QTY]]*NOTA[[#This Row],[HARGA SATUAN]])</f>
        <v/>
      </c>
      <c r="AG523" s="40" t="str">
        <f ca="1">IF(NOTA[ID_H]="","",INDEX(NOTA[TANGGAL],MATCH(,INDIRECT(ADDRESS(ROW(NOTA[TANGGAL]),COLUMN(NOTA[TANGGAL]))&amp;":"&amp;ADDRESS(ROW(),COLUMN(NOTA[TANGGAL]))),-1)))</f>
        <v/>
      </c>
      <c r="AH523" s="42" t="str">
        <f ca="1">IF(NOTA[[#This Row],[NAMA BARANG]]="","",INDEX(NOTA[SUPPLIER],MATCH(,INDIRECT(ADDRESS(ROW(NOTA[ID]),COLUMN(NOTA[ID]))&amp;":"&amp;ADDRESS(ROW(),COLUMN(NOTA[ID]))),-1)))</f>
        <v/>
      </c>
      <c r="AI523" s="42" t="str">
        <f ca="1">IF(NOTA[[#This Row],[ID_H]]="","",IF(NOTA[[#This Row],[FAKTUR]]="",INDIRECT(ADDRESS(ROW()-1,COLUMN())),NOTA[[#This Row],[FAKTUR]]))</f>
        <v/>
      </c>
      <c r="AJ523" s="39" t="str">
        <f ca="1">IF(NOTA[[#This Row],[ID]]="","",COUNTIF(NOTA[ID_H],NOTA[[#This Row],[ID_H]]))</f>
        <v/>
      </c>
      <c r="AK523" s="39" t="str">
        <f ca="1">IF(NOTA[[#This Row],[TGL.NOTA]]="",IF(NOTA[[#This Row],[SUPPLIER_H]]="","",AK522),MONTH(NOTA[[#This Row],[TGL.NOTA]]))</f>
        <v/>
      </c>
      <c r="AL523" s="39" t="str">
        <f>LOWER(SUBSTITUTE(SUBSTITUTE(SUBSTITUTE(SUBSTITUTE(SUBSTITUTE(SUBSTITUTE(SUBSTITUTE(SUBSTITUTE(SUBSTITUTE(NOTA[NAMA BARANG]," ",),".",""),"-",""),"(",""),")",""),",",""),"/",""),"""",""),"+",""))</f>
        <v/>
      </c>
      <c r="AM5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39" t="str">
        <f>IF(NOTA[[#This Row],[CONCAT4]]="","",_xlfn.IFNA(MATCH(NOTA[[#This Row],[CONCAT4]],[2]!RAW[CONCAT_H],0),FALSE))</f>
        <v/>
      </c>
      <c r="AQ523" s="39" t="str">
        <f>IF(NOTA[[#This Row],[CONCAT1]]="","",MATCH(NOTA[[#This Row],[CONCAT1]],[3]!db[NB NOTA_C],0))</f>
        <v/>
      </c>
      <c r="AR523" s="39" t="str">
        <f>IF(NOTA[[#This Row],[QTY/ CTN]]="","",TRUE)</f>
        <v/>
      </c>
      <c r="AS523" s="39" t="str">
        <f ca="1">IF(NOTA[[#This Row],[ID_H]]="","",IF(NOTA[[#This Row],[Column3]]=TRUE,NOTA[[#This Row],[QTY/ CTN]],INDEX([3]!db[QTY/ CTN],NOTA[[#This Row],[//DB]])))</f>
        <v/>
      </c>
      <c r="AT5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3" s="39" t="str">
        <f ca="1">IF(NOTA[[#This Row],[ID_H]]="","",MATCH(NOTA[[#This Row],[NB NOTA_C_QTY]],[4]!db[NB NOTA_C_QTY+F],0))</f>
        <v/>
      </c>
      <c r="AV523" s="55" t="str">
        <f ca="1">IF(NOTA[[#This Row],[NB NOTA_C_QTY]]="","",ROW()-2)</f>
        <v/>
      </c>
    </row>
    <row r="524" spans="1:48" ht="20.100000000000001" customHeight="1" x14ac:dyDescent="0.25">
      <c r="A524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PAR_2007_019-1</v>
      </c>
      <c r="C524" s="39" t="e">
        <f ca="1">IF(NOTA[[#This Row],[ID_P]]="","",MATCH(NOTA[[#This Row],[ID_P]],[1]!B_MSK[N_ID],0))</f>
        <v>#REF!</v>
      </c>
      <c r="D524" s="39">
        <f ca="1">IF(NOTA[[#This Row],[NAMA BARANG]]="","",INDEX(NOTA[ID],MATCH(,INDIRECT(ADDRESS(ROW(NOTA[ID]),COLUMN(NOTA[ID]))&amp;":"&amp;ADDRESS(ROW(),COLUMN(NOTA[ID]))),-1)))</f>
        <v>107</v>
      </c>
      <c r="E524" s="47"/>
      <c r="F524" s="38" t="s">
        <v>144</v>
      </c>
      <c r="G524" s="38" t="s">
        <v>23</v>
      </c>
      <c r="H524" s="48" t="s">
        <v>885</v>
      </c>
      <c r="J524" s="40">
        <v>45124</v>
      </c>
      <c r="K524" s="38">
        <v>7</v>
      </c>
      <c r="L524" s="38" t="s">
        <v>617</v>
      </c>
      <c r="M524" s="41">
        <v>10</v>
      </c>
      <c r="N524" s="39">
        <v>1800</v>
      </c>
      <c r="O524" s="38" t="s">
        <v>117</v>
      </c>
      <c r="P524" s="42">
        <f>1359900/180</f>
        <v>7555</v>
      </c>
      <c r="Q524" s="43"/>
      <c r="R524" s="49" t="s">
        <v>260</v>
      </c>
      <c r="S524" s="50">
        <v>0.1</v>
      </c>
      <c r="T524" s="45">
        <v>0.1</v>
      </c>
      <c r="U524" s="51"/>
      <c r="V524" s="46"/>
      <c r="W524" s="51">
        <f>IF(NOTA[[#This Row],[HARGA/ CTN]]="",NOTA[[#This Row],[JUMLAH_H]],NOTA[[#This Row],[HARGA/ CTN]]*IF(NOTA[[#This Row],[C]]="",0,NOTA[[#This Row],[C]]))</f>
        <v>13599000</v>
      </c>
      <c r="X524" s="51">
        <f>IF(NOTA[[#This Row],[JUMLAH]]="","",NOTA[[#This Row],[JUMLAH]]*NOTA[[#This Row],[DISC 1]])</f>
        <v>1359900</v>
      </c>
      <c r="Y524" s="51">
        <f>IF(NOTA[[#This Row],[JUMLAH]]="","",(NOTA[[#This Row],[JUMLAH]]-NOTA[[#This Row],[DISC 1-]])*NOTA[[#This Row],[DISC 2]])</f>
        <v>1223910</v>
      </c>
      <c r="Z524" s="51">
        <f>IF(NOTA[[#This Row],[JUMLAH]]="","",NOTA[[#This Row],[DISC 1-]]+NOTA[[#This Row],[DISC 2-]])</f>
        <v>2583810</v>
      </c>
      <c r="AA524" s="51">
        <f>IF(NOTA[[#This Row],[JUMLAH]]="","",NOTA[[#This Row],[JUMLAH]]-NOTA[[#This Row],[DISC]])</f>
        <v>11015190</v>
      </c>
      <c r="AB524" s="51"/>
      <c r="AC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524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524" s="51">
        <f>IF(OR(NOTA[[#This Row],[QTY]]="",NOTA[[#This Row],[HARGA SATUAN]]="",),"",NOTA[[#This Row],[QTY]]*NOTA[[#This Row],[HARGA SATUAN]])</f>
        <v>13599000</v>
      </c>
      <c r="AG524" s="40">
        <f ca="1">IF(NOTA[ID_H]="","",INDEX(NOTA[TANGGAL],MATCH(,INDIRECT(ADDRESS(ROW(NOTA[TANGGAL]),COLUMN(NOTA[TANGGAL]))&amp;":"&amp;ADDRESS(ROW(),COLUMN(NOTA[TANGGAL]))),-1)))</f>
        <v>45127</v>
      </c>
      <c r="AH524" s="42" t="str">
        <f ca="1">IF(NOTA[[#This Row],[NAMA BARANG]]="","",INDEX(NOTA[SUPPLIER],MATCH(,INDIRECT(ADDRESS(ROW(NOTA[ID]),COLUMN(NOTA[ID]))&amp;":"&amp;ADDRESS(ROW(),COLUMN(NOTA[ID]))),-1)))</f>
        <v>PARAMA</v>
      </c>
      <c r="AI524" s="42" t="str">
        <f ca="1">IF(NOTA[[#This Row],[ID_H]]="","",IF(NOTA[[#This Row],[FAKTUR]]="",INDIRECT(ADDRESS(ROW()-1,COLUMN())),NOTA[[#This Row],[FAKTUR]]))</f>
        <v>ARTO MORO</v>
      </c>
      <c r="AJ524" s="39">
        <f ca="1">IF(NOTA[[#This Row],[ID]]="","",COUNTIF(NOTA[ID_H],NOTA[[#This Row],[ID_H]]))</f>
        <v>1</v>
      </c>
      <c r="AK524" s="39">
        <f>IF(NOTA[[#This Row],[TGL.NOTA]]="",IF(NOTA[[#This Row],[SUPPLIER_H]]="","",AK523),MONTH(NOTA[[#This Row],[TGL.NOTA]]))</f>
        <v>7</v>
      </c>
      <c r="AL524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5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5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524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MOROCV-39 / UTN-01945124sampulsamsonboxybatik</v>
      </c>
      <c r="AP524" s="39" t="e">
        <f>IF(NOTA[[#This Row],[CONCAT4]]="","",_xlfn.IFNA(MATCH(NOTA[[#This Row],[CONCAT4]],[2]!RAW[CONCAT_H],0),FALSE))</f>
        <v>#REF!</v>
      </c>
      <c r="AQ524" s="39">
        <f>IF(NOTA[[#This Row],[CONCAT1]]="","",MATCH(NOTA[[#This Row],[CONCAT1]],[3]!db[NB NOTA_C],0))</f>
        <v>2367</v>
      </c>
      <c r="AR524" s="39" t="b">
        <f>IF(NOTA[[#This Row],[QTY/ CTN]]="","",TRUE)</f>
        <v>1</v>
      </c>
      <c r="AS524" s="39" t="str">
        <f ca="1">IF(NOTA[[#This Row],[ID_H]]="","",IF(NOTA[[#This Row],[Column3]]=TRUE,NOTA[[#This Row],[QTY/ CTN]],INDEX([3]!db[QTY/ CTN],NOTA[[#This Row],[//DB]])))</f>
        <v>180 PCS</v>
      </c>
      <c r="AT5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524" s="39" t="e">
        <f ca="1">IF(NOTA[[#This Row],[ID_H]]="","",MATCH(NOTA[[#This Row],[NB NOTA_C_QTY]],[4]!db[NB NOTA_C_QTY+F],0))</f>
        <v>#REF!</v>
      </c>
      <c r="AV524" s="55">
        <f ca="1">IF(NOTA[[#This Row],[NB NOTA_C_QTY]]="","",ROW()-2)</f>
        <v>522</v>
      </c>
    </row>
    <row r="525" spans="1:48" ht="20.100000000000001" customHeight="1" x14ac:dyDescent="0.25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47"/>
      <c r="H525" s="48"/>
      <c r="N525" s="39"/>
      <c r="Q525" s="43"/>
      <c r="R525" s="49"/>
      <c r="S525" s="50"/>
      <c r="U525" s="51"/>
      <c r="V525" s="46"/>
      <c r="W525" s="51" t="str">
        <f>IF(NOTA[[#This Row],[HARGA/ CTN]]="",NOTA[[#This Row],[JUMLAH_H]],NOTA[[#This Row],[HARGA/ CTN]]*IF(NOTA[[#This Row],[C]]="",0,NOTA[[#This Row],[C]]))</f>
        <v/>
      </c>
      <c r="X525" s="51" t="str">
        <f>IF(NOTA[[#This Row],[JUMLAH]]="","",NOTA[[#This Row],[JUMLAH]]*NOTA[[#This Row],[DISC 1]])</f>
        <v/>
      </c>
      <c r="Y525" s="51" t="str">
        <f>IF(NOTA[[#This Row],[JUMLAH]]="","",(NOTA[[#This Row],[JUMLAH]]-NOTA[[#This Row],[DISC 1-]])*NOTA[[#This Row],[DISC 2]])</f>
        <v/>
      </c>
      <c r="Z525" s="51" t="str">
        <f>IF(NOTA[[#This Row],[JUMLAH]]="","",NOTA[[#This Row],[DISC 1-]]+NOTA[[#This Row],[DISC 2-]])</f>
        <v/>
      </c>
      <c r="AA525" s="51" t="str">
        <f>IF(NOTA[[#This Row],[JUMLAH]]="","",NOTA[[#This Row],[JUMLAH]]-NOTA[[#This Row],[DISC]])</f>
        <v/>
      </c>
      <c r="AB525" s="51"/>
      <c r="AC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51" t="str">
        <f>IF(OR(NOTA[[#This Row],[QTY]]="",NOTA[[#This Row],[HARGA SATUAN]]="",),"",NOTA[[#This Row],[QTY]]*NOTA[[#This Row],[HARGA SATUAN]])</f>
        <v/>
      </c>
      <c r="AG525" s="40" t="str">
        <f ca="1">IF(NOTA[ID_H]="","",INDEX(NOTA[TANGGAL],MATCH(,INDIRECT(ADDRESS(ROW(NOTA[TANGGAL]),COLUMN(NOTA[TANGGAL]))&amp;":"&amp;ADDRESS(ROW(),COLUMN(NOTA[TANGGAL]))),-1)))</f>
        <v/>
      </c>
      <c r="AH525" s="42" t="str">
        <f ca="1">IF(NOTA[[#This Row],[NAMA BARANG]]="","",INDEX(NOTA[SUPPLIER],MATCH(,INDIRECT(ADDRESS(ROW(NOTA[ID]),COLUMN(NOTA[ID]))&amp;":"&amp;ADDRESS(ROW(),COLUMN(NOTA[ID]))),-1)))</f>
        <v/>
      </c>
      <c r="AI525" s="42" t="str">
        <f ca="1">IF(NOTA[[#This Row],[ID_H]]="","",IF(NOTA[[#This Row],[FAKTUR]]="",INDIRECT(ADDRESS(ROW()-1,COLUMN())),NOTA[[#This Row],[FAKTUR]]))</f>
        <v/>
      </c>
      <c r="AJ525" s="39" t="str">
        <f ca="1">IF(NOTA[[#This Row],[ID]]="","",COUNTIF(NOTA[ID_H],NOTA[[#This Row],[ID_H]]))</f>
        <v/>
      </c>
      <c r="AK525" s="39" t="str">
        <f ca="1">IF(NOTA[[#This Row],[TGL.NOTA]]="",IF(NOTA[[#This Row],[SUPPLIER_H]]="","",AK524),MONTH(NOTA[[#This Row],[TGL.NOTA]]))</f>
        <v/>
      </c>
      <c r="AL525" s="39" t="str">
        <f>LOWER(SUBSTITUTE(SUBSTITUTE(SUBSTITUTE(SUBSTITUTE(SUBSTITUTE(SUBSTITUTE(SUBSTITUTE(SUBSTITUTE(SUBSTITUTE(NOTA[NAMA BARANG]," ",),".",""),"-",""),"(",""),")",""),",",""),"/",""),"""",""),"+",""))</f>
        <v/>
      </c>
      <c r="AM5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39" t="str">
        <f>IF(NOTA[[#This Row],[CONCAT4]]="","",_xlfn.IFNA(MATCH(NOTA[[#This Row],[CONCAT4]],[2]!RAW[CONCAT_H],0),FALSE))</f>
        <v/>
      </c>
      <c r="AQ525" s="39" t="str">
        <f>IF(NOTA[[#This Row],[CONCAT1]]="","",MATCH(NOTA[[#This Row],[CONCAT1]],[3]!db[NB NOTA_C],0))</f>
        <v/>
      </c>
      <c r="AR525" s="39" t="str">
        <f>IF(NOTA[[#This Row],[QTY/ CTN]]="","",TRUE)</f>
        <v/>
      </c>
      <c r="AS525" s="39" t="str">
        <f ca="1">IF(NOTA[[#This Row],[ID_H]]="","",IF(NOTA[[#This Row],[Column3]]=TRUE,NOTA[[#This Row],[QTY/ CTN]],INDEX([3]!db[QTY/ CTN],NOTA[[#This Row],[//DB]])))</f>
        <v/>
      </c>
      <c r="AT5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5" s="39" t="str">
        <f ca="1">IF(NOTA[[#This Row],[ID_H]]="","",MATCH(NOTA[[#This Row],[NB NOTA_C_QTY]],[4]!db[NB NOTA_C_QTY+F],0))</f>
        <v/>
      </c>
      <c r="AV525" s="55" t="str">
        <f ca="1">IF(NOTA[[#This Row],[NB NOTA_C_QTY]]="","",ROW()-2)</f>
        <v/>
      </c>
    </row>
    <row r="526" spans="1:48" ht="20.100000000000001" customHeight="1" x14ac:dyDescent="0.25">
      <c r="A526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ATA_2007_047-11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108</v>
      </c>
      <c r="E526" s="47"/>
      <c r="F526" s="38" t="s">
        <v>24</v>
      </c>
      <c r="G526" s="38" t="s">
        <v>23</v>
      </c>
      <c r="H526" s="48" t="s">
        <v>618</v>
      </c>
      <c r="J526" s="40">
        <v>45120</v>
      </c>
      <c r="K526" s="38">
        <v>7</v>
      </c>
      <c r="L526" s="38" t="s">
        <v>619</v>
      </c>
      <c r="M526" s="41">
        <v>7</v>
      </c>
      <c r="N526" s="39">
        <v>210</v>
      </c>
      <c r="O526" s="38" t="s">
        <v>305</v>
      </c>
      <c r="P526" s="42">
        <v>104400</v>
      </c>
      <c r="Q526" s="43"/>
      <c r="R526" s="49" t="s">
        <v>306</v>
      </c>
      <c r="S526" s="50">
        <v>0.125</v>
      </c>
      <c r="T526" s="45">
        <v>0.05</v>
      </c>
      <c r="U526" s="51"/>
      <c r="V526" s="46"/>
      <c r="W526" s="51">
        <f>IF(NOTA[[#This Row],[HARGA/ CTN]]="",NOTA[[#This Row],[JUMLAH_H]],NOTA[[#This Row],[HARGA/ CTN]]*IF(NOTA[[#This Row],[C]]="",0,NOTA[[#This Row],[C]]))</f>
        <v>21924000</v>
      </c>
      <c r="X526" s="51">
        <f>IF(NOTA[[#This Row],[JUMLAH]]="","",NOTA[[#This Row],[JUMLAH]]*NOTA[[#This Row],[DISC 1]])</f>
        <v>2740500</v>
      </c>
      <c r="Y526" s="51">
        <f>IF(NOTA[[#This Row],[JUMLAH]]="","",(NOTA[[#This Row],[JUMLAH]]-NOTA[[#This Row],[DISC 1-]])*NOTA[[#This Row],[DISC 2]])</f>
        <v>959175</v>
      </c>
      <c r="Z526" s="51">
        <f>IF(NOTA[[#This Row],[JUMLAH]]="","",NOTA[[#This Row],[DISC 1-]]+NOTA[[#This Row],[DISC 2-]])</f>
        <v>3699675</v>
      </c>
      <c r="AA526" s="51">
        <f>IF(NOTA[[#This Row],[JUMLAH]]="","",NOTA[[#This Row],[JUMLAH]]-NOTA[[#This Row],[DISC]])</f>
        <v>18224325</v>
      </c>
      <c r="AB526" s="51"/>
      <c r="AC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26" s="51">
        <f>IF(OR(NOTA[[#This Row],[QTY]]="",NOTA[[#This Row],[HARGA SATUAN]]="",),"",NOTA[[#This Row],[QTY]]*NOTA[[#This Row],[HARGA SATUAN]])</f>
        <v>21924000</v>
      </c>
      <c r="AG526" s="40">
        <f ca="1">IF(NOTA[ID_H]="","",INDEX(NOTA[TANGGAL],MATCH(,INDIRECT(ADDRESS(ROW(NOTA[TANGGAL]),COLUMN(NOTA[TANGGAL]))&amp;":"&amp;ADDRESS(ROW(),COLUMN(NOTA[TANGGAL]))),-1)))</f>
        <v>45127</v>
      </c>
      <c r="AH526" s="42" t="str">
        <f ca="1">IF(NOTA[[#This Row],[NAMA BARANG]]="","",INDEX(NOTA[SUPPLIER],MATCH(,INDIRECT(ADDRESS(ROW(NOTA[ID]),COLUMN(NOTA[ID]))&amp;":"&amp;ADDRESS(ROW(),COLUMN(NOTA[ID]))),-1)))</f>
        <v>ATALI MAKMUR</v>
      </c>
      <c r="AI526" s="42" t="str">
        <f ca="1">IF(NOTA[[#This Row],[ID_H]]="","",IF(NOTA[[#This Row],[FAKTUR]]="",INDIRECT(ADDRESS(ROW()-1,COLUMN())),NOTA[[#This Row],[FAKTUR]]))</f>
        <v>ARTO MORO</v>
      </c>
      <c r="AJ526" s="39">
        <f ca="1">IF(NOTA[[#This Row],[ID]]="","",COUNTIF(NOTA[ID_H],NOTA[[#This Row],[ID_H]]))</f>
        <v>11</v>
      </c>
      <c r="AK526" s="39">
        <f>IF(NOTA[[#This Row],[TGL.NOTA]]="",IF(NOTA[[#This Row],[SUPPLIER_H]]="","",AK525),MONTH(NOTA[[#This Row],[TGL.NOTA]]))</f>
        <v>7</v>
      </c>
      <c r="AL526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2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MOROSA23071204745120pencilp882bjk</v>
      </c>
      <c r="AP526" s="39" t="e">
        <f>IF(NOTA[[#This Row],[CONCAT4]]="","",_xlfn.IFNA(MATCH(NOTA[[#This Row],[CONCAT4]],[2]!RAW[CONCAT_H],0),FALSE))</f>
        <v>#REF!</v>
      </c>
      <c r="AQ526" s="39">
        <f>IF(NOTA[[#This Row],[CONCAT1]]="","",MATCH(NOTA[[#This Row],[CONCAT1]],[3]!db[NB NOTA_C],0))</f>
        <v>2194</v>
      </c>
      <c r="AR526" s="39" t="b">
        <f>IF(NOTA[[#This Row],[QTY/ CTN]]="","",TRUE)</f>
        <v>1</v>
      </c>
      <c r="AS526" s="39" t="str">
        <f ca="1">IF(NOTA[[#This Row],[ID_H]]="","",IF(NOTA[[#This Row],[Column3]]=TRUE,NOTA[[#This Row],[QTY/ CTN]],INDEX([3]!db[QTY/ CTN],NOTA[[#This Row],[//DB]])))</f>
        <v>30 GRS</v>
      </c>
      <c r="AT5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26" s="39" t="e">
        <f ca="1">IF(NOTA[[#This Row],[ID_H]]="","",MATCH(NOTA[[#This Row],[NB NOTA_C_QTY]],[4]!db[NB NOTA_C_QTY+F],0))</f>
        <v>#REF!</v>
      </c>
      <c r="AV526" s="55">
        <f ca="1">IF(NOTA[[#This Row],[NB NOTA_C_QTY]]="","",ROW()-2)</f>
        <v>524</v>
      </c>
    </row>
    <row r="527" spans="1:48" ht="20.100000000000001" customHeight="1" x14ac:dyDescent="0.25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108</v>
      </c>
      <c r="E527" s="47"/>
      <c r="H527" s="48"/>
      <c r="K527" s="38">
        <v>1</v>
      </c>
      <c r="L527" s="38" t="s">
        <v>111</v>
      </c>
      <c r="M527" s="41">
        <v>2</v>
      </c>
      <c r="N527" s="39">
        <v>288</v>
      </c>
      <c r="O527" s="38" t="s">
        <v>117</v>
      </c>
      <c r="P527" s="42">
        <v>4350</v>
      </c>
      <c r="Q527" s="43"/>
      <c r="R527" s="49" t="s">
        <v>513</v>
      </c>
      <c r="S527" s="50">
        <v>0.125</v>
      </c>
      <c r="T527" s="45">
        <v>0.05</v>
      </c>
      <c r="U527" s="51"/>
      <c r="V527" s="46"/>
      <c r="W527" s="51">
        <f>IF(NOTA[[#This Row],[HARGA/ CTN]]="",NOTA[[#This Row],[JUMLAH_H]],NOTA[[#This Row],[HARGA/ CTN]]*IF(NOTA[[#This Row],[C]]="",0,NOTA[[#This Row],[C]]))</f>
        <v>1252800</v>
      </c>
      <c r="X527" s="51">
        <f>IF(NOTA[[#This Row],[JUMLAH]]="","",NOTA[[#This Row],[JUMLAH]]*NOTA[[#This Row],[DISC 1]])</f>
        <v>156600</v>
      </c>
      <c r="Y527" s="51">
        <f>IF(NOTA[[#This Row],[JUMLAH]]="","",(NOTA[[#This Row],[JUMLAH]]-NOTA[[#This Row],[DISC 1-]])*NOTA[[#This Row],[DISC 2]])</f>
        <v>54810</v>
      </c>
      <c r="Z527" s="51">
        <f>IF(NOTA[[#This Row],[JUMLAH]]="","",NOTA[[#This Row],[DISC 1-]]+NOTA[[#This Row],[DISC 2-]])</f>
        <v>211410</v>
      </c>
      <c r="AA527" s="51">
        <f>IF(NOTA[[#This Row],[JUMLAH]]="","",NOTA[[#This Row],[JUMLAH]]-NOTA[[#This Row],[DISC]])</f>
        <v>1041390</v>
      </c>
      <c r="AB527" s="51"/>
      <c r="AC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27" s="51">
        <f>IF(OR(NOTA[[#This Row],[QTY]]="",NOTA[[#This Row],[HARGA SATUAN]]="",),"",NOTA[[#This Row],[QTY]]*NOTA[[#This Row],[HARGA SATUAN]])</f>
        <v>1252800</v>
      </c>
      <c r="AG527" s="40">
        <f ca="1">IF(NOTA[ID_H]="","",INDEX(NOTA[TANGGAL],MATCH(,INDIRECT(ADDRESS(ROW(NOTA[TANGGAL]),COLUMN(NOTA[TANGGAL]))&amp;":"&amp;ADDRESS(ROW(),COLUMN(NOTA[TANGGAL]))),-1)))</f>
        <v>45127</v>
      </c>
      <c r="AH527" s="42" t="str">
        <f ca="1">IF(NOTA[[#This Row],[NAMA BARANG]]="","",INDEX(NOTA[SUPPLIER],MATCH(,INDIRECT(ADDRESS(ROW(NOTA[ID]),COLUMN(NOTA[ID]))&amp;":"&amp;ADDRESS(ROW(),COLUMN(NOTA[ID]))),-1)))</f>
        <v>ATALI MAKMUR</v>
      </c>
      <c r="AI527" s="42" t="str">
        <f ca="1">IF(NOTA[[#This Row],[ID_H]]="","",IF(NOTA[[#This Row],[FAKTUR]]="",INDIRECT(ADDRESS(ROW()-1,COLUMN())),NOTA[[#This Row],[FAKTUR]]))</f>
        <v>ARTO MORO</v>
      </c>
      <c r="AJ527" s="39" t="str">
        <f ca="1">IF(NOTA[[#This Row],[ID]]="","",COUNTIF(NOTA[ID_H],NOTA[[#This Row],[ID_H]]))</f>
        <v/>
      </c>
      <c r="AK527" s="39">
        <f ca="1">IF(NOTA[[#This Row],[TGL.NOTA]]="",IF(NOTA[[#This Row],[SUPPLIER_H]]="","",AK526),MONTH(NOTA[[#This Row],[TGL.NOTA]]))</f>
        <v>7</v>
      </c>
      <c r="AL527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39" t="str">
        <f>IF(NOTA[[#This Row],[CONCAT4]]="","",_xlfn.IFNA(MATCH(NOTA[[#This Row],[CONCAT4]],[2]!RAW[CONCAT_H],0),FALSE))</f>
        <v/>
      </c>
      <c r="AQ527" s="39">
        <f>IF(NOTA[[#This Row],[CONCAT1]]="","",MATCH(NOTA[[#This Row],[CONCAT1]],[3]!db[NB NOTA_C],0))</f>
        <v>1249</v>
      </c>
      <c r="AR527" s="39" t="b">
        <f>IF(NOTA[[#This Row],[QTY/ CTN]]="","",TRUE)</f>
        <v>1</v>
      </c>
      <c r="AS527" s="39" t="str">
        <f ca="1">IF(NOTA[[#This Row],[ID_H]]="","",IF(NOTA[[#This Row],[Column3]]=TRUE,NOTA[[#This Row],[QTY/ CTN]],INDEX([3]!db[QTY/ CTN],NOTA[[#This Row],[//DB]])))</f>
        <v>12 LSN</v>
      </c>
      <c r="AT5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27" s="39" t="e">
        <f ca="1">IF(NOTA[[#This Row],[ID_H]]="","",MATCH(NOTA[[#This Row],[NB NOTA_C_QTY]],[4]!db[NB NOTA_C_QTY+F],0))</f>
        <v>#REF!</v>
      </c>
      <c r="AV527" s="55">
        <f ca="1">IF(NOTA[[#This Row],[NB NOTA_C_QTY]]="","",ROW()-2)</f>
        <v>525</v>
      </c>
    </row>
    <row r="528" spans="1:48" ht="20.100000000000001" customHeight="1" x14ac:dyDescent="0.25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108</v>
      </c>
      <c r="E528" s="47"/>
      <c r="H528" s="48"/>
      <c r="K528" s="38">
        <v>2</v>
      </c>
      <c r="L528" s="38" t="s">
        <v>112</v>
      </c>
      <c r="M528" s="41">
        <v>2</v>
      </c>
      <c r="N528" s="39">
        <v>288</v>
      </c>
      <c r="O528" s="38" t="s">
        <v>117</v>
      </c>
      <c r="P528" s="42">
        <v>9750</v>
      </c>
      <c r="Q528" s="43"/>
      <c r="R528" s="49" t="s">
        <v>513</v>
      </c>
      <c r="S528" s="50">
        <v>0.125</v>
      </c>
      <c r="T528" s="45">
        <v>0.05</v>
      </c>
      <c r="U528" s="51"/>
      <c r="V528" s="46"/>
      <c r="W528" s="51">
        <f>IF(NOTA[[#This Row],[HARGA/ CTN]]="",NOTA[[#This Row],[JUMLAH_H]],NOTA[[#This Row],[HARGA/ CTN]]*IF(NOTA[[#This Row],[C]]="",0,NOTA[[#This Row],[C]]))</f>
        <v>2808000</v>
      </c>
      <c r="X528" s="51">
        <f>IF(NOTA[[#This Row],[JUMLAH]]="","",NOTA[[#This Row],[JUMLAH]]*NOTA[[#This Row],[DISC 1]])</f>
        <v>351000</v>
      </c>
      <c r="Y528" s="51">
        <f>IF(NOTA[[#This Row],[JUMLAH]]="","",(NOTA[[#This Row],[JUMLAH]]-NOTA[[#This Row],[DISC 1-]])*NOTA[[#This Row],[DISC 2]])</f>
        <v>122850</v>
      </c>
      <c r="Z528" s="51">
        <f>IF(NOTA[[#This Row],[JUMLAH]]="","",NOTA[[#This Row],[DISC 1-]]+NOTA[[#This Row],[DISC 2-]])</f>
        <v>473850</v>
      </c>
      <c r="AA528" s="51">
        <f>IF(NOTA[[#This Row],[JUMLAH]]="","",NOTA[[#This Row],[JUMLAH]]-NOTA[[#This Row],[DISC]])</f>
        <v>2334150</v>
      </c>
      <c r="AB528" s="51"/>
      <c r="AC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28" s="51">
        <f>IF(OR(NOTA[[#This Row],[QTY]]="",NOTA[[#This Row],[HARGA SATUAN]]="",),"",NOTA[[#This Row],[QTY]]*NOTA[[#This Row],[HARGA SATUAN]])</f>
        <v>2808000</v>
      </c>
      <c r="AG528" s="40">
        <f ca="1">IF(NOTA[ID_H]="","",INDEX(NOTA[TANGGAL],MATCH(,INDIRECT(ADDRESS(ROW(NOTA[TANGGAL]),COLUMN(NOTA[TANGGAL]))&amp;":"&amp;ADDRESS(ROW(),COLUMN(NOTA[TANGGAL]))),-1)))</f>
        <v>45127</v>
      </c>
      <c r="AH528" s="42" t="str">
        <f ca="1">IF(NOTA[[#This Row],[NAMA BARANG]]="","",INDEX(NOTA[SUPPLIER],MATCH(,INDIRECT(ADDRESS(ROW(NOTA[ID]),COLUMN(NOTA[ID]))&amp;":"&amp;ADDRESS(ROW(),COLUMN(NOTA[ID]))),-1)))</f>
        <v>ATALI MAKMUR</v>
      </c>
      <c r="AI528" s="42" t="str">
        <f ca="1">IF(NOTA[[#This Row],[ID_H]]="","",IF(NOTA[[#This Row],[FAKTUR]]="",INDIRECT(ADDRESS(ROW()-1,COLUMN())),NOTA[[#This Row],[FAKTUR]]))</f>
        <v>ARTO MORO</v>
      </c>
      <c r="AJ528" s="39" t="str">
        <f ca="1">IF(NOTA[[#This Row],[ID]]="","",COUNTIF(NOTA[ID_H],NOTA[[#This Row],[ID_H]]))</f>
        <v/>
      </c>
      <c r="AK528" s="39">
        <f ca="1">IF(NOTA[[#This Row],[TGL.NOTA]]="",IF(NOTA[[#This Row],[SUPPLIER_H]]="","",AK527),MONTH(NOTA[[#This Row],[TGL.NOTA]]))</f>
        <v>7</v>
      </c>
      <c r="AL528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5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5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5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39" t="str">
        <f>IF(NOTA[[#This Row],[CONCAT4]]="","",_xlfn.IFNA(MATCH(NOTA[[#This Row],[CONCAT4]],[2]!RAW[CONCAT_H],0),FALSE))</f>
        <v/>
      </c>
      <c r="AQ528" s="39">
        <f>IF(NOTA[[#This Row],[CONCAT1]]="","",MATCH(NOTA[[#This Row],[CONCAT1]],[3]!db[NB NOTA_C],0))</f>
        <v>1253</v>
      </c>
      <c r="AR528" s="39" t="b">
        <f>IF(NOTA[[#This Row],[QTY/ CTN]]="","",TRUE)</f>
        <v>1</v>
      </c>
      <c r="AS528" s="39" t="str">
        <f ca="1">IF(NOTA[[#This Row],[ID_H]]="","",IF(NOTA[[#This Row],[Column3]]=TRUE,NOTA[[#This Row],[QTY/ CTN]],INDEX([3]!db[QTY/ CTN],NOTA[[#This Row],[//DB]])))</f>
        <v>12 LSN</v>
      </c>
      <c r="AT5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528" s="39" t="e">
        <f ca="1">IF(NOTA[[#This Row],[ID_H]]="","",MATCH(NOTA[[#This Row],[NB NOTA_C_QTY]],[4]!db[NB NOTA_C_QTY+F],0))</f>
        <v>#REF!</v>
      </c>
      <c r="AV528" s="55">
        <f ca="1">IF(NOTA[[#This Row],[NB NOTA_C_QTY]]="","",ROW()-2)</f>
        <v>526</v>
      </c>
    </row>
    <row r="529" spans="1:48" ht="20.100000000000001" customHeight="1" x14ac:dyDescent="0.25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108</v>
      </c>
      <c r="E529" s="47"/>
      <c r="H529" s="48"/>
      <c r="K529" s="38">
        <v>1</v>
      </c>
      <c r="L529" s="38" t="s">
        <v>118</v>
      </c>
      <c r="M529" s="41">
        <v>1</v>
      </c>
      <c r="N529" s="39">
        <v>40</v>
      </c>
      <c r="O529" s="38" t="s">
        <v>152</v>
      </c>
      <c r="P529" s="42">
        <v>49200</v>
      </c>
      <c r="Q529" s="43"/>
      <c r="R529" s="49" t="s">
        <v>562</v>
      </c>
      <c r="S529" s="50">
        <v>0.125</v>
      </c>
      <c r="T529" s="45">
        <v>0.05</v>
      </c>
      <c r="U529" s="51"/>
      <c r="V529" s="46"/>
      <c r="W529" s="51">
        <f>IF(NOTA[[#This Row],[HARGA/ CTN]]="",NOTA[[#This Row],[JUMLAH_H]],NOTA[[#This Row],[HARGA/ CTN]]*IF(NOTA[[#This Row],[C]]="",0,NOTA[[#This Row],[C]]))</f>
        <v>1968000</v>
      </c>
      <c r="X529" s="51">
        <f>IF(NOTA[[#This Row],[JUMLAH]]="","",NOTA[[#This Row],[JUMLAH]]*NOTA[[#This Row],[DISC 1]])</f>
        <v>246000</v>
      </c>
      <c r="Y529" s="51">
        <f>IF(NOTA[[#This Row],[JUMLAH]]="","",(NOTA[[#This Row],[JUMLAH]]-NOTA[[#This Row],[DISC 1-]])*NOTA[[#This Row],[DISC 2]])</f>
        <v>86100</v>
      </c>
      <c r="Z529" s="51">
        <f>IF(NOTA[[#This Row],[JUMLAH]]="","",NOTA[[#This Row],[DISC 1-]]+NOTA[[#This Row],[DISC 2-]])</f>
        <v>332100</v>
      </c>
      <c r="AA529" s="51">
        <f>IF(NOTA[[#This Row],[JUMLAH]]="","",NOTA[[#This Row],[JUMLAH]]-NOTA[[#This Row],[DISC]])</f>
        <v>1635900</v>
      </c>
      <c r="AB529" s="51"/>
      <c r="AC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29" s="51">
        <f>IF(OR(NOTA[[#This Row],[QTY]]="",NOTA[[#This Row],[HARGA SATUAN]]="",),"",NOTA[[#This Row],[QTY]]*NOTA[[#This Row],[HARGA SATUAN]])</f>
        <v>1968000</v>
      </c>
      <c r="AG529" s="40">
        <f ca="1">IF(NOTA[ID_H]="","",INDEX(NOTA[TANGGAL],MATCH(,INDIRECT(ADDRESS(ROW(NOTA[TANGGAL]),COLUMN(NOTA[TANGGAL]))&amp;":"&amp;ADDRESS(ROW(),COLUMN(NOTA[TANGGAL]))),-1)))</f>
        <v>45127</v>
      </c>
      <c r="AH529" s="42" t="str">
        <f ca="1">IF(NOTA[[#This Row],[NAMA BARANG]]="","",INDEX(NOTA[SUPPLIER],MATCH(,INDIRECT(ADDRESS(ROW(NOTA[ID]),COLUMN(NOTA[ID]))&amp;":"&amp;ADDRESS(ROW(),COLUMN(NOTA[ID]))),-1)))</f>
        <v>ATALI MAKMUR</v>
      </c>
      <c r="AI529" s="42" t="str">
        <f ca="1">IF(NOTA[[#This Row],[ID_H]]="","",IF(NOTA[[#This Row],[FAKTUR]]="",INDIRECT(ADDRESS(ROW()-1,COLUMN())),NOTA[[#This Row],[FAKTUR]]))</f>
        <v>ARTO MORO</v>
      </c>
      <c r="AJ529" s="39" t="str">
        <f ca="1">IF(NOTA[[#This Row],[ID]]="","",COUNTIF(NOTA[ID_H],NOTA[[#This Row],[ID_H]]))</f>
        <v/>
      </c>
      <c r="AK529" s="39">
        <f ca="1">IF(NOTA[[#This Row],[TGL.NOTA]]="",IF(NOTA[[#This Row],[SUPPLIER_H]]="","",AK528),MONTH(NOTA[[#This Row],[TGL.NOTA]]))</f>
        <v>7</v>
      </c>
      <c r="AL529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39" t="str">
        <f>IF(NOTA[[#This Row],[CONCAT4]]="","",_xlfn.IFNA(MATCH(NOTA[[#This Row],[CONCAT4]],[2]!RAW[CONCAT_H],0),FALSE))</f>
        <v/>
      </c>
      <c r="AQ529" s="39">
        <f>IF(NOTA[[#This Row],[CONCAT1]]="","",MATCH(NOTA[[#This Row],[CONCAT1]],[3]!db[NB NOTA_C],0))</f>
        <v>1300</v>
      </c>
      <c r="AR529" s="39" t="b">
        <f>IF(NOTA[[#This Row],[QTY/ CTN]]="","",TRUE)</f>
        <v>1</v>
      </c>
      <c r="AS529" s="39" t="str">
        <f ca="1">IF(NOTA[[#This Row],[ID_H]]="","",IF(NOTA[[#This Row],[Column3]]=TRUE,NOTA[[#This Row],[QTY/ CTN]],INDEX([3]!db[QTY/ CTN],NOTA[[#This Row],[//DB]])))</f>
        <v>40 LSN</v>
      </c>
      <c r="AT5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29" s="39" t="e">
        <f ca="1">IF(NOTA[[#This Row],[ID_H]]="","",MATCH(NOTA[[#This Row],[NB NOTA_C_QTY]],[4]!db[NB NOTA_C_QTY+F],0))</f>
        <v>#REF!</v>
      </c>
      <c r="AV529" s="55">
        <f ca="1">IF(NOTA[[#This Row],[NB NOTA_C_QTY]]="","",ROW()-2)</f>
        <v>527</v>
      </c>
    </row>
    <row r="530" spans="1:48" ht="20.100000000000001" customHeight="1" x14ac:dyDescent="0.25">
      <c r="A5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108</v>
      </c>
      <c r="E530" s="47"/>
      <c r="H530" s="48"/>
      <c r="L530" s="38" t="s">
        <v>621</v>
      </c>
      <c r="M530" s="41">
        <v>1</v>
      </c>
      <c r="N530" s="39">
        <v>720</v>
      </c>
      <c r="O530" s="38" t="s">
        <v>117</v>
      </c>
      <c r="P530" s="42">
        <v>4800</v>
      </c>
      <c r="Q530" s="43"/>
      <c r="R530" s="49" t="s">
        <v>153</v>
      </c>
      <c r="S530" s="50">
        <v>0.125</v>
      </c>
      <c r="T530" s="45">
        <v>0.05</v>
      </c>
      <c r="U530" s="51"/>
      <c r="V530" s="46"/>
      <c r="W530" s="51">
        <f>IF(NOTA[[#This Row],[HARGA/ CTN]]="",NOTA[[#This Row],[JUMLAH_H]],NOTA[[#This Row],[HARGA/ CTN]]*IF(NOTA[[#This Row],[C]]="",0,NOTA[[#This Row],[C]]))</f>
        <v>3456000</v>
      </c>
      <c r="X530" s="51">
        <f>IF(NOTA[[#This Row],[JUMLAH]]="","",NOTA[[#This Row],[JUMLAH]]*NOTA[[#This Row],[DISC 1]])</f>
        <v>432000</v>
      </c>
      <c r="Y530" s="51">
        <f>IF(NOTA[[#This Row],[JUMLAH]]="","",(NOTA[[#This Row],[JUMLAH]]-NOTA[[#This Row],[DISC 1-]])*NOTA[[#This Row],[DISC 2]])</f>
        <v>151200</v>
      </c>
      <c r="Z530" s="51">
        <f>IF(NOTA[[#This Row],[JUMLAH]]="","",NOTA[[#This Row],[DISC 1-]]+NOTA[[#This Row],[DISC 2-]])</f>
        <v>583200</v>
      </c>
      <c r="AA530" s="51">
        <f>IF(NOTA[[#This Row],[JUMLAH]]="","",NOTA[[#This Row],[JUMLAH]]-NOTA[[#This Row],[DISC]])</f>
        <v>2872800</v>
      </c>
      <c r="AB530" s="51"/>
      <c r="AC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30" s="51">
        <f>IF(OR(NOTA[[#This Row],[QTY]]="",NOTA[[#This Row],[HARGA SATUAN]]="",),"",NOTA[[#This Row],[QTY]]*NOTA[[#This Row],[HARGA SATUAN]])</f>
        <v>3456000</v>
      </c>
      <c r="AG530" s="40">
        <f ca="1">IF(NOTA[ID_H]="","",INDEX(NOTA[TANGGAL],MATCH(,INDIRECT(ADDRESS(ROW(NOTA[TANGGAL]),COLUMN(NOTA[TANGGAL]))&amp;":"&amp;ADDRESS(ROW(),COLUMN(NOTA[TANGGAL]))),-1)))</f>
        <v>45127</v>
      </c>
      <c r="AH530" s="42" t="str">
        <f ca="1">IF(NOTA[[#This Row],[NAMA BARANG]]="","",INDEX(NOTA[SUPPLIER],MATCH(,INDIRECT(ADDRESS(ROW(NOTA[ID]),COLUMN(NOTA[ID]))&amp;":"&amp;ADDRESS(ROW(),COLUMN(NOTA[ID]))),-1)))</f>
        <v>ATALI MAKMUR</v>
      </c>
      <c r="AI530" s="42" t="str">
        <f ca="1">IF(NOTA[[#This Row],[ID_H]]="","",IF(NOTA[[#This Row],[FAKTUR]]="",INDIRECT(ADDRESS(ROW()-1,COLUMN())),NOTA[[#This Row],[FAKTUR]]))</f>
        <v>ARTO MORO</v>
      </c>
      <c r="AJ530" s="39" t="str">
        <f ca="1">IF(NOTA[[#This Row],[ID]]="","",COUNTIF(NOTA[ID_H],NOTA[[#This Row],[ID_H]]))</f>
        <v/>
      </c>
      <c r="AK530" s="39">
        <f ca="1">IF(NOTA[[#This Row],[TGL.NOTA]]="",IF(NOTA[[#This Row],[SUPPLIER_H]]="","",AK529),MONTH(NOTA[[#This Row],[TGL.NOTA]]))</f>
        <v>7</v>
      </c>
      <c r="AL53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5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5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5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39" t="str">
        <f>IF(NOTA[[#This Row],[CONCAT4]]="","",_xlfn.IFNA(MATCH(NOTA[[#This Row],[CONCAT4]],[2]!RAW[CONCAT_H],0),FALSE))</f>
        <v/>
      </c>
      <c r="AQ530" s="39">
        <f>IF(NOTA[[#This Row],[CONCAT1]]="","",MATCH(NOTA[[#This Row],[CONCAT1]],[3]!db[NB NOTA_C],0))</f>
        <v>2629</v>
      </c>
      <c r="AR530" s="39" t="b">
        <f>IF(NOTA[[#This Row],[QTY/ CTN]]="","",TRUE)</f>
        <v>1</v>
      </c>
      <c r="AS530" s="39" t="str">
        <f ca="1">IF(NOTA[[#This Row],[ID_H]]="","",IF(NOTA[[#This Row],[Column3]]=TRUE,NOTA[[#This Row],[QTY/ CTN]],INDEX([3]!db[QTY/ CTN],NOTA[[#This Row],[//DB]])))</f>
        <v>60 LSN</v>
      </c>
      <c r="AT5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530" s="39" t="e">
        <f ca="1">IF(NOTA[[#This Row],[ID_H]]="","",MATCH(NOTA[[#This Row],[NB NOTA_C_QTY]],[4]!db[NB NOTA_C_QTY+F],0))</f>
        <v>#REF!</v>
      </c>
      <c r="AV530" s="55">
        <f ca="1">IF(NOTA[[#This Row],[NB NOTA_C_QTY]]="","",ROW()-2)</f>
        <v>528</v>
      </c>
    </row>
    <row r="531" spans="1:48" ht="20.100000000000001" customHeight="1" x14ac:dyDescent="0.25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>
        <f ca="1">IF(NOTA[[#This Row],[NAMA BARANG]]="","",INDEX(NOTA[ID],MATCH(,INDIRECT(ADDRESS(ROW(NOTA[ID]),COLUMN(NOTA[ID]))&amp;":"&amp;ADDRESS(ROW(),COLUMN(NOTA[ID]))),-1)))</f>
        <v>108</v>
      </c>
      <c r="E531" s="47"/>
      <c r="H531" s="48"/>
      <c r="K531" s="38">
        <v>2</v>
      </c>
      <c r="L531" s="38" t="s">
        <v>622</v>
      </c>
      <c r="M531" s="41">
        <v>2</v>
      </c>
      <c r="N531" s="39">
        <v>48</v>
      </c>
      <c r="O531" s="38" t="s">
        <v>117</v>
      </c>
      <c r="P531" s="42">
        <v>19000</v>
      </c>
      <c r="Q531" s="43"/>
      <c r="R531" s="49" t="s">
        <v>296</v>
      </c>
      <c r="S531" s="50">
        <v>0.125</v>
      </c>
      <c r="T531" s="45">
        <v>0.05</v>
      </c>
      <c r="U531" s="51"/>
      <c r="V531" s="46"/>
      <c r="W531" s="51">
        <f>IF(NOTA[[#This Row],[HARGA/ CTN]]="",NOTA[[#This Row],[JUMLAH_H]],NOTA[[#This Row],[HARGA/ CTN]]*IF(NOTA[[#This Row],[C]]="",0,NOTA[[#This Row],[C]]))</f>
        <v>912000</v>
      </c>
      <c r="X531" s="51">
        <f>IF(NOTA[[#This Row],[JUMLAH]]="","",NOTA[[#This Row],[JUMLAH]]*NOTA[[#This Row],[DISC 1]])</f>
        <v>114000</v>
      </c>
      <c r="Y531" s="51">
        <f>IF(NOTA[[#This Row],[JUMLAH]]="","",(NOTA[[#This Row],[JUMLAH]]-NOTA[[#This Row],[DISC 1-]])*NOTA[[#This Row],[DISC 2]])</f>
        <v>39900</v>
      </c>
      <c r="Z531" s="51">
        <f>IF(NOTA[[#This Row],[JUMLAH]]="","",NOTA[[#This Row],[DISC 1-]]+NOTA[[#This Row],[DISC 2-]])</f>
        <v>153900</v>
      </c>
      <c r="AA531" s="51">
        <f>IF(NOTA[[#This Row],[JUMLAH]]="","",NOTA[[#This Row],[JUMLAH]]-NOTA[[#This Row],[DISC]])</f>
        <v>758100</v>
      </c>
      <c r="AB531" s="51"/>
      <c r="AC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31" s="51">
        <f>IF(OR(NOTA[[#This Row],[QTY]]="",NOTA[[#This Row],[HARGA SATUAN]]="",),"",NOTA[[#This Row],[QTY]]*NOTA[[#This Row],[HARGA SATUAN]])</f>
        <v>912000</v>
      </c>
      <c r="AG531" s="40">
        <f ca="1">IF(NOTA[ID_H]="","",INDEX(NOTA[TANGGAL],MATCH(,INDIRECT(ADDRESS(ROW(NOTA[TANGGAL]),COLUMN(NOTA[TANGGAL]))&amp;":"&amp;ADDRESS(ROW(),COLUMN(NOTA[TANGGAL]))),-1)))</f>
        <v>45127</v>
      </c>
      <c r="AH531" s="42" t="str">
        <f ca="1">IF(NOTA[[#This Row],[NAMA BARANG]]="","",INDEX(NOTA[SUPPLIER],MATCH(,INDIRECT(ADDRESS(ROW(NOTA[ID]),COLUMN(NOTA[ID]))&amp;":"&amp;ADDRESS(ROW(),COLUMN(NOTA[ID]))),-1)))</f>
        <v>ATALI MAKMUR</v>
      </c>
      <c r="AI531" s="42" t="str">
        <f ca="1">IF(NOTA[[#This Row],[ID_H]]="","",IF(NOTA[[#This Row],[FAKTUR]]="",INDIRECT(ADDRESS(ROW()-1,COLUMN())),NOTA[[#This Row],[FAKTUR]]))</f>
        <v>ARTO MORO</v>
      </c>
      <c r="AJ531" s="39" t="str">
        <f ca="1">IF(NOTA[[#This Row],[ID]]="","",COUNTIF(NOTA[ID_H],NOTA[[#This Row],[ID_H]]))</f>
        <v/>
      </c>
      <c r="AK531" s="39">
        <f ca="1">IF(NOTA[[#This Row],[TGL.NOTA]]="",IF(NOTA[[#This Row],[SUPPLIER_H]]="","",AK530),MONTH(NOTA[[#This Row],[TGL.NOTA]]))</f>
        <v>7</v>
      </c>
      <c r="AL531" s="39" t="str">
        <f>LOWER(SUBSTITUTE(SUBSTITUTE(SUBSTITUTE(SUBSTITUTE(SUBSTITUTE(SUBSTITUTE(SUBSTITUTE(SUBSTITUTE(SUBSTITUTE(NOTA[NAMA BARANG]," ",),".",""),"-",""),"(",""),")",""),",",""),"/",""),"""",""),"+",""))</f>
        <v>tapecuttertd103jk</v>
      </c>
      <c r="AM5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5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5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39" t="str">
        <f>IF(NOTA[[#This Row],[CONCAT4]]="","",_xlfn.IFNA(MATCH(NOTA[[#This Row],[CONCAT4]],[2]!RAW[CONCAT_H],0),FALSE))</f>
        <v/>
      </c>
      <c r="AQ531" s="39">
        <f>IF(NOTA[[#This Row],[CONCAT1]]="","",MATCH(NOTA[[#This Row],[CONCAT1]],[3]!db[NB NOTA_C],0))</f>
        <v>983</v>
      </c>
      <c r="AR531" s="39" t="b">
        <f>IF(NOTA[[#This Row],[QTY/ CTN]]="","",TRUE)</f>
        <v>1</v>
      </c>
      <c r="AS531" s="39" t="str">
        <f ca="1">IF(NOTA[[#This Row],[ID_H]]="","",IF(NOTA[[#This Row],[Column3]]=TRUE,NOTA[[#This Row],[QTY/ CTN]],INDEX([3]!db[QTY/ CTN],NOTA[[#This Row],[//DB]])))</f>
        <v>24 PCS</v>
      </c>
      <c r="AT5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531" s="39" t="e">
        <f ca="1">IF(NOTA[[#This Row],[ID_H]]="","",MATCH(NOTA[[#This Row],[NB NOTA_C_QTY]],[4]!db[NB NOTA_C_QTY+F],0))</f>
        <v>#REF!</v>
      </c>
      <c r="AV531" s="55">
        <f ca="1">IF(NOTA[[#This Row],[NB NOTA_C_QTY]]="","",ROW()-2)</f>
        <v>529</v>
      </c>
    </row>
    <row r="532" spans="1:48" ht="20.100000000000001" customHeight="1" x14ac:dyDescent="0.25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9" t="str">
        <f>IF(NOTA[[#This Row],[ID_P]]="","",MATCH(NOTA[[#This Row],[ID_P]],[1]!B_MSK[N_ID],0))</f>
        <v/>
      </c>
      <c r="D532" s="39">
        <f ca="1">IF(NOTA[[#This Row],[NAMA BARANG]]="","",INDEX(NOTA[ID],MATCH(,INDIRECT(ADDRESS(ROW(NOTA[ID]),COLUMN(NOTA[ID]))&amp;":"&amp;ADDRESS(ROW(),COLUMN(NOTA[ID]))),-1)))</f>
        <v>108</v>
      </c>
      <c r="E532" s="47"/>
      <c r="H532" s="48"/>
      <c r="L532" s="38" t="s">
        <v>384</v>
      </c>
      <c r="M532" s="41">
        <v>2</v>
      </c>
      <c r="N532" s="39">
        <v>288</v>
      </c>
      <c r="O532" s="38" t="s">
        <v>263</v>
      </c>
      <c r="P532" s="42">
        <v>23900</v>
      </c>
      <c r="Q532" s="43"/>
      <c r="R532" s="49" t="s">
        <v>513</v>
      </c>
      <c r="S532" s="50">
        <v>0.125</v>
      </c>
      <c r="T532" s="45">
        <v>0.05</v>
      </c>
      <c r="U532" s="51"/>
      <c r="V532" s="46"/>
      <c r="W532" s="51">
        <f>IF(NOTA[[#This Row],[HARGA/ CTN]]="",NOTA[[#This Row],[JUMLAH_H]],NOTA[[#This Row],[HARGA/ CTN]]*IF(NOTA[[#This Row],[C]]="",0,NOTA[[#This Row],[C]]))</f>
        <v>6883200</v>
      </c>
      <c r="X532" s="51">
        <f>IF(NOTA[[#This Row],[JUMLAH]]="","",NOTA[[#This Row],[JUMLAH]]*NOTA[[#This Row],[DISC 1]])</f>
        <v>860400</v>
      </c>
      <c r="Y532" s="51">
        <f>IF(NOTA[[#This Row],[JUMLAH]]="","",(NOTA[[#This Row],[JUMLAH]]-NOTA[[#This Row],[DISC 1-]])*NOTA[[#This Row],[DISC 2]])</f>
        <v>301140</v>
      </c>
      <c r="Z532" s="51">
        <f>IF(NOTA[[#This Row],[JUMLAH]]="","",NOTA[[#This Row],[DISC 1-]]+NOTA[[#This Row],[DISC 2-]])</f>
        <v>1161540</v>
      </c>
      <c r="AA532" s="51">
        <f>IF(NOTA[[#This Row],[JUMLAH]]="","",NOTA[[#This Row],[JUMLAH]]-NOTA[[#This Row],[DISC]])</f>
        <v>5721660</v>
      </c>
      <c r="AB532" s="51"/>
      <c r="AC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32" s="51">
        <f>IF(OR(NOTA[[#This Row],[QTY]]="",NOTA[[#This Row],[HARGA SATUAN]]="",),"",NOTA[[#This Row],[QTY]]*NOTA[[#This Row],[HARGA SATUAN]])</f>
        <v>6883200</v>
      </c>
      <c r="AG532" s="40">
        <f ca="1">IF(NOTA[ID_H]="","",INDEX(NOTA[TANGGAL],MATCH(,INDIRECT(ADDRESS(ROW(NOTA[TANGGAL]),COLUMN(NOTA[TANGGAL]))&amp;":"&amp;ADDRESS(ROW(),COLUMN(NOTA[TANGGAL]))),-1)))</f>
        <v>45127</v>
      </c>
      <c r="AH532" s="42" t="str">
        <f ca="1">IF(NOTA[[#This Row],[NAMA BARANG]]="","",INDEX(NOTA[SUPPLIER],MATCH(,INDIRECT(ADDRESS(ROW(NOTA[ID]),COLUMN(NOTA[ID]))&amp;":"&amp;ADDRESS(ROW(),COLUMN(NOTA[ID]))),-1)))</f>
        <v>ATALI MAKMUR</v>
      </c>
      <c r="AI532" s="42" t="str">
        <f ca="1">IF(NOTA[[#This Row],[ID_H]]="","",IF(NOTA[[#This Row],[FAKTUR]]="",INDIRECT(ADDRESS(ROW()-1,COLUMN())),NOTA[[#This Row],[FAKTUR]]))</f>
        <v>ARTO MORO</v>
      </c>
      <c r="AJ532" s="39" t="str">
        <f ca="1">IF(NOTA[[#This Row],[ID]]="","",COUNTIF(NOTA[ID_H],NOTA[[#This Row],[ID_H]]))</f>
        <v/>
      </c>
      <c r="AK532" s="39">
        <f ca="1">IF(NOTA[[#This Row],[TGL.NOTA]]="",IF(NOTA[[#This Row],[SUPPLIER_H]]="","",AK531),MONTH(NOTA[[#This Row],[TGL.NOTA]]))</f>
        <v>7</v>
      </c>
      <c r="AL532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5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5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39" t="str">
        <f>IF(NOTA[[#This Row],[CONCAT4]]="","",_xlfn.IFNA(MATCH(NOTA[[#This Row],[CONCAT4]],[2]!RAW[CONCAT_H],0),FALSE))</f>
        <v/>
      </c>
      <c r="AQ532" s="39">
        <f>IF(NOTA[[#This Row],[CONCAT1]]="","",MATCH(NOTA[[#This Row],[CONCAT1]],[3]!db[NB NOTA_C],0))</f>
        <v>920</v>
      </c>
      <c r="AR532" s="39" t="b">
        <f>IF(NOTA[[#This Row],[QTY/ CTN]]="","",TRUE)</f>
        <v>1</v>
      </c>
      <c r="AS532" s="39" t="str">
        <f ca="1">IF(NOTA[[#This Row],[ID_H]]="","",IF(NOTA[[#This Row],[Column3]]=TRUE,NOTA[[#This Row],[QTY/ CTN]],INDEX([3]!db[QTY/ CTN],NOTA[[#This Row],[//DB]])))</f>
        <v>12 LSN</v>
      </c>
      <c r="AT5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532" s="39" t="e">
        <f ca="1">IF(NOTA[[#This Row],[ID_H]]="","",MATCH(NOTA[[#This Row],[NB NOTA_C_QTY]],[4]!db[NB NOTA_C_QTY+F],0))</f>
        <v>#REF!</v>
      </c>
      <c r="AV532" s="55">
        <f ca="1">IF(NOTA[[#This Row],[NB NOTA_C_QTY]]="","",ROW()-2)</f>
        <v>530</v>
      </c>
    </row>
    <row r="533" spans="1:48" ht="20.100000000000001" customHeight="1" x14ac:dyDescent="0.25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108</v>
      </c>
      <c r="E533" s="47"/>
      <c r="H533" s="48"/>
      <c r="K533" s="38">
        <v>1</v>
      </c>
      <c r="L533" s="38" t="s">
        <v>623</v>
      </c>
      <c r="M533" s="41">
        <v>1</v>
      </c>
      <c r="N533" s="39">
        <v>36</v>
      </c>
      <c r="O533" s="38" t="s">
        <v>152</v>
      </c>
      <c r="P533" s="42">
        <v>41400</v>
      </c>
      <c r="Q533" s="43"/>
      <c r="R533" s="49" t="s">
        <v>624</v>
      </c>
      <c r="S533" s="50">
        <v>0.125</v>
      </c>
      <c r="T533" s="45">
        <v>0.05</v>
      </c>
      <c r="U533" s="51"/>
      <c r="V533" s="46"/>
      <c r="W533" s="51">
        <f>IF(NOTA[[#This Row],[HARGA/ CTN]]="",NOTA[[#This Row],[JUMLAH_H]],NOTA[[#This Row],[HARGA/ CTN]]*IF(NOTA[[#This Row],[C]]="",0,NOTA[[#This Row],[C]]))</f>
        <v>1490400</v>
      </c>
      <c r="X533" s="51">
        <f>IF(NOTA[[#This Row],[JUMLAH]]="","",NOTA[[#This Row],[JUMLAH]]*NOTA[[#This Row],[DISC 1]])</f>
        <v>186300</v>
      </c>
      <c r="Y533" s="51">
        <f>IF(NOTA[[#This Row],[JUMLAH]]="","",(NOTA[[#This Row],[JUMLAH]]-NOTA[[#This Row],[DISC 1-]])*NOTA[[#This Row],[DISC 2]])</f>
        <v>65205</v>
      </c>
      <c r="Z533" s="51">
        <f>IF(NOTA[[#This Row],[JUMLAH]]="","",NOTA[[#This Row],[DISC 1-]]+NOTA[[#This Row],[DISC 2-]])</f>
        <v>251505</v>
      </c>
      <c r="AA533" s="51">
        <f>IF(NOTA[[#This Row],[JUMLAH]]="","",NOTA[[#This Row],[JUMLAH]]-NOTA[[#This Row],[DISC]])</f>
        <v>1238895</v>
      </c>
      <c r="AB533" s="51"/>
      <c r="AC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33" s="51">
        <f>IF(OR(NOTA[[#This Row],[QTY]]="",NOTA[[#This Row],[HARGA SATUAN]]="",),"",NOTA[[#This Row],[QTY]]*NOTA[[#This Row],[HARGA SATUAN]])</f>
        <v>1490400</v>
      </c>
      <c r="AG533" s="40">
        <f ca="1">IF(NOTA[ID_H]="","",INDEX(NOTA[TANGGAL],MATCH(,INDIRECT(ADDRESS(ROW(NOTA[TANGGAL]),COLUMN(NOTA[TANGGAL]))&amp;":"&amp;ADDRESS(ROW(),COLUMN(NOTA[TANGGAL]))),-1)))</f>
        <v>45127</v>
      </c>
      <c r="AH533" s="42" t="str">
        <f ca="1">IF(NOTA[[#This Row],[NAMA BARANG]]="","",INDEX(NOTA[SUPPLIER],MATCH(,INDIRECT(ADDRESS(ROW(NOTA[ID]),COLUMN(NOTA[ID]))&amp;":"&amp;ADDRESS(ROW(),COLUMN(NOTA[ID]))),-1)))</f>
        <v>ATALI MAKMUR</v>
      </c>
      <c r="AI533" s="42" t="str">
        <f ca="1">IF(NOTA[[#This Row],[ID_H]]="","",IF(NOTA[[#This Row],[FAKTUR]]="",INDIRECT(ADDRESS(ROW()-1,COLUMN())),NOTA[[#This Row],[FAKTUR]]))</f>
        <v>ARTO MORO</v>
      </c>
      <c r="AJ533" s="39" t="str">
        <f ca="1">IF(NOTA[[#This Row],[ID]]="","",COUNTIF(NOTA[ID_H],NOTA[[#This Row],[ID_H]]))</f>
        <v/>
      </c>
      <c r="AK533" s="39">
        <f ca="1">IF(NOTA[[#This Row],[TGL.NOTA]]="",IF(NOTA[[#This Row],[SUPPLIER_H]]="","",AK532),MONTH(NOTA[[#This Row],[TGL.NOTA]]))</f>
        <v>7</v>
      </c>
      <c r="AL533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39" t="str">
        <f>IF(NOTA[[#This Row],[CONCAT4]]="","",_xlfn.IFNA(MATCH(NOTA[[#This Row],[CONCAT4]],[2]!RAW[CONCAT_H],0),FALSE))</f>
        <v/>
      </c>
      <c r="AQ533" s="39">
        <f>IF(NOTA[[#This Row],[CONCAT1]]="","",MATCH(NOTA[[#This Row],[CONCAT1]],[3]!db[NB NOTA_C],0))</f>
        <v>2616</v>
      </c>
      <c r="AR533" s="39" t="b">
        <f>IF(NOTA[[#This Row],[QTY/ CTN]]="","",TRUE)</f>
        <v>1</v>
      </c>
      <c r="AS533" s="39" t="str">
        <f ca="1">IF(NOTA[[#This Row],[ID_H]]="","",IF(NOTA[[#This Row],[Column3]]=TRUE,NOTA[[#This Row],[QTY/ CTN]],INDEX([3]!db[QTY/ CTN],NOTA[[#This Row],[//DB]])))</f>
        <v>36 LSN</v>
      </c>
      <c r="AT5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33" s="39" t="e">
        <f ca="1">IF(NOTA[[#This Row],[ID_H]]="","",MATCH(NOTA[[#This Row],[NB NOTA_C_QTY]],[4]!db[NB NOTA_C_QTY+F],0))</f>
        <v>#REF!</v>
      </c>
      <c r="AV533" s="55">
        <f ca="1">IF(NOTA[[#This Row],[NB NOTA_C_QTY]]="","",ROW()-2)</f>
        <v>531</v>
      </c>
    </row>
    <row r="534" spans="1:48" ht="20.100000000000001" customHeight="1" x14ac:dyDescent="0.25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>
        <f ca="1">IF(NOTA[[#This Row],[NAMA BARANG]]="","",INDEX(NOTA[ID],MATCH(,INDIRECT(ADDRESS(ROW(NOTA[ID]),COLUMN(NOTA[ID]))&amp;":"&amp;ADDRESS(ROW(),COLUMN(NOTA[ID]))),-1)))</f>
        <v>108</v>
      </c>
      <c r="E534" s="47"/>
      <c r="H534" s="48"/>
      <c r="K534" s="38">
        <v>1</v>
      </c>
      <c r="L534" s="38" t="s">
        <v>625</v>
      </c>
      <c r="M534" s="41">
        <v>1</v>
      </c>
      <c r="N534" s="39">
        <v>48</v>
      </c>
      <c r="O534" s="38" t="s">
        <v>152</v>
      </c>
      <c r="P534" s="42">
        <v>48000</v>
      </c>
      <c r="Q534" s="43"/>
      <c r="R534" s="49" t="s">
        <v>238</v>
      </c>
      <c r="S534" s="50">
        <v>0.125</v>
      </c>
      <c r="T534" s="45">
        <v>0.05</v>
      </c>
      <c r="U534" s="51"/>
      <c r="V534" s="46"/>
      <c r="W534" s="51">
        <f>IF(NOTA[[#This Row],[HARGA/ CTN]]="",NOTA[[#This Row],[JUMLAH_H]],NOTA[[#This Row],[HARGA/ CTN]]*IF(NOTA[[#This Row],[C]]="",0,NOTA[[#This Row],[C]]))</f>
        <v>2304000</v>
      </c>
      <c r="X534" s="51">
        <f>IF(NOTA[[#This Row],[JUMLAH]]="","",NOTA[[#This Row],[JUMLAH]]*NOTA[[#This Row],[DISC 1]])</f>
        <v>288000</v>
      </c>
      <c r="Y534" s="51">
        <f>IF(NOTA[[#This Row],[JUMLAH]]="","",(NOTA[[#This Row],[JUMLAH]]-NOTA[[#This Row],[DISC 1-]])*NOTA[[#This Row],[DISC 2]])</f>
        <v>100800</v>
      </c>
      <c r="Z534" s="51">
        <f>IF(NOTA[[#This Row],[JUMLAH]]="","",NOTA[[#This Row],[DISC 1-]]+NOTA[[#This Row],[DISC 2-]])</f>
        <v>388800</v>
      </c>
      <c r="AA534" s="51">
        <f>IF(NOTA[[#This Row],[JUMLAH]]="","",NOTA[[#This Row],[JUMLAH]]-NOTA[[#This Row],[DISC]])</f>
        <v>1915200</v>
      </c>
      <c r="AB534" s="51"/>
      <c r="AC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4" s="51">
        <f>IF(OR(NOTA[[#This Row],[QTY]]="",NOTA[[#This Row],[HARGA SATUAN]]="",),"",NOTA[[#This Row],[QTY]]*NOTA[[#This Row],[HARGA SATUAN]])</f>
        <v>2304000</v>
      </c>
      <c r="AG534" s="40">
        <f ca="1">IF(NOTA[ID_H]="","",INDEX(NOTA[TANGGAL],MATCH(,INDIRECT(ADDRESS(ROW(NOTA[TANGGAL]),COLUMN(NOTA[TANGGAL]))&amp;":"&amp;ADDRESS(ROW(),COLUMN(NOTA[TANGGAL]))),-1)))</f>
        <v>45127</v>
      </c>
      <c r="AH534" s="42" t="str">
        <f ca="1">IF(NOTA[[#This Row],[NAMA BARANG]]="","",INDEX(NOTA[SUPPLIER],MATCH(,INDIRECT(ADDRESS(ROW(NOTA[ID]),COLUMN(NOTA[ID]))&amp;":"&amp;ADDRESS(ROW(),COLUMN(NOTA[ID]))),-1)))</f>
        <v>ATALI MAKMUR</v>
      </c>
      <c r="AI534" s="42" t="str">
        <f ca="1">IF(NOTA[[#This Row],[ID_H]]="","",IF(NOTA[[#This Row],[FAKTUR]]="",INDIRECT(ADDRESS(ROW()-1,COLUMN())),NOTA[[#This Row],[FAKTUR]]))</f>
        <v>ARTO MORO</v>
      </c>
      <c r="AJ534" s="39" t="str">
        <f ca="1">IF(NOTA[[#This Row],[ID]]="","",COUNTIF(NOTA[ID_H],NOTA[[#This Row],[ID_H]]))</f>
        <v/>
      </c>
      <c r="AK534" s="39">
        <f ca="1">IF(NOTA[[#This Row],[TGL.NOTA]]="",IF(NOTA[[#This Row],[SUPPLIER_H]]="","",AK533),MONTH(NOTA[[#This Row],[TGL.NOTA]]))</f>
        <v>7</v>
      </c>
      <c r="AL534" s="39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M5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N5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39" t="str">
        <f>IF(NOTA[[#This Row],[CONCAT4]]="","",_xlfn.IFNA(MATCH(NOTA[[#This Row],[CONCAT4]],[2]!RAW[CONCAT_H],0),FALSE))</f>
        <v/>
      </c>
      <c r="AQ534" s="39">
        <f>IF(NOTA[[#This Row],[CONCAT1]]="","",MATCH(NOTA[[#This Row],[CONCAT1]],[3]!db[NB NOTA_C],0))</f>
        <v>2609</v>
      </c>
      <c r="AR534" s="39" t="b">
        <f>IF(NOTA[[#This Row],[QTY/ CTN]]="","",TRUE)</f>
        <v>1</v>
      </c>
      <c r="AS534" s="39" t="str">
        <f ca="1">IF(NOTA[[#This Row],[ID_H]]="","",IF(NOTA[[#This Row],[Column3]]=TRUE,NOTA[[#This Row],[QTY/ CTN]],INDEX([3]!db[QTY/ CTN],NOTA[[#This Row],[//DB]])))</f>
        <v>48 LSN</v>
      </c>
      <c r="AT5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U534" s="39" t="e">
        <f ca="1">IF(NOTA[[#This Row],[ID_H]]="","",MATCH(NOTA[[#This Row],[NB NOTA_C_QTY]],[4]!db[NB NOTA_C_QTY+F],0))</f>
        <v>#REF!</v>
      </c>
      <c r="AV534" s="55">
        <f ca="1">IF(NOTA[[#This Row],[NB NOTA_C_QTY]]="","",ROW()-2)</f>
        <v>532</v>
      </c>
    </row>
    <row r="535" spans="1:48" ht="20.100000000000001" customHeight="1" x14ac:dyDescent="0.25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9" t="str">
        <f>IF(NOTA[[#This Row],[ID_P]]="","",MATCH(NOTA[[#This Row],[ID_P]],[1]!B_MSK[N_ID],0))</f>
        <v/>
      </c>
      <c r="D535" s="39">
        <f ca="1">IF(NOTA[[#This Row],[NAMA BARANG]]="","",INDEX(NOTA[ID],MATCH(,INDIRECT(ADDRESS(ROW(NOTA[ID]),COLUMN(NOTA[ID]))&amp;":"&amp;ADDRESS(ROW(),COLUMN(NOTA[ID]))),-1)))</f>
        <v>108</v>
      </c>
      <c r="E535" s="47"/>
      <c r="H535" s="48"/>
      <c r="K535" s="38">
        <v>1</v>
      </c>
      <c r="L535" s="38" t="s">
        <v>626</v>
      </c>
      <c r="M535" s="41">
        <v>1</v>
      </c>
      <c r="N535" s="39">
        <v>50</v>
      </c>
      <c r="O535" s="38" t="s">
        <v>319</v>
      </c>
      <c r="P535" s="42">
        <v>28300</v>
      </c>
      <c r="Q535" s="43"/>
      <c r="R535" s="49" t="s">
        <v>627</v>
      </c>
      <c r="S535" s="50">
        <v>0.125</v>
      </c>
      <c r="T535" s="45">
        <v>0.05</v>
      </c>
      <c r="U535" s="51"/>
      <c r="V535" s="46"/>
      <c r="W535" s="51">
        <f>IF(NOTA[[#This Row],[HARGA/ CTN]]="",NOTA[[#This Row],[JUMLAH_H]],NOTA[[#This Row],[HARGA/ CTN]]*IF(NOTA[[#This Row],[C]]="",0,NOTA[[#This Row],[C]]))</f>
        <v>1415000</v>
      </c>
      <c r="X535" s="51">
        <f>IF(NOTA[[#This Row],[JUMLAH]]="","",NOTA[[#This Row],[JUMLAH]]*NOTA[[#This Row],[DISC 1]])</f>
        <v>176875</v>
      </c>
      <c r="Y535" s="51">
        <f>IF(NOTA[[#This Row],[JUMLAH]]="","",(NOTA[[#This Row],[JUMLAH]]-NOTA[[#This Row],[DISC 1-]])*NOTA[[#This Row],[DISC 2]])</f>
        <v>61906.25</v>
      </c>
      <c r="Z535" s="51">
        <f>IF(NOTA[[#This Row],[JUMLAH]]="","",NOTA[[#This Row],[DISC 1-]]+NOTA[[#This Row],[DISC 2-]])</f>
        <v>238781.25</v>
      </c>
      <c r="AA535" s="51">
        <f>IF(NOTA[[#This Row],[JUMLAH]]="","",NOTA[[#This Row],[JUMLAH]]-NOTA[[#This Row],[DISC]])</f>
        <v>1176218.75</v>
      </c>
      <c r="AB535" s="51"/>
      <c r="AC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5" s="51">
        <f>IF(OR(NOTA[[#This Row],[QTY]]="",NOTA[[#This Row],[HARGA SATUAN]]="",),"",NOTA[[#This Row],[QTY]]*NOTA[[#This Row],[HARGA SATUAN]])</f>
        <v>1415000</v>
      </c>
      <c r="AG535" s="40">
        <f ca="1">IF(NOTA[ID_H]="","",INDEX(NOTA[TANGGAL],MATCH(,INDIRECT(ADDRESS(ROW(NOTA[TANGGAL]),COLUMN(NOTA[TANGGAL]))&amp;":"&amp;ADDRESS(ROW(),COLUMN(NOTA[TANGGAL]))),-1)))</f>
        <v>45127</v>
      </c>
      <c r="AH535" s="42" t="str">
        <f ca="1">IF(NOTA[[#This Row],[NAMA BARANG]]="","",INDEX(NOTA[SUPPLIER],MATCH(,INDIRECT(ADDRESS(ROW(NOTA[ID]),COLUMN(NOTA[ID]))&amp;":"&amp;ADDRESS(ROW(),COLUMN(NOTA[ID]))),-1)))</f>
        <v>ATALI MAKMUR</v>
      </c>
      <c r="AI535" s="42" t="str">
        <f ca="1">IF(NOTA[[#This Row],[ID_H]]="","",IF(NOTA[[#This Row],[FAKTUR]]="",INDIRECT(ADDRESS(ROW()-1,COLUMN())),NOTA[[#This Row],[FAKTUR]]))</f>
        <v>ARTO MORO</v>
      </c>
      <c r="AJ535" s="39" t="str">
        <f ca="1">IF(NOTA[[#This Row],[ID]]="","",COUNTIF(NOTA[ID_H],NOTA[[#This Row],[ID_H]]))</f>
        <v/>
      </c>
      <c r="AK535" s="39">
        <f ca="1">IF(NOTA[[#This Row],[TGL.NOTA]]="",IF(NOTA[[#This Row],[SUPPLIER_H]]="","",AK534),MONTH(NOTA[[#This Row],[TGL.NOTA]]))</f>
        <v>7</v>
      </c>
      <c r="AL53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39" t="str">
        <f>IF(NOTA[[#This Row],[CONCAT4]]="","",_xlfn.IFNA(MATCH(NOTA[[#This Row],[CONCAT4]],[2]!RAW[CONCAT_H],0),FALSE))</f>
        <v/>
      </c>
      <c r="AQ535" s="39">
        <f>IF(NOTA[[#This Row],[CONCAT1]]="","",MATCH(NOTA[[#This Row],[CONCAT1]],[3]!db[NB NOTA_C],0))</f>
        <v>2498</v>
      </c>
      <c r="AR535" s="39" t="b">
        <f>IF(NOTA[[#This Row],[QTY/ CTN]]="","",TRUE)</f>
        <v>1</v>
      </c>
      <c r="AS535" s="39" t="str">
        <f ca="1">IF(NOTA[[#This Row],[ID_H]]="","",IF(NOTA[[#This Row],[Column3]]=TRUE,NOTA[[#This Row],[QTY/ CTN]],INDEX([3]!db[QTY/ CTN],NOTA[[#This Row],[//DB]])))</f>
        <v>50 BOX (40 PCS)</v>
      </c>
      <c r="AT5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35" s="39" t="e">
        <f ca="1">IF(NOTA[[#This Row],[ID_H]]="","",MATCH(NOTA[[#This Row],[NB NOTA_C_QTY]],[4]!db[NB NOTA_C_QTY+F],0))</f>
        <v>#REF!</v>
      </c>
      <c r="AV535" s="55">
        <f ca="1">IF(NOTA[[#This Row],[NB NOTA_C_QTY]]="","",ROW()-2)</f>
        <v>533</v>
      </c>
    </row>
    <row r="536" spans="1:48" ht="20.100000000000001" customHeight="1" x14ac:dyDescent="0.25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108</v>
      </c>
      <c r="E536" s="47"/>
      <c r="H536" s="48"/>
      <c r="K536" s="38">
        <v>2</v>
      </c>
      <c r="L536" s="38" t="s">
        <v>628</v>
      </c>
      <c r="M536" s="41">
        <v>7</v>
      </c>
      <c r="N536" s="39">
        <v>350</v>
      </c>
      <c r="O536" s="38" t="s">
        <v>319</v>
      </c>
      <c r="P536" s="42">
        <v>28300</v>
      </c>
      <c r="Q536" s="43"/>
      <c r="R536" s="49" t="s">
        <v>627</v>
      </c>
      <c r="S536" s="50">
        <v>0.125</v>
      </c>
      <c r="T536" s="45">
        <v>0.05</v>
      </c>
      <c r="U536" s="51"/>
      <c r="V536" s="46"/>
      <c r="W536" s="51">
        <f>IF(NOTA[[#This Row],[HARGA/ CTN]]="",NOTA[[#This Row],[JUMLAH_H]],NOTA[[#This Row],[HARGA/ CTN]]*IF(NOTA[[#This Row],[C]]="",0,NOTA[[#This Row],[C]]))</f>
        <v>9905000</v>
      </c>
      <c r="X536" s="51">
        <f>IF(NOTA[[#This Row],[JUMLAH]]="","",NOTA[[#This Row],[JUMLAH]]*NOTA[[#This Row],[DISC 1]])</f>
        <v>1238125</v>
      </c>
      <c r="Y536" s="51">
        <f>IF(NOTA[[#This Row],[JUMLAH]]="","",(NOTA[[#This Row],[JUMLAH]]-NOTA[[#This Row],[DISC 1-]])*NOTA[[#This Row],[DISC 2]])</f>
        <v>433343.75</v>
      </c>
      <c r="Z536" s="51">
        <f>IF(NOTA[[#This Row],[JUMLAH]]="","",NOTA[[#This Row],[DISC 1-]]+NOTA[[#This Row],[DISC 2-]])</f>
        <v>1671468.75</v>
      </c>
      <c r="AA536" s="51">
        <f>IF(NOTA[[#This Row],[JUMLAH]]="","",NOTA[[#This Row],[JUMLAH]]-NOTA[[#This Row],[DISC]])</f>
        <v>8233531.25</v>
      </c>
      <c r="AB536" s="51"/>
      <c r="AC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9166230</v>
      </c>
      <c r="AD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45152170</v>
      </c>
      <c r="AE53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6" s="51">
        <f>IF(OR(NOTA[[#This Row],[QTY]]="",NOTA[[#This Row],[HARGA SATUAN]]="",),"",NOTA[[#This Row],[QTY]]*NOTA[[#This Row],[HARGA SATUAN]])</f>
        <v>9905000</v>
      </c>
      <c r="AG536" s="40">
        <f ca="1">IF(NOTA[ID_H]="","",INDEX(NOTA[TANGGAL],MATCH(,INDIRECT(ADDRESS(ROW(NOTA[TANGGAL]),COLUMN(NOTA[TANGGAL]))&amp;":"&amp;ADDRESS(ROW(),COLUMN(NOTA[TANGGAL]))),-1)))</f>
        <v>45127</v>
      </c>
      <c r="AH536" s="42" t="str">
        <f ca="1">IF(NOTA[[#This Row],[NAMA BARANG]]="","",INDEX(NOTA[SUPPLIER],MATCH(,INDIRECT(ADDRESS(ROW(NOTA[ID]),COLUMN(NOTA[ID]))&amp;":"&amp;ADDRESS(ROW(),COLUMN(NOTA[ID]))),-1)))</f>
        <v>ATALI MAKMUR</v>
      </c>
      <c r="AI536" s="42" t="str">
        <f ca="1">IF(NOTA[[#This Row],[ID_H]]="","",IF(NOTA[[#This Row],[FAKTUR]]="",INDIRECT(ADDRESS(ROW()-1,COLUMN())),NOTA[[#This Row],[FAKTUR]]))</f>
        <v>ARTO MORO</v>
      </c>
      <c r="AJ536" s="39" t="str">
        <f ca="1">IF(NOTA[[#This Row],[ID]]="","",COUNTIF(NOTA[ID_H],NOTA[[#This Row],[ID_H]]))</f>
        <v/>
      </c>
      <c r="AK536" s="39">
        <f ca="1">IF(NOTA[[#This Row],[TGL.NOTA]]="",IF(NOTA[[#This Row],[SUPPLIER_H]]="","",AK535),MONTH(NOTA[[#This Row],[TGL.NOTA]]))</f>
        <v>7</v>
      </c>
      <c r="AL53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5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39" t="str">
        <f>IF(NOTA[[#This Row],[CONCAT4]]="","",_xlfn.IFNA(MATCH(NOTA[[#This Row],[CONCAT4]],[2]!RAW[CONCAT_H],0),FALSE))</f>
        <v/>
      </c>
      <c r="AQ536" s="39">
        <f>IF(NOTA[[#This Row],[CONCAT1]]="","",MATCH(NOTA[[#This Row],[CONCAT1]],[3]!db[NB NOTA_C],0))</f>
        <v>2499</v>
      </c>
      <c r="AR536" s="39" t="b">
        <f>IF(NOTA[[#This Row],[QTY/ CTN]]="","",TRUE)</f>
        <v>1</v>
      </c>
      <c r="AS536" s="39" t="str">
        <f ca="1">IF(NOTA[[#This Row],[ID_H]]="","",IF(NOTA[[#This Row],[Column3]]=TRUE,NOTA[[#This Row],[QTY/ CTN]],INDEX([3]!db[QTY/ CTN],NOTA[[#This Row],[//DB]])))</f>
        <v>50 BOX (40 PCS)</v>
      </c>
      <c r="AT5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6" s="39" t="e">
        <f ca="1">IF(NOTA[[#This Row],[ID_H]]="","",MATCH(NOTA[[#This Row],[NB NOTA_C_QTY]],[4]!db[NB NOTA_C_QTY+F],0))</f>
        <v>#REF!</v>
      </c>
      <c r="AV536" s="55">
        <f ca="1">IF(NOTA[[#This Row],[NB NOTA_C_QTY]]="","",ROW()-2)</f>
        <v>534</v>
      </c>
    </row>
    <row r="537" spans="1:48" ht="20.100000000000001" customHeight="1" x14ac:dyDescent="0.25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 t="str">
        <f ca="1">IF(NOTA[[#This Row],[NAMA BARANG]]="","",INDEX(NOTA[ID],MATCH(,INDIRECT(ADDRESS(ROW(NOTA[ID]),COLUMN(NOTA[ID]))&amp;":"&amp;ADDRESS(ROW(),COLUMN(NOTA[ID]))),-1)))</f>
        <v/>
      </c>
      <c r="E537" s="47"/>
      <c r="H537" s="48"/>
      <c r="N537" s="39"/>
      <c r="Q537" s="43"/>
      <c r="R537" s="49"/>
      <c r="S537" s="50"/>
      <c r="U537" s="51"/>
      <c r="V537" s="46"/>
      <c r="W537" s="51" t="str">
        <f>IF(NOTA[[#This Row],[HARGA/ CTN]]="",NOTA[[#This Row],[JUMLAH_H]],NOTA[[#This Row],[HARGA/ CTN]]*IF(NOTA[[#This Row],[C]]="",0,NOTA[[#This Row],[C]]))</f>
        <v/>
      </c>
      <c r="X537" s="51" t="str">
        <f>IF(NOTA[[#This Row],[JUMLAH]]="","",NOTA[[#This Row],[JUMLAH]]*NOTA[[#This Row],[DISC 1]])</f>
        <v/>
      </c>
      <c r="Y537" s="51" t="str">
        <f>IF(NOTA[[#This Row],[JUMLAH]]="","",(NOTA[[#This Row],[JUMLAH]]-NOTA[[#This Row],[DISC 1-]])*NOTA[[#This Row],[DISC 2]])</f>
        <v/>
      </c>
      <c r="Z537" s="51" t="str">
        <f>IF(NOTA[[#This Row],[JUMLAH]]="","",NOTA[[#This Row],[DISC 1-]]+NOTA[[#This Row],[DISC 2-]])</f>
        <v/>
      </c>
      <c r="AA537" s="51" t="str">
        <f>IF(NOTA[[#This Row],[JUMLAH]]="","",NOTA[[#This Row],[JUMLAH]]-NOTA[[#This Row],[DISC]])</f>
        <v/>
      </c>
      <c r="AB537" s="51"/>
      <c r="AC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51" t="str">
        <f>IF(OR(NOTA[[#This Row],[QTY]]="",NOTA[[#This Row],[HARGA SATUAN]]="",),"",NOTA[[#This Row],[QTY]]*NOTA[[#This Row],[HARGA SATUAN]])</f>
        <v/>
      </c>
      <c r="AG537" s="40" t="str">
        <f ca="1">IF(NOTA[ID_H]="","",INDEX(NOTA[TANGGAL],MATCH(,INDIRECT(ADDRESS(ROW(NOTA[TANGGAL]),COLUMN(NOTA[TANGGAL]))&amp;":"&amp;ADDRESS(ROW(),COLUMN(NOTA[TANGGAL]))),-1)))</f>
        <v/>
      </c>
      <c r="AH537" s="42" t="str">
        <f ca="1">IF(NOTA[[#This Row],[NAMA BARANG]]="","",INDEX(NOTA[SUPPLIER],MATCH(,INDIRECT(ADDRESS(ROW(NOTA[ID]),COLUMN(NOTA[ID]))&amp;":"&amp;ADDRESS(ROW(),COLUMN(NOTA[ID]))),-1)))</f>
        <v/>
      </c>
      <c r="AI537" s="42" t="str">
        <f ca="1">IF(NOTA[[#This Row],[ID_H]]="","",IF(NOTA[[#This Row],[FAKTUR]]="",INDIRECT(ADDRESS(ROW()-1,COLUMN())),NOTA[[#This Row],[FAKTUR]]))</f>
        <v/>
      </c>
      <c r="AJ537" s="39" t="str">
        <f ca="1">IF(NOTA[[#This Row],[ID]]="","",COUNTIF(NOTA[ID_H],NOTA[[#This Row],[ID_H]]))</f>
        <v/>
      </c>
      <c r="AK537" s="39" t="str">
        <f ca="1">IF(NOTA[[#This Row],[TGL.NOTA]]="",IF(NOTA[[#This Row],[SUPPLIER_H]]="","",AK536),MONTH(NOTA[[#This Row],[TGL.NOTA]]))</f>
        <v/>
      </c>
      <c r="AL537" s="39" t="str">
        <f>LOWER(SUBSTITUTE(SUBSTITUTE(SUBSTITUTE(SUBSTITUTE(SUBSTITUTE(SUBSTITUTE(SUBSTITUTE(SUBSTITUTE(SUBSTITUTE(NOTA[NAMA BARANG]," ",),".",""),"-",""),"(",""),")",""),",",""),"/",""),"""",""),"+",""))</f>
        <v/>
      </c>
      <c r="AM5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39" t="str">
        <f>IF(NOTA[[#This Row],[CONCAT4]]="","",_xlfn.IFNA(MATCH(NOTA[[#This Row],[CONCAT4]],[2]!RAW[CONCAT_H],0),FALSE))</f>
        <v/>
      </c>
      <c r="AQ537" s="39" t="str">
        <f>IF(NOTA[[#This Row],[CONCAT1]]="","",MATCH(NOTA[[#This Row],[CONCAT1]],[3]!db[NB NOTA_C],0))</f>
        <v/>
      </c>
      <c r="AR537" s="39" t="str">
        <f>IF(NOTA[[#This Row],[QTY/ CTN]]="","",TRUE)</f>
        <v/>
      </c>
      <c r="AS537" s="39" t="str">
        <f ca="1">IF(NOTA[[#This Row],[ID_H]]="","",IF(NOTA[[#This Row],[Column3]]=TRUE,NOTA[[#This Row],[QTY/ CTN]],INDEX([3]!db[QTY/ CTN],NOTA[[#This Row],[//DB]])))</f>
        <v/>
      </c>
      <c r="AT5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7" s="39" t="str">
        <f ca="1">IF(NOTA[[#This Row],[ID_H]]="","",MATCH(NOTA[[#This Row],[NB NOTA_C_QTY]],[4]!db[NB NOTA_C_QTY+F],0))</f>
        <v/>
      </c>
      <c r="AV537" s="55" t="str">
        <f ca="1">IF(NOTA[[#This Row],[NB NOTA_C_QTY]]="","",ROW()-2)</f>
        <v/>
      </c>
    </row>
    <row r="538" spans="1:48" ht="20.100000000000001" customHeight="1" x14ac:dyDescent="0.25">
      <c r="A538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ATA_2007_048-11</v>
      </c>
      <c r="C538" s="39" t="e">
        <f ca="1">IF(NOTA[[#This Row],[ID_P]]="","",MATCH(NOTA[[#This Row],[ID_P]],[1]!B_MSK[N_ID],0))</f>
        <v>#REF!</v>
      </c>
      <c r="D538" s="39">
        <f ca="1">IF(NOTA[[#This Row],[NAMA BARANG]]="","",INDEX(NOTA[ID],MATCH(,INDIRECT(ADDRESS(ROW(NOTA[ID]),COLUMN(NOTA[ID]))&amp;":"&amp;ADDRESS(ROW(),COLUMN(NOTA[ID]))),-1)))</f>
        <v>109</v>
      </c>
      <c r="E538" s="47"/>
      <c r="F538" s="38" t="s">
        <v>24</v>
      </c>
      <c r="G538" s="38" t="s">
        <v>23</v>
      </c>
      <c r="H538" s="48" t="s">
        <v>629</v>
      </c>
      <c r="J538" s="40">
        <v>45120</v>
      </c>
      <c r="L538" s="38" t="s">
        <v>639</v>
      </c>
      <c r="M538" s="41">
        <v>1</v>
      </c>
      <c r="N538" s="39">
        <v>360</v>
      </c>
      <c r="O538" s="38" t="s">
        <v>117</v>
      </c>
      <c r="P538" s="42">
        <v>11000</v>
      </c>
      <c r="Q538" s="43"/>
      <c r="R538" s="49" t="s">
        <v>640</v>
      </c>
      <c r="S538" s="50">
        <v>0.125</v>
      </c>
      <c r="T538" s="45">
        <v>0.05</v>
      </c>
      <c r="U538" s="51"/>
      <c r="V538" s="46"/>
      <c r="W538" s="51">
        <f>IF(NOTA[[#This Row],[HARGA/ CTN]]="",NOTA[[#This Row],[JUMLAH_H]],NOTA[[#This Row],[HARGA/ CTN]]*IF(NOTA[[#This Row],[C]]="",0,NOTA[[#This Row],[C]]))</f>
        <v>3960000</v>
      </c>
      <c r="X538" s="51">
        <f>IF(NOTA[[#This Row],[JUMLAH]]="","",NOTA[[#This Row],[JUMLAH]]*NOTA[[#This Row],[DISC 1]])</f>
        <v>495000</v>
      </c>
      <c r="Y538" s="51">
        <f>IF(NOTA[[#This Row],[JUMLAH]]="","",(NOTA[[#This Row],[JUMLAH]]-NOTA[[#This Row],[DISC 1-]])*NOTA[[#This Row],[DISC 2]])</f>
        <v>173250</v>
      </c>
      <c r="Z538" s="51">
        <f>IF(NOTA[[#This Row],[JUMLAH]]="","",NOTA[[#This Row],[DISC 1-]]+NOTA[[#This Row],[DISC 2-]])</f>
        <v>668250</v>
      </c>
      <c r="AA538" s="51">
        <f>IF(NOTA[[#This Row],[JUMLAH]]="","",NOTA[[#This Row],[JUMLAH]]-NOTA[[#This Row],[DISC]])</f>
        <v>3291750</v>
      </c>
      <c r="AB538" s="51"/>
      <c r="AC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4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538" s="51">
        <f>IF(OR(NOTA[[#This Row],[QTY]]="",NOTA[[#This Row],[HARGA SATUAN]]="",),"",NOTA[[#This Row],[QTY]]*NOTA[[#This Row],[HARGA SATUAN]])</f>
        <v>3960000</v>
      </c>
      <c r="AG538" s="40">
        <f ca="1">IF(NOTA[ID_H]="","",INDEX(NOTA[TANGGAL],MATCH(,INDIRECT(ADDRESS(ROW(NOTA[TANGGAL]),COLUMN(NOTA[TANGGAL]))&amp;":"&amp;ADDRESS(ROW(),COLUMN(NOTA[TANGGAL]))),-1)))</f>
        <v>45127</v>
      </c>
      <c r="AH538" s="42" t="str">
        <f ca="1">IF(NOTA[[#This Row],[NAMA BARANG]]="","",INDEX(NOTA[SUPPLIER],MATCH(,INDIRECT(ADDRESS(ROW(NOTA[ID]),COLUMN(NOTA[ID]))&amp;":"&amp;ADDRESS(ROW(),COLUMN(NOTA[ID]))),-1)))</f>
        <v>ATALI MAKMUR</v>
      </c>
      <c r="AI538" s="42" t="str">
        <f ca="1">IF(NOTA[[#This Row],[ID_H]]="","",IF(NOTA[[#This Row],[FAKTUR]]="",INDIRECT(ADDRESS(ROW()-1,COLUMN())),NOTA[[#This Row],[FAKTUR]]))</f>
        <v>ARTO MORO</v>
      </c>
      <c r="AJ538" s="39">
        <f ca="1">IF(NOTA[[#This Row],[ID]]="","",COUNTIF(NOTA[ID_H],NOTA[[#This Row],[ID_H]]))</f>
        <v>11</v>
      </c>
      <c r="AK538" s="39">
        <f>IF(NOTA[[#This Row],[TGL.NOTA]]="",IF(NOTA[[#This Row],[SUPPLIER_H]]="","",AK537),MONTH(NOTA[[#This Row],[TGL.NOTA]]))</f>
        <v>7</v>
      </c>
      <c r="AL538" s="39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M5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correctiontapect520jk39600000.1250.05</v>
      </c>
      <c r="AN5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correctiontapect520jk39600000.1250.05</v>
      </c>
      <c r="AO53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MOROSA23071204845120correctiontapect520jk</v>
      </c>
      <c r="AP538" s="39" t="e">
        <f>IF(NOTA[[#This Row],[CONCAT4]]="","",_xlfn.IFNA(MATCH(NOTA[[#This Row],[CONCAT4]],[2]!RAW[CONCAT_H],0),FALSE))</f>
        <v>#REF!</v>
      </c>
      <c r="AQ538" s="39">
        <f>IF(NOTA[[#This Row],[CONCAT1]]="","",MATCH(NOTA[[#This Row],[CONCAT1]],[3]!db[NB NOTA_C],0))</f>
        <v>2627</v>
      </c>
      <c r="AR538" s="39" t="b">
        <f>IF(NOTA[[#This Row],[QTY/ CTN]]="","",TRUE)</f>
        <v>1</v>
      </c>
      <c r="AS538" s="39" t="str">
        <f ca="1">IF(NOTA[[#This Row],[ID_H]]="","",IF(NOTA[[#This Row],[Column3]]=TRUE,NOTA[[#This Row],[QTY/ CTN]],INDEX([3]!db[QTY/ CTN],NOTA[[#This Row],[//DB]])))</f>
        <v>360 PCS</v>
      </c>
      <c r="AT5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correctiontapect520jk360pcsartomoro</v>
      </c>
      <c r="AU538" s="39" t="e">
        <f ca="1">IF(NOTA[[#This Row],[ID_H]]="","",MATCH(NOTA[[#This Row],[NB NOTA_C_QTY]],[4]!db[NB NOTA_C_QTY+F],0))</f>
        <v>#REF!</v>
      </c>
      <c r="AV538" s="55">
        <f ca="1">IF(NOTA[[#This Row],[NB NOTA_C_QTY]]="","",ROW()-2)</f>
        <v>536</v>
      </c>
    </row>
    <row r="539" spans="1:48" ht="20.100000000000001" customHeight="1" x14ac:dyDescent="0.25">
      <c r="A5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109</v>
      </c>
      <c r="E539" s="47"/>
      <c r="H539" s="48"/>
      <c r="K539" s="38">
        <v>1</v>
      </c>
      <c r="L539" s="38" t="s">
        <v>630</v>
      </c>
      <c r="M539" s="41">
        <v>1</v>
      </c>
      <c r="N539" s="39">
        <v>480</v>
      </c>
      <c r="O539" s="38" t="s">
        <v>117</v>
      </c>
      <c r="P539" s="42">
        <v>8500</v>
      </c>
      <c r="Q539" s="43"/>
      <c r="R539" s="49" t="s">
        <v>562</v>
      </c>
      <c r="S539" s="50">
        <v>0.125</v>
      </c>
      <c r="T539" s="45">
        <v>0.05</v>
      </c>
      <c r="U539" s="51"/>
      <c r="V539" s="46"/>
      <c r="W539" s="51">
        <f>IF(NOTA[[#This Row],[HARGA/ CTN]]="",NOTA[[#This Row],[JUMLAH_H]],NOTA[[#This Row],[HARGA/ CTN]]*IF(NOTA[[#This Row],[C]]="",0,NOTA[[#This Row],[C]]))</f>
        <v>4080000</v>
      </c>
      <c r="X539" s="51">
        <f>IF(NOTA[[#This Row],[JUMLAH]]="","",NOTA[[#This Row],[JUMLAH]]*NOTA[[#This Row],[DISC 1]])</f>
        <v>510000</v>
      </c>
      <c r="Y539" s="51">
        <f>IF(NOTA[[#This Row],[JUMLAH]]="","",(NOTA[[#This Row],[JUMLAH]]-NOTA[[#This Row],[DISC 1-]])*NOTA[[#This Row],[DISC 2]])</f>
        <v>178500</v>
      </c>
      <c r="Z539" s="51">
        <f>IF(NOTA[[#This Row],[JUMLAH]]="","",NOTA[[#This Row],[DISC 1-]]+NOTA[[#This Row],[DISC 2-]])</f>
        <v>688500</v>
      </c>
      <c r="AA539" s="51">
        <f>IF(NOTA[[#This Row],[JUMLAH]]="","",NOTA[[#This Row],[JUMLAH]]-NOTA[[#This Row],[DISC]])</f>
        <v>3391500</v>
      </c>
      <c r="AB539" s="51"/>
      <c r="AC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539" s="51">
        <f>IF(OR(NOTA[[#This Row],[QTY]]="",NOTA[[#This Row],[HARGA SATUAN]]="",),"",NOTA[[#This Row],[QTY]]*NOTA[[#This Row],[HARGA SATUAN]])</f>
        <v>4080000</v>
      </c>
      <c r="AG539" s="40">
        <f ca="1">IF(NOTA[ID_H]="","",INDEX(NOTA[TANGGAL],MATCH(,INDIRECT(ADDRESS(ROW(NOTA[TANGGAL]),COLUMN(NOTA[TANGGAL]))&amp;":"&amp;ADDRESS(ROW(),COLUMN(NOTA[TANGGAL]))),-1)))</f>
        <v>45127</v>
      </c>
      <c r="AH539" s="42" t="str">
        <f ca="1">IF(NOTA[[#This Row],[NAMA BARANG]]="","",INDEX(NOTA[SUPPLIER],MATCH(,INDIRECT(ADDRESS(ROW(NOTA[ID]),COLUMN(NOTA[ID]))&amp;":"&amp;ADDRESS(ROW(),COLUMN(NOTA[ID]))),-1)))</f>
        <v>ATALI MAKMUR</v>
      </c>
      <c r="AI539" s="42" t="str">
        <f ca="1">IF(NOTA[[#This Row],[ID_H]]="","",IF(NOTA[[#This Row],[FAKTUR]]="",INDIRECT(ADDRESS(ROW()-1,COLUMN())),NOTA[[#This Row],[FAKTUR]]))</f>
        <v>ARTO MORO</v>
      </c>
      <c r="AJ539" s="39" t="str">
        <f ca="1">IF(NOTA[[#This Row],[ID]]="","",COUNTIF(NOTA[ID_H],NOTA[[#This Row],[ID_H]]))</f>
        <v/>
      </c>
      <c r="AK539" s="39">
        <f ca="1">IF(NOTA[[#This Row],[TGL.NOTA]]="",IF(NOTA[[#This Row],[SUPPLIER_H]]="","",AK538),MONTH(NOTA[[#This Row],[TGL.NOTA]]))</f>
        <v>7</v>
      </c>
      <c r="AL539" s="39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5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N5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O5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39" t="str">
        <f>IF(NOTA[[#This Row],[CONCAT4]]="","",_xlfn.IFNA(MATCH(NOTA[[#This Row],[CONCAT4]],[2]!RAW[CONCAT_H],0),FALSE))</f>
        <v/>
      </c>
      <c r="AQ539" s="39">
        <f>IF(NOTA[[#This Row],[CONCAT1]]="","",MATCH(NOTA[[#This Row],[CONCAT1]],[3]!db[NB NOTA_C],0))</f>
        <v>2631</v>
      </c>
      <c r="AR539" s="39" t="b">
        <f>IF(NOTA[[#This Row],[QTY/ CTN]]="","",TRUE)</f>
        <v>1</v>
      </c>
      <c r="AS539" s="39" t="str">
        <f ca="1">IF(NOTA[[#This Row],[ID_H]]="","",IF(NOTA[[#This Row],[Column3]]=TRUE,NOTA[[#This Row],[QTY/ CTN]],INDEX([3]!db[QTY/ CTN],NOTA[[#This Row],[//DB]])))</f>
        <v>40 LSN</v>
      </c>
      <c r="AT5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U539" s="39" t="e">
        <f ca="1">IF(NOTA[[#This Row],[ID_H]]="","",MATCH(NOTA[[#This Row],[NB NOTA_C_QTY]],[4]!db[NB NOTA_C_QTY+F],0))</f>
        <v>#REF!</v>
      </c>
      <c r="AV539" s="55">
        <f ca="1">IF(NOTA[[#This Row],[NB NOTA_C_QTY]]="","",ROW()-2)</f>
        <v>537</v>
      </c>
    </row>
    <row r="540" spans="1:48" ht="20.100000000000001" customHeight="1" x14ac:dyDescent="0.25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109</v>
      </c>
      <c r="E540" s="47"/>
      <c r="H540" s="48"/>
      <c r="K540" s="38">
        <v>1</v>
      </c>
      <c r="L540" s="38" t="s">
        <v>631</v>
      </c>
      <c r="M540" s="41">
        <v>2</v>
      </c>
      <c r="N540" s="39">
        <v>60</v>
      </c>
      <c r="O540" s="38" t="s">
        <v>305</v>
      </c>
      <c r="P540" s="42">
        <v>96000</v>
      </c>
      <c r="Q540" s="43"/>
      <c r="R540" s="49" t="s">
        <v>306</v>
      </c>
      <c r="S540" s="50">
        <v>0.125</v>
      </c>
      <c r="T540" s="45">
        <v>0.05</v>
      </c>
      <c r="U540" s="51"/>
      <c r="V540" s="46"/>
      <c r="W540" s="51">
        <f>IF(NOTA[[#This Row],[HARGA/ CTN]]="",NOTA[[#This Row],[JUMLAH_H]],NOTA[[#This Row],[HARGA/ CTN]]*IF(NOTA[[#This Row],[C]]="",0,NOTA[[#This Row],[C]]))</f>
        <v>5760000</v>
      </c>
      <c r="X540" s="51">
        <f>IF(NOTA[[#This Row],[JUMLAH]]="","",NOTA[[#This Row],[JUMLAH]]*NOTA[[#This Row],[DISC 1]])</f>
        <v>720000</v>
      </c>
      <c r="Y540" s="51">
        <f>IF(NOTA[[#This Row],[JUMLAH]]="","",(NOTA[[#This Row],[JUMLAH]]-NOTA[[#This Row],[DISC 1-]])*NOTA[[#This Row],[DISC 2]])</f>
        <v>252000</v>
      </c>
      <c r="Z540" s="51">
        <f>IF(NOTA[[#This Row],[JUMLAH]]="","",NOTA[[#This Row],[DISC 1-]]+NOTA[[#This Row],[DISC 2-]])</f>
        <v>972000</v>
      </c>
      <c r="AA540" s="51">
        <f>IF(NOTA[[#This Row],[JUMLAH]]="","",NOTA[[#This Row],[JUMLAH]]-NOTA[[#This Row],[DISC]])</f>
        <v>4788000</v>
      </c>
      <c r="AB540" s="51"/>
      <c r="AC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0" s="51">
        <f>IF(OR(NOTA[[#This Row],[QTY]]="",NOTA[[#This Row],[HARGA SATUAN]]="",),"",NOTA[[#This Row],[QTY]]*NOTA[[#This Row],[HARGA SATUAN]])</f>
        <v>5760000</v>
      </c>
      <c r="AG540" s="40">
        <f ca="1">IF(NOTA[ID_H]="","",INDEX(NOTA[TANGGAL],MATCH(,INDIRECT(ADDRESS(ROW(NOTA[TANGGAL]),COLUMN(NOTA[TANGGAL]))&amp;":"&amp;ADDRESS(ROW(),COLUMN(NOTA[TANGGAL]))),-1)))</f>
        <v>45127</v>
      </c>
      <c r="AH540" s="42" t="str">
        <f ca="1">IF(NOTA[[#This Row],[NAMA BARANG]]="","",INDEX(NOTA[SUPPLIER],MATCH(,INDIRECT(ADDRESS(ROW(NOTA[ID]),COLUMN(NOTA[ID]))&amp;":"&amp;ADDRESS(ROW(),COLUMN(NOTA[ID]))),-1)))</f>
        <v>ATALI MAKMUR</v>
      </c>
      <c r="AI540" s="42" t="str">
        <f ca="1">IF(NOTA[[#This Row],[ID_H]]="","",IF(NOTA[[#This Row],[FAKTUR]]="",INDIRECT(ADDRESS(ROW()-1,COLUMN())),NOTA[[#This Row],[FAKTUR]]))</f>
        <v>ARTO MORO</v>
      </c>
      <c r="AJ540" s="39" t="str">
        <f ca="1">IF(NOTA[[#This Row],[ID]]="","",COUNTIF(NOTA[ID_H],NOTA[[#This Row],[ID_H]]))</f>
        <v/>
      </c>
      <c r="AK540" s="39">
        <f ca="1">IF(NOTA[[#This Row],[TGL.NOTA]]="",IF(NOTA[[#This Row],[SUPPLIER_H]]="","",AK539),MONTH(NOTA[[#This Row],[TGL.NOTA]]))</f>
        <v>7</v>
      </c>
      <c r="AL540" s="39" t="str">
        <f>LOWER(SUBSTITUTE(SUBSTITUTE(SUBSTITUTE(SUBSTITUTE(SUBSTITUTE(SUBSTITUTE(SUBSTITUTE(SUBSTITUTE(SUBSTITUTE(NOTA[NAMA BARANG]," ",),".",""),"-",""),"(",""),")",""),",",""),"/",""),"""",""),"+",""))</f>
        <v>pencilp932bjk</v>
      </c>
      <c r="AM5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5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5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39" t="str">
        <f>IF(NOTA[[#This Row],[CONCAT4]]="","",_xlfn.IFNA(MATCH(NOTA[[#This Row],[CONCAT4]],[2]!RAW[CONCAT_H],0),FALSE))</f>
        <v/>
      </c>
      <c r="AQ540" s="39">
        <f>IF(NOTA[[#This Row],[CONCAT1]]="","",MATCH(NOTA[[#This Row],[CONCAT1]],[3]!db[NB NOTA_C],0))</f>
        <v>2198</v>
      </c>
      <c r="AR540" s="39" t="b">
        <f>IF(NOTA[[#This Row],[QTY/ CTN]]="","",TRUE)</f>
        <v>1</v>
      </c>
      <c r="AS540" s="39" t="str">
        <f ca="1">IF(NOTA[[#This Row],[ID_H]]="","",IF(NOTA[[#This Row],[Column3]]=TRUE,NOTA[[#This Row],[QTY/ CTN]],INDEX([3]!db[QTY/ CTN],NOTA[[#This Row],[//DB]])))</f>
        <v>30 GRS</v>
      </c>
      <c r="AT5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U540" s="39" t="e">
        <f ca="1">IF(NOTA[[#This Row],[ID_H]]="","",MATCH(NOTA[[#This Row],[NB NOTA_C_QTY]],[4]!db[NB NOTA_C_QTY+F],0))</f>
        <v>#REF!</v>
      </c>
      <c r="AV540" s="55">
        <f ca="1">IF(NOTA[[#This Row],[NB NOTA_C_QTY]]="","",ROW()-2)</f>
        <v>538</v>
      </c>
    </row>
    <row r="541" spans="1:48" ht="20.100000000000001" customHeight="1" x14ac:dyDescent="0.25">
      <c r="A5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109</v>
      </c>
      <c r="E541" s="47"/>
      <c r="H541" s="48"/>
      <c r="L541" s="38" t="s">
        <v>632</v>
      </c>
      <c r="M541" s="41">
        <v>1</v>
      </c>
      <c r="N541" s="39">
        <v>144</v>
      </c>
      <c r="O541" s="38" t="s">
        <v>152</v>
      </c>
      <c r="P541" s="42">
        <v>21600</v>
      </c>
      <c r="Q541" s="43"/>
      <c r="R541" s="49" t="s">
        <v>538</v>
      </c>
      <c r="S541" s="50">
        <v>0.125</v>
      </c>
      <c r="T541" s="45">
        <v>0.05</v>
      </c>
      <c r="U541" s="51"/>
      <c r="V541" s="46"/>
      <c r="W541" s="51">
        <f>IF(NOTA[[#This Row],[HARGA/ CTN]]="",NOTA[[#This Row],[JUMLAH_H]],NOTA[[#This Row],[HARGA/ CTN]]*IF(NOTA[[#This Row],[C]]="",0,NOTA[[#This Row],[C]]))</f>
        <v>3110400</v>
      </c>
      <c r="X541" s="51">
        <f>IF(NOTA[[#This Row],[JUMLAH]]="","",NOTA[[#This Row],[JUMLAH]]*NOTA[[#This Row],[DISC 1]])</f>
        <v>388800</v>
      </c>
      <c r="Y541" s="51">
        <f>IF(NOTA[[#This Row],[JUMLAH]]="","",(NOTA[[#This Row],[JUMLAH]]-NOTA[[#This Row],[DISC 1-]])*NOTA[[#This Row],[DISC 2]])</f>
        <v>136080</v>
      </c>
      <c r="Z541" s="51">
        <f>IF(NOTA[[#This Row],[JUMLAH]]="","",NOTA[[#This Row],[DISC 1-]]+NOTA[[#This Row],[DISC 2-]])</f>
        <v>524880</v>
      </c>
      <c r="AA541" s="51">
        <f>IF(NOTA[[#This Row],[JUMLAH]]="","",NOTA[[#This Row],[JUMLAH]]-NOTA[[#This Row],[DISC]])</f>
        <v>2585520</v>
      </c>
      <c r="AB541" s="51"/>
      <c r="AC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41" s="51">
        <f>IF(OR(NOTA[[#This Row],[QTY]]="",NOTA[[#This Row],[HARGA SATUAN]]="",),"",NOTA[[#This Row],[QTY]]*NOTA[[#This Row],[HARGA SATUAN]])</f>
        <v>3110400</v>
      </c>
      <c r="AG541" s="40">
        <f ca="1">IF(NOTA[ID_H]="","",INDEX(NOTA[TANGGAL],MATCH(,INDIRECT(ADDRESS(ROW(NOTA[TANGGAL]),COLUMN(NOTA[TANGGAL]))&amp;":"&amp;ADDRESS(ROW(),COLUMN(NOTA[TANGGAL]))),-1)))</f>
        <v>45127</v>
      </c>
      <c r="AH541" s="42" t="str">
        <f ca="1">IF(NOTA[[#This Row],[NAMA BARANG]]="","",INDEX(NOTA[SUPPLIER],MATCH(,INDIRECT(ADDRESS(ROW(NOTA[ID]),COLUMN(NOTA[ID]))&amp;":"&amp;ADDRESS(ROW(),COLUMN(NOTA[ID]))),-1)))</f>
        <v>ATALI MAKMUR</v>
      </c>
      <c r="AI541" s="42" t="str">
        <f ca="1">IF(NOTA[[#This Row],[ID_H]]="","",IF(NOTA[[#This Row],[FAKTUR]]="",INDIRECT(ADDRESS(ROW()-1,COLUMN())),NOTA[[#This Row],[FAKTUR]]))</f>
        <v>ARTO MORO</v>
      </c>
      <c r="AJ541" s="39" t="str">
        <f ca="1">IF(NOTA[[#This Row],[ID]]="","",COUNTIF(NOTA[ID_H],NOTA[[#This Row],[ID_H]]))</f>
        <v/>
      </c>
      <c r="AK541" s="39">
        <f ca="1">IF(NOTA[[#This Row],[TGL.NOTA]]="",IF(NOTA[[#This Row],[SUPPLIER_H]]="","",AK540),MONTH(NOTA[[#This Row],[TGL.NOTA]]))</f>
        <v>7</v>
      </c>
      <c r="AL541" s="39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5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5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5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39" t="str">
        <f>IF(NOTA[[#This Row],[CONCAT4]]="","",_xlfn.IFNA(MATCH(NOTA[[#This Row],[CONCAT4]],[2]!RAW[CONCAT_H],0),FALSE))</f>
        <v/>
      </c>
      <c r="AQ541" s="39">
        <f>IF(NOTA[[#This Row],[CONCAT1]]="","",MATCH(NOTA[[#This Row],[CONCAT1]],[3]!db[NB NOTA_C],0))</f>
        <v>714</v>
      </c>
      <c r="AR541" s="39" t="b">
        <f>IF(NOTA[[#This Row],[QTY/ CTN]]="","",TRUE)</f>
        <v>1</v>
      </c>
      <c r="AS541" s="39" t="str">
        <f ca="1">IF(NOTA[[#This Row],[ID_H]]="","",IF(NOTA[[#This Row],[Column3]]=TRUE,NOTA[[#This Row],[QTY/ CTN]],INDEX([3]!db[QTY/ CTN],NOTA[[#This Row],[//DB]])))</f>
        <v>144 LSN</v>
      </c>
      <c r="AT5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gelpengp212idiamondblackjk144lsnartomoro</v>
      </c>
      <c r="AU541" s="39" t="e">
        <f ca="1">IF(NOTA[[#This Row],[ID_H]]="","",MATCH(NOTA[[#This Row],[NB NOTA_C_QTY]],[4]!db[NB NOTA_C_QTY+F],0))</f>
        <v>#REF!</v>
      </c>
      <c r="AV541" s="55">
        <f ca="1">IF(NOTA[[#This Row],[NB NOTA_C_QTY]]="","",ROW()-2)</f>
        <v>539</v>
      </c>
    </row>
    <row r="542" spans="1:48" ht="20.100000000000001" customHeight="1" x14ac:dyDescent="0.25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109</v>
      </c>
      <c r="E542" s="47"/>
      <c r="H542" s="48"/>
      <c r="K542" s="38">
        <v>1</v>
      </c>
      <c r="L542" s="38" t="s">
        <v>633</v>
      </c>
      <c r="M542" s="41">
        <v>1</v>
      </c>
      <c r="N542" s="39">
        <v>144</v>
      </c>
      <c r="O542" s="38" t="s">
        <v>152</v>
      </c>
      <c r="P542" s="42">
        <v>6120</v>
      </c>
      <c r="Q542" s="43"/>
      <c r="R542" s="49" t="s">
        <v>538</v>
      </c>
      <c r="S542" s="50">
        <v>0.125</v>
      </c>
      <c r="T542" s="45">
        <v>0.05</v>
      </c>
      <c r="U542" s="51"/>
      <c r="V542" s="46"/>
      <c r="W542" s="51">
        <f>IF(NOTA[[#This Row],[HARGA/ CTN]]="",NOTA[[#This Row],[JUMLAH_H]],NOTA[[#This Row],[HARGA/ CTN]]*IF(NOTA[[#This Row],[C]]="",0,NOTA[[#This Row],[C]]))</f>
        <v>881280</v>
      </c>
      <c r="X542" s="51">
        <f>IF(NOTA[[#This Row],[JUMLAH]]="","",NOTA[[#This Row],[JUMLAH]]*NOTA[[#This Row],[DISC 1]])</f>
        <v>110160</v>
      </c>
      <c r="Y542" s="51">
        <f>IF(NOTA[[#This Row],[JUMLAH]]="","",(NOTA[[#This Row],[JUMLAH]]-NOTA[[#This Row],[DISC 1-]])*NOTA[[#This Row],[DISC 2]])</f>
        <v>38556</v>
      </c>
      <c r="Z542" s="51">
        <f>IF(NOTA[[#This Row],[JUMLAH]]="","",NOTA[[#This Row],[DISC 1-]]+NOTA[[#This Row],[DISC 2-]])</f>
        <v>148716</v>
      </c>
      <c r="AA542" s="51">
        <f>IF(NOTA[[#This Row],[JUMLAH]]="","",NOTA[[#This Row],[JUMLAH]]-NOTA[[#This Row],[DISC]])</f>
        <v>732564</v>
      </c>
      <c r="AB542" s="51"/>
      <c r="AC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42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542" s="51">
        <f>IF(OR(NOTA[[#This Row],[QTY]]="",NOTA[[#This Row],[HARGA SATUAN]]="",),"",NOTA[[#This Row],[QTY]]*NOTA[[#This Row],[HARGA SATUAN]])</f>
        <v>881280</v>
      </c>
      <c r="AG542" s="40">
        <f ca="1">IF(NOTA[ID_H]="","",INDEX(NOTA[TANGGAL],MATCH(,INDIRECT(ADDRESS(ROW(NOTA[TANGGAL]),COLUMN(NOTA[TANGGAL]))&amp;":"&amp;ADDRESS(ROW(),COLUMN(NOTA[TANGGAL]))),-1)))</f>
        <v>45127</v>
      </c>
      <c r="AH542" s="42" t="str">
        <f ca="1">IF(NOTA[[#This Row],[NAMA BARANG]]="","",INDEX(NOTA[SUPPLIER],MATCH(,INDIRECT(ADDRESS(ROW(NOTA[ID]),COLUMN(NOTA[ID]))&amp;":"&amp;ADDRESS(ROW(),COLUMN(NOTA[ID]))),-1)))</f>
        <v>ATALI MAKMUR</v>
      </c>
      <c r="AI542" s="42" t="str">
        <f ca="1">IF(NOTA[[#This Row],[ID_H]]="","",IF(NOTA[[#This Row],[FAKTUR]]="",INDIRECT(ADDRESS(ROW()-1,COLUMN())),NOTA[[#This Row],[FAKTUR]]))</f>
        <v>ARTO MORO</v>
      </c>
      <c r="AJ542" s="39" t="str">
        <f ca="1">IF(NOTA[[#This Row],[ID]]="","",COUNTIF(NOTA[ID_H],NOTA[[#This Row],[ID_H]]))</f>
        <v/>
      </c>
      <c r="AK542" s="39">
        <f ca="1">IF(NOTA[[#This Row],[TGL.NOTA]]="",IF(NOTA[[#This Row],[SUPPLIER_H]]="","",AK541),MONTH(NOTA[[#This Row],[TGL.NOTA]]))</f>
        <v>7</v>
      </c>
      <c r="AL542" s="39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M5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N5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O5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39" t="str">
        <f>IF(NOTA[[#This Row],[CONCAT4]]="","",_xlfn.IFNA(MATCH(NOTA[[#This Row],[CONCAT4]],[2]!RAW[CONCAT_H],0),FALSE))</f>
        <v/>
      </c>
      <c r="AQ542" s="39">
        <f>IF(NOTA[[#This Row],[CONCAT1]]="","",MATCH(NOTA[[#This Row],[CONCAT1]],[3]!db[NB NOTA_C],0))</f>
        <v>627</v>
      </c>
      <c r="AR542" s="39" t="b">
        <f>IF(NOTA[[#This Row],[QTY/ CTN]]="","",TRUE)</f>
        <v>1</v>
      </c>
      <c r="AS542" s="39" t="str">
        <f ca="1">IF(NOTA[[#This Row],[ID_H]]="","",IF(NOTA[[#This Row],[Column3]]=TRUE,NOTA[[#This Row],[QTY/ CTN]],INDEX([3]!db[QTY/ CTN],NOTA[[#This Row],[//DB]])))</f>
        <v>144 LSN</v>
      </c>
      <c r="AT5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ballpenbp273zetoblackjk144lsnartomoro</v>
      </c>
      <c r="AU542" s="39" t="e">
        <f ca="1">IF(NOTA[[#This Row],[ID_H]]="","",MATCH(NOTA[[#This Row],[NB NOTA_C_QTY]],[4]!db[NB NOTA_C_QTY+F],0))</f>
        <v>#REF!</v>
      </c>
      <c r="AV542" s="55">
        <f ca="1">IF(NOTA[[#This Row],[NB NOTA_C_QTY]]="","",ROW()-2)</f>
        <v>540</v>
      </c>
    </row>
    <row r="543" spans="1:48" ht="20.100000000000001" customHeight="1" x14ac:dyDescent="0.25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109</v>
      </c>
      <c r="E543" s="47"/>
      <c r="H543" s="48"/>
      <c r="K543" s="38">
        <v>2</v>
      </c>
      <c r="L543" s="38" t="s">
        <v>634</v>
      </c>
      <c r="M543" s="41">
        <v>2</v>
      </c>
      <c r="N543" s="39">
        <v>288</v>
      </c>
      <c r="O543" s="38" t="s">
        <v>152</v>
      </c>
      <c r="P543" s="42">
        <v>7800</v>
      </c>
      <c r="Q543" s="43"/>
      <c r="R543" s="49" t="s">
        <v>538</v>
      </c>
      <c r="S543" s="50">
        <v>0.125</v>
      </c>
      <c r="T543" s="45">
        <v>0.05</v>
      </c>
      <c r="U543" s="51"/>
      <c r="V543" s="46"/>
      <c r="W543" s="51">
        <f>IF(NOTA[[#This Row],[HARGA/ CTN]]="",NOTA[[#This Row],[JUMLAH_H]],NOTA[[#This Row],[HARGA/ CTN]]*IF(NOTA[[#This Row],[C]]="",0,NOTA[[#This Row],[C]]))</f>
        <v>2246400</v>
      </c>
      <c r="X543" s="51">
        <f>IF(NOTA[[#This Row],[JUMLAH]]="","",NOTA[[#This Row],[JUMLAH]]*NOTA[[#This Row],[DISC 1]])</f>
        <v>280800</v>
      </c>
      <c r="Y543" s="51">
        <f>IF(NOTA[[#This Row],[JUMLAH]]="","",(NOTA[[#This Row],[JUMLAH]]-NOTA[[#This Row],[DISC 1-]])*NOTA[[#This Row],[DISC 2]])</f>
        <v>98280</v>
      </c>
      <c r="Z543" s="51">
        <f>IF(NOTA[[#This Row],[JUMLAH]]="","",NOTA[[#This Row],[DISC 1-]]+NOTA[[#This Row],[DISC 2-]])</f>
        <v>379080</v>
      </c>
      <c r="AA543" s="51">
        <f>IF(NOTA[[#This Row],[JUMLAH]]="","",NOTA[[#This Row],[JUMLAH]]-NOTA[[#This Row],[DISC]])</f>
        <v>1867320</v>
      </c>
      <c r="AB543" s="51"/>
      <c r="AC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42">
        <f>IF(NOTA[[#This Row],[NAMA BARANG]]="","",IF(NOTA[[#This Row],[JUMLAH_H]]="",NOTA[[#This Row],[HARGA/ CTN]],NOTA[[#This Row],[QTY]]*NOTA[[#This Row],[HARGA SATUAN]]/IF(ISNUMBER(NOTA[[#This Row],[C]]),NOTA[[#This Row],[C]],1)))</f>
        <v>1123200</v>
      </c>
      <c r="AF543" s="51">
        <f>IF(OR(NOTA[[#This Row],[QTY]]="",NOTA[[#This Row],[HARGA SATUAN]]="",),"",NOTA[[#This Row],[QTY]]*NOTA[[#This Row],[HARGA SATUAN]])</f>
        <v>2246400</v>
      </c>
      <c r="AG543" s="40">
        <f ca="1">IF(NOTA[ID_H]="","",INDEX(NOTA[TANGGAL],MATCH(,INDIRECT(ADDRESS(ROW(NOTA[TANGGAL]),COLUMN(NOTA[TANGGAL]))&amp;":"&amp;ADDRESS(ROW(),COLUMN(NOTA[TANGGAL]))),-1)))</f>
        <v>45127</v>
      </c>
      <c r="AH543" s="42" t="str">
        <f ca="1">IF(NOTA[[#This Row],[NAMA BARANG]]="","",INDEX(NOTA[SUPPLIER],MATCH(,INDIRECT(ADDRESS(ROW(NOTA[ID]),COLUMN(NOTA[ID]))&amp;":"&amp;ADDRESS(ROW(),COLUMN(NOTA[ID]))),-1)))</f>
        <v>ATALI MAKMUR</v>
      </c>
      <c r="AI543" s="42" t="str">
        <f ca="1">IF(NOTA[[#This Row],[ID_H]]="","",IF(NOTA[[#This Row],[FAKTUR]]="",INDIRECT(ADDRESS(ROW()-1,COLUMN())),NOTA[[#This Row],[FAKTUR]]))</f>
        <v>ARTO MORO</v>
      </c>
      <c r="AJ543" s="39" t="str">
        <f ca="1">IF(NOTA[[#This Row],[ID]]="","",COUNTIF(NOTA[ID_H],NOTA[[#This Row],[ID_H]]))</f>
        <v/>
      </c>
      <c r="AK543" s="39">
        <f ca="1">IF(NOTA[[#This Row],[TGL.NOTA]]="",IF(NOTA[[#This Row],[SUPPLIER_H]]="","",AK542),MONTH(NOTA[[#This Row],[TGL.NOTA]]))</f>
        <v>7</v>
      </c>
      <c r="AL543" s="39" t="str">
        <f>LOWER(SUBSTITUTE(SUBSTITUTE(SUBSTITUTE(SUBSTITUTE(SUBSTITUTE(SUBSTITUTE(SUBSTITUTE(SUBSTITUTE(SUBSTITUTE(NOTA[NAMA BARANG]," ",),".",""),"-",""),"(",""),")",""),",",""),"/",""),"""",""),"+",""))</f>
        <v>ballpenbp248sumablackjk</v>
      </c>
      <c r="AM5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ballpenbp248sumablackjk11232000.1250.05</v>
      </c>
      <c r="AN5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ballpenbp248sumablackjk11232000.1250.05</v>
      </c>
      <c r="AO5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39" t="str">
        <f>IF(NOTA[[#This Row],[CONCAT4]]="","",_xlfn.IFNA(MATCH(NOTA[[#This Row],[CONCAT4]],[2]!RAW[CONCAT_H],0),FALSE))</f>
        <v/>
      </c>
      <c r="AQ543" s="39">
        <f>IF(NOTA[[#This Row],[CONCAT1]]="","",MATCH(NOTA[[#This Row],[CONCAT1]],[3]!db[NB NOTA_C],0))</f>
        <v>621</v>
      </c>
      <c r="AR543" s="39" t="b">
        <f>IF(NOTA[[#This Row],[QTY/ CTN]]="","",TRUE)</f>
        <v>1</v>
      </c>
      <c r="AS543" s="39" t="str">
        <f ca="1">IF(NOTA[[#This Row],[ID_H]]="","",IF(NOTA[[#This Row],[Column3]]=TRUE,NOTA[[#This Row],[QTY/ CTN]],INDEX([3]!db[QTY/ CTN],NOTA[[#This Row],[//DB]])))</f>
        <v>144 LSN</v>
      </c>
      <c r="AT5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ballpenbp248sumablackjk144lsnartomoro</v>
      </c>
      <c r="AU543" s="39" t="e">
        <f ca="1">IF(NOTA[[#This Row],[ID_H]]="","",MATCH(NOTA[[#This Row],[NB NOTA_C_QTY]],[4]!db[NB NOTA_C_QTY+F],0))</f>
        <v>#REF!</v>
      </c>
      <c r="AV543" s="55">
        <f ca="1">IF(NOTA[[#This Row],[NB NOTA_C_QTY]]="","",ROW()-2)</f>
        <v>541</v>
      </c>
    </row>
    <row r="544" spans="1:48" ht="20.100000000000001" customHeight="1" x14ac:dyDescent="0.25">
      <c r="A5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109</v>
      </c>
      <c r="E544" s="47"/>
      <c r="H544" s="48"/>
      <c r="K544" s="38">
        <v>1</v>
      </c>
      <c r="L544" s="38" t="s">
        <v>635</v>
      </c>
      <c r="M544" s="41">
        <v>1</v>
      </c>
      <c r="N544" s="39">
        <v>576</v>
      </c>
      <c r="O544" s="38" t="s">
        <v>117</v>
      </c>
      <c r="P544" s="42">
        <v>5800</v>
      </c>
      <c r="Q544" s="43"/>
      <c r="R544" s="49" t="s">
        <v>238</v>
      </c>
      <c r="S544" s="50">
        <v>0.125</v>
      </c>
      <c r="T544" s="45">
        <v>0.05</v>
      </c>
      <c r="U544" s="51"/>
      <c r="V544" s="46"/>
      <c r="W544" s="51">
        <f>IF(NOTA[[#This Row],[HARGA/ CTN]]="",NOTA[[#This Row],[JUMLAH_H]],NOTA[[#This Row],[HARGA/ CTN]]*IF(NOTA[[#This Row],[C]]="",0,NOTA[[#This Row],[C]]))</f>
        <v>3340800</v>
      </c>
      <c r="X544" s="51">
        <f>IF(NOTA[[#This Row],[JUMLAH]]="","",NOTA[[#This Row],[JUMLAH]]*NOTA[[#This Row],[DISC 1]])</f>
        <v>417600</v>
      </c>
      <c r="Y544" s="51">
        <f>IF(NOTA[[#This Row],[JUMLAH]]="","",(NOTA[[#This Row],[JUMLAH]]-NOTA[[#This Row],[DISC 1-]])*NOTA[[#This Row],[DISC 2]])</f>
        <v>146160</v>
      </c>
      <c r="Z544" s="51">
        <f>IF(NOTA[[#This Row],[JUMLAH]]="","",NOTA[[#This Row],[DISC 1-]]+NOTA[[#This Row],[DISC 2-]])</f>
        <v>563760</v>
      </c>
      <c r="AA544" s="51">
        <f>IF(NOTA[[#This Row],[JUMLAH]]="","",NOTA[[#This Row],[JUMLAH]]-NOTA[[#This Row],[DISC]])</f>
        <v>2777040</v>
      </c>
      <c r="AB544" s="51"/>
      <c r="AC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4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544" s="51">
        <f>IF(OR(NOTA[[#This Row],[QTY]]="",NOTA[[#This Row],[HARGA SATUAN]]="",),"",NOTA[[#This Row],[QTY]]*NOTA[[#This Row],[HARGA SATUAN]])</f>
        <v>3340800</v>
      </c>
      <c r="AG544" s="40">
        <f ca="1">IF(NOTA[ID_H]="","",INDEX(NOTA[TANGGAL],MATCH(,INDIRECT(ADDRESS(ROW(NOTA[TANGGAL]),COLUMN(NOTA[TANGGAL]))&amp;":"&amp;ADDRESS(ROW(),COLUMN(NOTA[TANGGAL]))),-1)))</f>
        <v>45127</v>
      </c>
      <c r="AH544" s="42" t="str">
        <f ca="1">IF(NOTA[[#This Row],[NAMA BARANG]]="","",INDEX(NOTA[SUPPLIER],MATCH(,INDIRECT(ADDRESS(ROW(NOTA[ID]),COLUMN(NOTA[ID]))&amp;":"&amp;ADDRESS(ROW(),COLUMN(NOTA[ID]))),-1)))</f>
        <v>ATALI MAKMUR</v>
      </c>
      <c r="AI544" s="42" t="str">
        <f ca="1">IF(NOTA[[#This Row],[ID_H]]="","",IF(NOTA[[#This Row],[FAKTUR]]="",INDIRECT(ADDRESS(ROW()-1,COLUMN())),NOTA[[#This Row],[FAKTUR]]))</f>
        <v>ARTO MORO</v>
      </c>
      <c r="AJ544" s="39" t="str">
        <f ca="1">IF(NOTA[[#This Row],[ID]]="","",COUNTIF(NOTA[ID_H],NOTA[[#This Row],[ID_H]]))</f>
        <v/>
      </c>
      <c r="AK544" s="39">
        <f ca="1">IF(NOTA[[#This Row],[TGL.NOTA]]="",IF(NOTA[[#This Row],[SUPPLIER_H]]="","",AK543),MONTH(NOTA[[#This Row],[TGL.NOTA]]))</f>
        <v>7</v>
      </c>
      <c r="AL544" s="39" t="str">
        <f>LOWER(SUBSTITUTE(SUBSTITUTE(SUBSTITUTE(SUBSTITUTE(SUBSTITUTE(SUBSTITUTE(SUBSTITUTE(SUBSTITUTE(SUBSTITUTE(NOTA[NAMA BARANG]," ",),".",""),"-",""),"(",""),")",""),",",""),"/",""),"""",""),"+",""))</f>
        <v>penstandblackpsgp147blackjk</v>
      </c>
      <c r="AM5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N5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O5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39" t="str">
        <f>IF(NOTA[[#This Row],[CONCAT4]]="","",_xlfn.IFNA(MATCH(NOTA[[#This Row],[CONCAT4]],[2]!RAW[CONCAT_H],0),FALSE))</f>
        <v/>
      </c>
      <c r="AQ544" s="39">
        <f>IF(NOTA[[#This Row],[CONCAT1]]="","",MATCH(NOTA[[#This Row],[CONCAT1]],[3]!db[NB NOTA_C],0))</f>
        <v>2442</v>
      </c>
      <c r="AR544" s="39" t="b">
        <f>IF(NOTA[[#This Row],[QTY/ CTN]]="","",TRUE)</f>
        <v>1</v>
      </c>
      <c r="AS544" s="39" t="str">
        <f ca="1">IF(NOTA[[#This Row],[ID_H]]="","",IF(NOTA[[#This Row],[Column3]]=TRUE,NOTA[[#This Row],[QTY/ CTN]],INDEX([3]!db[QTY/ CTN],NOTA[[#This Row],[//DB]])))</f>
        <v>48 LSN</v>
      </c>
      <c r="AT5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penstandblackpsgp147blackjk48lsnartomoro</v>
      </c>
      <c r="AU544" s="39" t="e">
        <f ca="1">IF(NOTA[[#This Row],[ID_H]]="","",MATCH(NOTA[[#This Row],[NB NOTA_C_QTY]],[4]!db[NB NOTA_C_QTY+F],0))</f>
        <v>#REF!</v>
      </c>
      <c r="AV544" s="55">
        <f ca="1">IF(NOTA[[#This Row],[NB NOTA_C_QTY]]="","",ROW()-2)</f>
        <v>542</v>
      </c>
    </row>
    <row r="545" spans="1:48" ht="20.100000000000001" customHeight="1" x14ac:dyDescent="0.25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109</v>
      </c>
      <c r="E545" s="47"/>
      <c r="H545" s="48"/>
      <c r="K545" s="38">
        <v>2</v>
      </c>
      <c r="L545" s="38" t="s">
        <v>421</v>
      </c>
      <c r="M545" s="41">
        <v>2</v>
      </c>
      <c r="N545" s="39">
        <v>48</v>
      </c>
      <c r="O545" s="38" t="s">
        <v>117</v>
      </c>
      <c r="P545" s="42">
        <v>11100</v>
      </c>
      <c r="Q545" s="43"/>
      <c r="R545" s="49" t="s">
        <v>296</v>
      </c>
      <c r="S545" s="50">
        <v>0.125</v>
      </c>
      <c r="T545" s="45">
        <v>0.05</v>
      </c>
      <c r="U545" s="51"/>
      <c r="V545" s="46"/>
      <c r="W545" s="51">
        <f>IF(NOTA[[#This Row],[HARGA/ CTN]]="",NOTA[[#This Row],[JUMLAH_H]],NOTA[[#This Row],[HARGA/ CTN]]*IF(NOTA[[#This Row],[C]]="",0,NOTA[[#This Row],[C]]))</f>
        <v>532800</v>
      </c>
      <c r="X545" s="51">
        <f>IF(NOTA[[#This Row],[JUMLAH]]="","",NOTA[[#This Row],[JUMLAH]]*NOTA[[#This Row],[DISC 1]])</f>
        <v>66600</v>
      </c>
      <c r="Y545" s="51">
        <f>IF(NOTA[[#This Row],[JUMLAH]]="","",(NOTA[[#This Row],[JUMLAH]]-NOTA[[#This Row],[DISC 1-]])*NOTA[[#This Row],[DISC 2]])</f>
        <v>23310</v>
      </c>
      <c r="Z545" s="51">
        <f>IF(NOTA[[#This Row],[JUMLAH]]="","",NOTA[[#This Row],[DISC 1-]]+NOTA[[#This Row],[DISC 2-]])</f>
        <v>89910</v>
      </c>
      <c r="AA545" s="51">
        <f>IF(NOTA[[#This Row],[JUMLAH]]="","",NOTA[[#This Row],[JUMLAH]]-NOTA[[#This Row],[DISC]])</f>
        <v>442890</v>
      </c>
      <c r="AB545" s="51"/>
      <c r="AC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545" s="51">
        <f>IF(OR(NOTA[[#This Row],[QTY]]="",NOTA[[#This Row],[HARGA SATUAN]]="",),"",NOTA[[#This Row],[QTY]]*NOTA[[#This Row],[HARGA SATUAN]])</f>
        <v>532800</v>
      </c>
      <c r="AG545" s="40">
        <f ca="1">IF(NOTA[ID_H]="","",INDEX(NOTA[TANGGAL],MATCH(,INDIRECT(ADDRESS(ROW(NOTA[TANGGAL]),COLUMN(NOTA[TANGGAL]))&amp;":"&amp;ADDRESS(ROW(),COLUMN(NOTA[TANGGAL]))),-1)))</f>
        <v>45127</v>
      </c>
      <c r="AH545" s="42" t="str">
        <f ca="1">IF(NOTA[[#This Row],[NAMA BARANG]]="","",INDEX(NOTA[SUPPLIER],MATCH(,INDIRECT(ADDRESS(ROW(NOTA[ID]),COLUMN(NOTA[ID]))&amp;":"&amp;ADDRESS(ROW(),COLUMN(NOTA[ID]))),-1)))</f>
        <v>ATALI MAKMUR</v>
      </c>
      <c r="AI545" s="42" t="str">
        <f ca="1">IF(NOTA[[#This Row],[ID_H]]="","",IF(NOTA[[#This Row],[FAKTUR]]="",INDIRECT(ADDRESS(ROW()-1,COLUMN())),NOTA[[#This Row],[FAKTUR]]))</f>
        <v>ARTO MORO</v>
      </c>
      <c r="AJ545" s="39" t="str">
        <f ca="1">IF(NOTA[[#This Row],[ID]]="","",COUNTIF(NOTA[ID_H],NOTA[[#This Row],[ID_H]]))</f>
        <v/>
      </c>
      <c r="AK545" s="39">
        <f ca="1">IF(NOTA[[#This Row],[TGL.NOTA]]="",IF(NOTA[[#This Row],[SUPPLIER_H]]="","",AK544),MONTH(NOTA[[#This Row],[TGL.NOTA]]))</f>
        <v>7</v>
      </c>
      <c r="AL545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5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5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5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39" t="str">
        <f>IF(NOTA[[#This Row],[CONCAT4]]="","",_xlfn.IFNA(MATCH(NOTA[[#This Row],[CONCAT4]],[2]!RAW[CONCAT_H],0),FALSE))</f>
        <v/>
      </c>
      <c r="AQ545" s="39">
        <f>IF(NOTA[[#This Row],[CONCAT1]]="","",MATCH(NOTA[[#This Row],[CONCAT1]],[3]!db[NB NOTA_C],0))</f>
        <v>982</v>
      </c>
      <c r="AR545" s="39" t="b">
        <f>IF(NOTA[[#This Row],[QTY/ CTN]]="","",TRUE)</f>
        <v>1</v>
      </c>
      <c r="AS545" s="39" t="str">
        <f ca="1">IF(NOTA[[#This Row],[ID_H]]="","",IF(NOTA[[#This Row],[Column3]]=TRUE,NOTA[[#This Row],[QTY/ CTN]],INDEX([3]!db[QTY/ CTN],NOTA[[#This Row],[//DB]])))</f>
        <v>24 PCS</v>
      </c>
      <c r="AT5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545" s="39" t="e">
        <f ca="1">IF(NOTA[[#This Row],[ID_H]]="","",MATCH(NOTA[[#This Row],[NB NOTA_C_QTY]],[4]!db[NB NOTA_C_QTY+F],0))</f>
        <v>#REF!</v>
      </c>
      <c r="AV545" s="55">
        <f ca="1">IF(NOTA[[#This Row],[NB NOTA_C_QTY]]="","",ROW()-2)</f>
        <v>543</v>
      </c>
    </row>
    <row r="546" spans="1:48" ht="20.100000000000001" customHeight="1" x14ac:dyDescent="0.25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9" t="str">
        <f>IF(NOTA[[#This Row],[ID_P]]="","",MATCH(NOTA[[#This Row],[ID_P]],[1]!B_MSK[N_ID],0))</f>
        <v/>
      </c>
      <c r="D546" s="39">
        <f ca="1">IF(NOTA[[#This Row],[NAMA BARANG]]="","",INDEX(NOTA[ID],MATCH(,INDIRECT(ADDRESS(ROW(NOTA[ID]),COLUMN(NOTA[ID]))&amp;":"&amp;ADDRESS(ROW(),COLUMN(NOTA[ID]))),-1)))</f>
        <v>109</v>
      </c>
      <c r="E546" s="47"/>
      <c r="H546" s="48"/>
      <c r="K546" s="38">
        <v>2</v>
      </c>
      <c r="L546" s="38" t="s">
        <v>636</v>
      </c>
      <c r="M546" s="41">
        <v>2</v>
      </c>
      <c r="N546" s="39">
        <v>48</v>
      </c>
      <c r="O546" s="38" t="s">
        <v>117</v>
      </c>
      <c r="P546" s="42">
        <v>22500</v>
      </c>
      <c r="Q546" s="43"/>
      <c r="R546" s="49" t="s">
        <v>296</v>
      </c>
      <c r="S546" s="50">
        <v>0.125</v>
      </c>
      <c r="T546" s="45">
        <v>0.05</v>
      </c>
      <c r="U546" s="51"/>
      <c r="V546" s="46"/>
      <c r="W546" s="51">
        <f>IF(NOTA[[#This Row],[HARGA/ CTN]]="",NOTA[[#This Row],[JUMLAH_H]],NOTA[[#This Row],[HARGA/ CTN]]*IF(NOTA[[#This Row],[C]]="",0,NOTA[[#This Row],[C]]))</f>
        <v>1080000</v>
      </c>
      <c r="X546" s="51">
        <f>IF(NOTA[[#This Row],[JUMLAH]]="","",NOTA[[#This Row],[JUMLAH]]*NOTA[[#This Row],[DISC 1]])</f>
        <v>135000</v>
      </c>
      <c r="Y546" s="51">
        <f>IF(NOTA[[#This Row],[JUMLAH]]="","",(NOTA[[#This Row],[JUMLAH]]-NOTA[[#This Row],[DISC 1-]])*NOTA[[#This Row],[DISC 2]])</f>
        <v>47250</v>
      </c>
      <c r="Z546" s="51">
        <f>IF(NOTA[[#This Row],[JUMLAH]]="","",NOTA[[#This Row],[DISC 1-]]+NOTA[[#This Row],[DISC 2-]])</f>
        <v>182250</v>
      </c>
      <c r="AA546" s="51">
        <f>IF(NOTA[[#This Row],[JUMLAH]]="","",NOTA[[#This Row],[JUMLAH]]-NOTA[[#This Row],[DISC]])</f>
        <v>897750</v>
      </c>
      <c r="AB546" s="51"/>
      <c r="AC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546" s="51">
        <f>IF(OR(NOTA[[#This Row],[QTY]]="",NOTA[[#This Row],[HARGA SATUAN]]="",),"",NOTA[[#This Row],[QTY]]*NOTA[[#This Row],[HARGA SATUAN]])</f>
        <v>1080000</v>
      </c>
      <c r="AG546" s="40">
        <f ca="1">IF(NOTA[ID_H]="","",INDEX(NOTA[TANGGAL],MATCH(,INDIRECT(ADDRESS(ROW(NOTA[TANGGAL]),COLUMN(NOTA[TANGGAL]))&amp;":"&amp;ADDRESS(ROW(),COLUMN(NOTA[TANGGAL]))),-1)))</f>
        <v>45127</v>
      </c>
      <c r="AH546" s="42" t="str">
        <f ca="1">IF(NOTA[[#This Row],[NAMA BARANG]]="","",INDEX(NOTA[SUPPLIER],MATCH(,INDIRECT(ADDRESS(ROW(NOTA[ID]),COLUMN(NOTA[ID]))&amp;":"&amp;ADDRESS(ROW(),COLUMN(NOTA[ID]))),-1)))</f>
        <v>ATALI MAKMUR</v>
      </c>
      <c r="AI546" s="42" t="str">
        <f ca="1">IF(NOTA[[#This Row],[ID_H]]="","",IF(NOTA[[#This Row],[FAKTUR]]="",INDIRECT(ADDRESS(ROW()-1,COLUMN())),NOTA[[#This Row],[FAKTUR]]))</f>
        <v>ARTO MORO</v>
      </c>
      <c r="AJ546" s="39" t="str">
        <f ca="1">IF(NOTA[[#This Row],[ID]]="","",COUNTIF(NOTA[ID_H],NOTA[[#This Row],[ID_H]]))</f>
        <v/>
      </c>
      <c r="AK546" s="39">
        <f ca="1">IF(NOTA[[#This Row],[TGL.NOTA]]="",IF(NOTA[[#This Row],[SUPPLIER_H]]="","",AK545),MONTH(NOTA[[#This Row],[TGL.NOTA]]))</f>
        <v>7</v>
      </c>
      <c r="AL546" s="39" t="str">
        <f>LOWER(SUBSTITUTE(SUBSTITUTE(SUBSTITUTE(SUBSTITUTE(SUBSTITUTE(SUBSTITUTE(SUBSTITUTE(SUBSTITUTE(SUBSTITUTE(NOTA[NAMA BARANG]," ",),".",""),"-",""),"(",""),")",""),",",""),"/",""),"""",""),"+",""))</f>
        <v>tapecuttertd09njk</v>
      </c>
      <c r="AM5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5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5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39" t="str">
        <f>IF(NOTA[[#This Row],[CONCAT4]]="","",_xlfn.IFNA(MATCH(NOTA[[#This Row],[CONCAT4]],[2]!RAW[CONCAT_H],0),FALSE))</f>
        <v/>
      </c>
      <c r="AQ546" s="39">
        <f>IF(NOTA[[#This Row],[CONCAT1]]="","",MATCH(NOTA[[#This Row],[CONCAT1]],[3]!db[NB NOTA_C],0))</f>
        <v>980</v>
      </c>
      <c r="AR546" s="39" t="b">
        <f>IF(NOTA[[#This Row],[QTY/ CTN]]="","",TRUE)</f>
        <v>1</v>
      </c>
      <c r="AS546" s="39" t="str">
        <f ca="1">IF(NOTA[[#This Row],[ID_H]]="","",IF(NOTA[[#This Row],[Column3]]=TRUE,NOTA[[#This Row],[QTY/ CTN]],INDEX([3]!db[QTY/ CTN],NOTA[[#This Row],[//DB]])))</f>
        <v>24 PCS</v>
      </c>
      <c r="AT5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U546" s="39" t="e">
        <f ca="1">IF(NOTA[[#This Row],[ID_H]]="","",MATCH(NOTA[[#This Row],[NB NOTA_C_QTY]],[4]!db[NB NOTA_C_QTY+F],0))</f>
        <v>#REF!</v>
      </c>
      <c r="AV546" s="55">
        <f ca="1">IF(NOTA[[#This Row],[NB NOTA_C_QTY]]="","",ROW()-2)</f>
        <v>544</v>
      </c>
    </row>
    <row r="547" spans="1:48" ht="20.100000000000001" customHeight="1" x14ac:dyDescent="0.25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9" t="str">
        <f>IF(NOTA[[#This Row],[ID_P]]="","",MATCH(NOTA[[#This Row],[ID_P]],[1]!B_MSK[N_ID],0))</f>
        <v/>
      </c>
      <c r="D547" s="39">
        <f ca="1">IF(NOTA[[#This Row],[NAMA BARANG]]="","",INDEX(NOTA[ID],MATCH(,INDIRECT(ADDRESS(ROW(NOTA[ID]),COLUMN(NOTA[ID]))&amp;":"&amp;ADDRESS(ROW(),COLUMN(NOTA[ID]))),-1)))</f>
        <v>109</v>
      </c>
      <c r="E547" s="47"/>
      <c r="H547" s="48"/>
      <c r="K547" s="38">
        <v>2</v>
      </c>
      <c r="L547" s="38" t="s">
        <v>637</v>
      </c>
      <c r="M547" s="41">
        <v>2</v>
      </c>
      <c r="N547" s="39">
        <v>48</v>
      </c>
      <c r="O547" s="38" t="s">
        <v>117</v>
      </c>
      <c r="P547" s="42">
        <v>41000</v>
      </c>
      <c r="Q547" s="43"/>
      <c r="R547" s="49" t="s">
        <v>296</v>
      </c>
      <c r="S547" s="50">
        <v>0.125</v>
      </c>
      <c r="T547" s="45">
        <v>0.05</v>
      </c>
      <c r="U547" s="51"/>
      <c r="V547" s="46"/>
      <c r="W547" s="51">
        <f>IF(NOTA[[#This Row],[HARGA/ CTN]]="",NOTA[[#This Row],[JUMLAH_H]],NOTA[[#This Row],[HARGA/ CTN]]*IF(NOTA[[#This Row],[C]]="",0,NOTA[[#This Row],[C]]))</f>
        <v>1968000</v>
      </c>
      <c r="X547" s="51">
        <f>IF(NOTA[[#This Row],[JUMLAH]]="","",NOTA[[#This Row],[JUMLAH]]*NOTA[[#This Row],[DISC 1]])</f>
        <v>246000</v>
      </c>
      <c r="Y547" s="51">
        <f>IF(NOTA[[#This Row],[JUMLAH]]="","",(NOTA[[#This Row],[JUMLAH]]-NOTA[[#This Row],[DISC 1-]])*NOTA[[#This Row],[DISC 2]])</f>
        <v>86100</v>
      </c>
      <c r="Z547" s="51">
        <f>IF(NOTA[[#This Row],[JUMLAH]]="","",NOTA[[#This Row],[DISC 1-]]+NOTA[[#This Row],[DISC 2-]])</f>
        <v>332100</v>
      </c>
      <c r="AA547" s="51">
        <f>IF(NOTA[[#This Row],[JUMLAH]]="","",NOTA[[#This Row],[JUMLAH]]-NOTA[[#This Row],[DISC]])</f>
        <v>1635900</v>
      </c>
      <c r="AB547" s="51"/>
      <c r="AC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547" s="51">
        <f>IF(OR(NOTA[[#This Row],[QTY]]="",NOTA[[#This Row],[HARGA SATUAN]]="",),"",NOTA[[#This Row],[QTY]]*NOTA[[#This Row],[HARGA SATUAN]])</f>
        <v>1968000</v>
      </c>
      <c r="AG547" s="40">
        <f ca="1">IF(NOTA[ID_H]="","",INDEX(NOTA[TANGGAL],MATCH(,INDIRECT(ADDRESS(ROW(NOTA[TANGGAL]),COLUMN(NOTA[TANGGAL]))&amp;":"&amp;ADDRESS(ROW(),COLUMN(NOTA[TANGGAL]))),-1)))</f>
        <v>45127</v>
      </c>
      <c r="AH547" s="42" t="str">
        <f ca="1">IF(NOTA[[#This Row],[NAMA BARANG]]="","",INDEX(NOTA[SUPPLIER],MATCH(,INDIRECT(ADDRESS(ROW(NOTA[ID]),COLUMN(NOTA[ID]))&amp;":"&amp;ADDRESS(ROW(),COLUMN(NOTA[ID]))),-1)))</f>
        <v>ATALI MAKMUR</v>
      </c>
      <c r="AI547" s="42" t="str">
        <f ca="1">IF(NOTA[[#This Row],[ID_H]]="","",IF(NOTA[[#This Row],[FAKTUR]]="",INDIRECT(ADDRESS(ROW()-1,COLUMN())),NOTA[[#This Row],[FAKTUR]]))</f>
        <v>ARTO MORO</v>
      </c>
      <c r="AJ547" s="39" t="str">
        <f ca="1">IF(NOTA[[#This Row],[ID]]="","",COUNTIF(NOTA[ID_H],NOTA[[#This Row],[ID_H]]))</f>
        <v/>
      </c>
      <c r="AK547" s="39">
        <f ca="1">IF(NOTA[[#This Row],[TGL.NOTA]]="",IF(NOTA[[#This Row],[SUPPLIER_H]]="","",AK546),MONTH(NOTA[[#This Row],[TGL.NOTA]]))</f>
        <v>7</v>
      </c>
      <c r="AL547" s="39" t="str">
        <f>LOWER(SUBSTITUTE(SUBSTITUTE(SUBSTITUTE(SUBSTITUTE(SUBSTITUTE(SUBSTITUTE(SUBSTITUTE(SUBSTITUTE(SUBSTITUTE(NOTA[NAMA BARANG]," ",),".",""),"-",""),"(",""),")",""),",",""),"/",""),"""",""),"+",""))</f>
        <v>tapecuttertd2hjk</v>
      </c>
      <c r="AM5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5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5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39" t="str">
        <f>IF(NOTA[[#This Row],[CONCAT4]]="","",_xlfn.IFNA(MATCH(NOTA[[#This Row],[CONCAT4]],[2]!RAW[CONCAT_H],0),FALSE))</f>
        <v/>
      </c>
      <c r="AQ547" s="39">
        <f>IF(NOTA[[#This Row],[CONCAT1]]="","",MATCH(NOTA[[#This Row],[CONCAT1]],[3]!db[NB NOTA_C],0))</f>
        <v>985</v>
      </c>
      <c r="AR547" s="39" t="b">
        <f>IF(NOTA[[#This Row],[QTY/ CTN]]="","",TRUE)</f>
        <v>1</v>
      </c>
      <c r="AS547" s="39" t="str">
        <f ca="1">IF(NOTA[[#This Row],[ID_H]]="","",IF(NOTA[[#This Row],[Column3]]=TRUE,NOTA[[#This Row],[QTY/ CTN]],INDEX([3]!db[QTY/ CTN],NOTA[[#This Row],[//DB]])))</f>
        <v>24 PCS</v>
      </c>
      <c r="AT5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U547" s="39" t="e">
        <f ca="1">IF(NOTA[[#This Row],[ID_H]]="","",MATCH(NOTA[[#This Row],[NB NOTA_C_QTY]],[4]!db[NB NOTA_C_QTY+F],0))</f>
        <v>#REF!</v>
      </c>
      <c r="AV547" s="55">
        <f ca="1">IF(NOTA[[#This Row],[NB NOTA_C_QTY]]="","",ROW()-2)</f>
        <v>545</v>
      </c>
    </row>
    <row r="548" spans="1:48" ht="20.100000000000001" customHeight="1" x14ac:dyDescent="0.25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9" t="str">
        <f>IF(NOTA[[#This Row],[ID_P]]="","",MATCH(NOTA[[#This Row],[ID_P]],[1]!B_MSK[N_ID],0))</f>
        <v/>
      </c>
      <c r="D548" s="39">
        <f ca="1">IF(NOTA[[#This Row],[NAMA BARANG]]="","",INDEX(NOTA[ID],MATCH(,INDIRECT(ADDRESS(ROW(NOTA[ID]),COLUMN(NOTA[ID]))&amp;":"&amp;ADDRESS(ROW(),COLUMN(NOTA[ID]))),-1)))</f>
        <v>109</v>
      </c>
      <c r="E548" s="47"/>
      <c r="H548" s="48"/>
      <c r="K548" s="38">
        <v>1</v>
      </c>
      <c r="L548" s="38" t="s">
        <v>638</v>
      </c>
      <c r="M548" s="41">
        <v>1</v>
      </c>
      <c r="N548" s="39">
        <v>24</v>
      </c>
      <c r="O548" s="38" t="s">
        <v>152</v>
      </c>
      <c r="P548" s="42">
        <v>27600</v>
      </c>
      <c r="Q548" s="43"/>
      <c r="R548" s="49" t="s">
        <v>240</v>
      </c>
      <c r="S548" s="50">
        <v>0.125</v>
      </c>
      <c r="T548" s="45">
        <v>0.05</v>
      </c>
      <c r="U548" s="51"/>
      <c r="V548" s="46"/>
      <c r="W548" s="51">
        <f>IF(NOTA[[#This Row],[HARGA/ CTN]]="",NOTA[[#This Row],[JUMLAH_H]],NOTA[[#This Row],[HARGA/ CTN]]*IF(NOTA[[#This Row],[C]]="",0,NOTA[[#This Row],[C]]))</f>
        <v>662400</v>
      </c>
      <c r="X548" s="51">
        <f>IF(NOTA[[#This Row],[JUMLAH]]="","",NOTA[[#This Row],[JUMLAH]]*NOTA[[#This Row],[DISC 1]])</f>
        <v>82800</v>
      </c>
      <c r="Y548" s="51">
        <f>IF(NOTA[[#This Row],[JUMLAH]]="","",(NOTA[[#This Row],[JUMLAH]]-NOTA[[#This Row],[DISC 1-]])*NOTA[[#This Row],[DISC 2]])</f>
        <v>28980</v>
      </c>
      <c r="Z548" s="51">
        <f>IF(NOTA[[#This Row],[JUMLAH]]="","",NOTA[[#This Row],[DISC 1-]]+NOTA[[#This Row],[DISC 2-]])</f>
        <v>111780</v>
      </c>
      <c r="AA548" s="51">
        <f>IF(NOTA[[#This Row],[JUMLAH]]="","",NOTA[[#This Row],[JUMLAH]]-NOTA[[#This Row],[DISC]])</f>
        <v>550620</v>
      </c>
      <c r="AB548" s="51"/>
      <c r="AC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4661226</v>
      </c>
      <c r="AD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22960854</v>
      </c>
      <c r="AE548" s="4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548" s="51">
        <f>IF(OR(NOTA[[#This Row],[QTY]]="",NOTA[[#This Row],[HARGA SATUAN]]="",),"",NOTA[[#This Row],[QTY]]*NOTA[[#This Row],[HARGA SATUAN]])</f>
        <v>662400</v>
      </c>
      <c r="AG548" s="40">
        <f ca="1">IF(NOTA[ID_H]="","",INDEX(NOTA[TANGGAL],MATCH(,INDIRECT(ADDRESS(ROW(NOTA[TANGGAL]),COLUMN(NOTA[TANGGAL]))&amp;":"&amp;ADDRESS(ROW(),COLUMN(NOTA[TANGGAL]))),-1)))</f>
        <v>45127</v>
      </c>
      <c r="AH548" s="42" t="str">
        <f ca="1">IF(NOTA[[#This Row],[NAMA BARANG]]="","",INDEX(NOTA[SUPPLIER],MATCH(,INDIRECT(ADDRESS(ROW(NOTA[ID]),COLUMN(NOTA[ID]))&amp;":"&amp;ADDRESS(ROW(),COLUMN(NOTA[ID]))),-1)))</f>
        <v>ATALI MAKMUR</v>
      </c>
      <c r="AI548" s="42" t="str">
        <f ca="1">IF(NOTA[[#This Row],[ID_H]]="","",IF(NOTA[[#This Row],[FAKTUR]]="",INDIRECT(ADDRESS(ROW()-1,COLUMN())),NOTA[[#This Row],[FAKTUR]]))</f>
        <v>ARTO MORO</v>
      </c>
      <c r="AJ548" s="39" t="str">
        <f ca="1">IF(NOTA[[#This Row],[ID]]="","",COUNTIF(NOTA[ID_H],NOTA[[#This Row],[ID_H]]))</f>
        <v/>
      </c>
      <c r="AK548" s="39">
        <f ca="1">IF(NOTA[[#This Row],[TGL.NOTA]]="",IF(NOTA[[#This Row],[SUPPLIER_H]]="","",AK547),MONTH(NOTA[[#This Row],[TGL.NOTA]]))</f>
        <v>7</v>
      </c>
      <c r="AL548" s="39" t="str">
        <f>LOWER(SUBSTITUTE(SUBSTITUTE(SUBSTITUTE(SUBSTITUTE(SUBSTITUTE(SUBSTITUTE(SUBSTITUTE(SUBSTITUTE(SUBSTITUTE(NOTA[NAMA BARANG]," ",),".",""),"-",""),"(",""),")",""),",",""),"/",""),"""",""),"+",""))</f>
        <v>cuttercu10bcjk</v>
      </c>
      <c r="AM5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N5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O5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39" t="str">
        <f>IF(NOTA[[#This Row],[CONCAT4]]="","",_xlfn.IFNA(MATCH(NOTA[[#This Row],[CONCAT4]],[2]!RAW[CONCAT_H],0),FALSE))</f>
        <v/>
      </c>
      <c r="AQ548" s="39">
        <f>IF(NOTA[[#This Row],[CONCAT1]]="","",MATCH(NOTA[[#This Row],[CONCAT1]],[3]!db[NB NOTA_C],0))</f>
        <v>942</v>
      </c>
      <c r="AR548" s="39" t="b">
        <f>IF(NOTA[[#This Row],[QTY/ CTN]]="","",TRUE)</f>
        <v>1</v>
      </c>
      <c r="AS548" s="39" t="str">
        <f ca="1">IF(NOTA[[#This Row],[ID_H]]="","",IF(NOTA[[#This Row],[Column3]]=TRUE,NOTA[[#This Row],[QTY/ CTN]],INDEX([3]!db[QTY/ CTN],NOTA[[#This Row],[//DB]])))</f>
        <v>24 LSN</v>
      </c>
      <c r="AT5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cuttercu10bcjk24lsnartomoro</v>
      </c>
      <c r="AU548" s="39" t="e">
        <f ca="1">IF(NOTA[[#This Row],[ID_H]]="","",MATCH(NOTA[[#This Row],[NB NOTA_C_QTY]],[4]!db[NB NOTA_C_QTY+F],0))</f>
        <v>#REF!</v>
      </c>
      <c r="AV548" s="55">
        <f ca="1">IF(NOTA[[#This Row],[NB NOTA_C_QTY]]="","",ROW()-2)</f>
        <v>546</v>
      </c>
    </row>
    <row r="549" spans="1:48" ht="20.100000000000001" customHeight="1" x14ac:dyDescent="0.25">
      <c r="A5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9" t="str">
        <f>IF(NOTA[[#This Row],[ID_P]]="","",MATCH(NOTA[[#This Row],[ID_P]],[1]!B_MSK[N_ID],0))</f>
        <v/>
      </c>
      <c r="D549" s="39" t="str">
        <f ca="1">IF(NOTA[[#This Row],[NAMA BARANG]]="","",INDEX(NOTA[ID],MATCH(,INDIRECT(ADDRESS(ROW(NOTA[ID]),COLUMN(NOTA[ID]))&amp;":"&amp;ADDRESS(ROW(),COLUMN(NOTA[ID]))),-1)))</f>
        <v/>
      </c>
      <c r="E549" s="47"/>
      <c r="H549" s="48"/>
      <c r="N549" s="39"/>
      <c r="Q549" s="43"/>
      <c r="R549" s="49"/>
      <c r="S549" s="50"/>
      <c r="U549" s="51"/>
      <c r="V549" s="46"/>
      <c r="W549" s="51" t="str">
        <f>IF(NOTA[[#This Row],[HARGA/ CTN]]="",NOTA[[#This Row],[JUMLAH_H]],NOTA[[#This Row],[HARGA/ CTN]]*IF(NOTA[[#This Row],[C]]="",0,NOTA[[#This Row],[C]]))</f>
        <v/>
      </c>
      <c r="X549" s="51" t="str">
        <f>IF(NOTA[[#This Row],[JUMLAH]]="","",NOTA[[#This Row],[JUMLAH]]*NOTA[[#This Row],[DISC 1]])</f>
        <v/>
      </c>
      <c r="Y549" s="51" t="str">
        <f>IF(NOTA[[#This Row],[JUMLAH]]="","",(NOTA[[#This Row],[JUMLAH]]-NOTA[[#This Row],[DISC 1-]])*NOTA[[#This Row],[DISC 2]])</f>
        <v/>
      </c>
      <c r="Z549" s="51" t="str">
        <f>IF(NOTA[[#This Row],[JUMLAH]]="","",NOTA[[#This Row],[DISC 1-]]+NOTA[[#This Row],[DISC 2-]])</f>
        <v/>
      </c>
      <c r="AA549" s="51" t="str">
        <f>IF(NOTA[[#This Row],[JUMLAH]]="","",NOTA[[#This Row],[JUMLAH]]-NOTA[[#This Row],[DISC]])</f>
        <v/>
      </c>
      <c r="AB549" s="51"/>
      <c r="AC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51" t="str">
        <f>IF(OR(NOTA[[#This Row],[QTY]]="",NOTA[[#This Row],[HARGA SATUAN]]="",),"",NOTA[[#This Row],[QTY]]*NOTA[[#This Row],[HARGA SATUAN]])</f>
        <v/>
      </c>
      <c r="AG549" s="40" t="str">
        <f ca="1">IF(NOTA[ID_H]="","",INDEX(NOTA[TANGGAL],MATCH(,INDIRECT(ADDRESS(ROW(NOTA[TANGGAL]),COLUMN(NOTA[TANGGAL]))&amp;":"&amp;ADDRESS(ROW(),COLUMN(NOTA[TANGGAL]))),-1)))</f>
        <v/>
      </c>
      <c r="AH549" s="42" t="str">
        <f ca="1">IF(NOTA[[#This Row],[NAMA BARANG]]="","",INDEX(NOTA[SUPPLIER],MATCH(,INDIRECT(ADDRESS(ROW(NOTA[ID]),COLUMN(NOTA[ID]))&amp;":"&amp;ADDRESS(ROW(),COLUMN(NOTA[ID]))),-1)))</f>
        <v/>
      </c>
      <c r="AI549" s="42" t="str">
        <f ca="1">IF(NOTA[[#This Row],[ID_H]]="","",IF(NOTA[[#This Row],[FAKTUR]]="",INDIRECT(ADDRESS(ROW()-1,COLUMN())),NOTA[[#This Row],[FAKTUR]]))</f>
        <v/>
      </c>
      <c r="AJ549" s="39" t="str">
        <f ca="1">IF(NOTA[[#This Row],[ID]]="","",COUNTIF(NOTA[ID_H],NOTA[[#This Row],[ID_H]]))</f>
        <v/>
      </c>
      <c r="AK549" s="39" t="str">
        <f ca="1">IF(NOTA[[#This Row],[TGL.NOTA]]="",IF(NOTA[[#This Row],[SUPPLIER_H]]="","",AK548),MONTH(NOTA[[#This Row],[TGL.NOTA]]))</f>
        <v/>
      </c>
      <c r="AL549" s="39" t="str">
        <f>LOWER(SUBSTITUTE(SUBSTITUTE(SUBSTITUTE(SUBSTITUTE(SUBSTITUTE(SUBSTITUTE(SUBSTITUTE(SUBSTITUTE(SUBSTITUTE(NOTA[NAMA BARANG]," ",),".",""),"-",""),"(",""),")",""),",",""),"/",""),"""",""),"+",""))</f>
        <v/>
      </c>
      <c r="AM5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39" t="str">
        <f>IF(NOTA[[#This Row],[CONCAT4]]="","",_xlfn.IFNA(MATCH(NOTA[[#This Row],[CONCAT4]],[2]!RAW[CONCAT_H],0),FALSE))</f>
        <v/>
      </c>
      <c r="AQ549" s="39" t="str">
        <f>IF(NOTA[[#This Row],[CONCAT1]]="","",MATCH(NOTA[[#This Row],[CONCAT1]],[3]!db[NB NOTA_C],0))</f>
        <v/>
      </c>
      <c r="AR549" s="39" t="str">
        <f>IF(NOTA[[#This Row],[QTY/ CTN]]="","",TRUE)</f>
        <v/>
      </c>
      <c r="AS549" s="39" t="str">
        <f ca="1">IF(NOTA[[#This Row],[ID_H]]="","",IF(NOTA[[#This Row],[Column3]]=TRUE,NOTA[[#This Row],[QTY/ CTN]],INDEX([3]!db[QTY/ CTN],NOTA[[#This Row],[//DB]])))</f>
        <v/>
      </c>
      <c r="AT5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9" s="39" t="str">
        <f ca="1">IF(NOTA[[#This Row],[ID_H]]="","",MATCH(NOTA[[#This Row],[NB NOTA_C_QTY]],[4]!db[NB NOTA_C_QTY+F],0))</f>
        <v/>
      </c>
      <c r="AV549" s="55" t="str">
        <f ca="1">IF(NOTA[[#This Row],[NB NOTA_C_QTY]]="","",ROW()-2)</f>
        <v/>
      </c>
    </row>
    <row r="550" spans="1:48" ht="20.100000000000001" customHeight="1" x14ac:dyDescent="0.25">
      <c r="A550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ATA_2007_049-6</v>
      </c>
      <c r="C550" s="39" t="e">
        <f ca="1">IF(NOTA[[#This Row],[ID_P]]="","",MATCH(NOTA[[#This Row],[ID_P]],[1]!B_MSK[N_ID],0))</f>
        <v>#REF!</v>
      </c>
      <c r="D550" s="39">
        <f ca="1">IF(NOTA[[#This Row],[NAMA BARANG]]="","",INDEX(NOTA[ID],MATCH(,INDIRECT(ADDRESS(ROW(NOTA[ID]),COLUMN(NOTA[ID]))&amp;":"&amp;ADDRESS(ROW(),COLUMN(NOTA[ID]))),-1)))</f>
        <v>110</v>
      </c>
      <c r="E550" s="47"/>
      <c r="F550" s="38" t="s">
        <v>24</v>
      </c>
      <c r="G550" s="38" t="s">
        <v>23</v>
      </c>
      <c r="H550" s="48" t="s">
        <v>641</v>
      </c>
      <c r="J550" s="40">
        <v>45120</v>
      </c>
      <c r="K550" s="38">
        <v>1</v>
      </c>
      <c r="L550" s="38" t="s">
        <v>647</v>
      </c>
      <c r="M550" s="41">
        <v>1</v>
      </c>
      <c r="N550" s="39">
        <v>864</v>
      </c>
      <c r="O550" s="38" t="s">
        <v>117</v>
      </c>
      <c r="P550" s="42">
        <v>2450</v>
      </c>
      <c r="Q550" s="43"/>
      <c r="R550" s="49" t="s">
        <v>642</v>
      </c>
      <c r="S550" s="50">
        <v>0.125</v>
      </c>
      <c r="T550" s="45">
        <v>0.05</v>
      </c>
      <c r="U550" s="51"/>
      <c r="V550" s="46"/>
      <c r="W550" s="51">
        <f>IF(NOTA[[#This Row],[HARGA/ CTN]]="",NOTA[[#This Row],[JUMLAH_H]],NOTA[[#This Row],[HARGA/ CTN]]*IF(NOTA[[#This Row],[C]]="",0,NOTA[[#This Row],[C]]))</f>
        <v>2116800</v>
      </c>
      <c r="X550" s="51">
        <f>IF(NOTA[[#This Row],[JUMLAH]]="","",NOTA[[#This Row],[JUMLAH]]*NOTA[[#This Row],[DISC 1]])</f>
        <v>264600</v>
      </c>
      <c r="Y550" s="51">
        <f>IF(NOTA[[#This Row],[JUMLAH]]="","",(NOTA[[#This Row],[JUMLAH]]-NOTA[[#This Row],[DISC 1-]])*NOTA[[#This Row],[DISC 2]])</f>
        <v>92610</v>
      </c>
      <c r="Z550" s="51">
        <f>IF(NOTA[[#This Row],[JUMLAH]]="","",NOTA[[#This Row],[DISC 1-]]+NOTA[[#This Row],[DISC 2-]])</f>
        <v>357210</v>
      </c>
      <c r="AA550" s="51">
        <f>IF(NOTA[[#This Row],[JUMLAH]]="","",NOTA[[#This Row],[JUMLAH]]-NOTA[[#This Row],[DISC]])</f>
        <v>1759590</v>
      </c>
      <c r="AB550" s="51"/>
      <c r="AC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550" s="51">
        <f>IF(OR(NOTA[[#This Row],[QTY]]="",NOTA[[#This Row],[HARGA SATUAN]]="",),"",NOTA[[#This Row],[QTY]]*NOTA[[#This Row],[HARGA SATUAN]])</f>
        <v>2116800</v>
      </c>
      <c r="AG550" s="40">
        <f ca="1">IF(NOTA[ID_H]="","",INDEX(NOTA[TANGGAL],MATCH(,INDIRECT(ADDRESS(ROW(NOTA[TANGGAL]),COLUMN(NOTA[TANGGAL]))&amp;":"&amp;ADDRESS(ROW(),COLUMN(NOTA[TANGGAL]))),-1)))</f>
        <v>45127</v>
      </c>
      <c r="AH550" s="42" t="str">
        <f ca="1">IF(NOTA[[#This Row],[NAMA BARANG]]="","",INDEX(NOTA[SUPPLIER],MATCH(,INDIRECT(ADDRESS(ROW(NOTA[ID]),COLUMN(NOTA[ID]))&amp;":"&amp;ADDRESS(ROW(),COLUMN(NOTA[ID]))),-1)))</f>
        <v>ATALI MAKMUR</v>
      </c>
      <c r="AI550" s="42" t="str">
        <f ca="1">IF(NOTA[[#This Row],[ID_H]]="","",IF(NOTA[[#This Row],[FAKTUR]]="",INDIRECT(ADDRESS(ROW()-1,COLUMN())),NOTA[[#This Row],[FAKTUR]]))</f>
        <v>ARTO MORO</v>
      </c>
      <c r="AJ550" s="39">
        <f ca="1">IF(NOTA[[#This Row],[ID]]="","",COUNTIF(NOTA[ID_H],NOTA[[#This Row],[ID_H]]))</f>
        <v>6</v>
      </c>
      <c r="AK550" s="39">
        <f>IF(NOTA[[#This Row],[TGL.NOTA]]="",IF(NOTA[[#This Row],[SUPPLIER_H]]="","",AK549),MONTH(NOTA[[#This Row],[TGL.NOTA]]))</f>
        <v>7</v>
      </c>
      <c r="AL550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5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5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5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MOROSA23071204945120gluestickgs104animalkingdomjk</v>
      </c>
      <c r="AP550" s="39" t="e">
        <f>IF(NOTA[[#This Row],[CONCAT4]]="","",_xlfn.IFNA(MATCH(NOTA[[#This Row],[CONCAT4]],[2]!RAW[CONCAT_H],0),FALSE))</f>
        <v>#REF!</v>
      </c>
      <c r="AQ550" s="39">
        <f>IF(NOTA[[#This Row],[CONCAT1]]="","",MATCH(NOTA[[#This Row],[CONCAT1]],[3]!db[NB NOTA_C],0))</f>
        <v>1502</v>
      </c>
      <c r="AR550" s="39" t="b">
        <f>IF(NOTA[[#This Row],[QTY/ CTN]]="","",TRUE)</f>
        <v>1</v>
      </c>
      <c r="AS550" s="39" t="str">
        <f ca="1">IF(NOTA[[#This Row],[ID_H]]="","",IF(NOTA[[#This Row],[Column3]]=TRUE,NOTA[[#This Row],[QTY/ CTN]],INDEX([3]!db[QTY/ CTN],NOTA[[#This Row],[//DB]])))</f>
        <v>36 BOX (24 PCS)</v>
      </c>
      <c r="AT5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550" s="39" t="e">
        <f ca="1">IF(NOTA[[#This Row],[ID_H]]="","",MATCH(NOTA[[#This Row],[NB NOTA_C_QTY]],[4]!db[NB NOTA_C_QTY+F],0))</f>
        <v>#REF!</v>
      </c>
      <c r="AV550" s="55">
        <f ca="1">IF(NOTA[[#This Row],[NB NOTA_C_QTY]]="","",ROW()-2)</f>
        <v>548</v>
      </c>
    </row>
    <row r="551" spans="1:48" ht="20.100000000000001" customHeight="1" x14ac:dyDescent="0.25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>
        <f ca="1">IF(NOTA[[#This Row],[NAMA BARANG]]="","",INDEX(NOTA[ID],MATCH(,INDIRECT(ADDRESS(ROW(NOTA[ID]),COLUMN(NOTA[ID]))&amp;":"&amp;ADDRESS(ROW(),COLUMN(NOTA[ID]))),-1)))</f>
        <v>110</v>
      </c>
      <c r="E551" s="47"/>
      <c r="H551" s="48"/>
      <c r="K551" s="38">
        <v>1</v>
      </c>
      <c r="L551" s="38" t="s">
        <v>643</v>
      </c>
      <c r="M551" s="41">
        <v>1</v>
      </c>
      <c r="N551" s="39">
        <v>864</v>
      </c>
      <c r="O551" s="38" t="s">
        <v>117</v>
      </c>
      <c r="P551" s="42">
        <v>2100</v>
      </c>
      <c r="Q551" s="43"/>
      <c r="R551" s="49" t="s">
        <v>642</v>
      </c>
      <c r="S551" s="50">
        <v>0.125</v>
      </c>
      <c r="T551" s="45">
        <v>0.05</v>
      </c>
      <c r="U551" s="51"/>
      <c r="V551" s="46"/>
      <c r="W551" s="51">
        <f>IF(NOTA[[#This Row],[HARGA/ CTN]]="",NOTA[[#This Row],[JUMLAH_H]],NOTA[[#This Row],[HARGA/ CTN]]*IF(NOTA[[#This Row],[C]]="",0,NOTA[[#This Row],[C]]))</f>
        <v>1814400</v>
      </c>
      <c r="X551" s="51">
        <f>IF(NOTA[[#This Row],[JUMLAH]]="","",NOTA[[#This Row],[JUMLAH]]*NOTA[[#This Row],[DISC 1]])</f>
        <v>226800</v>
      </c>
      <c r="Y551" s="51">
        <f>IF(NOTA[[#This Row],[JUMLAH]]="","",(NOTA[[#This Row],[JUMLAH]]-NOTA[[#This Row],[DISC 1-]])*NOTA[[#This Row],[DISC 2]])</f>
        <v>79380</v>
      </c>
      <c r="Z551" s="51">
        <f>IF(NOTA[[#This Row],[JUMLAH]]="","",NOTA[[#This Row],[DISC 1-]]+NOTA[[#This Row],[DISC 2-]])</f>
        <v>306180</v>
      </c>
      <c r="AA551" s="51">
        <f>IF(NOTA[[#This Row],[JUMLAH]]="","",NOTA[[#This Row],[JUMLAH]]-NOTA[[#This Row],[DISC]])</f>
        <v>1508220</v>
      </c>
      <c r="AB551" s="51"/>
      <c r="AC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51" s="51">
        <f>IF(OR(NOTA[[#This Row],[QTY]]="",NOTA[[#This Row],[HARGA SATUAN]]="",),"",NOTA[[#This Row],[QTY]]*NOTA[[#This Row],[HARGA SATUAN]])</f>
        <v>1814400</v>
      </c>
      <c r="AG551" s="40">
        <f ca="1">IF(NOTA[ID_H]="","",INDEX(NOTA[TANGGAL],MATCH(,INDIRECT(ADDRESS(ROW(NOTA[TANGGAL]),COLUMN(NOTA[TANGGAL]))&amp;":"&amp;ADDRESS(ROW(),COLUMN(NOTA[TANGGAL]))),-1)))</f>
        <v>45127</v>
      </c>
      <c r="AH551" s="42" t="str">
        <f ca="1">IF(NOTA[[#This Row],[NAMA BARANG]]="","",INDEX(NOTA[SUPPLIER],MATCH(,INDIRECT(ADDRESS(ROW(NOTA[ID]),COLUMN(NOTA[ID]))&amp;":"&amp;ADDRESS(ROW(),COLUMN(NOTA[ID]))),-1)))</f>
        <v>ATALI MAKMUR</v>
      </c>
      <c r="AI551" s="42" t="str">
        <f ca="1">IF(NOTA[[#This Row],[ID_H]]="","",IF(NOTA[[#This Row],[FAKTUR]]="",INDIRECT(ADDRESS(ROW()-1,COLUMN())),NOTA[[#This Row],[FAKTUR]]))</f>
        <v>ARTO MORO</v>
      </c>
      <c r="AJ551" s="39" t="str">
        <f ca="1">IF(NOTA[[#This Row],[ID]]="","",COUNTIF(NOTA[ID_H],NOTA[[#This Row],[ID_H]]))</f>
        <v/>
      </c>
      <c r="AK551" s="39">
        <f ca="1">IF(NOTA[[#This Row],[TGL.NOTA]]="",IF(NOTA[[#This Row],[SUPPLIER_H]]="","",AK550),MONTH(NOTA[[#This Row],[TGL.NOTA]]))</f>
        <v>7</v>
      </c>
      <c r="AL551" s="39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5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5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39" t="str">
        <f>IF(NOTA[[#This Row],[CONCAT4]]="","",_xlfn.IFNA(MATCH(NOTA[[#This Row],[CONCAT4]],[2]!RAW[CONCAT_H],0),FALSE))</f>
        <v/>
      </c>
      <c r="AQ551" s="39">
        <f>IF(NOTA[[#This Row],[CONCAT1]]="","",MATCH(NOTA[[#This Row],[CONCAT1]],[3]!db[NB NOTA_C],0))</f>
        <v>1499</v>
      </c>
      <c r="AR551" s="39" t="b">
        <f>IF(NOTA[[#This Row],[QTY/ CTN]]="","",TRUE)</f>
        <v>1</v>
      </c>
      <c r="AS551" s="39" t="str">
        <f ca="1">IF(NOTA[[#This Row],[ID_H]]="","",IF(NOTA[[#This Row],[Column3]]=TRUE,NOTA[[#This Row],[QTY/ CTN]],INDEX([3]!db[QTY/ CTN],NOTA[[#This Row],[//DB]])))</f>
        <v>36 BOX (24 PCS)</v>
      </c>
      <c r="AT5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551" s="39" t="e">
        <f ca="1">IF(NOTA[[#This Row],[ID_H]]="","",MATCH(NOTA[[#This Row],[NB NOTA_C_QTY]],[4]!db[NB NOTA_C_QTY+F],0))</f>
        <v>#REF!</v>
      </c>
      <c r="AV551" s="55">
        <f ca="1">IF(NOTA[[#This Row],[NB NOTA_C_QTY]]="","",ROW()-2)</f>
        <v>549</v>
      </c>
    </row>
    <row r="552" spans="1:48" ht="20.100000000000001" customHeight="1" x14ac:dyDescent="0.25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9" t="str">
        <f>IF(NOTA[[#This Row],[ID_P]]="","",MATCH(NOTA[[#This Row],[ID_P]],[1]!B_MSK[N_ID],0))</f>
        <v/>
      </c>
      <c r="D552" s="39">
        <f ca="1">IF(NOTA[[#This Row],[NAMA BARANG]]="","",INDEX(NOTA[ID],MATCH(,INDIRECT(ADDRESS(ROW(NOTA[ID]),COLUMN(NOTA[ID]))&amp;":"&amp;ADDRESS(ROW(),COLUMN(NOTA[ID]))),-1)))</f>
        <v>110</v>
      </c>
      <c r="E552" s="47"/>
      <c r="H552" s="48"/>
      <c r="K552" s="38">
        <v>1</v>
      </c>
      <c r="L552" s="38" t="s">
        <v>460</v>
      </c>
      <c r="M552" s="41">
        <v>1</v>
      </c>
      <c r="N552" s="39">
        <v>36</v>
      </c>
      <c r="O552" s="38" t="s">
        <v>152</v>
      </c>
      <c r="P552" s="42">
        <v>41400</v>
      </c>
      <c r="Q552" s="43"/>
      <c r="R552" s="49" t="s">
        <v>624</v>
      </c>
      <c r="S552" s="50">
        <v>0.125</v>
      </c>
      <c r="T552" s="45">
        <v>0.05</v>
      </c>
      <c r="U552" s="51"/>
      <c r="V552" s="46"/>
      <c r="W552" s="51">
        <f>IF(NOTA[[#This Row],[HARGA/ CTN]]="",NOTA[[#This Row],[JUMLAH_H]],NOTA[[#This Row],[HARGA/ CTN]]*IF(NOTA[[#This Row],[C]]="",0,NOTA[[#This Row],[C]]))</f>
        <v>1490400</v>
      </c>
      <c r="X552" s="51">
        <f>IF(NOTA[[#This Row],[JUMLAH]]="","",NOTA[[#This Row],[JUMLAH]]*NOTA[[#This Row],[DISC 1]])</f>
        <v>186300</v>
      </c>
      <c r="Y552" s="51">
        <f>IF(NOTA[[#This Row],[JUMLAH]]="","",(NOTA[[#This Row],[JUMLAH]]-NOTA[[#This Row],[DISC 1-]])*NOTA[[#This Row],[DISC 2]])</f>
        <v>65205</v>
      </c>
      <c r="Z552" s="51">
        <f>IF(NOTA[[#This Row],[JUMLAH]]="","",NOTA[[#This Row],[DISC 1-]]+NOTA[[#This Row],[DISC 2-]])</f>
        <v>251505</v>
      </c>
      <c r="AA552" s="51">
        <f>IF(NOTA[[#This Row],[JUMLAH]]="","",NOTA[[#This Row],[JUMLAH]]-NOTA[[#This Row],[DISC]])</f>
        <v>1238895</v>
      </c>
      <c r="AB552" s="51"/>
      <c r="AC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52" s="51">
        <f>IF(OR(NOTA[[#This Row],[QTY]]="",NOTA[[#This Row],[HARGA SATUAN]]="",),"",NOTA[[#This Row],[QTY]]*NOTA[[#This Row],[HARGA SATUAN]])</f>
        <v>1490400</v>
      </c>
      <c r="AG552" s="40">
        <f ca="1">IF(NOTA[ID_H]="","",INDEX(NOTA[TANGGAL],MATCH(,INDIRECT(ADDRESS(ROW(NOTA[TANGGAL]),COLUMN(NOTA[TANGGAL]))&amp;":"&amp;ADDRESS(ROW(),COLUMN(NOTA[TANGGAL]))),-1)))</f>
        <v>45127</v>
      </c>
      <c r="AH552" s="42" t="str">
        <f ca="1">IF(NOTA[[#This Row],[NAMA BARANG]]="","",INDEX(NOTA[SUPPLIER],MATCH(,INDIRECT(ADDRESS(ROW(NOTA[ID]),COLUMN(NOTA[ID]))&amp;":"&amp;ADDRESS(ROW(),COLUMN(NOTA[ID]))),-1)))</f>
        <v>ATALI MAKMUR</v>
      </c>
      <c r="AI552" s="42" t="str">
        <f ca="1">IF(NOTA[[#This Row],[ID_H]]="","",IF(NOTA[[#This Row],[FAKTUR]]="",INDIRECT(ADDRESS(ROW()-1,COLUMN())),NOTA[[#This Row],[FAKTUR]]))</f>
        <v>ARTO MORO</v>
      </c>
      <c r="AJ552" s="39" t="str">
        <f ca="1">IF(NOTA[[#This Row],[ID]]="","",COUNTIF(NOTA[ID_H],NOTA[[#This Row],[ID_H]]))</f>
        <v/>
      </c>
      <c r="AK552" s="39">
        <f ca="1">IF(NOTA[[#This Row],[TGL.NOTA]]="",IF(NOTA[[#This Row],[SUPPLIER_H]]="","",AK551),MONTH(NOTA[[#This Row],[TGL.NOTA]]))</f>
        <v>7</v>
      </c>
      <c r="AL552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39" t="str">
        <f>IF(NOTA[[#This Row],[CONCAT4]]="","",_xlfn.IFNA(MATCH(NOTA[[#This Row],[CONCAT4]],[2]!RAW[CONCAT_H],0),FALSE))</f>
        <v/>
      </c>
      <c r="AQ552" s="39">
        <f>IF(NOTA[[#This Row],[CONCAT1]]="","",MATCH(NOTA[[#This Row],[CONCAT1]],[3]!db[NB NOTA_C],0))</f>
        <v>2616</v>
      </c>
      <c r="AR552" s="39" t="b">
        <f>IF(NOTA[[#This Row],[QTY/ CTN]]="","",TRUE)</f>
        <v>1</v>
      </c>
      <c r="AS552" s="39" t="str">
        <f ca="1">IF(NOTA[[#This Row],[ID_H]]="","",IF(NOTA[[#This Row],[Column3]]=TRUE,NOTA[[#This Row],[QTY/ CTN]],INDEX([3]!db[QTY/ CTN],NOTA[[#This Row],[//DB]])))</f>
        <v>36 LSN</v>
      </c>
      <c r="AT5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52" s="39" t="e">
        <f ca="1">IF(NOTA[[#This Row],[ID_H]]="","",MATCH(NOTA[[#This Row],[NB NOTA_C_QTY]],[4]!db[NB NOTA_C_QTY+F],0))</f>
        <v>#REF!</v>
      </c>
      <c r="AV552" s="55">
        <f ca="1">IF(NOTA[[#This Row],[NB NOTA_C_QTY]]="","",ROW()-2)</f>
        <v>550</v>
      </c>
    </row>
    <row r="553" spans="1:48" ht="20.100000000000001" customHeight="1" x14ac:dyDescent="0.25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110</v>
      </c>
      <c r="E553" s="47"/>
      <c r="H553" s="48"/>
      <c r="K553" s="38">
        <v>1</v>
      </c>
      <c r="L553" s="38" t="s">
        <v>644</v>
      </c>
      <c r="M553" s="41">
        <v>1</v>
      </c>
      <c r="N553" s="39">
        <v>40</v>
      </c>
      <c r="O553" s="38" t="s">
        <v>152</v>
      </c>
      <c r="P553" s="42">
        <v>49200</v>
      </c>
      <c r="Q553" s="43"/>
      <c r="R553" s="49" t="s">
        <v>562</v>
      </c>
      <c r="S553" s="50">
        <v>0.125</v>
      </c>
      <c r="T553" s="45">
        <v>0.05</v>
      </c>
      <c r="U553" s="51"/>
      <c r="V553" s="46"/>
      <c r="W553" s="51">
        <f>IF(NOTA[[#This Row],[HARGA/ CTN]]="",NOTA[[#This Row],[JUMLAH_H]],NOTA[[#This Row],[HARGA/ CTN]]*IF(NOTA[[#This Row],[C]]="",0,NOTA[[#This Row],[C]]))</f>
        <v>1968000</v>
      </c>
      <c r="X553" s="51">
        <f>IF(NOTA[[#This Row],[JUMLAH]]="","",NOTA[[#This Row],[JUMLAH]]*NOTA[[#This Row],[DISC 1]])</f>
        <v>246000</v>
      </c>
      <c r="Y553" s="51">
        <f>IF(NOTA[[#This Row],[JUMLAH]]="","",(NOTA[[#This Row],[JUMLAH]]-NOTA[[#This Row],[DISC 1-]])*NOTA[[#This Row],[DISC 2]])</f>
        <v>86100</v>
      </c>
      <c r="Z553" s="51">
        <f>IF(NOTA[[#This Row],[JUMLAH]]="","",NOTA[[#This Row],[DISC 1-]]+NOTA[[#This Row],[DISC 2-]])</f>
        <v>332100</v>
      </c>
      <c r="AA553" s="51">
        <f>IF(NOTA[[#This Row],[JUMLAH]]="","",NOTA[[#This Row],[JUMLAH]]-NOTA[[#This Row],[DISC]])</f>
        <v>1635900</v>
      </c>
      <c r="AB553" s="51"/>
      <c r="AC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53" s="51">
        <f>IF(OR(NOTA[[#This Row],[QTY]]="",NOTA[[#This Row],[HARGA SATUAN]]="",),"",NOTA[[#This Row],[QTY]]*NOTA[[#This Row],[HARGA SATUAN]])</f>
        <v>1968000</v>
      </c>
      <c r="AG553" s="40">
        <f ca="1">IF(NOTA[ID_H]="","",INDEX(NOTA[TANGGAL],MATCH(,INDIRECT(ADDRESS(ROW(NOTA[TANGGAL]),COLUMN(NOTA[TANGGAL]))&amp;":"&amp;ADDRESS(ROW(),COLUMN(NOTA[TANGGAL]))),-1)))</f>
        <v>45127</v>
      </c>
      <c r="AH553" s="42" t="str">
        <f ca="1">IF(NOTA[[#This Row],[NAMA BARANG]]="","",INDEX(NOTA[SUPPLIER],MATCH(,INDIRECT(ADDRESS(ROW(NOTA[ID]),COLUMN(NOTA[ID]))&amp;":"&amp;ADDRESS(ROW(),COLUMN(NOTA[ID]))),-1)))</f>
        <v>ATALI MAKMUR</v>
      </c>
      <c r="AI553" s="42" t="str">
        <f ca="1">IF(NOTA[[#This Row],[ID_H]]="","",IF(NOTA[[#This Row],[FAKTUR]]="",INDIRECT(ADDRESS(ROW()-1,COLUMN())),NOTA[[#This Row],[FAKTUR]]))</f>
        <v>ARTO MORO</v>
      </c>
      <c r="AJ553" s="39" t="str">
        <f ca="1">IF(NOTA[[#This Row],[ID]]="","",COUNTIF(NOTA[ID_H],NOTA[[#This Row],[ID_H]]))</f>
        <v/>
      </c>
      <c r="AK553" s="39">
        <f ca="1">IF(NOTA[[#This Row],[TGL.NOTA]]="",IF(NOTA[[#This Row],[SUPPLIER_H]]="","",AK552),MONTH(NOTA[[#This Row],[TGL.NOTA]]))</f>
        <v>7</v>
      </c>
      <c r="AL5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39" t="str">
        <f>IF(NOTA[[#This Row],[CONCAT4]]="","",_xlfn.IFNA(MATCH(NOTA[[#This Row],[CONCAT4]],[2]!RAW[CONCAT_H],0),FALSE))</f>
        <v/>
      </c>
      <c r="AQ553" s="39">
        <f>IF(NOTA[[#This Row],[CONCAT1]]="","",MATCH(NOTA[[#This Row],[CONCAT1]],[3]!db[NB NOTA_C],0))</f>
        <v>1300</v>
      </c>
      <c r="AR553" s="39" t="b">
        <f>IF(NOTA[[#This Row],[QTY/ CTN]]="","",TRUE)</f>
        <v>1</v>
      </c>
      <c r="AS553" s="39" t="str">
        <f ca="1">IF(NOTA[[#This Row],[ID_H]]="","",IF(NOTA[[#This Row],[Column3]]=TRUE,NOTA[[#This Row],[QTY/ CTN]],INDEX([3]!db[QTY/ CTN],NOTA[[#This Row],[//DB]])))</f>
        <v>40 LSN</v>
      </c>
      <c r="AT5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53" s="39" t="e">
        <f ca="1">IF(NOTA[[#This Row],[ID_H]]="","",MATCH(NOTA[[#This Row],[NB NOTA_C_QTY]],[4]!db[NB NOTA_C_QTY+F],0))</f>
        <v>#REF!</v>
      </c>
      <c r="AV553" s="55">
        <f ca="1">IF(NOTA[[#This Row],[NB NOTA_C_QTY]]="","",ROW()-2)</f>
        <v>551</v>
      </c>
    </row>
    <row r="554" spans="1:48" ht="20.100000000000001" customHeight="1" x14ac:dyDescent="0.25">
      <c r="A5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110</v>
      </c>
      <c r="E554" s="47"/>
      <c r="H554" s="48"/>
      <c r="K554" s="38">
        <v>1</v>
      </c>
      <c r="L554" s="38" t="s">
        <v>645</v>
      </c>
      <c r="M554" s="41">
        <v>1</v>
      </c>
      <c r="N554" s="39">
        <v>576</v>
      </c>
      <c r="O554" s="38" t="s">
        <v>117</v>
      </c>
      <c r="P554" s="42">
        <v>4700</v>
      </c>
      <c r="Q554" s="43"/>
      <c r="R554" s="49" t="s">
        <v>646</v>
      </c>
      <c r="S554" s="50">
        <v>0.125</v>
      </c>
      <c r="T554" s="45">
        <v>0.05</v>
      </c>
      <c r="U554" s="51"/>
      <c r="V554" s="46"/>
      <c r="W554" s="51">
        <f>IF(NOTA[[#This Row],[HARGA/ CTN]]="",NOTA[[#This Row],[JUMLAH_H]],NOTA[[#This Row],[HARGA/ CTN]]*IF(NOTA[[#This Row],[C]]="",0,NOTA[[#This Row],[C]]))</f>
        <v>2707200</v>
      </c>
      <c r="X554" s="51">
        <f>IF(NOTA[[#This Row],[JUMLAH]]="","",NOTA[[#This Row],[JUMLAH]]*NOTA[[#This Row],[DISC 1]])</f>
        <v>338400</v>
      </c>
      <c r="Y554" s="51">
        <f>IF(NOTA[[#This Row],[JUMLAH]]="","",(NOTA[[#This Row],[JUMLAH]]-NOTA[[#This Row],[DISC 1-]])*NOTA[[#This Row],[DISC 2]])</f>
        <v>118440</v>
      </c>
      <c r="Z554" s="51">
        <f>IF(NOTA[[#This Row],[JUMLAH]]="","",NOTA[[#This Row],[DISC 1-]]+NOTA[[#This Row],[DISC 2-]])</f>
        <v>456840</v>
      </c>
      <c r="AA554" s="51">
        <f>IF(NOTA[[#This Row],[JUMLAH]]="","",NOTA[[#This Row],[JUMLAH]]-NOTA[[#This Row],[DISC]])</f>
        <v>2250360</v>
      </c>
      <c r="AB554" s="51"/>
      <c r="AC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42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F554" s="51">
        <f>IF(OR(NOTA[[#This Row],[QTY]]="",NOTA[[#This Row],[HARGA SATUAN]]="",),"",NOTA[[#This Row],[QTY]]*NOTA[[#This Row],[HARGA SATUAN]])</f>
        <v>2707200</v>
      </c>
      <c r="AG554" s="40">
        <f ca="1">IF(NOTA[ID_H]="","",INDEX(NOTA[TANGGAL],MATCH(,INDIRECT(ADDRESS(ROW(NOTA[TANGGAL]),COLUMN(NOTA[TANGGAL]))&amp;":"&amp;ADDRESS(ROW(),COLUMN(NOTA[TANGGAL]))),-1)))</f>
        <v>45127</v>
      </c>
      <c r="AH554" s="42" t="str">
        <f ca="1">IF(NOTA[[#This Row],[NAMA BARANG]]="","",INDEX(NOTA[SUPPLIER],MATCH(,INDIRECT(ADDRESS(ROW(NOTA[ID]),COLUMN(NOTA[ID]))&amp;":"&amp;ADDRESS(ROW(),COLUMN(NOTA[ID]))),-1)))</f>
        <v>ATALI MAKMUR</v>
      </c>
      <c r="AI554" s="42" t="str">
        <f ca="1">IF(NOTA[[#This Row],[ID_H]]="","",IF(NOTA[[#This Row],[FAKTUR]]="",INDIRECT(ADDRESS(ROW()-1,COLUMN())),NOTA[[#This Row],[FAKTUR]]))</f>
        <v>ARTO MORO</v>
      </c>
      <c r="AJ554" s="39" t="str">
        <f ca="1">IF(NOTA[[#This Row],[ID]]="","",COUNTIF(NOTA[ID_H],NOTA[[#This Row],[ID_H]]))</f>
        <v/>
      </c>
      <c r="AK554" s="39">
        <f ca="1">IF(NOTA[[#This Row],[TGL.NOTA]]="",IF(NOTA[[#This Row],[SUPPLIER_H]]="","",AK553),MONTH(NOTA[[#This Row],[TGL.NOTA]]))</f>
        <v>7</v>
      </c>
      <c r="AL554" s="39" t="str">
        <f>LOWER(SUBSTITUTE(SUBSTITUTE(SUBSTITUTE(SUBSTITUTE(SUBSTITUTE(SUBSTITUTE(SUBSTITUTE(SUBSTITUTE(SUBSTITUTE(NOTA[NAMA BARANG]," ",),".",""),"-",""),"(",""),")",""),",",""),"/",""),"""",""),"+",""))</f>
        <v>stamppadno00jk</v>
      </c>
      <c r="AM5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stamppadno00jk27072000.1250.05</v>
      </c>
      <c r="AN5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stamppadno00jk27072000.1250.05</v>
      </c>
      <c r="AO5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39" t="str">
        <f>IF(NOTA[[#This Row],[CONCAT4]]="","",_xlfn.IFNA(MATCH(NOTA[[#This Row],[CONCAT4]],[2]!RAW[CONCAT_H],0),FALSE))</f>
        <v/>
      </c>
      <c r="AQ554" s="39">
        <f>IF(NOTA[[#This Row],[CONCAT1]]="","",MATCH(NOTA[[#This Row],[CONCAT1]],[3]!db[NB NOTA_C],0))</f>
        <v>2435</v>
      </c>
      <c r="AR554" s="39" t="b">
        <f>IF(NOTA[[#This Row],[QTY/ CTN]]="","",TRUE)</f>
        <v>1</v>
      </c>
      <c r="AS554" s="39" t="str">
        <f ca="1">IF(NOTA[[#This Row],[ID_H]]="","",IF(NOTA[[#This Row],[Column3]]=TRUE,NOTA[[#This Row],[QTY/ CTN]],INDEX([3]!db[QTY/ CTN],NOTA[[#This Row],[//DB]])))</f>
        <v>24 PAK (24 PCS)</v>
      </c>
      <c r="AT5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stamppadno00jk24pak24pcsartomoro</v>
      </c>
      <c r="AU554" s="39" t="e">
        <f ca="1">IF(NOTA[[#This Row],[ID_H]]="","",MATCH(NOTA[[#This Row],[NB NOTA_C_QTY]],[4]!db[NB NOTA_C_QTY+F],0))</f>
        <v>#REF!</v>
      </c>
      <c r="AV554" s="55">
        <f ca="1">IF(NOTA[[#This Row],[NB NOTA_C_QTY]]="","",ROW()-2)</f>
        <v>552</v>
      </c>
    </row>
    <row r="555" spans="1:48" ht="20.100000000000001" customHeight="1" x14ac:dyDescent="0.25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110</v>
      </c>
      <c r="E555" s="47"/>
      <c r="H555" s="48"/>
      <c r="L555" s="38" t="s">
        <v>626</v>
      </c>
      <c r="M555" s="41">
        <v>2</v>
      </c>
      <c r="N555" s="39">
        <v>100</v>
      </c>
      <c r="O555" s="38" t="s">
        <v>319</v>
      </c>
      <c r="P555" s="42">
        <v>28300</v>
      </c>
      <c r="Q555" s="43"/>
      <c r="R555" s="49" t="s">
        <v>627</v>
      </c>
      <c r="S555" s="50">
        <v>0.125</v>
      </c>
      <c r="T555" s="45">
        <v>0.05</v>
      </c>
      <c r="U555" s="51"/>
      <c r="V555" s="46"/>
      <c r="W555" s="51">
        <f>IF(NOTA[[#This Row],[HARGA/ CTN]]="",NOTA[[#This Row],[JUMLAH_H]],NOTA[[#This Row],[HARGA/ CTN]]*IF(NOTA[[#This Row],[C]]="",0,NOTA[[#This Row],[C]]))</f>
        <v>2830000</v>
      </c>
      <c r="X555" s="51">
        <f>IF(NOTA[[#This Row],[JUMLAH]]="","",NOTA[[#This Row],[JUMLAH]]*NOTA[[#This Row],[DISC 1]])</f>
        <v>353750</v>
      </c>
      <c r="Y555" s="51">
        <f>IF(NOTA[[#This Row],[JUMLAH]]="","",(NOTA[[#This Row],[JUMLAH]]-NOTA[[#This Row],[DISC 1-]])*NOTA[[#This Row],[DISC 2]])</f>
        <v>123812.5</v>
      </c>
      <c r="Z555" s="51">
        <f>IF(NOTA[[#This Row],[JUMLAH]]="","",NOTA[[#This Row],[DISC 1-]]+NOTA[[#This Row],[DISC 2-]])</f>
        <v>477562.5</v>
      </c>
      <c r="AA555" s="51">
        <f>IF(NOTA[[#This Row],[JUMLAH]]="","",NOTA[[#This Row],[JUMLAH]]-NOTA[[#This Row],[DISC]])</f>
        <v>2352437.5</v>
      </c>
      <c r="AB555" s="51"/>
      <c r="AC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2181397.5</v>
      </c>
      <c r="AD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10745402.5</v>
      </c>
      <c r="AE55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55" s="51">
        <f>IF(OR(NOTA[[#This Row],[QTY]]="",NOTA[[#This Row],[HARGA SATUAN]]="",),"",NOTA[[#This Row],[QTY]]*NOTA[[#This Row],[HARGA SATUAN]])</f>
        <v>2830000</v>
      </c>
      <c r="AG555" s="40">
        <f ca="1">IF(NOTA[ID_H]="","",INDEX(NOTA[TANGGAL],MATCH(,INDIRECT(ADDRESS(ROW(NOTA[TANGGAL]),COLUMN(NOTA[TANGGAL]))&amp;":"&amp;ADDRESS(ROW(),COLUMN(NOTA[TANGGAL]))),-1)))</f>
        <v>45127</v>
      </c>
      <c r="AH555" s="42" t="str">
        <f ca="1">IF(NOTA[[#This Row],[NAMA BARANG]]="","",INDEX(NOTA[SUPPLIER],MATCH(,INDIRECT(ADDRESS(ROW(NOTA[ID]),COLUMN(NOTA[ID]))&amp;":"&amp;ADDRESS(ROW(),COLUMN(NOTA[ID]))),-1)))</f>
        <v>ATALI MAKMUR</v>
      </c>
      <c r="AI555" s="42" t="str">
        <f ca="1">IF(NOTA[[#This Row],[ID_H]]="","",IF(NOTA[[#This Row],[FAKTUR]]="",INDIRECT(ADDRESS(ROW()-1,COLUMN())),NOTA[[#This Row],[FAKTUR]]))</f>
        <v>ARTO MORO</v>
      </c>
      <c r="AJ555" s="39" t="str">
        <f ca="1">IF(NOTA[[#This Row],[ID]]="","",COUNTIF(NOTA[ID_H],NOTA[[#This Row],[ID_H]]))</f>
        <v/>
      </c>
      <c r="AK555" s="39">
        <f ca="1">IF(NOTA[[#This Row],[TGL.NOTA]]="",IF(NOTA[[#This Row],[SUPPLIER_H]]="","",AK554),MONTH(NOTA[[#This Row],[TGL.NOTA]]))</f>
        <v>7</v>
      </c>
      <c r="AL55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39" t="str">
        <f>IF(NOTA[[#This Row],[CONCAT4]]="","",_xlfn.IFNA(MATCH(NOTA[[#This Row],[CONCAT4]],[2]!RAW[CONCAT_H],0),FALSE))</f>
        <v/>
      </c>
      <c r="AQ555" s="39">
        <f>IF(NOTA[[#This Row],[CONCAT1]]="","",MATCH(NOTA[[#This Row],[CONCAT1]],[3]!db[NB NOTA_C],0))</f>
        <v>2498</v>
      </c>
      <c r="AR555" s="39" t="b">
        <f>IF(NOTA[[#This Row],[QTY/ CTN]]="","",TRUE)</f>
        <v>1</v>
      </c>
      <c r="AS555" s="39" t="str">
        <f ca="1">IF(NOTA[[#This Row],[ID_H]]="","",IF(NOTA[[#This Row],[Column3]]=TRUE,NOTA[[#This Row],[QTY/ CTN]],INDEX([3]!db[QTY/ CTN],NOTA[[#This Row],[//DB]])))</f>
        <v>50 BOX (40 PCS)</v>
      </c>
      <c r="AT5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55" s="39" t="e">
        <f ca="1">IF(NOTA[[#This Row],[ID_H]]="","",MATCH(NOTA[[#This Row],[NB NOTA_C_QTY]],[4]!db[NB NOTA_C_QTY+F],0))</f>
        <v>#REF!</v>
      </c>
      <c r="AV555" s="55">
        <f ca="1">IF(NOTA[[#This Row],[NB NOTA_C_QTY]]="","",ROW()-2)</f>
        <v>553</v>
      </c>
    </row>
    <row r="556" spans="1:48" ht="20.100000000000001" customHeight="1" x14ac:dyDescent="0.25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 t="str">
        <f ca="1">IF(NOTA[[#This Row],[NAMA BARANG]]="","",INDEX(NOTA[ID],MATCH(,INDIRECT(ADDRESS(ROW(NOTA[ID]),COLUMN(NOTA[ID]))&amp;":"&amp;ADDRESS(ROW(),COLUMN(NOTA[ID]))),-1)))</f>
        <v/>
      </c>
      <c r="E556" s="47"/>
      <c r="H556" s="48"/>
      <c r="N556" s="39"/>
      <c r="Q556" s="43"/>
      <c r="R556" s="49"/>
      <c r="S556" s="50"/>
      <c r="U556" s="51"/>
      <c r="V556" s="46"/>
      <c r="W556" s="51" t="str">
        <f>IF(NOTA[[#This Row],[HARGA/ CTN]]="",NOTA[[#This Row],[JUMLAH_H]],NOTA[[#This Row],[HARGA/ CTN]]*IF(NOTA[[#This Row],[C]]="",0,NOTA[[#This Row],[C]]))</f>
        <v/>
      </c>
      <c r="X556" s="51" t="str">
        <f>IF(NOTA[[#This Row],[JUMLAH]]="","",NOTA[[#This Row],[JUMLAH]]*NOTA[[#This Row],[DISC 1]])</f>
        <v/>
      </c>
      <c r="Y556" s="51" t="str">
        <f>IF(NOTA[[#This Row],[JUMLAH]]="","",(NOTA[[#This Row],[JUMLAH]]-NOTA[[#This Row],[DISC 1-]])*NOTA[[#This Row],[DISC 2]])</f>
        <v/>
      </c>
      <c r="Z556" s="51" t="str">
        <f>IF(NOTA[[#This Row],[JUMLAH]]="","",NOTA[[#This Row],[DISC 1-]]+NOTA[[#This Row],[DISC 2-]])</f>
        <v/>
      </c>
      <c r="AA556" s="51" t="str">
        <f>IF(NOTA[[#This Row],[JUMLAH]]="","",NOTA[[#This Row],[JUMLAH]]-NOTA[[#This Row],[DISC]])</f>
        <v/>
      </c>
      <c r="AB556" s="51"/>
      <c r="AC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51" t="str">
        <f>IF(OR(NOTA[[#This Row],[QTY]]="",NOTA[[#This Row],[HARGA SATUAN]]="",),"",NOTA[[#This Row],[QTY]]*NOTA[[#This Row],[HARGA SATUAN]])</f>
        <v/>
      </c>
      <c r="AG556" s="40" t="str">
        <f ca="1">IF(NOTA[ID_H]="","",INDEX(NOTA[TANGGAL],MATCH(,INDIRECT(ADDRESS(ROW(NOTA[TANGGAL]),COLUMN(NOTA[TANGGAL]))&amp;":"&amp;ADDRESS(ROW(),COLUMN(NOTA[TANGGAL]))),-1)))</f>
        <v/>
      </c>
      <c r="AH556" s="42" t="str">
        <f ca="1">IF(NOTA[[#This Row],[NAMA BARANG]]="","",INDEX(NOTA[SUPPLIER],MATCH(,INDIRECT(ADDRESS(ROW(NOTA[ID]),COLUMN(NOTA[ID]))&amp;":"&amp;ADDRESS(ROW(),COLUMN(NOTA[ID]))),-1)))</f>
        <v/>
      </c>
      <c r="AI556" s="42" t="str">
        <f ca="1">IF(NOTA[[#This Row],[ID_H]]="","",IF(NOTA[[#This Row],[FAKTUR]]="",INDIRECT(ADDRESS(ROW()-1,COLUMN())),NOTA[[#This Row],[FAKTUR]]))</f>
        <v/>
      </c>
      <c r="AJ556" s="39" t="str">
        <f ca="1">IF(NOTA[[#This Row],[ID]]="","",COUNTIF(NOTA[ID_H],NOTA[[#This Row],[ID_H]]))</f>
        <v/>
      </c>
      <c r="AK556" s="39" t="str">
        <f ca="1">IF(NOTA[[#This Row],[TGL.NOTA]]="",IF(NOTA[[#This Row],[SUPPLIER_H]]="","",AK555),MONTH(NOTA[[#This Row],[TGL.NOTA]]))</f>
        <v/>
      </c>
      <c r="AL556" s="39" t="str">
        <f>LOWER(SUBSTITUTE(SUBSTITUTE(SUBSTITUTE(SUBSTITUTE(SUBSTITUTE(SUBSTITUTE(SUBSTITUTE(SUBSTITUTE(SUBSTITUTE(NOTA[NAMA BARANG]," ",),".",""),"-",""),"(",""),")",""),",",""),"/",""),"""",""),"+",""))</f>
        <v/>
      </c>
      <c r="AM5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39" t="str">
        <f>IF(NOTA[[#This Row],[CONCAT4]]="","",_xlfn.IFNA(MATCH(NOTA[[#This Row],[CONCAT4]],[2]!RAW[CONCAT_H],0),FALSE))</f>
        <v/>
      </c>
      <c r="AQ556" s="39" t="str">
        <f>IF(NOTA[[#This Row],[CONCAT1]]="","",MATCH(NOTA[[#This Row],[CONCAT1]],[3]!db[NB NOTA_C],0))</f>
        <v/>
      </c>
      <c r="AR556" s="39" t="str">
        <f>IF(NOTA[[#This Row],[QTY/ CTN]]="","",TRUE)</f>
        <v/>
      </c>
      <c r="AS556" s="39" t="str">
        <f ca="1">IF(NOTA[[#This Row],[ID_H]]="","",IF(NOTA[[#This Row],[Column3]]=TRUE,NOTA[[#This Row],[QTY/ CTN]],INDEX([3]!db[QTY/ CTN],NOTA[[#This Row],[//DB]])))</f>
        <v/>
      </c>
      <c r="AT5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39" t="str">
        <f ca="1">IF(NOTA[[#This Row],[ID_H]]="","",MATCH(NOTA[[#This Row],[NB NOTA_C_QTY]],[4]!db[NB NOTA_C_QTY+F],0))</f>
        <v/>
      </c>
      <c r="AV556" s="55" t="str">
        <f ca="1">IF(NOTA[[#This Row],[NB NOTA_C_QTY]]="","",ROW()-2)</f>
        <v/>
      </c>
    </row>
    <row r="557" spans="1:48" ht="20.100000000000001" customHeight="1" x14ac:dyDescent="0.25">
      <c r="A557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ATA_2007_050-7</v>
      </c>
      <c r="C557" s="39" t="e">
        <f ca="1">IF(NOTA[[#This Row],[ID_P]]="","",MATCH(NOTA[[#This Row],[ID_P]],[1]!B_MSK[N_ID],0))</f>
        <v>#REF!</v>
      </c>
      <c r="D557" s="39">
        <f ca="1">IF(NOTA[[#This Row],[NAMA BARANG]]="","",INDEX(NOTA[ID],MATCH(,INDIRECT(ADDRESS(ROW(NOTA[ID]),COLUMN(NOTA[ID]))&amp;":"&amp;ADDRESS(ROW(),COLUMN(NOTA[ID]))),-1)))</f>
        <v>111</v>
      </c>
      <c r="E557" s="47"/>
      <c r="F557" s="38" t="s">
        <v>24</v>
      </c>
      <c r="G557" s="38" t="s">
        <v>23</v>
      </c>
      <c r="H557" s="48" t="s">
        <v>648</v>
      </c>
      <c r="J557" s="40">
        <v>45120</v>
      </c>
      <c r="L557" s="38" t="s">
        <v>656</v>
      </c>
      <c r="N557" s="39">
        <v>72</v>
      </c>
      <c r="O557" s="38" t="s">
        <v>117</v>
      </c>
      <c r="P557" s="42">
        <v>4000</v>
      </c>
      <c r="Q557" s="43"/>
      <c r="R557" s="49" t="s">
        <v>649</v>
      </c>
      <c r="S557" s="50">
        <v>0.125</v>
      </c>
      <c r="T557" s="45">
        <v>0.05</v>
      </c>
      <c r="U557" s="51"/>
      <c r="V557" s="46"/>
      <c r="W557" s="51">
        <f>IF(NOTA[[#This Row],[HARGA/ CTN]]="",NOTA[[#This Row],[JUMLAH_H]],NOTA[[#This Row],[HARGA/ CTN]]*IF(NOTA[[#This Row],[C]]="",0,NOTA[[#This Row],[C]]))</f>
        <v>288000</v>
      </c>
      <c r="X557" s="51">
        <f>IF(NOTA[[#This Row],[JUMLAH]]="","",NOTA[[#This Row],[JUMLAH]]*NOTA[[#This Row],[DISC 1]])</f>
        <v>36000</v>
      </c>
      <c r="Y557" s="51">
        <f>IF(NOTA[[#This Row],[JUMLAH]]="","",(NOTA[[#This Row],[JUMLAH]]-NOTA[[#This Row],[DISC 1-]])*NOTA[[#This Row],[DISC 2]])</f>
        <v>12600</v>
      </c>
      <c r="Z557" s="51">
        <f>IF(NOTA[[#This Row],[JUMLAH]]="","",NOTA[[#This Row],[DISC 1-]]+NOTA[[#This Row],[DISC 2-]])</f>
        <v>48600</v>
      </c>
      <c r="AA557" s="51">
        <f>IF(NOTA[[#This Row],[JUMLAH]]="","",NOTA[[#This Row],[JUMLAH]]-NOTA[[#This Row],[DISC]])</f>
        <v>239400</v>
      </c>
      <c r="AB557" s="51"/>
      <c r="AC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7" s="51">
        <f>IF(OR(NOTA[[#This Row],[QTY]]="",NOTA[[#This Row],[HARGA SATUAN]]="",),"",NOTA[[#This Row],[QTY]]*NOTA[[#This Row],[HARGA SATUAN]])</f>
        <v>288000</v>
      </c>
      <c r="AG557" s="40">
        <f ca="1">IF(NOTA[ID_H]="","",INDEX(NOTA[TANGGAL],MATCH(,INDIRECT(ADDRESS(ROW(NOTA[TANGGAL]),COLUMN(NOTA[TANGGAL]))&amp;":"&amp;ADDRESS(ROW(),COLUMN(NOTA[TANGGAL]))),-1)))</f>
        <v>45127</v>
      </c>
      <c r="AH557" s="42" t="str">
        <f ca="1">IF(NOTA[[#This Row],[NAMA BARANG]]="","",INDEX(NOTA[SUPPLIER],MATCH(,INDIRECT(ADDRESS(ROW(NOTA[ID]),COLUMN(NOTA[ID]))&amp;":"&amp;ADDRESS(ROW(),COLUMN(NOTA[ID]))),-1)))</f>
        <v>ATALI MAKMUR</v>
      </c>
      <c r="AI557" s="42" t="str">
        <f ca="1">IF(NOTA[[#This Row],[ID_H]]="","",IF(NOTA[[#This Row],[FAKTUR]]="",INDIRECT(ADDRESS(ROW()-1,COLUMN())),NOTA[[#This Row],[FAKTUR]]))</f>
        <v>ARTO MORO</v>
      </c>
      <c r="AJ557" s="39">
        <f ca="1">IF(NOTA[[#This Row],[ID]]="","",COUNTIF(NOTA[ID_H],NOTA[[#This Row],[ID_H]]))</f>
        <v>7</v>
      </c>
      <c r="AK557" s="39">
        <f>IF(NOTA[[#This Row],[TGL.NOTA]]="",IF(NOTA[[#This Row],[SUPPLIER_H]]="","",AK556),MONTH(NOTA[[#This Row],[TGL.NOTA]]))</f>
        <v>7</v>
      </c>
      <c r="AL557" s="39" t="str">
        <f>LOWER(SUBSTITUTE(SUBSTITUTE(SUBSTITUTE(SUBSTITUTE(SUBSTITUTE(SUBSTITUTE(SUBSTITUTE(SUBSTITUTE(SUBSTITUTE(NOTA[NAMA BARANG]," ",),".",""),"-",""),"(",""),")",""),",",""),"/",""),"""",""),"+",""))</f>
        <v>pencilcasepc0618pl11bluejk</v>
      </c>
      <c r="AM5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pencilcasepc0618pl11bluejk2880000.1250.05</v>
      </c>
      <c r="AN5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pencilcasepc0618pl11bluejk40000.1250.05</v>
      </c>
      <c r="AO55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MOROSA23071205045120pencilcasepc0618pl11bluejk</v>
      </c>
      <c r="AP557" s="39" t="e">
        <f>IF(NOTA[[#This Row],[CONCAT4]]="","",_xlfn.IFNA(MATCH(NOTA[[#This Row],[CONCAT4]],[2]!RAW[CONCAT_H],0),FALSE))</f>
        <v>#REF!</v>
      </c>
      <c r="AQ557" s="39">
        <f>IF(NOTA[[#This Row],[CONCAT1]]="","",MATCH(NOTA[[#This Row],[CONCAT1]],[3]!db[NB NOTA_C],0))</f>
        <v>1888</v>
      </c>
      <c r="AR557" s="39" t="b">
        <f>IF(NOTA[[#This Row],[QTY/ CTN]]="","",TRUE)</f>
        <v>1</v>
      </c>
      <c r="AS557" s="39" t="str">
        <f ca="1">IF(NOTA[[#This Row],[ID_H]]="","",IF(NOTA[[#This Row],[Column3]]=TRUE,NOTA[[#This Row],[QTY/ CTN]],INDEX([3]!db[QTY/ CTN],NOTA[[#This Row],[//DB]])))</f>
        <v>12 BOX(24 PCS)</v>
      </c>
      <c r="AT5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pencilcasepc0618pl11bluejk12box24pcsartomoro</v>
      </c>
      <c r="AU557" s="39" t="e">
        <f ca="1">IF(NOTA[[#This Row],[ID_H]]="","",MATCH(NOTA[[#This Row],[NB NOTA_C_QTY]],[4]!db[NB NOTA_C_QTY+F],0))</f>
        <v>#REF!</v>
      </c>
      <c r="AV557" s="55">
        <f ca="1">IF(NOTA[[#This Row],[NB NOTA_C_QTY]]="","",ROW()-2)</f>
        <v>555</v>
      </c>
    </row>
    <row r="558" spans="1:48" ht="20.100000000000001" customHeight="1" x14ac:dyDescent="0.25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111</v>
      </c>
      <c r="E558" s="47"/>
      <c r="H558" s="48"/>
      <c r="L558" s="38" t="s">
        <v>657</v>
      </c>
      <c r="N558" s="39">
        <v>72</v>
      </c>
      <c r="O558" s="38" t="s">
        <v>117</v>
      </c>
      <c r="P558" s="42">
        <v>4000</v>
      </c>
      <c r="Q558" s="43"/>
      <c r="R558" s="49" t="s">
        <v>649</v>
      </c>
      <c r="S558" s="50">
        <v>0.125</v>
      </c>
      <c r="T558" s="45">
        <v>0.05</v>
      </c>
      <c r="U558" s="51"/>
      <c r="V558" s="46"/>
      <c r="W558" s="51">
        <f>IF(NOTA[[#This Row],[HARGA/ CTN]]="",NOTA[[#This Row],[JUMLAH_H]],NOTA[[#This Row],[HARGA/ CTN]]*IF(NOTA[[#This Row],[C]]="",0,NOTA[[#This Row],[C]]))</f>
        <v>288000</v>
      </c>
      <c r="X558" s="51">
        <f>IF(NOTA[[#This Row],[JUMLAH]]="","",NOTA[[#This Row],[JUMLAH]]*NOTA[[#This Row],[DISC 1]])</f>
        <v>36000</v>
      </c>
      <c r="Y558" s="51">
        <f>IF(NOTA[[#This Row],[JUMLAH]]="","",(NOTA[[#This Row],[JUMLAH]]-NOTA[[#This Row],[DISC 1-]])*NOTA[[#This Row],[DISC 2]])</f>
        <v>12600</v>
      </c>
      <c r="Z558" s="51">
        <f>IF(NOTA[[#This Row],[JUMLAH]]="","",NOTA[[#This Row],[DISC 1-]]+NOTA[[#This Row],[DISC 2-]])</f>
        <v>48600</v>
      </c>
      <c r="AA558" s="51">
        <f>IF(NOTA[[#This Row],[JUMLAH]]="","",NOTA[[#This Row],[JUMLAH]]-NOTA[[#This Row],[DISC]])</f>
        <v>239400</v>
      </c>
      <c r="AB558" s="51"/>
      <c r="AC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8" s="51">
        <f>IF(OR(NOTA[[#This Row],[QTY]]="",NOTA[[#This Row],[HARGA SATUAN]]="",),"",NOTA[[#This Row],[QTY]]*NOTA[[#This Row],[HARGA SATUAN]])</f>
        <v>288000</v>
      </c>
      <c r="AG558" s="40">
        <f ca="1">IF(NOTA[ID_H]="","",INDEX(NOTA[TANGGAL],MATCH(,INDIRECT(ADDRESS(ROW(NOTA[TANGGAL]),COLUMN(NOTA[TANGGAL]))&amp;":"&amp;ADDRESS(ROW(),COLUMN(NOTA[TANGGAL]))),-1)))</f>
        <v>45127</v>
      </c>
      <c r="AH558" s="42" t="str">
        <f ca="1">IF(NOTA[[#This Row],[NAMA BARANG]]="","",INDEX(NOTA[SUPPLIER],MATCH(,INDIRECT(ADDRESS(ROW(NOTA[ID]),COLUMN(NOTA[ID]))&amp;":"&amp;ADDRESS(ROW(),COLUMN(NOTA[ID]))),-1)))</f>
        <v>ATALI MAKMUR</v>
      </c>
      <c r="AI558" s="42" t="str">
        <f ca="1">IF(NOTA[[#This Row],[ID_H]]="","",IF(NOTA[[#This Row],[FAKTUR]]="",INDIRECT(ADDRESS(ROW()-1,COLUMN())),NOTA[[#This Row],[FAKTUR]]))</f>
        <v>ARTO MORO</v>
      </c>
      <c r="AJ558" s="39" t="str">
        <f ca="1">IF(NOTA[[#This Row],[ID]]="","",COUNTIF(NOTA[ID_H],NOTA[[#This Row],[ID_H]]))</f>
        <v/>
      </c>
      <c r="AK558" s="39">
        <f ca="1">IF(NOTA[[#This Row],[TGL.NOTA]]="",IF(NOTA[[#This Row],[SUPPLIER_H]]="","",AK557),MONTH(NOTA[[#This Row],[TGL.NOTA]]))</f>
        <v>7</v>
      </c>
      <c r="AL558" s="39" t="str">
        <f>LOWER(SUBSTITUTE(SUBSTITUTE(SUBSTITUTE(SUBSTITUTE(SUBSTITUTE(SUBSTITUTE(SUBSTITUTE(SUBSTITUTE(SUBSTITUTE(NOTA[NAMA BARANG]," ",),".",""),"-",""),"(",""),")",""),",",""),"/",""),"""",""),"+",""))</f>
        <v>pencilcasepc0618pl11greenjk</v>
      </c>
      <c r="AM5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pencilcasepc0618pl11greenjk2880000.1250.05</v>
      </c>
      <c r="AN5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pencilcasepc0618pl11greenjk40000.1250.05</v>
      </c>
      <c r="AO5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39" t="str">
        <f>IF(NOTA[[#This Row],[CONCAT4]]="","",_xlfn.IFNA(MATCH(NOTA[[#This Row],[CONCAT4]],[2]!RAW[CONCAT_H],0),FALSE))</f>
        <v/>
      </c>
      <c r="AQ558" s="39">
        <f>IF(NOTA[[#This Row],[CONCAT1]]="","",MATCH(NOTA[[#This Row],[CONCAT1]],[3]!db[NB NOTA_C],0))</f>
        <v>1889</v>
      </c>
      <c r="AR558" s="39" t="b">
        <f>IF(NOTA[[#This Row],[QTY/ CTN]]="","",TRUE)</f>
        <v>1</v>
      </c>
      <c r="AS558" s="39" t="str">
        <f ca="1">IF(NOTA[[#This Row],[ID_H]]="","",IF(NOTA[[#This Row],[Column3]]=TRUE,NOTA[[#This Row],[QTY/ CTN]],INDEX([3]!db[QTY/ CTN],NOTA[[#This Row],[//DB]])))</f>
        <v>12 BOX(24 PCS)</v>
      </c>
      <c r="AT5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pencilcasepc0618pl11greenjk12box24pcsartomoro</v>
      </c>
      <c r="AU558" s="39" t="e">
        <f ca="1">IF(NOTA[[#This Row],[ID_H]]="","",MATCH(NOTA[[#This Row],[NB NOTA_C_QTY]],[4]!db[NB NOTA_C_QTY+F],0))</f>
        <v>#REF!</v>
      </c>
      <c r="AV558" s="55">
        <f ca="1">IF(NOTA[[#This Row],[NB NOTA_C_QTY]]="","",ROW()-2)</f>
        <v>556</v>
      </c>
    </row>
    <row r="559" spans="1:48" ht="20.100000000000001" customHeight="1" x14ac:dyDescent="0.25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111</v>
      </c>
      <c r="E559" s="47"/>
      <c r="H559" s="48"/>
      <c r="L559" s="38" t="s">
        <v>658</v>
      </c>
      <c r="N559" s="39">
        <v>72</v>
      </c>
      <c r="O559" s="38" t="s">
        <v>117</v>
      </c>
      <c r="P559" s="42">
        <v>4000</v>
      </c>
      <c r="Q559" s="43"/>
      <c r="R559" s="49" t="s">
        <v>649</v>
      </c>
      <c r="S559" s="50">
        <v>0.125</v>
      </c>
      <c r="T559" s="45">
        <v>0.05</v>
      </c>
      <c r="U559" s="51"/>
      <c r="V559" s="46"/>
      <c r="W559" s="51">
        <f>IF(NOTA[[#This Row],[HARGA/ CTN]]="",NOTA[[#This Row],[JUMLAH_H]],NOTA[[#This Row],[HARGA/ CTN]]*IF(NOTA[[#This Row],[C]]="",0,NOTA[[#This Row],[C]]))</f>
        <v>288000</v>
      </c>
      <c r="X559" s="51">
        <f>IF(NOTA[[#This Row],[JUMLAH]]="","",NOTA[[#This Row],[JUMLAH]]*NOTA[[#This Row],[DISC 1]])</f>
        <v>36000</v>
      </c>
      <c r="Y559" s="51">
        <f>IF(NOTA[[#This Row],[JUMLAH]]="","",(NOTA[[#This Row],[JUMLAH]]-NOTA[[#This Row],[DISC 1-]])*NOTA[[#This Row],[DISC 2]])</f>
        <v>12600</v>
      </c>
      <c r="Z559" s="51">
        <f>IF(NOTA[[#This Row],[JUMLAH]]="","",NOTA[[#This Row],[DISC 1-]]+NOTA[[#This Row],[DISC 2-]])</f>
        <v>48600</v>
      </c>
      <c r="AA559" s="51">
        <f>IF(NOTA[[#This Row],[JUMLAH]]="","",NOTA[[#This Row],[JUMLAH]]-NOTA[[#This Row],[DISC]])</f>
        <v>239400</v>
      </c>
      <c r="AB559" s="51"/>
      <c r="AC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9" s="51">
        <f>IF(OR(NOTA[[#This Row],[QTY]]="",NOTA[[#This Row],[HARGA SATUAN]]="",),"",NOTA[[#This Row],[QTY]]*NOTA[[#This Row],[HARGA SATUAN]])</f>
        <v>288000</v>
      </c>
      <c r="AG559" s="40">
        <f ca="1">IF(NOTA[ID_H]="","",INDEX(NOTA[TANGGAL],MATCH(,INDIRECT(ADDRESS(ROW(NOTA[TANGGAL]),COLUMN(NOTA[TANGGAL]))&amp;":"&amp;ADDRESS(ROW(),COLUMN(NOTA[TANGGAL]))),-1)))</f>
        <v>45127</v>
      </c>
      <c r="AH559" s="42" t="str">
        <f ca="1">IF(NOTA[[#This Row],[NAMA BARANG]]="","",INDEX(NOTA[SUPPLIER],MATCH(,INDIRECT(ADDRESS(ROW(NOTA[ID]),COLUMN(NOTA[ID]))&amp;":"&amp;ADDRESS(ROW(),COLUMN(NOTA[ID]))),-1)))</f>
        <v>ATALI MAKMUR</v>
      </c>
      <c r="AI559" s="42" t="str">
        <f ca="1">IF(NOTA[[#This Row],[ID_H]]="","",IF(NOTA[[#This Row],[FAKTUR]]="",INDIRECT(ADDRESS(ROW()-1,COLUMN())),NOTA[[#This Row],[FAKTUR]]))</f>
        <v>ARTO MORO</v>
      </c>
      <c r="AJ559" s="39" t="str">
        <f ca="1">IF(NOTA[[#This Row],[ID]]="","",COUNTIF(NOTA[ID_H],NOTA[[#This Row],[ID_H]]))</f>
        <v/>
      </c>
      <c r="AK559" s="39">
        <f ca="1">IF(NOTA[[#This Row],[TGL.NOTA]]="",IF(NOTA[[#This Row],[SUPPLIER_H]]="","",AK558),MONTH(NOTA[[#This Row],[TGL.NOTA]]))</f>
        <v>7</v>
      </c>
      <c r="AL559" s="39" t="str">
        <f>LOWER(SUBSTITUTE(SUBSTITUTE(SUBSTITUTE(SUBSTITUTE(SUBSTITUTE(SUBSTITUTE(SUBSTITUTE(SUBSTITUTE(SUBSTITUTE(NOTA[NAMA BARANG]," ",),".",""),"-",""),"(",""),")",""),",",""),"/",""),"""",""),"+",""))</f>
        <v>pencilcasepc0618pl11redjk</v>
      </c>
      <c r="AM5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pencilcasepc0618pl11redjk2880000.1250.05</v>
      </c>
      <c r="AN5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pencilcasepc0618pl11redjk40000.1250.05</v>
      </c>
      <c r="AO5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39" t="str">
        <f>IF(NOTA[[#This Row],[CONCAT4]]="","",_xlfn.IFNA(MATCH(NOTA[[#This Row],[CONCAT4]],[2]!RAW[CONCAT_H],0),FALSE))</f>
        <v/>
      </c>
      <c r="AQ559" s="39">
        <f>IF(NOTA[[#This Row],[CONCAT1]]="","",MATCH(NOTA[[#This Row],[CONCAT1]],[3]!db[NB NOTA_C],0))</f>
        <v>1891</v>
      </c>
      <c r="AR559" s="39" t="b">
        <f>IF(NOTA[[#This Row],[QTY/ CTN]]="","",TRUE)</f>
        <v>1</v>
      </c>
      <c r="AS559" s="39" t="str">
        <f ca="1">IF(NOTA[[#This Row],[ID_H]]="","",IF(NOTA[[#This Row],[Column3]]=TRUE,NOTA[[#This Row],[QTY/ CTN]],INDEX([3]!db[QTY/ CTN],NOTA[[#This Row],[//DB]])))</f>
        <v>12 BOX(24 PCS)</v>
      </c>
      <c r="AT5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pencilcasepc0618pl11redjk12box24pcsartomoro</v>
      </c>
      <c r="AU559" s="39" t="e">
        <f ca="1">IF(NOTA[[#This Row],[ID_H]]="","",MATCH(NOTA[[#This Row],[NB NOTA_C_QTY]],[4]!db[NB NOTA_C_QTY+F],0))</f>
        <v>#REF!</v>
      </c>
      <c r="AV559" s="55">
        <f ca="1">IF(NOTA[[#This Row],[NB NOTA_C_QTY]]="","",ROW()-2)</f>
        <v>557</v>
      </c>
    </row>
    <row r="560" spans="1:48" ht="20.100000000000001" customHeight="1" x14ac:dyDescent="0.25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111</v>
      </c>
      <c r="E560" s="47"/>
      <c r="H560" s="48"/>
      <c r="L560" s="38" t="s">
        <v>659</v>
      </c>
      <c r="N560" s="39">
        <v>72</v>
      </c>
      <c r="O560" s="38" t="s">
        <v>117</v>
      </c>
      <c r="P560" s="42">
        <v>4000</v>
      </c>
      <c r="Q560" s="43"/>
      <c r="R560" s="49" t="s">
        <v>649</v>
      </c>
      <c r="S560" s="50">
        <v>0.125</v>
      </c>
      <c r="T560" s="45">
        <v>0.05</v>
      </c>
      <c r="U560" s="51"/>
      <c r="V560" s="46"/>
      <c r="W560" s="51">
        <f>IF(NOTA[[#This Row],[HARGA/ CTN]]="",NOTA[[#This Row],[JUMLAH_H]],NOTA[[#This Row],[HARGA/ CTN]]*IF(NOTA[[#This Row],[C]]="",0,NOTA[[#This Row],[C]]))</f>
        <v>288000</v>
      </c>
      <c r="X560" s="51">
        <f>IF(NOTA[[#This Row],[JUMLAH]]="","",NOTA[[#This Row],[JUMLAH]]*NOTA[[#This Row],[DISC 1]])</f>
        <v>36000</v>
      </c>
      <c r="Y560" s="51">
        <f>IF(NOTA[[#This Row],[JUMLAH]]="","",(NOTA[[#This Row],[JUMLAH]]-NOTA[[#This Row],[DISC 1-]])*NOTA[[#This Row],[DISC 2]])</f>
        <v>12600</v>
      </c>
      <c r="Z560" s="51">
        <f>IF(NOTA[[#This Row],[JUMLAH]]="","",NOTA[[#This Row],[DISC 1-]]+NOTA[[#This Row],[DISC 2-]])</f>
        <v>48600</v>
      </c>
      <c r="AA560" s="51">
        <f>IF(NOTA[[#This Row],[JUMLAH]]="","",NOTA[[#This Row],[JUMLAH]]-NOTA[[#This Row],[DISC]])</f>
        <v>239400</v>
      </c>
      <c r="AB560" s="51"/>
      <c r="AC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60" s="51">
        <f>IF(OR(NOTA[[#This Row],[QTY]]="",NOTA[[#This Row],[HARGA SATUAN]]="",),"",NOTA[[#This Row],[QTY]]*NOTA[[#This Row],[HARGA SATUAN]])</f>
        <v>288000</v>
      </c>
      <c r="AG560" s="40">
        <f ca="1">IF(NOTA[ID_H]="","",INDEX(NOTA[TANGGAL],MATCH(,INDIRECT(ADDRESS(ROW(NOTA[TANGGAL]),COLUMN(NOTA[TANGGAL]))&amp;":"&amp;ADDRESS(ROW(),COLUMN(NOTA[TANGGAL]))),-1)))</f>
        <v>45127</v>
      </c>
      <c r="AH560" s="42" t="str">
        <f ca="1">IF(NOTA[[#This Row],[NAMA BARANG]]="","",INDEX(NOTA[SUPPLIER],MATCH(,INDIRECT(ADDRESS(ROW(NOTA[ID]),COLUMN(NOTA[ID]))&amp;":"&amp;ADDRESS(ROW(),COLUMN(NOTA[ID]))),-1)))</f>
        <v>ATALI MAKMUR</v>
      </c>
      <c r="AI560" s="42" t="str">
        <f ca="1">IF(NOTA[[#This Row],[ID_H]]="","",IF(NOTA[[#This Row],[FAKTUR]]="",INDIRECT(ADDRESS(ROW()-1,COLUMN())),NOTA[[#This Row],[FAKTUR]]))</f>
        <v>ARTO MORO</v>
      </c>
      <c r="AJ560" s="39" t="str">
        <f ca="1">IF(NOTA[[#This Row],[ID]]="","",COUNTIF(NOTA[ID_H],NOTA[[#This Row],[ID_H]]))</f>
        <v/>
      </c>
      <c r="AK560" s="39">
        <f ca="1">IF(NOTA[[#This Row],[TGL.NOTA]]="",IF(NOTA[[#This Row],[SUPPLIER_H]]="","",AK559),MONTH(NOTA[[#This Row],[TGL.NOTA]]))</f>
        <v>7</v>
      </c>
      <c r="AL560" s="39" t="str">
        <f>LOWER(SUBSTITUTE(SUBSTITUTE(SUBSTITUTE(SUBSTITUTE(SUBSTITUTE(SUBSTITUTE(SUBSTITUTE(SUBSTITUTE(SUBSTITUTE(NOTA[NAMA BARANG]," ",),".",""),"-",""),"(",""),")",""),",",""),"/",""),"""",""),"+",""))</f>
        <v>pencilcasepc0618pl11yellowjk</v>
      </c>
      <c r="AM5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pencilcasepc0618pl11yellowjk2880000.1250.05</v>
      </c>
      <c r="AN5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pencilcasepc0618pl11yellowjk40000.1250.05</v>
      </c>
      <c r="AO5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39" t="str">
        <f>IF(NOTA[[#This Row],[CONCAT4]]="","",_xlfn.IFNA(MATCH(NOTA[[#This Row],[CONCAT4]],[2]!RAW[CONCAT_H],0),FALSE))</f>
        <v/>
      </c>
      <c r="AQ560" s="39">
        <f>IF(NOTA[[#This Row],[CONCAT1]]="","",MATCH(NOTA[[#This Row],[CONCAT1]],[3]!db[NB NOTA_C],0))</f>
        <v>1890</v>
      </c>
      <c r="AR560" s="39" t="b">
        <f>IF(NOTA[[#This Row],[QTY/ CTN]]="","",TRUE)</f>
        <v>1</v>
      </c>
      <c r="AS560" s="39" t="str">
        <f ca="1">IF(NOTA[[#This Row],[ID_H]]="","",IF(NOTA[[#This Row],[Column3]]=TRUE,NOTA[[#This Row],[QTY/ CTN]],INDEX([3]!db[QTY/ CTN],NOTA[[#This Row],[//DB]])))</f>
        <v>12 BOX(24 PCS)</v>
      </c>
      <c r="AT5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pencilcasepc0618pl11yellowjk12box24pcsartomoro</v>
      </c>
      <c r="AU560" s="39" t="e">
        <f ca="1">IF(NOTA[[#This Row],[ID_H]]="","",MATCH(NOTA[[#This Row],[NB NOTA_C_QTY]],[4]!db[NB NOTA_C_QTY+F],0))</f>
        <v>#REF!</v>
      </c>
      <c r="AV560" s="55">
        <f ca="1">IF(NOTA[[#This Row],[NB NOTA_C_QTY]]="","",ROW()-2)</f>
        <v>558</v>
      </c>
    </row>
    <row r="561" spans="1:48" ht="20.100000000000001" customHeight="1" x14ac:dyDescent="0.25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>
        <f ca="1">IF(NOTA[[#This Row],[NAMA BARANG]]="","",INDEX(NOTA[ID],MATCH(,INDIRECT(ADDRESS(ROW(NOTA[ID]),COLUMN(NOTA[ID]))&amp;":"&amp;ADDRESS(ROW(),COLUMN(NOTA[ID]))),-1)))</f>
        <v>111</v>
      </c>
      <c r="E561" s="47"/>
      <c r="H561" s="48"/>
      <c r="L561" s="38" t="s">
        <v>650</v>
      </c>
      <c r="N561" s="39">
        <v>360</v>
      </c>
      <c r="O561" s="38" t="s">
        <v>117</v>
      </c>
      <c r="P561" s="42">
        <v>3700</v>
      </c>
      <c r="Q561" s="43"/>
      <c r="R561" s="49" t="s">
        <v>651</v>
      </c>
      <c r="S561" s="50">
        <v>0.125</v>
      </c>
      <c r="T561" s="45">
        <v>0.05</v>
      </c>
      <c r="U561" s="51"/>
      <c r="V561" s="46"/>
      <c r="W561" s="51">
        <f>IF(NOTA[[#This Row],[HARGA/ CTN]]="",NOTA[[#This Row],[JUMLAH_H]],NOTA[[#This Row],[HARGA/ CTN]]*IF(NOTA[[#This Row],[C]]="",0,NOTA[[#This Row],[C]]))</f>
        <v>1332000</v>
      </c>
      <c r="X561" s="51">
        <f>IF(NOTA[[#This Row],[JUMLAH]]="","",NOTA[[#This Row],[JUMLAH]]*NOTA[[#This Row],[DISC 1]])</f>
        <v>166500</v>
      </c>
      <c r="Y561" s="51">
        <f>IF(NOTA[[#This Row],[JUMLAH]]="","",(NOTA[[#This Row],[JUMLAH]]-NOTA[[#This Row],[DISC 1-]])*NOTA[[#This Row],[DISC 2]])</f>
        <v>58275</v>
      </c>
      <c r="Z561" s="51">
        <f>IF(NOTA[[#This Row],[JUMLAH]]="","",NOTA[[#This Row],[DISC 1-]]+NOTA[[#This Row],[DISC 2-]])</f>
        <v>224775</v>
      </c>
      <c r="AA561" s="51">
        <f>IF(NOTA[[#This Row],[JUMLAH]]="","",NOTA[[#This Row],[JUMLAH]]-NOTA[[#This Row],[DISC]])</f>
        <v>1107225</v>
      </c>
      <c r="AB561" s="51"/>
      <c r="AC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1" s="51">
        <f>IF(OR(NOTA[[#This Row],[QTY]]="",NOTA[[#This Row],[HARGA SATUAN]]="",),"",NOTA[[#This Row],[QTY]]*NOTA[[#This Row],[HARGA SATUAN]])</f>
        <v>1332000</v>
      </c>
      <c r="AG561" s="40">
        <f ca="1">IF(NOTA[ID_H]="","",INDEX(NOTA[TANGGAL],MATCH(,INDIRECT(ADDRESS(ROW(NOTA[TANGGAL]),COLUMN(NOTA[TANGGAL]))&amp;":"&amp;ADDRESS(ROW(),COLUMN(NOTA[TANGGAL]))),-1)))</f>
        <v>45127</v>
      </c>
      <c r="AH561" s="42" t="str">
        <f ca="1">IF(NOTA[[#This Row],[NAMA BARANG]]="","",INDEX(NOTA[SUPPLIER],MATCH(,INDIRECT(ADDRESS(ROW(NOTA[ID]),COLUMN(NOTA[ID]))&amp;":"&amp;ADDRESS(ROW(),COLUMN(NOTA[ID]))),-1)))</f>
        <v>ATALI MAKMUR</v>
      </c>
      <c r="AI561" s="42" t="str">
        <f ca="1">IF(NOTA[[#This Row],[ID_H]]="","",IF(NOTA[[#This Row],[FAKTUR]]="",INDIRECT(ADDRESS(ROW()-1,COLUMN())),NOTA[[#This Row],[FAKTUR]]))</f>
        <v>ARTO MORO</v>
      </c>
      <c r="AJ561" s="39" t="str">
        <f ca="1">IF(NOTA[[#This Row],[ID]]="","",COUNTIF(NOTA[ID_H],NOTA[[#This Row],[ID_H]]))</f>
        <v/>
      </c>
      <c r="AK561" s="39">
        <f ca="1">IF(NOTA[[#This Row],[TGL.NOTA]]="",IF(NOTA[[#This Row],[SUPPLIER_H]]="","",AK560),MONTH(NOTA[[#This Row],[TGL.NOTA]]))</f>
        <v>7</v>
      </c>
      <c r="AL561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highlighterhl1yellowjk13320000.1250.05</v>
      </c>
      <c r="AN5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39" t="str">
        <f>IF(NOTA[[#This Row],[CONCAT4]]="","",_xlfn.IFNA(MATCH(NOTA[[#This Row],[CONCAT4]],[2]!RAW[CONCAT_H],0),FALSE))</f>
        <v/>
      </c>
      <c r="AQ561" s="39">
        <f>IF(NOTA[[#This Row],[CONCAT1]]="","",MATCH(NOTA[[#This Row],[CONCAT1]],[3]!db[NB NOTA_C],0))</f>
        <v>2401</v>
      </c>
      <c r="AR561" s="39" t="b">
        <f>IF(NOTA[[#This Row],[QTY/ CTN]]="","",TRUE)</f>
        <v>1</v>
      </c>
      <c r="AS561" s="39" t="str">
        <f ca="1">IF(NOTA[[#This Row],[ID_H]]="","",IF(NOTA[[#This Row],[Column3]]=TRUE,NOTA[[#This Row],[QTY/ CTN]],INDEX([3]!db[QTY/ CTN],NOTA[[#This Row],[//DB]])))</f>
        <v>72 BOX (10 PCS)</v>
      </c>
      <c r="AT5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61" s="39" t="e">
        <f ca="1">IF(NOTA[[#This Row],[ID_H]]="","",MATCH(NOTA[[#This Row],[NB NOTA_C_QTY]],[4]!db[NB NOTA_C_QTY+F],0))</f>
        <v>#REF!</v>
      </c>
      <c r="AV561" s="55">
        <f ca="1">IF(NOTA[[#This Row],[NB NOTA_C_QTY]]="","",ROW()-2)</f>
        <v>559</v>
      </c>
    </row>
    <row r="562" spans="1:48" ht="20.100000000000001" customHeight="1" x14ac:dyDescent="0.25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39" t="str">
        <f>IF(NOTA[[#This Row],[ID_P]]="","",MATCH(NOTA[[#This Row],[ID_P]],[1]!B_MSK[N_ID],0))</f>
        <v/>
      </c>
      <c r="D562" s="39">
        <f ca="1">IF(NOTA[[#This Row],[NAMA BARANG]]="","",INDEX(NOTA[ID],MATCH(,INDIRECT(ADDRESS(ROW(NOTA[ID]),COLUMN(NOTA[ID]))&amp;":"&amp;ADDRESS(ROW(),COLUMN(NOTA[ID]))),-1)))</f>
        <v>111</v>
      </c>
      <c r="E562" s="47"/>
      <c r="H562" s="48"/>
      <c r="L562" s="38" t="s">
        <v>654</v>
      </c>
      <c r="N562" s="39">
        <v>360</v>
      </c>
      <c r="O562" s="38" t="s">
        <v>117</v>
      </c>
      <c r="P562" s="42">
        <v>3700</v>
      </c>
      <c r="Q562" s="43"/>
      <c r="R562" s="49" t="s">
        <v>652</v>
      </c>
      <c r="S562" s="50">
        <v>0.125</v>
      </c>
      <c r="T562" s="45">
        <v>0.05</v>
      </c>
      <c r="U562" s="51"/>
      <c r="V562" s="46"/>
      <c r="W562" s="51">
        <f>IF(NOTA[[#This Row],[HARGA/ CTN]]="",NOTA[[#This Row],[JUMLAH_H]],NOTA[[#This Row],[HARGA/ CTN]]*IF(NOTA[[#This Row],[C]]="",0,NOTA[[#This Row],[C]]))</f>
        <v>1332000</v>
      </c>
      <c r="X562" s="51">
        <f>IF(NOTA[[#This Row],[JUMLAH]]="","",NOTA[[#This Row],[JUMLAH]]*NOTA[[#This Row],[DISC 1]])</f>
        <v>166500</v>
      </c>
      <c r="Y562" s="51">
        <f>IF(NOTA[[#This Row],[JUMLAH]]="","",(NOTA[[#This Row],[JUMLAH]]-NOTA[[#This Row],[DISC 1-]])*NOTA[[#This Row],[DISC 2]])</f>
        <v>58275</v>
      </c>
      <c r="Z562" s="51">
        <f>IF(NOTA[[#This Row],[JUMLAH]]="","",NOTA[[#This Row],[DISC 1-]]+NOTA[[#This Row],[DISC 2-]])</f>
        <v>224775</v>
      </c>
      <c r="AA562" s="51">
        <f>IF(NOTA[[#This Row],[JUMLAH]]="","",NOTA[[#This Row],[JUMLAH]]-NOTA[[#This Row],[DISC]])</f>
        <v>1107225</v>
      </c>
      <c r="AB562" s="51"/>
      <c r="AC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2" s="51">
        <f>IF(OR(NOTA[[#This Row],[QTY]]="",NOTA[[#This Row],[HARGA SATUAN]]="",),"",NOTA[[#This Row],[QTY]]*NOTA[[#This Row],[HARGA SATUAN]])</f>
        <v>1332000</v>
      </c>
      <c r="AG562" s="40">
        <f ca="1">IF(NOTA[ID_H]="","",INDEX(NOTA[TANGGAL],MATCH(,INDIRECT(ADDRESS(ROW(NOTA[TANGGAL]),COLUMN(NOTA[TANGGAL]))&amp;":"&amp;ADDRESS(ROW(),COLUMN(NOTA[TANGGAL]))),-1)))</f>
        <v>45127</v>
      </c>
      <c r="AH562" s="42" t="str">
        <f ca="1">IF(NOTA[[#This Row],[NAMA BARANG]]="","",INDEX(NOTA[SUPPLIER],MATCH(,INDIRECT(ADDRESS(ROW(NOTA[ID]),COLUMN(NOTA[ID]))&amp;":"&amp;ADDRESS(ROW(),COLUMN(NOTA[ID]))),-1)))</f>
        <v>ATALI MAKMUR</v>
      </c>
      <c r="AI562" s="42" t="str">
        <f ca="1">IF(NOTA[[#This Row],[ID_H]]="","",IF(NOTA[[#This Row],[FAKTUR]]="",INDIRECT(ADDRESS(ROW()-1,COLUMN())),NOTA[[#This Row],[FAKTUR]]))</f>
        <v>ARTO MORO</v>
      </c>
      <c r="AJ562" s="39" t="str">
        <f ca="1">IF(NOTA[[#This Row],[ID]]="","",COUNTIF(NOTA[ID_H],NOTA[[#This Row],[ID_H]]))</f>
        <v/>
      </c>
      <c r="AK562" s="39">
        <f ca="1">IF(NOTA[[#This Row],[TGL.NOTA]]="",IF(NOTA[[#This Row],[SUPPLIER_H]]="","",AK561),MONTH(NOTA[[#This Row],[TGL.NOTA]]))</f>
        <v>7</v>
      </c>
      <c r="AL562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N5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39" t="str">
        <f>IF(NOTA[[#This Row],[CONCAT4]]="","",_xlfn.IFNA(MATCH(NOTA[[#This Row],[CONCAT4]],[2]!RAW[CONCAT_H],0),FALSE))</f>
        <v/>
      </c>
      <c r="AQ562" s="39">
        <f>IF(NOTA[[#This Row],[CONCAT1]]="","",MATCH(NOTA[[#This Row],[CONCAT1]],[3]!db[NB NOTA_C],0))</f>
        <v>2406</v>
      </c>
      <c r="AR562" s="39" t="b">
        <f>IF(NOTA[[#This Row],[QTY/ CTN]]="","",TRUE)</f>
        <v>1</v>
      </c>
      <c r="AS562" s="39" t="str">
        <f ca="1">IF(NOTA[[#This Row],[ID_H]]="","",IF(NOTA[[#This Row],[Column3]]=TRUE,NOTA[[#This Row],[QTY/ CTN]],INDEX([3]!db[QTY/ CTN],NOTA[[#This Row],[//DB]])))</f>
        <v>73 BOX (10 PCS)</v>
      </c>
      <c r="AT5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highlighterhl5orangejk73box10pcsartomoro</v>
      </c>
      <c r="AU562" s="39" t="e">
        <f ca="1">IF(NOTA[[#This Row],[ID_H]]="","",MATCH(NOTA[[#This Row],[NB NOTA_C_QTY]],[4]!db[NB NOTA_C_QTY+F],0))</f>
        <v>#REF!</v>
      </c>
      <c r="AV562" s="55">
        <f ca="1">IF(NOTA[[#This Row],[NB NOTA_C_QTY]]="","",ROW()-2)</f>
        <v>560</v>
      </c>
    </row>
    <row r="563" spans="1:48" ht="20.100000000000001" customHeight="1" x14ac:dyDescent="0.25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111</v>
      </c>
      <c r="E563" s="47"/>
      <c r="H563" s="48"/>
      <c r="L563" s="38" t="s">
        <v>655</v>
      </c>
      <c r="N563" s="39">
        <v>240</v>
      </c>
      <c r="O563" s="38" t="s">
        <v>117</v>
      </c>
      <c r="P563" s="42">
        <v>3700</v>
      </c>
      <c r="Q563" s="43"/>
      <c r="R563" s="49" t="s">
        <v>653</v>
      </c>
      <c r="S563" s="50">
        <v>0.125</v>
      </c>
      <c r="T563" s="45">
        <v>0.05</v>
      </c>
      <c r="U563" s="51">
        <v>553612</v>
      </c>
      <c r="V563" s="46"/>
      <c r="W563" s="51">
        <f>IF(NOTA[[#This Row],[HARGA/ CTN]]="",NOTA[[#This Row],[JUMLAH_H]],NOTA[[#This Row],[HARGA/ CTN]]*IF(NOTA[[#This Row],[C]]="",0,NOTA[[#This Row],[C]]))</f>
        <v>888000</v>
      </c>
      <c r="X563" s="51">
        <f>IF(NOTA[[#This Row],[JUMLAH]]="","",NOTA[[#This Row],[JUMLAH]]*NOTA[[#This Row],[DISC 1]])</f>
        <v>111000</v>
      </c>
      <c r="Y563" s="51">
        <f>IF(NOTA[[#This Row],[JUMLAH]]="","",(NOTA[[#This Row],[JUMLAH]]-NOTA[[#This Row],[DISC 1-]])*NOTA[[#This Row],[DISC 2]])</f>
        <v>38850</v>
      </c>
      <c r="Z563" s="51">
        <f>IF(NOTA[[#This Row],[JUMLAH]]="","",NOTA[[#This Row],[DISC 1-]]+NOTA[[#This Row],[DISC 2-]])</f>
        <v>149850</v>
      </c>
      <c r="AA563" s="51">
        <f>IF(NOTA[[#This Row],[JUMLAH]]="","",NOTA[[#This Row],[JUMLAH]]-NOTA[[#This Row],[DISC]])</f>
        <v>738150</v>
      </c>
      <c r="AB563" s="51"/>
      <c r="AC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1347412</v>
      </c>
      <c r="AD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3356588</v>
      </c>
      <c r="AE563" s="42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563" s="51">
        <f>IF(OR(NOTA[[#This Row],[QTY]]="",NOTA[[#This Row],[HARGA SATUAN]]="",),"",NOTA[[#This Row],[QTY]]*NOTA[[#This Row],[HARGA SATUAN]])</f>
        <v>888000</v>
      </c>
      <c r="AG563" s="40">
        <f ca="1">IF(NOTA[ID_H]="","",INDEX(NOTA[TANGGAL],MATCH(,INDIRECT(ADDRESS(ROW(NOTA[TANGGAL]),COLUMN(NOTA[TANGGAL]))&amp;":"&amp;ADDRESS(ROW(),COLUMN(NOTA[TANGGAL]))),-1)))</f>
        <v>45127</v>
      </c>
      <c r="AH563" s="42" t="str">
        <f ca="1">IF(NOTA[[#This Row],[NAMA BARANG]]="","",INDEX(NOTA[SUPPLIER],MATCH(,INDIRECT(ADDRESS(ROW(NOTA[ID]),COLUMN(NOTA[ID]))&amp;":"&amp;ADDRESS(ROW(),COLUMN(NOTA[ID]))),-1)))</f>
        <v>ATALI MAKMUR</v>
      </c>
      <c r="AI563" s="42" t="str">
        <f ca="1">IF(NOTA[[#This Row],[ID_H]]="","",IF(NOTA[[#This Row],[FAKTUR]]="",INDIRECT(ADDRESS(ROW()-1,COLUMN())),NOTA[[#This Row],[FAKTUR]]))</f>
        <v>ARTO MORO</v>
      </c>
      <c r="AJ563" s="39" t="str">
        <f ca="1">IF(NOTA[[#This Row],[ID]]="","",COUNTIF(NOTA[ID_H],NOTA[[#This Row],[ID_H]]))</f>
        <v/>
      </c>
      <c r="AK563" s="39">
        <f ca="1">IF(NOTA[[#This Row],[TGL.NOTA]]="",IF(NOTA[[#This Row],[SUPPLIER_H]]="","",AK562),MONTH(NOTA[[#This Row],[TGL.NOTA]]))</f>
        <v>7</v>
      </c>
      <c r="AL563" s="39" t="str">
        <f>LOWER(SUBSTITUTE(SUBSTITUTE(SUBSTITUTE(SUBSTITUTE(SUBSTITUTE(SUBSTITUTE(SUBSTITUTE(SUBSTITUTE(SUBSTITUTE(NOTA[NAMA BARANG]," ",),".",""),"-",""),"(",""),")",""),",",""),"/",""),"""",""),"+",""))</f>
        <v>highlighterhl14greyjk</v>
      </c>
      <c r="AM5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highlighterhl14greyjk8880000.1250.05</v>
      </c>
      <c r="AN5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highlighterhl14greyjk37000.1250.05</v>
      </c>
      <c r="AO5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39" t="str">
        <f>IF(NOTA[[#This Row],[CONCAT4]]="","",_xlfn.IFNA(MATCH(NOTA[[#This Row],[CONCAT4]],[2]!RAW[CONCAT_H],0),FALSE))</f>
        <v/>
      </c>
      <c r="AQ563" s="39">
        <f>IF(NOTA[[#This Row],[CONCAT1]]="","",MATCH(NOTA[[#This Row],[CONCAT1]],[3]!db[NB NOTA_C],0))</f>
        <v>2402</v>
      </c>
      <c r="AR563" s="39" t="b">
        <f>IF(NOTA[[#This Row],[QTY/ CTN]]="","",TRUE)</f>
        <v>1</v>
      </c>
      <c r="AS563" s="39" t="str">
        <f ca="1">IF(NOTA[[#This Row],[ID_H]]="","",IF(NOTA[[#This Row],[Column3]]=TRUE,NOTA[[#This Row],[QTY/ CTN]],INDEX([3]!db[QTY/ CTN],NOTA[[#This Row],[//DB]])))</f>
        <v>74 BOX (10 PCS)</v>
      </c>
      <c r="AT5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highlighterhl14greyjk74box10pcsartomoro</v>
      </c>
      <c r="AU563" s="39" t="e">
        <f ca="1">IF(NOTA[[#This Row],[ID_H]]="","",MATCH(NOTA[[#This Row],[NB NOTA_C_QTY]],[4]!db[NB NOTA_C_QTY+F],0))</f>
        <v>#REF!</v>
      </c>
      <c r="AV563" s="55">
        <f ca="1">IF(NOTA[[#This Row],[NB NOTA_C_QTY]]="","",ROW()-2)</f>
        <v>561</v>
      </c>
    </row>
    <row r="564" spans="1:48" ht="20.100000000000001" customHeight="1" x14ac:dyDescent="0.25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47"/>
      <c r="H564" s="48"/>
      <c r="N564" s="39"/>
      <c r="Q564" s="43"/>
      <c r="R564" s="49"/>
      <c r="S564" s="50"/>
      <c r="U564" s="51"/>
      <c r="V564" s="46"/>
      <c r="W564" s="51" t="str">
        <f>IF(NOTA[[#This Row],[HARGA/ CTN]]="",NOTA[[#This Row],[JUMLAH_H]],NOTA[[#This Row],[HARGA/ CTN]]*IF(NOTA[[#This Row],[C]]="",0,NOTA[[#This Row],[C]]))</f>
        <v/>
      </c>
      <c r="X564" s="51" t="str">
        <f>IF(NOTA[[#This Row],[JUMLAH]]="","",NOTA[[#This Row],[JUMLAH]]*NOTA[[#This Row],[DISC 1]])</f>
        <v/>
      </c>
      <c r="Y564" s="51" t="str">
        <f>IF(NOTA[[#This Row],[JUMLAH]]="","",(NOTA[[#This Row],[JUMLAH]]-NOTA[[#This Row],[DISC 1-]])*NOTA[[#This Row],[DISC 2]])</f>
        <v/>
      </c>
      <c r="Z564" s="51" t="str">
        <f>IF(NOTA[[#This Row],[JUMLAH]]="","",NOTA[[#This Row],[DISC 1-]]+NOTA[[#This Row],[DISC 2-]])</f>
        <v/>
      </c>
      <c r="AA564" s="51" t="str">
        <f>IF(NOTA[[#This Row],[JUMLAH]]="","",NOTA[[#This Row],[JUMLAH]]-NOTA[[#This Row],[DISC]])</f>
        <v/>
      </c>
      <c r="AB564" s="51"/>
      <c r="AC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51" t="str">
        <f>IF(OR(NOTA[[#This Row],[QTY]]="",NOTA[[#This Row],[HARGA SATUAN]]="",),"",NOTA[[#This Row],[QTY]]*NOTA[[#This Row],[HARGA SATUAN]])</f>
        <v/>
      </c>
      <c r="AG564" s="40" t="str">
        <f ca="1">IF(NOTA[ID_H]="","",INDEX(NOTA[TANGGAL],MATCH(,INDIRECT(ADDRESS(ROW(NOTA[TANGGAL]),COLUMN(NOTA[TANGGAL]))&amp;":"&amp;ADDRESS(ROW(),COLUMN(NOTA[TANGGAL]))),-1)))</f>
        <v/>
      </c>
      <c r="AH564" s="42" t="str">
        <f ca="1">IF(NOTA[[#This Row],[NAMA BARANG]]="","",INDEX(NOTA[SUPPLIER],MATCH(,INDIRECT(ADDRESS(ROW(NOTA[ID]),COLUMN(NOTA[ID]))&amp;":"&amp;ADDRESS(ROW(),COLUMN(NOTA[ID]))),-1)))</f>
        <v/>
      </c>
      <c r="AI564" s="42" t="str">
        <f ca="1">IF(NOTA[[#This Row],[ID_H]]="","",IF(NOTA[[#This Row],[FAKTUR]]="",INDIRECT(ADDRESS(ROW()-1,COLUMN())),NOTA[[#This Row],[FAKTUR]]))</f>
        <v/>
      </c>
      <c r="AJ564" s="39" t="str">
        <f ca="1">IF(NOTA[[#This Row],[ID]]="","",COUNTIF(NOTA[ID_H],NOTA[[#This Row],[ID_H]]))</f>
        <v/>
      </c>
      <c r="AK564" s="39" t="str">
        <f ca="1">IF(NOTA[[#This Row],[TGL.NOTA]]="",IF(NOTA[[#This Row],[SUPPLIER_H]]="","",AK563),MONTH(NOTA[[#This Row],[TGL.NOTA]]))</f>
        <v/>
      </c>
      <c r="AL564" s="39" t="str">
        <f>LOWER(SUBSTITUTE(SUBSTITUTE(SUBSTITUTE(SUBSTITUTE(SUBSTITUTE(SUBSTITUTE(SUBSTITUTE(SUBSTITUTE(SUBSTITUTE(NOTA[NAMA BARANG]," ",),".",""),"-",""),"(",""),")",""),",",""),"/",""),"""",""),"+",""))</f>
        <v/>
      </c>
      <c r="AM5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39" t="str">
        <f>IF(NOTA[[#This Row],[CONCAT4]]="","",_xlfn.IFNA(MATCH(NOTA[[#This Row],[CONCAT4]],[2]!RAW[CONCAT_H],0),FALSE))</f>
        <v/>
      </c>
      <c r="AQ564" s="39" t="str">
        <f>IF(NOTA[[#This Row],[CONCAT1]]="","",MATCH(NOTA[[#This Row],[CONCAT1]],[3]!db[NB NOTA_C],0))</f>
        <v/>
      </c>
      <c r="AR564" s="39" t="str">
        <f>IF(NOTA[[#This Row],[QTY/ CTN]]="","",TRUE)</f>
        <v/>
      </c>
      <c r="AS564" s="39" t="str">
        <f ca="1">IF(NOTA[[#This Row],[ID_H]]="","",IF(NOTA[[#This Row],[Column3]]=TRUE,NOTA[[#This Row],[QTY/ CTN]],INDEX([3]!db[QTY/ CTN],NOTA[[#This Row],[//DB]])))</f>
        <v/>
      </c>
      <c r="AT5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39" t="str">
        <f ca="1">IF(NOTA[[#This Row],[ID_H]]="","",MATCH(NOTA[[#This Row],[NB NOTA_C_QTY]],[4]!db[NB NOTA_C_QTY+F],0))</f>
        <v/>
      </c>
      <c r="AV564" s="55" t="str">
        <f ca="1">IF(NOTA[[#This Row],[NB NOTA_C_QTY]]="","",ROW()-2)</f>
        <v/>
      </c>
    </row>
    <row r="565" spans="1:48" ht="20.100000000000001" customHeight="1" x14ac:dyDescent="0.25">
      <c r="A565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ATA_2007_212-10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112</v>
      </c>
      <c r="E565" s="47"/>
      <c r="F565" s="38" t="s">
        <v>24</v>
      </c>
      <c r="G565" s="38" t="s">
        <v>23</v>
      </c>
      <c r="H565" s="48" t="s">
        <v>660</v>
      </c>
      <c r="J565" s="40">
        <v>45121</v>
      </c>
      <c r="K565" s="38">
        <v>1</v>
      </c>
      <c r="L565" s="38" t="s">
        <v>669</v>
      </c>
      <c r="M565" s="41">
        <v>10</v>
      </c>
      <c r="N565" s="39">
        <v>360</v>
      </c>
      <c r="O565" s="38" t="s">
        <v>263</v>
      </c>
      <c r="P565" s="42">
        <v>41500</v>
      </c>
      <c r="Q565" s="43"/>
      <c r="R565" s="49" t="s">
        <v>661</v>
      </c>
      <c r="S565" s="50">
        <v>0.125</v>
      </c>
      <c r="T565" s="45">
        <v>0.05</v>
      </c>
      <c r="U565" s="51"/>
      <c r="V565" s="46"/>
      <c r="W565" s="51">
        <f>IF(NOTA[[#This Row],[HARGA/ CTN]]="",NOTA[[#This Row],[JUMLAH_H]],NOTA[[#This Row],[HARGA/ CTN]]*IF(NOTA[[#This Row],[C]]="",0,NOTA[[#This Row],[C]]))</f>
        <v>14940000</v>
      </c>
      <c r="X565" s="51">
        <f>IF(NOTA[[#This Row],[JUMLAH]]="","",NOTA[[#This Row],[JUMLAH]]*NOTA[[#This Row],[DISC 1]])</f>
        <v>1867500</v>
      </c>
      <c r="Y565" s="51">
        <f>IF(NOTA[[#This Row],[JUMLAH]]="","",(NOTA[[#This Row],[JUMLAH]]-NOTA[[#This Row],[DISC 1-]])*NOTA[[#This Row],[DISC 2]])</f>
        <v>653625</v>
      </c>
      <c r="Z565" s="51">
        <f>IF(NOTA[[#This Row],[JUMLAH]]="","",NOTA[[#This Row],[DISC 1-]]+NOTA[[#This Row],[DISC 2-]])</f>
        <v>2521125</v>
      </c>
      <c r="AA565" s="51">
        <f>IF(NOTA[[#This Row],[JUMLAH]]="","",NOTA[[#This Row],[JUMLAH]]-NOTA[[#This Row],[DISC]])</f>
        <v>12418875</v>
      </c>
      <c r="AB565" s="51"/>
      <c r="AC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565" s="51">
        <f>IF(OR(NOTA[[#This Row],[QTY]]="",NOTA[[#This Row],[HARGA SATUAN]]="",),"",NOTA[[#This Row],[QTY]]*NOTA[[#This Row],[HARGA SATUAN]])</f>
        <v>14940000</v>
      </c>
      <c r="AG565" s="40">
        <f ca="1">IF(NOTA[ID_H]="","",INDEX(NOTA[TANGGAL],MATCH(,INDIRECT(ADDRESS(ROW(NOTA[TANGGAL]),COLUMN(NOTA[TANGGAL]))&amp;":"&amp;ADDRESS(ROW(),COLUMN(NOTA[TANGGAL]))),-1)))</f>
        <v>45127</v>
      </c>
      <c r="AH565" s="42" t="str">
        <f ca="1">IF(NOTA[[#This Row],[NAMA BARANG]]="","",INDEX(NOTA[SUPPLIER],MATCH(,INDIRECT(ADDRESS(ROW(NOTA[ID]),COLUMN(NOTA[ID]))&amp;":"&amp;ADDRESS(ROW(),COLUMN(NOTA[ID]))),-1)))</f>
        <v>ATALI MAKMUR</v>
      </c>
      <c r="AI565" s="42" t="str">
        <f ca="1">IF(NOTA[[#This Row],[ID_H]]="","",IF(NOTA[[#This Row],[FAKTUR]]="",INDIRECT(ADDRESS(ROW()-1,COLUMN())),NOTA[[#This Row],[FAKTUR]]))</f>
        <v>ARTO MORO</v>
      </c>
      <c r="AJ565" s="39">
        <f ca="1">IF(NOTA[[#This Row],[ID]]="","",COUNTIF(NOTA[ID_H],NOTA[[#This Row],[ID_H]]))</f>
        <v>10</v>
      </c>
      <c r="AK565" s="39">
        <f>IF(NOTA[[#This Row],[TGL.NOTA]]="",IF(NOTA[[#This Row],[SUPPLIER_H]]="","",AK564),MONTH(NOTA[[#This Row],[TGL.NOTA]]))</f>
        <v>7</v>
      </c>
      <c r="AL56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5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5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6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MOROSA23071221245121oilpastelop36sppcaseseaworldjk</v>
      </c>
      <c r="AP565" s="39" t="e">
        <f>IF(NOTA[[#This Row],[CONCAT4]]="","",_xlfn.IFNA(MATCH(NOTA[[#This Row],[CONCAT4]],[2]!RAW[CONCAT_H],0),FALSE))</f>
        <v>#REF!</v>
      </c>
      <c r="AQ565" s="39">
        <f>IF(NOTA[[#This Row],[CONCAT1]]="","",MATCH(NOTA[[#This Row],[CONCAT1]],[3]!db[NB NOTA_C],0))</f>
        <v>1779</v>
      </c>
      <c r="AR565" s="39" t="b">
        <f>IF(NOTA[[#This Row],[QTY/ CTN]]="","",TRUE)</f>
        <v>1</v>
      </c>
      <c r="AS565" s="39" t="str">
        <f ca="1">IF(NOTA[[#This Row],[ID_H]]="","",IF(NOTA[[#This Row],[Column3]]=TRUE,NOTA[[#This Row],[QTY/ CTN]],INDEX([3]!db[QTY/ CTN],NOTA[[#This Row],[//DB]])))</f>
        <v>6 BOX (6 SET)</v>
      </c>
      <c r="AT5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565" s="39" t="e">
        <f ca="1">IF(NOTA[[#This Row],[ID_H]]="","",MATCH(NOTA[[#This Row],[NB NOTA_C_QTY]],[4]!db[NB NOTA_C_QTY+F],0))</f>
        <v>#REF!</v>
      </c>
      <c r="AV565" s="55">
        <f ca="1">IF(NOTA[[#This Row],[NB NOTA_C_QTY]]="","",ROW()-2)</f>
        <v>563</v>
      </c>
    </row>
    <row r="566" spans="1:48" ht="20.100000000000001" customHeight="1" x14ac:dyDescent="0.25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112</v>
      </c>
      <c r="E566" s="47"/>
      <c r="H566" s="48"/>
      <c r="K566" s="38">
        <v>1</v>
      </c>
      <c r="L566" s="38" t="s">
        <v>662</v>
      </c>
      <c r="M566" s="41">
        <v>1</v>
      </c>
      <c r="N566" s="39">
        <v>144</v>
      </c>
      <c r="O566" s="38" t="s">
        <v>263</v>
      </c>
      <c r="P566" s="42">
        <v>9000</v>
      </c>
      <c r="Q566" s="43"/>
      <c r="R566" s="49" t="s">
        <v>663</v>
      </c>
      <c r="S566" s="50">
        <v>0.125</v>
      </c>
      <c r="T566" s="45">
        <v>0.05</v>
      </c>
      <c r="U566" s="51"/>
      <c r="V566" s="46"/>
      <c r="W566" s="51">
        <f>IF(NOTA[[#This Row],[HARGA/ CTN]]="",NOTA[[#This Row],[JUMLAH_H]],NOTA[[#This Row],[HARGA/ CTN]]*IF(NOTA[[#This Row],[C]]="",0,NOTA[[#This Row],[C]]))</f>
        <v>1296000</v>
      </c>
      <c r="X566" s="51">
        <f>IF(NOTA[[#This Row],[JUMLAH]]="","",NOTA[[#This Row],[JUMLAH]]*NOTA[[#This Row],[DISC 1]])</f>
        <v>162000</v>
      </c>
      <c r="Y566" s="51">
        <f>IF(NOTA[[#This Row],[JUMLAH]]="","",(NOTA[[#This Row],[JUMLAH]]-NOTA[[#This Row],[DISC 1-]])*NOTA[[#This Row],[DISC 2]])</f>
        <v>56700</v>
      </c>
      <c r="Z566" s="51">
        <f>IF(NOTA[[#This Row],[JUMLAH]]="","",NOTA[[#This Row],[DISC 1-]]+NOTA[[#This Row],[DISC 2-]])</f>
        <v>218700</v>
      </c>
      <c r="AA566" s="51">
        <f>IF(NOTA[[#This Row],[JUMLAH]]="","",NOTA[[#This Row],[JUMLAH]]-NOTA[[#This Row],[DISC]])</f>
        <v>1077300</v>
      </c>
      <c r="AB566" s="51"/>
      <c r="AC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4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566" s="51">
        <f>IF(OR(NOTA[[#This Row],[QTY]]="",NOTA[[#This Row],[HARGA SATUAN]]="",),"",NOTA[[#This Row],[QTY]]*NOTA[[#This Row],[HARGA SATUAN]])</f>
        <v>1296000</v>
      </c>
      <c r="AG566" s="40">
        <f ca="1">IF(NOTA[ID_H]="","",INDEX(NOTA[TANGGAL],MATCH(,INDIRECT(ADDRESS(ROW(NOTA[TANGGAL]),COLUMN(NOTA[TANGGAL]))&amp;":"&amp;ADDRESS(ROW(),COLUMN(NOTA[TANGGAL]))),-1)))</f>
        <v>45127</v>
      </c>
      <c r="AH566" s="42" t="str">
        <f ca="1">IF(NOTA[[#This Row],[NAMA BARANG]]="","",INDEX(NOTA[SUPPLIER],MATCH(,INDIRECT(ADDRESS(ROW(NOTA[ID]),COLUMN(NOTA[ID]))&amp;":"&amp;ADDRESS(ROW(),COLUMN(NOTA[ID]))),-1)))</f>
        <v>ATALI MAKMUR</v>
      </c>
      <c r="AI566" s="42" t="str">
        <f ca="1">IF(NOTA[[#This Row],[ID_H]]="","",IF(NOTA[[#This Row],[FAKTUR]]="",INDIRECT(ADDRESS(ROW()-1,COLUMN())),NOTA[[#This Row],[FAKTUR]]))</f>
        <v>ARTO MORO</v>
      </c>
      <c r="AJ566" s="39" t="str">
        <f ca="1">IF(NOTA[[#This Row],[ID]]="","",COUNTIF(NOTA[ID_H],NOTA[[#This Row],[ID_H]]))</f>
        <v/>
      </c>
      <c r="AK566" s="39">
        <f ca="1">IF(NOTA[[#This Row],[TGL.NOTA]]="",IF(NOTA[[#This Row],[SUPPLIER_H]]="","",AK565),MONTH(NOTA[[#This Row],[TGL.NOTA]]))</f>
        <v>7</v>
      </c>
      <c r="AL566" s="39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5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5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5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39" t="str">
        <f>IF(NOTA[[#This Row],[CONCAT4]]="","",_xlfn.IFNA(MATCH(NOTA[[#This Row],[CONCAT4]],[2]!RAW[CONCAT_H],0),FALSE))</f>
        <v/>
      </c>
      <c r="AQ566" s="39">
        <f>IF(NOTA[[#This Row],[CONCAT1]]="","",MATCH(NOTA[[#This Row],[CONCAT1]],[3]!db[NB NOTA_C],0))</f>
        <v>1774</v>
      </c>
      <c r="AR566" s="39" t="b">
        <f>IF(NOTA[[#This Row],[QTY/ CTN]]="","",TRUE)</f>
        <v>1</v>
      </c>
      <c r="AS566" s="39" t="str">
        <f ca="1">IF(NOTA[[#This Row],[ID_H]]="","",IF(NOTA[[#This Row],[Column3]]=TRUE,NOTA[[#This Row],[QTY/ CTN]],INDEX([3]!db[QTY/ CTN],NOTA[[#This Row],[//DB]])))</f>
        <v>6 BOX (24 SET)</v>
      </c>
      <c r="AT5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566" s="39" t="e">
        <f ca="1">IF(NOTA[[#This Row],[ID_H]]="","",MATCH(NOTA[[#This Row],[NB NOTA_C_QTY]],[4]!db[NB NOTA_C_QTY+F],0))</f>
        <v>#REF!</v>
      </c>
      <c r="AV566" s="55">
        <f ca="1">IF(NOTA[[#This Row],[NB NOTA_C_QTY]]="","",ROW()-2)</f>
        <v>564</v>
      </c>
    </row>
    <row r="567" spans="1:48" ht="20.100000000000001" customHeight="1" x14ac:dyDescent="0.25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112</v>
      </c>
      <c r="E567" s="47"/>
      <c r="H567" s="48"/>
      <c r="K567" s="38">
        <v>5</v>
      </c>
      <c r="L567" s="38" t="s">
        <v>314</v>
      </c>
      <c r="M567" s="41">
        <v>5</v>
      </c>
      <c r="N567" s="39">
        <v>150</v>
      </c>
      <c r="O567" s="38" t="s">
        <v>305</v>
      </c>
      <c r="P567" s="42">
        <v>104400</v>
      </c>
      <c r="Q567" s="43"/>
      <c r="R567" s="49" t="s">
        <v>306</v>
      </c>
      <c r="S567" s="50">
        <v>0.125</v>
      </c>
      <c r="T567" s="45">
        <v>0.05</v>
      </c>
      <c r="U567" s="51"/>
      <c r="V567" s="46"/>
      <c r="W567" s="51">
        <f>IF(NOTA[[#This Row],[HARGA/ CTN]]="",NOTA[[#This Row],[JUMLAH_H]],NOTA[[#This Row],[HARGA/ CTN]]*IF(NOTA[[#This Row],[C]]="",0,NOTA[[#This Row],[C]]))</f>
        <v>15660000</v>
      </c>
      <c r="X567" s="51">
        <f>IF(NOTA[[#This Row],[JUMLAH]]="","",NOTA[[#This Row],[JUMLAH]]*NOTA[[#This Row],[DISC 1]])</f>
        <v>1957500</v>
      </c>
      <c r="Y567" s="51">
        <f>IF(NOTA[[#This Row],[JUMLAH]]="","",(NOTA[[#This Row],[JUMLAH]]-NOTA[[#This Row],[DISC 1-]])*NOTA[[#This Row],[DISC 2]])</f>
        <v>685125</v>
      </c>
      <c r="Z567" s="51">
        <f>IF(NOTA[[#This Row],[JUMLAH]]="","",NOTA[[#This Row],[DISC 1-]]+NOTA[[#This Row],[DISC 2-]])</f>
        <v>2642625</v>
      </c>
      <c r="AA567" s="51">
        <f>IF(NOTA[[#This Row],[JUMLAH]]="","",NOTA[[#This Row],[JUMLAH]]-NOTA[[#This Row],[DISC]])</f>
        <v>13017375</v>
      </c>
      <c r="AB567" s="51"/>
      <c r="AC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67" s="51">
        <f>IF(OR(NOTA[[#This Row],[QTY]]="",NOTA[[#This Row],[HARGA SATUAN]]="",),"",NOTA[[#This Row],[QTY]]*NOTA[[#This Row],[HARGA SATUAN]])</f>
        <v>15660000</v>
      </c>
      <c r="AG567" s="40">
        <f ca="1">IF(NOTA[ID_H]="","",INDEX(NOTA[TANGGAL],MATCH(,INDIRECT(ADDRESS(ROW(NOTA[TANGGAL]),COLUMN(NOTA[TANGGAL]))&amp;":"&amp;ADDRESS(ROW(),COLUMN(NOTA[TANGGAL]))),-1)))</f>
        <v>45127</v>
      </c>
      <c r="AH567" s="42" t="str">
        <f ca="1">IF(NOTA[[#This Row],[NAMA BARANG]]="","",INDEX(NOTA[SUPPLIER],MATCH(,INDIRECT(ADDRESS(ROW(NOTA[ID]),COLUMN(NOTA[ID]))&amp;":"&amp;ADDRESS(ROW(),COLUMN(NOTA[ID]))),-1)))</f>
        <v>ATALI MAKMUR</v>
      </c>
      <c r="AI567" s="42" t="str">
        <f ca="1">IF(NOTA[[#This Row],[ID_H]]="","",IF(NOTA[[#This Row],[FAKTUR]]="",INDIRECT(ADDRESS(ROW()-1,COLUMN())),NOTA[[#This Row],[FAKTUR]]))</f>
        <v>ARTO MORO</v>
      </c>
      <c r="AJ567" s="39" t="str">
        <f ca="1">IF(NOTA[[#This Row],[ID]]="","",COUNTIF(NOTA[ID_H],NOTA[[#This Row],[ID_H]]))</f>
        <v/>
      </c>
      <c r="AK567" s="39">
        <f ca="1">IF(NOTA[[#This Row],[TGL.NOTA]]="",IF(NOTA[[#This Row],[SUPPLIER_H]]="","",AK566),MONTH(NOTA[[#This Row],[TGL.NOTA]]))</f>
        <v>7</v>
      </c>
      <c r="AL56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39" t="str">
        <f>IF(NOTA[[#This Row],[CONCAT4]]="","",_xlfn.IFNA(MATCH(NOTA[[#This Row],[CONCAT4]],[2]!RAW[CONCAT_H],0),FALSE))</f>
        <v/>
      </c>
      <c r="AQ567" s="39">
        <f>IF(NOTA[[#This Row],[CONCAT1]]="","",MATCH(NOTA[[#This Row],[CONCAT1]],[3]!db[NB NOTA_C],0))</f>
        <v>2194</v>
      </c>
      <c r="AR567" s="39" t="b">
        <f>IF(NOTA[[#This Row],[QTY/ CTN]]="","",TRUE)</f>
        <v>1</v>
      </c>
      <c r="AS567" s="39" t="str">
        <f ca="1">IF(NOTA[[#This Row],[ID_H]]="","",IF(NOTA[[#This Row],[Column3]]=TRUE,NOTA[[#This Row],[QTY/ CTN]],INDEX([3]!db[QTY/ CTN],NOTA[[#This Row],[//DB]])))</f>
        <v>30 GRS</v>
      </c>
      <c r="AT5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67" s="39" t="e">
        <f ca="1">IF(NOTA[[#This Row],[ID_H]]="","",MATCH(NOTA[[#This Row],[NB NOTA_C_QTY]],[4]!db[NB NOTA_C_QTY+F],0))</f>
        <v>#REF!</v>
      </c>
      <c r="AV567" s="55">
        <f ca="1">IF(NOTA[[#This Row],[NB NOTA_C_QTY]]="","",ROW()-2)</f>
        <v>565</v>
      </c>
    </row>
    <row r="568" spans="1:48" ht="20.100000000000001" customHeight="1" x14ac:dyDescent="0.25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112</v>
      </c>
      <c r="E568" s="47"/>
      <c r="H568" s="48"/>
      <c r="K568" s="38">
        <v>5</v>
      </c>
      <c r="L568" s="38" t="s">
        <v>664</v>
      </c>
      <c r="M568" s="41">
        <v>5</v>
      </c>
      <c r="N568" s="39">
        <v>1200</v>
      </c>
      <c r="O568" s="38" t="s">
        <v>117</v>
      </c>
      <c r="P568" s="42">
        <v>7000</v>
      </c>
      <c r="Q568" s="43"/>
      <c r="R568" s="49" t="s">
        <v>484</v>
      </c>
      <c r="S568" s="50">
        <v>0.125</v>
      </c>
      <c r="T568" s="45">
        <v>0.05</v>
      </c>
      <c r="U568" s="51"/>
      <c r="V568" s="46"/>
      <c r="W568" s="51">
        <f>IF(NOTA[[#This Row],[HARGA/ CTN]]="",NOTA[[#This Row],[JUMLAH_H]],NOTA[[#This Row],[HARGA/ CTN]]*IF(NOTA[[#This Row],[C]]="",0,NOTA[[#This Row],[C]]))</f>
        <v>8400000</v>
      </c>
      <c r="X568" s="51">
        <f>IF(NOTA[[#This Row],[JUMLAH]]="","",NOTA[[#This Row],[JUMLAH]]*NOTA[[#This Row],[DISC 1]])</f>
        <v>1050000</v>
      </c>
      <c r="Y568" s="51">
        <f>IF(NOTA[[#This Row],[JUMLAH]]="","",(NOTA[[#This Row],[JUMLAH]]-NOTA[[#This Row],[DISC 1-]])*NOTA[[#This Row],[DISC 2]])</f>
        <v>367500</v>
      </c>
      <c r="Z568" s="51">
        <f>IF(NOTA[[#This Row],[JUMLAH]]="","",NOTA[[#This Row],[DISC 1-]]+NOTA[[#This Row],[DISC 2-]])</f>
        <v>1417500</v>
      </c>
      <c r="AA568" s="51">
        <f>IF(NOTA[[#This Row],[JUMLAH]]="","",NOTA[[#This Row],[JUMLAH]]-NOTA[[#This Row],[DISC]])</f>
        <v>6982500</v>
      </c>
      <c r="AB568" s="51"/>
      <c r="AC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568" s="51">
        <f>IF(OR(NOTA[[#This Row],[QTY]]="",NOTA[[#This Row],[HARGA SATUAN]]="",),"",NOTA[[#This Row],[QTY]]*NOTA[[#This Row],[HARGA SATUAN]])</f>
        <v>8400000</v>
      </c>
      <c r="AG568" s="40">
        <f ca="1">IF(NOTA[ID_H]="","",INDEX(NOTA[TANGGAL],MATCH(,INDIRECT(ADDRESS(ROW(NOTA[TANGGAL]),COLUMN(NOTA[TANGGAL]))&amp;":"&amp;ADDRESS(ROW(),COLUMN(NOTA[TANGGAL]))),-1)))</f>
        <v>45127</v>
      </c>
      <c r="AH568" s="42" t="str">
        <f ca="1">IF(NOTA[[#This Row],[NAMA BARANG]]="","",INDEX(NOTA[SUPPLIER],MATCH(,INDIRECT(ADDRESS(ROW(NOTA[ID]),COLUMN(NOTA[ID]))&amp;":"&amp;ADDRESS(ROW(),COLUMN(NOTA[ID]))),-1)))</f>
        <v>ATALI MAKMUR</v>
      </c>
      <c r="AI568" s="42" t="str">
        <f ca="1">IF(NOTA[[#This Row],[ID_H]]="","",IF(NOTA[[#This Row],[FAKTUR]]="",INDIRECT(ADDRESS(ROW()-1,COLUMN())),NOTA[[#This Row],[FAKTUR]]))</f>
        <v>ARTO MORO</v>
      </c>
      <c r="AJ568" s="39" t="str">
        <f ca="1">IF(NOTA[[#This Row],[ID]]="","",COUNTIF(NOTA[ID_H],NOTA[[#This Row],[ID_H]]))</f>
        <v/>
      </c>
      <c r="AK568" s="39">
        <f ca="1">IF(NOTA[[#This Row],[TGL.NOTA]]="",IF(NOTA[[#This Row],[SUPPLIER_H]]="","",AK567),MONTH(NOTA[[#This Row],[TGL.NOTA]]))</f>
        <v>7</v>
      </c>
      <c r="AL568" s="39" t="str">
        <f>LOWER(SUBSTITUTE(SUBSTITUTE(SUBSTITUTE(SUBSTITUTE(SUBSTITUTE(SUBSTITUTE(SUBSTITUTE(SUBSTITUTE(SUBSTITUTE(NOTA[NAMA BARANG]," ",),".",""),"-",""),"(",""),")",""),",",""),"/",""),"""",""),"+",""))</f>
        <v>staplerhd10cljk</v>
      </c>
      <c r="AM5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5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5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39" t="str">
        <f>IF(NOTA[[#This Row],[CONCAT4]]="","",_xlfn.IFNA(MATCH(NOTA[[#This Row],[CONCAT4]],[2]!RAW[CONCAT_H],0),FALSE))</f>
        <v/>
      </c>
      <c r="AQ568" s="39">
        <f>IF(NOTA[[#This Row],[CONCAT1]]="","",MATCH(NOTA[[#This Row],[CONCAT1]],[3]!db[NB NOTA_C],0))</f>
        <v>2446</v>
      </c>
      <c r="AR568" s="39" t="b">
        <f>IF(NOTA[[#This Row],[QTY/ CTN]]="","",TRUE)</f>
        <v>1</v>
      </c>
      <c r="AS568" s="39" t="str">
        <f ca="1">IF(NOTA[[#This Row],[ID_H]]="","",IF(NOTA[[#This Row],[Column3]]=TRUE,NOTA[[#This Row],[QTY/ CTN]],INDEX([3]!db[QTY/ CTN],NOTA[[#This Row],[//DB]])))</f>
        <v>20 LSN</v>
      </c>
      <c r="AT5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568" s="39" t="e">
        <f ca="1">IF(NOTA[[#This Row],[ID_H]]="","",MATCH(NOTA[[#This Row],[NB NOTA_C_QTY]],[4]!db[NB NOTA_C_QTY+F],0))</f>
        <v>#REF!</v>
      </c>
      <c r="AV568" s="55">
        <f ca="1">IF(NOTA[[#This Row],[NB NOTA_C_QTY]]="","",ROW()-2)</f>
        <v>566</v>
      </c>
    </row>
    <row r="569" spans="1:48" ht="20.100000000000001" customHeight="1" x14ac:dyDescent="0.25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112</v>
      </c>
      <c r="E569" s="47"/>
      <c r="H569" s="48"/>
      <c r="K569" s="38">
        <v>2</v>
      </c>
      <c r="L569" s="38" t="s">
        <v>665</v>
      </c>
      <c r="M569" s="41">
        <v>2</v>
      </c>
      <c r="N569" s="39">
        <v>50</v>
      </c>
      <c r="O569" s="38" t="s">
        <v>152</v>
      </c>
      <c r="P569" s="42">
        <v>70800</v>
      </c>
      <c r="Q569" s="43"/>
      <c r="R569" s="49" t="s">
        <v>507</v>
      </c>
      <c r="S569" s="50">
        <v>0.125</v>
      </c>
      <c r="T569" s="45">
        <v>0.05</v>
      </c>
      <c r="U569" s="51"/>
      <c r="V569" s="46"/>
      <c r="W569" s="51">
        <f>IF(NOTA[[#This Row],[HARGA/ CTN]]="",NOTA[[#This Row],[JUMLAH_H]],NOTA[[#This Row],[HARGA/ CTN]]*IF(NOTA[[#This Row],[C]]="",0,NOTA[[#This Row],[C]]))</f>
        <v>3540000</v>
      </c>
      <c r="X569" s="51">
        <f>IF(NOTA[[#This Row],[JUMLAH]]="","",NOTA[[#This Row],[JUMLAH]]*NOTA[[#This Row],[DISC 1]])</f>
        <v>442500</v>
      </c>
      <c r="Y569" s="51">
        <f>IF(NOTA[[#This Row],[JUMLAH]]="","",(NOTA[[#This Row],[JUMLAH]]-NOTA[[#This Row],[DISC 1-]])*NOTA[[#This Row],[DISC 2]])</f>
        <v>154875</v>
      </c>
      <c r="Z569" s="51">
        <f>IF(NOTA[[#This Row],[JUMLAH]]="","",NOTA[[#This Row],[DISC 1-]]+NOTA[[#This Row],[DISC 2-]])</f>
        <v>597375</v>
      </c>
      <c r="AA569" s="51">
        <f>IF(NOTA[[#This Row],[JUMLAH]]="","",NOTA[[#This Row],[JUMLAH]]-NOTA[[#This Row],[DISC]])</f>
        <v>2942625</v>
      </c>
      <c r="AB569" s="51"/>
      <c r="AC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69" s="51">
        <f>IF(OR(NOTA[[#This Row],[QTY]]="",NOTA[[#This Row],[HARGA SATUAN]]="",),"",NOTA[[#This Row],[QTY]]*NOTA[[#This Row],[HARGA SATUAN]])</f>
        <v>3540000</v>
      </c>
      <c r="AG569" s="40">
        <f ca="1">IF(NOTA[ID_H]="","",INDEX(NOTA[TANGGAL],MATCH(,INDIRECT(ADDRESS(ROW(NOTA[TANGGAL]),COLUMN(NOTA[TANGGAL]))&amp;":"&amp;ADDRESS(ROW(),COLUMN(NOTA[TANGGAL]))),-1)))</f>
        <v>45127</v>
      </c>
      <c r="AH569" s="42" t="str">
        <f ca="1">IF(NOTA[[#This Row],[NAMA BARANG]]="","",INDEX(NOTA[SUPPLIER],MATCH(,INDIRECT(ADDRESS(ROW(NOTA[ID]),COLUMN(NOTA[ID]))&amp;":"&amp;ADDRESS(ROW(),COLUMN(NOTA[ID]))),-1)))</f>
        <v>ATALI MAKMUR</v>
      </c>
      <c r="AI569" s="42" t="str">
        <f ca="1">IF(NOTA[[#This Row],[ID_H]]="","",IF(NOTA[[#This Row],[FAKTUR]]="",INDIRECT(ADDRESS(ROW()-1,COLUMN())),NOTA[[#This Row],[FAKTUR]]))</f>
        <v>ARTO MORO</v>
      </c>
      <c r="AJ569" s="39" t="str">
        <f ca="1">IF(NOTA[[#This Row],[ID]]="","",COUNTIF(NOTA[ID_H],NOTA[[#This Row],[ID_H]]))</f>
        <v/>
      </c>
      <c r="AK569" s="39">
        <f ca="1">IF(NOTA[[#This Row],[TGL.NOTA]]="",IF(NOTA[[#This Row],[SUPPLIER_H]]="","",AK568),MONTH(NOTA[[#This Row],[TGL.NOTA]]))</f>
        <v>7</v>
      </c>
      <c r="AL569" s="39" t="str">
        <f>LOWER(SUBSTITUTE(SUBSTITUTE(SUBSTITUTE(SUBSTITUTE(SUBSTITUTE(SUBSTITUTE(SUBSTITUTE(SUBSTITUTE(SUBSTITUTE(NOTA[NAMA BARANG]," ",),".",""),"-",""),"(",""),")",""),",",""),"/",""),"""",""),"+",""))</f>
        <v>staplerhd10mjk</v>
      </c>
      <c r="AM5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5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5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39" t="str">
        <f>IF(NOTA[[#This Row],[CONCAT4]]="","",_xlfn.IFNA(MATCH(NOTA[[#This Row],[CONCAT4]],[2]!RAW[CONCAT_H],0),FALSE))</f>
        <v/>
      </c>
      <c r="AQ569" s="39">
        <f>IF(NOTA[[#This Row],[CONCAT1]]="","",MATCH(NOTA[[#This Row],[CONCAT1]],[3]!db[NB NOTA_C],0))</f>
        <v>2448</v>
      </c>
      <c r="AR569" s="39" t="b">
        <f>IF(NOTA[[#This Row],[QTY/ CTN]]="","",TRUE)</f>
        <v>1</v>
      </c>
      <c r="AS569" s="39" t="str">
        <f ca="1">IF(NOTA[[#This Row],[ID_H]]="","",IF(NOTA[[#This Row],[Column3]]=TRUE,NOTA[[#This Row],[QTY/ CTN]],INDEX([3]!db[QTY/ CTN],NOTA[[#This Row],[//DB]])))</f>
        <v>25 LSN</v>
      </c>
      <c r="AT5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U569" s="39" t="e">
        <f ca="1">IF(NOTA[[#This Row],[ID_H]]="","",MATCH(NOTA[[#This Row],[NB NOTA_C_QTY]],[4]!db[NB NOTA_C_QTY+F],0))</f>
        <v>#REF!</v>
      </c>
      <c r="AV569" s="55">
        <f ca="1">IF(NOTA[[#This Row],[NB NOTA_C_QTY]]="","",ROW()-2)</f>
        <v>567</v>
      </c>
    </row>
    <row r="570" spans="1:48" ht="20.100000000000001" customHeight="1" x14ac:dyDescent="0.25">
      <c r="A5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>
        <f ca="1">IF(NOTA[[#This Row],[NAMA BARANG]]="","",INDEX(NOTA[ID],MATCH(,INDIRECT(ADDRESS(ROW(NOTA[ID]),COLUMN(NOTA[ID]))&amp;":"&amp;ADDRESS(ROW(),COLUMN(NOTA[ID]))),-1)))</f>
        <v>112</v>
      </c>
      <c r="E570" s="47"/>
      <c r="H570" s="48"/>
      <c r="K570" s="38">
        <v>1</v>
      </c>
      <c r="L570" s="38" t="s">
        <v>666</v>
      </c>
      <c r="M570" s="41">
        <v>1</v>
      </c>
      <c r="N570" s="39">
        <v>72</v>
      </c>
      <c r="O570" s="38" t="s">
        <v>117</v>
      </c>
      <c r="P570" s="42">
        <v>46000</v>
      </c>
      <c r="Q570" s="43"/>
      <c r="R570" s="49" t="s">
        <v>357</v>
      </c>
      <c r="S570" s="50">
        <v>0.125</v>
      </c>
      <c r="T570" s="45">
        <v>0.05</v>
      </c>
      <c r="U570" s="51"/>
      <c r="V570" s="46"/>
      <c r="W570" s="51">
        <f>IF(NOTA[[#This Row],[HARGA/ CTN]]="",NOTA[[#This Row],[JUMLAH_H]],NOTA[[#This Row],[HARGA/ CTN]]*IF(NOTA[[#This Row],[C]]="",0,NOTA[[#This Row],[C]]))</f>
        <v>3312000</v>
      </c>
      <c r="X570" s="51">
        <f>IF(NOTA[[#This Row],[JUMLAH]]="","",NOTA[[#This Row],[JUMLAH]]*NOTA[[#This Row],[DISC 1]])</f>
        <v>414000</v>
      </c>
      <c r="Y570" s="51">
        <f>IF(NOTA[[#This Row],[JUMLAH]]="","",(NOTA[[#This Row],[JUMLAH]]-NOTA[[#This Row],[DISC 1-]])*NOTA[[#This Row],[DISC 2]])</f>
        <v>144900</v>
      </c>
      <c r="Z570" s="51">
        <f>IF(NOTA[[#This Row],[JUMLAH]]="","",NOTA[[#This Row],[DISC 1-]]+NOTA[[#This Row],[DISC 2-]])</f>
        <v>558900</v>
      </c>
      <c r="AA570" s="51">
        <f>IF(NOTA[[#This Row],[JUMLAH]]="","",NOTA[[#This Row],[JUMLAH]]-NOTA[[#This Row],[DISC]])</f>
        <v>2753100</v>
      </c>
      <c r="AB570" s="51"/>
      <c r="AC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570" s="51">
        <f>IF(OR(NOTA[[#This Row],[QTY]]="",NOTA[[#This Row],[HARGA SATUAN]]="",),"",NOTA[[#This Row],[QTY]]*NOTA[[#This Row],[HARGA SATUAN]])</f>
        <v>3312000</v>
      </c>
      <c r="AG570" s="40">
        <f ca="1">IF(NOTA[ID_H]="","",INDEX(NOTA[TANGGAL],MATCH(,INDIRECT(ADDRESS(ROW(NOTA[TANGGAL]),COLUMN(NOTA[TANGGAL]))&amp;":"&amp;ADDRESS(ROW(),COLUMN(NOTA[TANGGAL]))),-1)))</f>
        <v>45127</v>
      </c>
      <c r="AH570" s="42" t="str">
        <f ca="1">IF(NOTA[[#This Row],[NAMA BARANG]]="","",INDEX(NOTA[SUPPLIER],MATCH(,INDIRECT(ADDRESS(ROW(NOTA[ID]),COLUMN(NOTA[ID]))&amp;":"&amp;ADDRESS(ROW(),COLUMN(NOTA[ID]))),-1)))</f>
        <v>ATALI MAKMUR</v>
      </c>
      <c r="AI570" s="42" t="str">
        <f ca="1">IF(NOTA[[#This Row],[ID_H]]="","",IF(NOTA[[#This Row],[FAKTUR]]="",INDIRECT(ADDRESS(ROW()-1,COLUMN())),NOTA[[#This Row],[FAKTUR]]))</f>
        <v>ARTO MORO</v>
      </c>
      <c r="AJ570" s="39" t="str">
        <f ca="1">IF(NOTA[[#This Row],[ID]]="","",COUNTIF(NOTA[ID_H],NOTA[[#This Row],[ID_H]]))</f>
        <v/>
      </c>
      <c r="AK570" s="39">
        <f ca="1">IF(NOTA[[#This Row],[TGL.NOTA]]="",IF(NOTA[[#This Row],[SUPPLIER_H]]="","",AK569),MONTH(NOTA[[#This Row],[TGL.NOTA]]))</f>
        <v>7</v>
      </c>
      <c r="AL570" s="39" t="str">
        <f>LOWER(SUBSTITUTE(SUBSTITUTE(SUBSTITUTE(SUBSTITUTE(SUBSTITUTE(SUBSTITUTE(SUBSTITUTE(SUBSTITUTE(SUBSTITUTE(NOTA[NAMA BARANG]," ",),".",""),"-",""),"(",""),")",""),",",""),"/",""),"""",""),"+",""))</f>
        <v>sharpenera63robotjk</v>
      </c>
      <c r="AM5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sharpenera63robotjk33120000.1250.05</v>
      </c>
      <c r="AN5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sharpenera63robotjk33120000.1250.05</v>
      </c>
      <c r="AO5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39" t="str">
        <f>IF(NOTA[[#This Row],[CONCAT4]]="","",_xlfn.IFNA(MATCH(NOTA[[#This Row],[CONCAT4]],[2]!RAW[CONCAT_H],0),FALSE))</f>
        <v/>
      </c>
      <c r="AQ570" s="39">
        <f>IF(NOTA[[#This Row],[CONCAT1]]="","",MATCH(NOTA[[#This Row],[CONCAT1]],[3]!db[NB NOTA_C],0))</f>
        <v>60</v>
      </c>
      <c r="AR570" s="39" t="b">
        <f>IF(NOTA[[#This Row],[QTY/ CTN]]="","",TRUE)</f>
        <v>1</v>
      </c>
      <c r="AS570" s="39" t="str">
        <f ca="1">IF(NOTA[[#This Row],[ID_H]]="","",IF(NOTA[[#This Row],[Column3]]=TRUE,NOTA[[#This Row],[QTY/ CTN]],INDEX([3]!db[QTY/ CTN],NOTA[[#This Row],[//DB]])))</f>
        <v>72 PCS</v>
      </c>
      <c r="AT5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sharpenera63robotjk72pcsartomoro</v>
      </c>
      <c r="AU570" s="39" t="e">
        <f ca="1">IF(NOTA[[#This Row],[ID_H]]="","",MATCH(NOTA[[#This Row],[NB NOTA_C_QTY]],[4]!db[NB NOTA_C_QTY+F],0))</f>
        <v>#REF!</v>
      </c>
      <c r="AV570" s="55">
        <f ca="1">IF(NOTA[[#This Row],[NB NOTA_C_QTY]]="","",ROW()-2)</f>
        <v>568</v>
      </c>
    </row>
    <row r="571" spans="1:48" ht="20.100000000000001" customHeight="1" x14ac:dyDescent="0.25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39" t="str">
        <f>IF(NOTA[[#This Row],[ID_P]]="","",MATCH(NOTA[[#This Row],[ID_P]],[1]!B_MSK[N_ID],0))</f>
        <v/>
      </c>
      <c r="D571" s="39">
        <f ca="1">IF(NOTA[[#This Row],[NAMA BARANG]]="","",INDEX(NOTA[ID],MATCH(,INDIRECT(ADDRESS(ROW(NOTA[ID]),COLUMN(NOTA[ID]))&amp;":"&amp;ADDRESS(ROW(),COLUMN(NOTA[ID]))),-1)))</f>
        <v>112</v>
      </c>
      <c r="E571" s="47"/>
      <c r="H571" s="48"/>
      <c r="K571" s="38">
        <v>1</v>
      </c>
      <c r="L571" s="38" t="s">
        <v>667</v>
      </c>
      <c r="M571" s="41">
        <v>1</v>
      </c>
      <c r="N571" s="39">
        <v>144</v>
      </c>
      <c r="O571" s="38" t="s">
        <v>152</v>
      </c>
      <c r="P571" s="42">
        <v>12600</v>
      </c>
      <c r="Q571" s="43"/>
      <c r="R571" s="49" t="s">
        <v>538</v>
      </c>
      <c r="S571" s="50">
        <v>0.125</v>
      </c>
      <c r="T571" s="45">
        <v>0.05</v>
      </c>
      <c r="U571" s="51"/>
      <c r="V571" s="46"/>
      <c r="W571" s="51">
        <f>IF(NOTA[[#This Row],[HARGA/ CTN]]="",NOTA[[#This Row],[JUMLAH_H]],NOTA[[#This Row],[HARGA/ CTN]]*IF(NOTA[[#This Row],[C]]="",0,NOTA[[#This Row],[C]]))</f>
        <v>1814400</v>
      </c>
      <c r="X571" s="51">
        <f>IF(NOTA[[#This Row],[JUMLAH]]="","",NOTA[[#This Row],[JUMLAH]]*NOTA[[#This Row],[DISC 1]])</f>
        <v>226800</v>
      </c>
      <c r="Y571" s="51">
        <f>IF(NOTA[[#This Row],[JUMLAH]]="","",(NOTA[[#This Row],[JUMLAH]]-NOTA[[#This Row],[DISC 1-]])*NOTA[[#This Row],[DISC 2]])</f>
        <v>79380</v>
      </c>
      <c r="Z571" s="51">
        <f>IF(NOTA[[#This Row],[JUMLAH]]="","",NOTA[[#This Row],[DISC 1-]]+NOTA[[#This Row],[DISC 2-]])</f>
        <v>306180</v>
      </c>
      <c r="AA571" s="51">
        <f>IF(NOTA[[#This Row],[JUMLAH]]="","",NOTA[[#This Row],[JUMLAH]]-NOTA[[#This Row],[DISC]])</f>
        <v>1508220</v>
      </c>
      <c r="AB571" s="51"/>
      <c r="AC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71" s="51">
        <f>IF(OR(NOTA[[#This Row],[QTY]]="",NOTA[[#This Row],[HARGA SATUAN]]="",),"",NOTA[[#This Row],[QTY]]*NOTA[[#This Row],[HARGA SATUAN]])</f>
        <v>1814400</v>
      </c>
      <c r="AG571" s="40">
        <f ca="1">IF(NOTA[ID_H]="","",INDEX(NOTA[TANGGAL],MATCH(,INDIRECT(ADDRESS(ROW(NOTA[TANGGAL]),COLUMN(NOTA[TANGGAL]))&amp;":"&amp;ADDRESS(ROW(),COLUMN(NOTA[TANGGAL]))),-1)))</f>
        <v>45127</v>
      </c>
      <c r="AH571" s="42" t="str">
        <f ca="1">IF(NOTA[[#This Row],[NAMA BARANG]]="","",INDEX(NOTA[SUPPLIER],MATCH(,INDIRECT(ADDRESS(ROW(NOTA[ID]),COLUMN(NOTA[ID]))&amp;":"&amp;ADDRESS(ROW(),COLUMN(NOTA[ID]))),-1)))</f>
        <v>ATALI MAKMUR</v>
      </c>
      <c r="AI571" s="42" t="str">
        <f ca="1">IF(NOTA[[#This Row],[ID_H]]="","",IF(NOTA[[#This Row],[FAKTUR]]="",INDIRECT(ADDRESS(ROW()-1,COLUMN())),NOTA[[#This Row],[FAKTUR]]))</f>
        <v>ARTO MORO</v>
      </c>
      <c r="AJ571" s="39" t="str">
        <f ca="1">IF(NOTA[[#This Row],[ID]]="","",COUNTIF(NOTA[ID_H],NOTA[[#This Row],[ID_H]]))</f>
        <v/>
      </c>
      <c r="AK571" s="39">
        <f ca="1">IF(NOTA[[#This Row],[TGL.NOTA]]="",IF(NOTA[[#This Row],[SUPPLIER_H]]="","",AK570),MONTH(NOTA[[#This Row],[TGL.NOTA]]))</f>
        <v>7</v>
      </c>
      <c r="AL57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39" t="str">
        <f>IF(NOTA[[#This Row],[CONCAT4]]="","",_xlfn.IFNA(MATCH(NOTA[[#This Row],[CONCAT4]],[2]!RAW[CONCAT_H],0),FALSE))</f>
        <v/>
      </c>
      <c r="AQ571" s="39">
        <f>IF(NOTA[[#This Row],[CONCAT1]]="","",MATCH(NOTA[[#This Row],[CONCAT1]],[3]!db[NB NOTA_C],0))</f>
        <v>632</v>
      </c>
      <c r="AR571" s="39" t="b">
        <f>IF(NOTA[[#This Row],[QTY/ CTN]]="","",TRUE)</f>
        <v>1</v>
      </c>
      <c r="AS571" s="39" t="str">
        <f ca="1">IF(NOTA[[#This Row],[ID_H]]="","",IF(NOTA[[#This Row],[Column3]]=TRUE,NOTA[[#This Row],[QTY/ CTN]],INDEX([3]!db[QTY/ CTN],NOTA[[#This Row],[//DB]])))</f>
        <v>144 LSN</v>
      </c>
      <c r="AT5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71" s="39" t="e">
        <f ca="1">IF(NOTA[[#This Row],[ID_H]]="","",MATCH(NOTA[[#This Row],[NB NOTA_C_QTY]],[4]!db[NB NOTA_C_QTY+F],0))</f>
        <v>#REF!</v>
      </c>
      <c r="AV571" s="55">
        <f ca="1">IF(NOTA[[#This Row],[NB NOTA_C_QTY]]="","",ROW()-2)</f>
        <v>569</v>
      </c>
    </row>
    <row r="572" spans="1:48" ht="20.100000000000001" customHeight="1" x14ac:dyDescent="0.25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112</v>
      </c>
      <c r="E572" s="47"/>
      <c r="H572" s="48"/>
      <c r="K572" s="38">
        <v>1</v>
      </c>
      <c r="L572" s="38" t="s">
        <v>668</v>
      </c>
      <c r="M572" s="41">
        <v>1</v>
      </c>
      <c r="N572" s="39">
        <v>24</v>
      </c>
      <c r="O572" s="38" t="s">
        <v>152</v>
      </c>
      <c r="P572" s="42">
        <v>89400</v>
      </c>
      <c r="Q572" s="43"/>
      <c r="R572" s="49" t="s">
        <v>240</v>
      </c>
      <c r="S572" s="50">
        <v>0.125</v>
      </c>
      <c r="T572" s="45">
        <v>0.05</v>
      </c>
      <c r="U572" s="51"/>
      <c r="V572" s="46"/>
      <c r="W572" s="51">
        <f>IF(NOTA[[#This Row],[HARGA/ CTN]]="",NOTA[[#This Row],[JUMLAH_H]],NOTA[[#This Row],[HARGA/ CTN]]*IF(NOTA[[#This Row],[C]]="",0,NOTA[[#This Row],[C]]))</f>
        <v>2145600</v>
      </c>
      <c r="X572" s="51">
        <f>IF(NOTA[[#This Row],[JUMLAH]]="","",NOTA[[#This Row],[JUMLAH]]*NOTA[[#This Row],[DISC 1]])</f>
        <v>268200</v>
      </c>
      <c r="Y572" s="51">
        <f>IF(NOTA[[#This Row],[JUMLAH]]="","",(NOTA[[#This Row],[JUMLAH]]-NOTA[[#This Row],[DISC 1-]])*NOTA[[#This Row],[DISC 2]])</f>
        <v>93870</v>
      </c>
      <c r="Z572" s="51">
        <f>IF(NOTA[[#This Row],[JUMLAH]]="","",NOTA[[#This Row],[DISC 1-]]+NOTA[[#This Row],[DISC 2-]])</f>
        <v>362070</v>
      </c>
      <c r="AA572" s="51">
        <f>IF(NOTA[[#This Row],[JUMLAH]]="","",NOTA[[#This Row],[JUMLAH]]-NOTA[[#This Row],[DISC]])</f>
        <v>1783530</v>
      </c>
      <c r="AB572" s="51"/>
      <c r="AC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72" s="51">
        <f>IF(OR(NOTA[[#This Row],[QTY]]="",NOTA[[#This Row],[HARGA SATUAN]]="",),"",NOTA[[#This Row],[QTY]]*NOTA[[#This Row],[HARGA SATUAN]])</f>
        <v>2145600</v>
      </c>
      <c r="AG572" s="40">
        <f ca="1">IF(NOTA[ID_H]="","",INDEX(NOTA[TANGGAL],MATCH(,INDIRECT(ADDRESS(ROW(NOTA[TANGGAL]),COLUMN(NOTA[TANGGAL]))&amp;":"&amp;ADDRESS(ROW(),COLUMN(NOTA[TANGGAL]))),-1)))</f>
        <v>45127</v>
      </c>
      <c r="AH572" s="42" t="str">
        <f ca="1">IF(NOTA[[#This Row],[NAMA BARANG]]="","",INDEX(NOTA[SUPPLIER],MATCH(,INDIRECT(ADDRESS(ROW(NOTA[ID]),COLUMN(NOTA[ID]))&amp;":"&amp;ADDRESS(ROW(),COLUMN(NOTA[ID]))),-1)))</f>
        <v>ATALI MAKMUR</v>
      </c>
      <c r="AI572" s="42" t="str">
        <f ca="1">IF(NOTA[[#This Row],[ID_H]]="","",IF(NOTA[[#This Row],[FAKTUR]]="",INDIRECT(ADDRESS(ROW()-1,COLUMN())),NOTA[[#This Row],[FAKTUR]]))</f>
        <v>ARTO MORO</v>
      </c>
      <c r="AJ572" s="39" t="str">
        <f ca="1">IF(NOTA[[#This Row],[ID]]="","",COUNTIF(NOTA[ID_H],NOTA[[#This Row],[ID_H]]))</f>
        <v/>
      </c>
      <c r="AK572" s="39">
        <f ca="1">IF(NOTA[[#This Row],[TGL.NOTA]]="",IF(NOTA[[#This Row],[SUPPLIER_H]]="","",AK571),MONTH(NOTA[[#This Row],[TGL.NOTA]]))</f>
        <v>7</v>
      </c>
      <c r="AL572" s="39" t="str">
        <f>LOWER(SUBSTITUTE(SUBSTITUTE(SUBSTITUTE(SUBSTITUTE(SUBSTITUTE(SUBSTITUTE(SUBSTITUTE(SUBSTITUTE(SUBSTITUTE(NOTA[NAMA BARANG]," ",),".",""),"-",""),"(",""),")",""),",",""),"/",""),"""",""),"+",""))</f>
        <v>mathsetms25jk</v>
      </c>
      <c r="AM5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39" t="str">
        <f>IF(NOTA[[#This Row],[CONCAT4]]="","",_xlfn.IFNA(MATCH(NOTA[[#This Row],[CONCAT4]],[2]!RAW[CONCAT_H],0),FALSE))</f>
        <v/>
      </c>
      <c r="AQ572" s="39">
        <f>IF(NOTA[[#This Row],[CONCAT1]]="","",MATCH(NOTA[[#This Row],[CONCAT1]],[3]!db[NB NOTA_C],0))</f>
        <v>1353</v>
      </c>
      <c r="AR572" s="39" t="b">
        <f>IF(NOTA[[#This Row],[QTY/ CTN]]="","",TRUE)</f>
        <v>1</v>
      </c>
      <c r="AS572" s="39" t="str">
        <f ca="1">IF(NOTA[[#This Row],[ID_H]]="","",IF(NOTA[[#This Row],[Column3]]=TRUE,NOTA[[#This Row],[QTY/ CTN]],INDEX([3]!db[QTY/ CTN],NOTA[[#This Row],[//DB]])))</f>
        <v>24 LSN</v>
      </c>
      <c r="AT5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U572" s="39" t="e">
        <f ca="1">IF(NOTA[[#This Row],[ID_H]]="","",MATCH(NOTA[[#This Row],[NB NOTA_C_QTY]],[4]!db[NB NOTA_C_QTY+F],0))</f>
        <v>#REF!</v>
      </c>
      <c r="AV572" s="55">
        <f ca="1">IF(NOTA[[#This Row],[NB NOTA_C_QTY]]="","",ROW()-2)</f>
        <v>570</v>
      </c>
    </row>
    <row r="573" spans="1:48" ht="20.100000000000001" customHeight="1" x14ac:dyDescent="0.25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>
        <f ca="1">IF(NOTA[[#This Row],[NAMA BARANG]]="","",INDEX(NOTA[ID],MATCH(,INDIRECT(ADDRESS(ROW(NOTA[ID]),COLUMN(NOTA[ID]))&amp;":"&amp;ADDRESS(ROW(),COLUMN(NOTA[ID]))),-1)))</f>
        <v>112</v>
      </c>
      <c r="E573" s="47"/>
      <c r="H573" s="48"/>
      <c r="L573" s="38" t="s">
        <v>111</v>
      </c>
      <c r="M573" s="41">
        <v>2</v>
      </c>
      <c r="N573" s="39">
        <v>288</v>
      </c>
      <c r="O573" s="38" t="s">
        <v>117</v>
      </c>
      <c r="P573" s="42">
        <v>4350</v>
      </c>
      <c r="Q573" s="43"/>
      <c r="R573" s="49" t="s">
        <v>513</v>
      </c>
      <c r="S573" s="50">
        <v>0.125</v>
      </c>
      <c r="T573" s="45">
        <v>0.05</v>
      </c>
      <c r="U573" s="51"/>
      <c r="V573" s="46"/>
      <c r="W573" s="51">
        <f>IF(NOTA[[#This Row],[HARGA/ CTN]]="",NOTA[[#This Row],[JUMLAH_H]],NOTA[[#This Row],[HARGA/ CTN]]*IF(NOTA[[#This Row],[C]]="",0,NOTA[[#This Row],[C]]))</f>
        <v>1252800</v>
      </c>
      <c r="X573" s="51">
        <f>IF(NOTA[[#This Row],[JUMLAH]]="","",NOTA[[#This Row],[JUMLAH]]*NOTA[[#This Row],[DISC 1]])</f>
        <v>156600</v>
      </c>
      <c r="Y573" s="51">
        <f>IF(NOTA[[#This Row],[JUMLAH]]="","",(NOTA[[#This Row],[JUMLAH]]-NOTA[[#This Row],[DISC 1-]])*NOTA[[#This Row],[DISC 2]])</f>
        <v>54810</v>
      </c>
      <c r="Z573" s="51">
        <f>IF(NOTA[[#This Row],[JUMLAH]]="","",NOTA[[#This Row],[DISC 1-]]+NOTA[[#This Row],[DISC 2-]])</f>
        <v>211410</v>
      </c>
      <c r="AA573" s="51">
        <f>IF(NOTA[[#This Row],[JUMLAH]]="","",NOTA[[#This Row],[JUMLAH]]-NOTA[[#This Row],[DISC]])</f>
        <v>1041390</v>
      </c>
      <c r="AB573" s="51"/>
      <c r="AC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73" s="51">
        <f>IF(OR(NOTA[[#This Row],[QTY]]="",NOTA[[#This Row],[HARGA SATUAN]]="",),"",NOTA[[#This Row],[QTY]]*NOTA[[#This Row],[HARGA SATUAN]])</f>
        <v>1252800</v>
      </c>
      <c r="AG573" s="40">
        <f ca="1">IF(NOTA[ID_H]="","",INDEX(NOTA[TANGGAL],MATCH(,INDIRECT(ADDRESS(ROW(NOTA[TANGGAL]),COLUMN(NOTA[TANGGAL]))&amp;":"&amp;ADDRESS(ROW(),COLUMN(NOTA[TANGGAL]))),-1)))</f>
        <v>45127</v>
      </c>
      <c r="AH573" s="42" t="str">
        <f ca="1">IF(NOTA[[#This Row],[NAMA BARANG]]="","",INDEX(NOTA[SUPPLIER],MATCH(,INDIRECT(ADDRESS(ROW(NOTA[ID]),COLUMN(NOTA[ID]))&amp;":"&amp;ADDRESS(ROW(),COLUMN(NOTA[ID]))),-1)))</f>
        <v>ATALI MAKMUR</v>
      </c>
      <c r="AI573" s="42" t="str">
        <f ca="1">IF(NOTA[[#This Row],[ID_H]]="","",IF(NOTA[[#This Row],[FAKTUR]]="",INDIRECT(ADDRESS(ROW()-1,COLUMN())),NOTA[[#This Row],[FAKTUR]]))</f>
        <v>ARTO MORO</v>
      </c>
      <c r="AJ573" s="39" t="str">
        <f ca="1">IF(NOTA[[#This Row],[ID]]="","",COUNTIF(NOTA[ID_H],NOTA[[#This Row],[ID_H]]))</f>
        <v/>
      </c>
      <c r="AK573" s="39">
        <f ca="1">IF(NOTA[[#This Row],[TGL.NOTA]]="",IF(NOTA[[#This Row],[SUPPLIER_H]]="","",AK572),MONTH(NOTA[[#This Row],[TGL.NOTA]]))</f>
        <v>7</v>
      </c>
      <c r="AL573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39" t="str">
        <f>IF(NOTA[[#This Row],[CONCAT4]]="","",_xlfn.IFNA(MATCH(NOTA[[#This Row],[CONCAT4]],[2]!RAW[CONCAT_H],0),FALSE))</f>
        <v/>
      </c>
      <c r="AQ573" s="39">
        <f>IF(NOTA[[#This Row],[CONCAT1]]="","",MATCH(NOTA[[#This Row],[CONCAT1]],[3]!db[NB NOTA_C],0))</f>
        <v>1249</v>
      </c>
      <c r="AR573" s="39" t="b">
        <f>IF(NOTA[[#This Row],[QTY/ CTN]]="","",TRUE)</f>
        <v>1</v>
      </c>
      <c r="AS573" s="39" t="str">
        <f ca="1">IF(NOTA[[#This Row],[ID_H]]="","",IF(NOTA[[#This Row],[Column3]]=TRUE,NOTA[[#This Row],[QTY/ CTN]],INDEX([3]!db[QTY/ CTN],NOTA[[#This Row],[//DB]])))</f>
        <v>12 LSN</v>
      </c>
      <c r="AT5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73" s="39" t="e">
        <f ca="1">IF(NOTA[[#This Row],[ID_H]]="","",MATCH(NOTA[[#This Row],[NB NOTA_C_QTY]],[4]!db[NB NOTA_C_QTY+F],0))</f>
        <v>#REF!</v>
      </c>
      <c r="AV573" s="55">
        <f ca="1">IF(NOTA[[#This Row],[NB NOTA_C_QTY]]="","",ROW()-2)</f>
        <v>571</v>
      </c>
    </row>
    <row r="574" spans="1:48" ht="20.100000000000001" customHeight="1" x14ac:dyDescent="0.25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39" t="str">
        <f>IF(NOTA[[#This Row],[ID_P]]="","",MATCH(NOTA[[#This Row],[ID_P]],[1]!B_MSK[N_ID],0))</f>
        <v/>
      </c>
      <c r="D574" s="39">
        <f ca="1">IF(NOTA[[#This Row],[NAMA BARANG]]="","",INDEX(NOTA[ID],MATCH(,INDIRECT(ADDRESS(ROW(NOTA[ID]),COLUMN(NOTA[ID]))&amp;":"&amp;ADDRESS(ROW(),COLUMN(NOTA[ID]))),-1)))</f>
        <v>112</v>
      </c>
      <c r="E574" s="47"/>
      <c r="H574" s="48"/>
      <c r="L574" s="38" t="s">
        <v>113</v>
      </c>
      <c r="M574" s="41">
        <v>2</v>
      </c>
      <c r="N574" s="39">
        <v>288</v>
      </c>
      <c r="O574" s="38" t="s">
        <v>117</v>
      </c>
      <c r="P574" s="42">
        <v>6500</v>
      </c>
      <c r="Q574" s="43"/>
      <c r="R574" s="49" t="s">
        <v>513</v>
      </c>
      <c r="S574" s="50">
        <v>0.125</v>
      </c>
      <c r="T574" s="45">
        <v>0.05</v>
      </c>
      <c r="U574" s="51"/>
      <c r="V574" s="46"/>
      <c r="W574" s="51">
        <f>IF(NOTA[[#This Row],[HARGA/ CTN]]="",NOTA[[#This Row],[JUMLAH_H]],NOTA[[#This Row],[HARGA/ CTN]]*IF(NOTA[[#This Row],[C]]="",0,NOTA[[#This Row],[C]]))</f>
        <v>1872000</v>
      </c>
      <c r="X574" s="51">
        <f>IF(NOTA[[#This Row],[JUMLAH]]="","",NOTA[[#This Row],[JUMLAH]]*NOTA[[#This Row],[DISC 1]])</f>
        <v>234000</v>
      </c>
      <c r="Y574" s="51">
        <f>IF(NOTA[[#This Row],[JUMLAH]]="","",(NOTA[[#This Row],[JUMLAH]]-NOTA[[#This Row],[DISC 1-]])*NOTA[[#This Row],[DISC 2]])</f>
        <v>81900</v>
      </c>
      <c r="Z574" s="51">
        <f>IF(NOTA[[#This Row],[JUMLAH]]="","",NOTA[[#This Row],[DISC 1-]]+NOTA[[#This Row],[DISC 2-]])</f>
        <v>315900</v>
      </c>
      <c r="AA574" s="51">
        <f>IF(NOTA[[#This Row],[JUMLAH]]="","",NOTA[[#This Row],[JUMLAH]]-NOTA[[#This Row],[DISC]])</f>
        <v>1556100</v>
      </c>
      <c r="AB574" s="51"/>
      <c r="AC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9151785</v>
      </c>
      <c r="AD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45081015</v>
      </c>
      <c r="AE574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74" s="51">
        <f>IF(OR(NOTA[[#This Row],[QTY]]="",NOTA[[#This Row],[HARGA SATUAN]]="",),"",NOTA[[#This Row],[QTY]]*NOTA[[#This Row],[HARGA SATUAN]])</f>
        <v>1872000</v>
      </c>
      <c r="AG574" s="40">
        <f ca="1">IF(NOTA[ID_H]="","",INDEX(NOTA[TANGGAL],MATCH(,INDIRECT(ADDRESS(ROW(NOTA[TANGGAL]),COLUMN(NOTA[TANGGAL]))&amp;":"&amp;ADDRESS(ROW(),COLUMN(NOTA[TANGGAL]))),-1)))</f>
        <v>45127</v>
      </c>
      <c r="AH574" s="42" t="str">
        <f ca="1">IF(NOTA[[#This Row],[NAMA BARANG]]="","",INDEX(NOTA[SUPPLIER],MATCH(,INDIRECT(ADDRESS(ROW(NOTA[ID]),COLUMN(NOTA[ID]))&amp;":"&amp;ADDRESS(ROW(),COLUMN(NOTA[ID]))),-1)))</f>
        <v>ATALI MAKMUR</v>
      </c>
      <c r="AI574" s="42" t="str">
        <f ca="1">IF(NOTA[[#This Row],[ID_H]]="","",IF(NOTA[[#This Row],[FAKTUR]]="",INDIRECT(ADDRESS(ROW()-1,COLUMN())),NOTA[[#This Row],[FAKTUR]]))</f>
        <v>ARTO MORO</v>
      </c>
      <c r="AJ574" s="39" t="str">
        <f ca="1">IF(NOTA[[#This Row],[ID]]="","",COUNTIF(NOTA[ID_H],NOTA[[#This Row],[ID_H]]))</f>
        <v/>
      </c>
      <c r="AK574" s="39">
        <f ca="1">IF(NOTA[[#This Row],[TGL.NOTA]]="",IF(NOTA[[#This Row],[SUPPLIER_H]]="","",AK573),MONTH(NOTA[[#This Row],[TGL.NOTA]]))</f>
        <v>7</v>
      </c>
      <c r="AL574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5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5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5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39" t="str">
        <f>IF(NOTA[[#This Row],[CONCAT4]]="","",_xlfn.IFNA(MATCH(NOTA[[#This Row],[CONCAT4]],[2]!RAW[CONCAT_H],0),FALSE))</f>
        <v/>
      </c>
      <c r="AQ574" s="39">
        <f>IF(NOTA[[#This Row],[CONCAT1]]="","",MATCH(NOTA[[#This Row],[CONCAT1]],[3]!db[NB NOTA_C],0))</f>
        <v>1251</v>
      </c>
      <c r="AR574" s="39" t="b">
        <f>IF(NOTA[[#This Row],[QTY/ CTN]]="","",TRUE)</f>
        <v>1</v>
      </c>
      <c r="AS574" s="39" t="str">
        <f ca="1">IF(NOTA[[#This Row],[ID_H]]="","",IF(NOTA[[#This Row],[Column3]]=TRUE,NOTA[[#This Row],[QTY/ CTN]],INDEX([3]!db[QTY/ CTN],NOTA[[#This Row],[//DB]])))</f>
        <v>12 LSN</v>
      </c>
      <c r="AT5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574" s="39" t="e">
        <f ca="1">IF(NOTA[[#This Row],[ID_H]]="","",MATCH(NOTA[[#This Row],[NB NOTA_C_QTY]],[4]!db[NB NOTA_C_QTY+F],0))</f>
        <v>#REF!</v>
      </c>
      <c r="AV574" s="55">
        <f ca="1">IF(NOTA[[#This Row],[NB NOTA_C_QTY]]="","",ROW()-2)</f>
        <v>572</v>
      </c>
    </row>
    <row r="575" spans="1:48" ht="20.100000000000001" customHeight="1" x14ac:dyDescent="0.25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 t="str">
        <f ca="1">IF(NOTA[[#This Row],[NAMA BARANG]]="","",INDEX(NOTA[ID],MATCH(,INDIRECT(ADDRESS(ROW(NOTA[ID]),COLUMN(NOTA[ID]))&amp;":"&amp;ADDRESS(ROW(),COLUMN(NOTA[ID]))),-1)))</f>
        <v/>
      </c>
      <c r="E575" s="47"/>
      <c r="H575" s="48"/>
      <c r="N575" s="39"/>
      <c r="Q575" s="43"/>
      <c r="R575" s="49"/>
      <c r="S575" s="50"/>
      <c r="U575" s="51"/>
      <c r="V575" s="46"/>
      <c r="W575" s="51" t="str">
        <f>IF(NOTA[[#This Row],[HARGA/ CTN]]="",NOTA[[#This Row],[JUMLAH_H]],NOTA[[#This Row],[HARGA/ CTN]]*IF(NOTA[[#This Row],[C]]="",0,NOTA[[#This Row],[C]]))</f>
        <v/>
      </c>
      <c r="X575" s="51" t="str">
        <f>IF(NOTA[[#This Row],[JUMLAH]]="","",NOTA[[#This Row],[JUMLAH]]*NOTA[[#This Row],[DISC 1]])</f>
        <v/>
      </c>
      <c r="Y575" s="51" t="str">
        <f>IF(NOTA[[#This Row],[JUMLAH]]="","",(NOTA[[#This Row],[JUMLAH]]-NOTA[[#This Row],[DISC 1-]])*NOTA[[#This Row],[DISC 2]])</f>
        <v/>
      </c>
      <c r="Z575" s="51" t="str">
        <f>IF(NOTA[[#This Row],[JUMLAH]]="","",NOTA[[#This Row],[DISC 1-]]+NOTA[[#This Row],[DISC 2-]])</f>
        <v/>
      </c>
      <c r="AA575" s="51" t="str">
        <f>IF(NOTA[[#This Row],[JUMLAH]]="","",NOTA[[#This Row],[JUMLAH]]-NOTA[[#This Row],[DISC]])</f>
        <v/>
      </c>
      <c r="AB575" s="51"/>
      <c r="AC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51" t="str">
        <f>IF(OR(NOTA[[#This Row],[QTY]]="",NOTA[[#This Row],[HARGA SATUAN]]="",),"",NOTA[[#This Row],[QTY]]*NOTA[[#This Row],[HARGA SATUAN]])</f>
        <v/>
      </c>
      <c r="AG575" s="40" t="str">
        <f ca="1">IF(NOTA[ID_H]="","",INDEX(NOTA[TANGGAL],MATCH(,INDIRECT(ADDRESS(ROW(NOTA[TANGGAL]),COLUMN(NOTA[TANGGAL]))&amp;":"&amp;ADDRESS(ROW(),COLUMN(NOTA[TANGGAL]))),-1)))</f>
        <v/>
      </c>
      <c r="AH575" s="42" t="str">
        <f ca="1">IF(NOTA[[#This Row],[NAMA BARANG]]="","",INDEX(NOTA[SUPPLIER],MATCH(,INDIRECT(ADDRESS(ROW(NOTA[ID]),COLUMN(NOTA[ID]))&amp;":"&amp;ADDRESS(ROW(),COLUMN(NOTA[ID]))),-1)))</f>
        <v/>
      </c>
      <c r="AI575" s="42" t="str">
        <f ca="1">IF(NOTA[[#This Row],[ID_H]]="","",IF(NOTA[[#This Row],[FAKTUR]]="",INDIRECT(ADDRESS(ROW()-1,COLUMN())),NOTA[[#This Row],[FAKTUR]]))</f>
        <v/>
      </c>
      <c r="AJ575" s="39" t="str">
        <f ca="1">IF(NOTA[[#This Row],[ID]]="","",COUNTIF(NOTA[ID_H],NOTA[[#This Row],[ID_H]]))</f>
        <v/>
      </c>
      <c r="AK575" s="39" t="str">
        <f ca="1">IF(NOTA[[#This Row],[TGL.NOTA]]="",IF(NOTA[[#This Row],[SUPPLIER_H]]="","",AK574),MONTH(NOTA[[#This Row],[TGL.NOTA]]))</f>
        <v/>
      </c>
      <c r="AL575" s="39" t="str">
        <f>LOWER(SUBSTITUTE(SUBSTITUTE(SUBSTITUTE(SUBSTITUTE(SUBSTITUTE(SUBSTITUTE(SUBSTITUTE(SUBSTITUTE(SUBSTITUTE(NOTA[NAMA BARANG]," ",),".",""),"-",""),"(",""),")",""),",",""),"/",""),"""",""),"+",""))</f>
        <v/>
      </c>
      <c r="AM5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39" t="str">
        <f>IF(NOTA[[#This Row],[CONCAT4]]="","",_xlfn.IFNA(MATCH(NOTA[[#This Row],[CONCAT4]],[2]!RAW[CONCAT_H],0),FALSE))</f>
        <v/>
      </c>
      <c r="AQ575" s="39" t="str">
        <f>IF(NOTA[[#This Row],[CONCAT1]]="","",MATCH(NOTA[[#This Row],[CONCAT1]],[3]!db[NB NOTA_C],0))</f>
        <v/>
      </c>
      <c r="AR575" s="39" t="str">
        <f>IF(NOTA[[#This Row],[QTY/ CTN]]="","",TRUE)</f>
        <v/>
      </c>
      <c r="AS575" s="39" t="str">
        <f ca="1">IF(NOTA[[#This Row],[ID_H]]="","",IF(NOTA[[#This Row],[Column3]]=TRUE,NOTA[[#This Row],[QTY/ CTN]],INDEX([3]!db[QTY/ CTN],NOTA[[#This Row],[//DB]])))</f>
        <v/>
      </c>
      <c r="AT5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39" t="str">
        <f ca="1">IF(NOTA[[#This Row],[ID_H]]="","",MATCH(NOTA[[#This Row],[NB NOTA_C_QTY]],[4]!db[NB NOTA_C_QTY+F],0))</f>
        <v/>
      </c>
      <c r="AV575" s="55" t="str">
        <f ca="1">IF(NOTA[[#This Row],[NB NOTA_C_QTY]]="","",ROW()-2)</f>
        <v/>
      </c>
    </row>
    <row r="576" spans="1:48" ht="20.100000000000001" customHeight="1" x14ac:dyDescent="0.25">
      <c r="A576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ATA_2007_175-2</v>
      </c>
      <c r="C576" s="39" t="e">
        <f ca="1">IF(NOTA[[#This Row],[ID_P]]="","",MATCH(NOTA[[#This Row],[ID_P]],[1]!B_MSK[N_ID],0))</f>
        <v>#REF!</v>
      </c>
      <c r="D576" s="39">
        <f ca="1">IF(NOTA[[#This Row],[NAMA BARANG]]="","",INDEX(NOTA[ID],MATCH(,INDIRECT(ADDRESS(ROW(NOTA[ID]),COLUMN(NOTA[ID]))&amp;":"&amp;ADDRESS(ROW(),COLUMN(NOTA[ID]))),-1)))</f>
        <v>113</v>
      </c>
      <c r="E576" s="47"/>
      <c r="F576" s="38" t="s">
        <v>24</v>
      </c>
      <c r="G576" s="38" t="s">
        <v>23</v>
      </c>
      <c r="H576" s="48" t="s">
        <v>670</v>
      </c>
      <c r="J576" s="40">
        <v>45121</v>
      </c>
      <c r="K576" s="38">
        <v>1</v>
      </c>
      <c r="L576" s="38" t="s">
        <v>671</v>
      </c>
      <c r="M576" s="41">
        <v>1</v>
      </c>
      <c r="N576" s="39">
        <v>60</v>
      </c>
      <c r="O576" s="38" t="s">
        <v>152</v>
      </c>
      <c r="P576" s="42">
        <v>31500</v>
      </c>
      <c r="Q576" s="43"/>
      <c r="R576" s="49" t="s">
        <v>153</v>
      </c>
      <c r="S576" s="50">
        <v>0.125</v>
      </c>
      <c r="T576" s="45">
        <v>0.05</v>
      </c>
      <c r="U576" s="51"/>
      <c r="V576" s="46"/>
      <c r="W576" s="51">
        <f>IF(NOTA[[#This Row],[HARGA/ CTN]]="",NOTA[[#This Row],[JUMLAH_H]],NOTA[[#This Row],[HARGA/ CTN]]*IF(NOTA[[#This Row],[C]]="",0,NOTA[[#This Row],[C]]))</f>
        <v>1890000</v>
      </c>
      <c r="X576" s="51">
        <f>IF(NOTA[[#This Row],[JUMLAH]]="","",NOTA[[#This Row],[JUMLAH]]*NOTA[[#This Row],[DISC 1]])</f>
        <v>236250</v>
      </c>
      <c r="Y576" s="51">
        <f>IF(NOTA[[#This Row],[JUMLAH]]="","",(NOTA[[#This Row],[JUMLAH]]-NOTA[[#This Row],[DISC 1-]])*NOTA[[#This Row],[DISC 2]])</f>
        <v>82687.5</v>
      </c>
      <c r="Z576" s="51">
        <f>IF(NOTA[[#This Row],[JUMLAH]]="","",NOTA[[#This Row],[DISC 1-]]+NOTA[[#This Row],[DISC 2-]])</f>
        <v>318937.5</v>
      </c>
      <c r="AA576" s="51">
        <f>IF(NOTA[[#This Row],[JUMLAH]]="","",NOTA[[#This Row],[JUMLAH]]-NOTA[[#This Row],[DISC]])</f>
        <v>1571062.5</v>
      </c>
      <c r="AB576" s="51"/>
      <c r="AC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6" s="51">
        <f>IF(OR(NOTA[[#This Row],[QTY]]="",NOTA[[#This Row],[HARGA SATUAN]]="",),"",NOTA[[#This Row],[QTY]]*NOTA[[#This Row],[HARGA SATUAN]])</f>
        <v>1890000</v>
      </c>
      <c r="AG576" s="40">
        <f ca="1">IF(NOTA[ID_H]="","",INDEX(NOTA[TANGGAL],MATCH(,INDIRECT(ADDRESS(ROW(NOTA[TANGGAL]),COLUMN(NOTA[TANGGAL]))&amp;":"&amp;ADDRESS(ROW(),COLUMN(NOTA[TANGGAL]))),-1)))</f>
        <v>45127</v>
      </c>
      <c r="AH576" s="42" t="str">
        <f ca="1">IF(NOTA[[#This Row],[NAMA BARANG]]="","",INDEX(NOTA[SUPPLIER],MATCH(,INDIRECT(ADDRESS(ROW(NOTA[ID]),COLUMN(NOTA[ID]))&amp;":"&amp;ADDRESS(ROW(),COLUMN(NOTA[ID]))),-1)))</f>
        <v>ATALI MAKMUR</v>
      </c>
      <c r="AI576" s="42" t="str">
        <f ca="1">IF(NOTA[[#This Row],[ID_H]]="","",IF(NOTA[[#This Row],[FAKTUR]]="",INDIRECT(ADDRESS(ROW()-1,COLUMN())),NOTA[[#This Row],[FAKTUR]]))</f>
        <v>ARTO MORO</v>
      </c>
      <c r="AJ576" s="39">
        <f ca="1">IF(NOTA[[#This Row],[ID]]="","",COUNTIF(NOTA[ID_H],NOTA[[#This Row],[ID_H]]))</f>
        <v>2</v>
      </c>
      <c r="AK576" s="39">
        <f>IF(NOTA[[#This Row],[TGL.NOTA]]="",IF(NOTA[[#This Row],[SUPPLIER_H]]="","",AK575),MONTH(NOTA[[#This Row],[TGL.NOTA]]))</f>
        <v>7</v>
      </c>
      <c r="AL576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5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5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5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MOROSA23071217545121sharpenerb24jk</v>
      </c>
      <c r="AP576" s="39" t="e">
        <f>IF(NOTA[[#This Row],[CONCAT4]]="","",_xlfn.IFNA(MATCH(NOTA[[#This Row],[CONCAT4]],[2]!RAW[CONCAT_H],0),FALSE))</f>
        <v>#REF!</v>
      </c>
      <c r="AQ576" s="39">
        <f>IF(NOTA[[#This Row],[CONCAT1]]="","",MATCH(NOTA[[#This Row],[CONCAT1]],[3]!db[NB NOTA_C],0))</f>
        <v>63</v>
      </c>
      <c r="AR576" s="39" t="b">
        <f>IF(NOTA[[#This Row],[QTY/ CTN]]="","",TRUE)</f>
        <v>1</v>
      </c>
      <c r="AS576" s="39" t="str">
        <f ca="1">IF(NOTA[[#This Row],[ID_H]]="","",IF(NOTA[[#This Row],[Column3]]=TRUE,NOTA[[#This Row],[QTY/ CTN]],INDEX([3]!db[QTY/ CTN],NOTA[[#This Row],[//DB]])))</f>
        <v>60 LSN</v>
      </c>
      <c r="AT5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sharpenerb24jk60lsnartomoro</v>
      </c>
      <c r="AU576" s="39" t="e">
        <f ca="1">IF(NOTA[[#This Row],[ID_H]]="","",MATCH(NOTA[[#This Row],[NB NOTA_C_QTY]],[4]!db[NB NOTA_C_QTY+F],0))</f>
        <v>#REF!</v>
      </c>
      <c r="AV576" s="55">
        <f ca="1">IF(NOTA[[#This Row],[NB NOTA_C_QTY]]="","",ROW()-2)</f>
        <v>574</v>
      </c>
    </row>
    <row r="577" spans="1:48" ht="20.100000000000001" customHeight="1" x14ac:dyDescent="0.25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113</v>
      </c>
      <c r="E577" s="47"/>
      <c r="H577" s="48"/>
      <c r="K577" s="38">
        <v>1</v>
      </c>
      <c r="L577" s="38" t="s">
        <v>672</v>
      </c>
      <c r="M577" s="41">
        <v>1</v>
      </c>
      <c r="N577" s="39">
        <v>60</v>
      </c>
      <c r="O577" s="38" t="s">
        <v>152</v>
      </c>
      <c r="P577" s="42">
        <v>31500</v>
      </c>
      <c r="Q577" s="43"/>
      <c r="R577" s="49" t="s">
        <v>153</v>
      </c>
      <c r="S577" s="50">
        <v>0.125</v>
      </c>
      <c r="T577" s="45">
        <v>0.05</v>
      </c>
      <c r="U577" s="51"/>
      <c r="V577" s="46"/>
      <c r="W577" s="51">
        <f>IF(NOTA[[#This Row],[HARGA/ CTN]]="",NOTA[[#This Row],[JUMLAH_H]],NOTA[[#This Row],[HARGA/ CTN]]*IF(NOTA[[#This Row],[C]]="",0,NOTA[[#This Row],[C]]))</f>
        <v>1890000</v>
      </c>
      <c r="X577" s="51">
        <f>IF(NOTA[[#This Row],[JUMLAH]]="","",NOTA[[#This Row],[JUMLAH]]*NOTA[[#This Row],[DISC 1]])</f>
        <v>236250</v>
      </c>
      <c r="Y577" s="51">
        <f>IF(NOTA[[#This Row],[JUMLAH]]="","",(NOTA[[#This Row],[JUMLAH]]-NOTA[[#This Row],[DISC 1-]])*NOTA[[#This Row],[DISC 2]])</f>
        <v>82687.5</v>
      </c>
      <c r="Z577" s="51">
        <f>IF(NOTA[[#This Row],[JUMLAH]]="","",NOTA[[#This Row],[DISC 1-]]+NOTA[[#This Row],[DISC 2-]])</f>
        <v>318937.5</v>
      </c>
      <c r="AA577" s="51">
        <f>IF(NOTA[[#This Row],[JUMLAH]]="","",NOTA[[#This Row],[JUMLAH]]-NOTA[[#This Row],[DISC]])</f>
        <v>1571062.5</v>
      </c>
      <c r="AB577" s="51"/>
      <c r="AC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637875</v>
      </c>
      <c r="AD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3142125</v>
      </c>
      <c r="AE577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7" s="51">
        <f>IF(OR(NOTA[[#This Row],[QTY]]="",NOTA[[#This Row],[HARGA SATUAN]]="",),"",NOTA[[#This Row],[QTY]]*NOTA[[#This Row],[HARGA SATUAN]])</f>
        <v>1890000</v>
      </c>
      <c r="AG577" s="40">
        <f ca="1">IF(NOTA[ID_H]="","",INDEX(NOTA[TANGGAL],MATCH(,INDIRECT(ADDRESS(ROW(NOTA[TANGGAL]),COLUMN(NOTA[TANGGAL]))&amp;":"&amp;ADDRESS(ROW(),COLUMN(NOTA[TANGGAL]))),-1)))</f>
        <v>45127</v>
      </c>
      <c r="AH577" s="42" t="str">
        <f ca="1">IF(NOTA[[#This Row],[NAMA BARANG]]="","",INDEX(NOTA[SUPPLIER],MATCH(,INDIRECT(ADDRESS(ROW(NOTA[ID]),COLUMN(NOTA[ID]))&amp;":"&amp;ADDRESS(ROW(),COLUMN(NOTA[ID]))),-1)))</f>
        <v>ATALI MAKMUR</v>
      </c>
      <c r="AI577" s="42" t="str">
        <f ca="1">IF(NOTA[[#This Row],[ID_H]]="","",IF(NOTA[[#This Row],[FAKTUR]]="",INDIRECT(ADDRESS(ROW()-1,COLUMN())),NOTA[[#This Row],[FAKTUR]]))</f>
        <v>ARTO MORO</v>
      </c>
      <c r="AJ577" s="39" t="str">
        <f ca="1">IF(NOTA[[#This Row],[ID]]="","",COUNTIF(NOTA[ID_H],NOTA[[#This Row],[ID_H]]))</f>
        <v/>
      </c>
      <c r="AK577" s="39">
        <f ca="1">IF(NOTA[[#This Row],[TGL.NOTA]]="",IF(NOTA[[#This Row],[SUPPLIER_H]]="","",AK576),MONTH(NOTA[[#This Row],[TGL.NOTA]]))</f>
        <v>7</v>
      </c>
      <c r="AL577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5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5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5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39" t="str">
        <f>IF(NOTA[[#This Row],[CONCAT4]]="","",_xlfn.IFNA(MATCH(NOTA[[#This Row],[CONCAT4]],[2]!RAW[CONCAT_H],0),FALSE))</f>
        <v/>
      </c>
      <c r="AQ577" s="39">
        <f>IF(NOTA[[#This Row],[CONCAT1]]="","",MATCH(NOTA[[#This Row],[CONCAT1]],[3]!db[NB NOTA_C],0))</f>
        <v>64</v>
      </c>
      <c r="AR577" s="39" t="b">
        <f>IF(NOTA[[#This Row],[QTY/ CTN]]="","",TRUE)</f>
        <v>1</v>
      </c>
      <c r="AS577" s="39" t="str">
        <f ca="1">IF(NOTA[[#This Row],[ID_H]]="","",IF(NOTA[[#This Row],[Column3]]=TRUE,NOTA[[#This Row],[QTY/ CTN]],INDEX([3]!db[QTY/ CTN],NOTA[[#This Row],[//DB]])))</f>
        <v>60 LSN</v>
      </c>
      <c r="AT5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sharpenerb24ptljk60lsnartomoro</v>
      </c>
      <c r="AU577" s="39" t="e">
        <f ca="1">IF(NOTA[[#This Row],[ID_H]]="","",MATCH(NOTA[[#This Row],[NB NOTA_C_QTY]],[4]!db[NB NOTA_C_QTY+F],0))</f>
        <v>#REF!</v>
      </c>
      <c r="AV577" s="55">
        <f ca="1">IF(NOTA[[#This Row],[NB NOTA_C_QTY]]="","",ROW()-2)</f>
        <v>575</v>
      </c>
    </row>
    <row r="578" spans="1:48" ht="20.100000000000001" customHeight="1" x14ac:dyDescent="0.25">
      <c r="A5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 t="str">
        <f ca="1">IF(NOTA[[#This Row],[NAMA BARANG]]="","",INDEX(NOTA[ID],MATCH(,INDIRECT(ADDRESS(ROW(NOTA[ID]),COLUMN(NOTA[ID]))&amp;":"&amp;ADDRESS(ROW(),COLUMN(NOTA[ID]))),-1)))</f>
        <v/>
      </c>
      <c r="E578" s="47"/>
      <c r="H578" s="48"/>
      <c r="N578" s="39"/>
      <c r="Q578" s="43"/>
      <c r="R578" s="49"/>
      <c r="S578" s="50"/>
      <c r="U578" s="51"/>
      <c r="V578" s="46"/>
      <c r="W578" s="51" t="str">
        <f>IF(NOTA[[#This Row],[HARGA/ CTN]]="",NOTA[[#This Row],[JUMLAH_H]],NOTA[[#This Row],[HARGA/ CTN]]*IF(NOTA[[#This Row],[C]]="",0,NOTA[[#This Row],[C]]))</f>
        <v/>
      </c>
      <c r="X578" s="51" t="str">
        <f>IF(NOTA[[#This Row],[JUMLAH]]="","",NOTA[[#This Row],[JUMLAH]]*NOTA[[#This Row],[DISC 1]])</f>
        <v/>
      </c>
      <c r="Y578" s="51" t="str">
        <f>IF(NOTA[[#This Row],[JUMLAH]]="","",(NOTA[[#This Row],[JUMLAH]]-NOTA[[#This Row],[DISC 1-]])*NOTA[[#This Row],[DISC 2]])</f>
        <v/>
      </c>
      <c r="Z578" s="51" t="str">
        <f>IF(NOTA[[#This Row],[JUMLAH]]="","",NOTA[[#This Row],[DISC 1-]]+NOTA[[#This Row],[DISC 2-]])</f>
        <v/>
      </c>
      <c r="AA578" s="51" t="str">
        <f>IF(NOTA[[#This Row],[JUMLAH]]="","",NOTA[[#This Row],[JUMLAH]]-NOTA[[#This Row],[DISC]])</f>
        <v/>
      </c>
      <c r="AB578" s="51"/>
      <c r="AC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51" t="str">
        <f>IF(OR(NOTA[[#This Row],[QTY]]="",NOTA[[#This Row],[HARGA SATUAN]]="",),"",NOTA[[#This Row],[QTY]]*NOTA[[#This Row],[HARGA SATUAN]])</f>
        <v/>
      </c>
      <c r="AG578" s="40" t="str">
        <f ca="1">IF(NOTA[ID_H]="","",INDEX(NOTA[TANGGAL],MATCH(,INDIRECT(ADDRESS(ROW(NOTA[TANGGAL]),COLUMN(NOTA[TANGGAL]))&amp;":"&amp;ADDRESS(ROW(),COLUMN(NOTA[TANGGAL]))),-1)))</f>
        <v/>
      </c>
      <c r="AH578" s="42" t="str">
        <f ca="1">IF(NOTA[[#This Row],[NAMA BARANG]]="","",INDEX(NOTA[SUPPLIER],MATCH(,INDIRECT(ADDRESS(ROW(NOTA[ID]),COLUMN(NOTA[ID]))&amp;":"&amp;ADDRESS(ROW(),COLUMN(NOTA[ID]))),-1)))</f>
        <v/>
      </c>
      <c r="AI578" s="42" t="str">
        <f ca="1">IF(NOTA[[#This Row],[ID_H]]="","",IF(NOTA[[#This Row],[FAKTUR]]="",INDIRECT(ADDRESS(ROW()-1,COLUMN())),NOTA[[#This Row],[FAKTUR]]))</f>
        <v/>
      </c>
      <c r="AJ578" s="39" t="str">
        <f ca="1">IF(NOTA[[#This Row],[ID]]="","",COUNTIF(NOTA[ID_H],NOTA[[#This Row],[ID_H]]))</f>
        <v/>
      </c>
      <c r="AK578" s="39" t="str">
        <f ca="1">IF(NOTA[[#This Row],[TGL.NOTA]]="",IF(NOTA[[#This Row],[SUPPLIER_H]]="","",AK577),MONTH(NOTA[[#This Row],[TGL.NOTA]]))</f>
        <v/>
      </c>
      <c r="AL578" s="39" t="str">
        <f>LOWER(SUBSTITUTE(SUBSTITUTE(SUBSTITUTE(SUBSTITUTE(SUBSTITUTE(SUBSTITUTE(SUBSTITUTE(SUBSTITUTE(SUBSTITUTE(NOTA[NAMA BARANG]," ",),".",""),"-",""),"(",""),")",""),",",""),"/",""),"""",""),"+",""))</f>
        <v/>
      </c>
      <c r="AM5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39" t="str">
        <f>IF(NOTA[[#This Row],[CONCAT4]]="","",_xlfn.IFNA(MATCH(NOTA[[#This Row],[CONCAT4]],[2]!RAW[CONCAT_H],0),FALSE))</f>
        <v/>
      </c>
      <c r="AQ578" s="39" t="str">
        <f>IF(NOTA[[#This Row],[CONCAT1]]="","",MATCH(NOTA[[#This Row],[CONCAT1]],[3]!db[NB NOTA_C],0))</f>
        <v/>
      </c>
      <c r="AR578" s="39" t="str">
        <f>IF(NOTA[[#This Row],[QTY/ CTN]]="","",TRUE)</f>
        <v/>
      </c>
      <c r="AS578" s="39" t="str">
        <f ca="1">IF(NOTA[[#This Row],[ID_H]]="","",IF(NOTA[[#This Row],[Column3]]=TRUE,NOTA[[#This Row],[QTY/ CTN]],INDEX([3]!db[QTY/ CTN],NOTA[[#This Row],[//DB]])))</f>
        <v/>
      </c>
      <c r="AT5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8" s="39" t="str">
        <f ca="1">IF(NOTA[[#This Row],[ID_H]]="","",MATCH(NOTA[[#This Row],[NB NOTA_C_QTY]],[4]!db[NB NOTA_C_QTY+F],0))</f>
        <v/>
      </c>
      <c r="AV578" s="55" t="str">
        <f ca="1">IF(NOTA[[#This Row],[NB NOTA_C_QTY]]="","",ROW()-2)</f>
        <v/>
      </c>
    </row>
    <row r="579" spans="1:48" ht="20.100000000000001" customHeight="1" x14ac:dyDescent="0.25">
      <c r="A579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KEN_2207_686-10</v>
      </c>
      <c r="C579" s="39" t="e">
        <f ca="1">IF(NOTA[[#This Row],[ID_P]]="","",MATCH(NOTA[[#This Row],[ID_P]],[1]!B_MSK[N_ID],0))</f>
        <v>#REF!</v>
      </c>
      <c r="D579" s="39">
        <f ca="1">IF(NOTA[[#This Row],[NAMA BARANG]]="","",INDEX(NOTA[ID],MATCH(,INDIRECT(ADDRESS(ROW(NOTA[ID]),COLUMN(NOTA[ID]))&amp;":"&amp;ADDRESS(ROW(),COLUMN(NOTA[ID]))),-1)))</f>
        <v>114</v>
      </c>
      <c r="E579" s="47">
        <v>45129</v>
      </c>
      <c r="F579" s="38" t="s">
        <v>22</v>
      </c>
      <c r="G579" s="38" t="s">
        <v>23</v>
      </c>
      <c r="H579" s="48" t="s">
        <v>674</v>
      </c>
      <c r="J579" s="40">
        <v>45127</v>
      </c>
      <c r="K579" s="38">
        <v>2</v>
      </c>
      <c r="L579" s="38" t="s">
        <v>686</v>
      </c>
      <c r="M579" s="41">
        <v>2</v>
      </c>
      <c r="N579" s="39"/>
      <c r="Q579" s="43">
        <v>1922400</v>
      </c>
      <c r="R579" s="49"/>
      <c r="S579" s="50">
        <v>0.17</v>
      </c>
      <c r="U579" s="51"/>
      <c r="V579" s="46"/>
      <c r="W579" s="51">
        <f>IF(NOTA[[#This Row],[HARGA/ CTN]]="",NOTA[[#This Row],[JUMLAH_H]],NOTA[[#This Row],[HARGA/ CTN]]*IF(NOTA[[#This Row],[C]]="",0,NOTA[[#This Row],[C]]))</f>
        <v>3844800</v>
      </c>
      <c r="X579" s="51">
        <f>IF(NOTA[[#This Row],[JUMLAH]]="","",NOTA[[#This Row],[JUMLAH]]*NOTA[[#This Row],[DISC 1]])</f>
        <v>653616</v>
      </c>
      <c r="Y579" s="51">
        <f>IF(NOTA[[#This Row],[JUMLAH]]="","",(NOTA[[#This Row],[JUMLAH]]-NOTA[[#This Row],[DISC 1-]])*NOTA[[#This Row],[DISC 2]])</f>
        <v>0</v>
      </c>
      <c r="Z579" s="51">
        <f>IF(NOTA[[#This Row],[JUMLAH]]="","",NOTA[[#This Row],[DISC 1-]]+NOTA[[#This Row],[DISC 2-]])</f>
        <v>653616</v>
      </c>
      <c r="AA579" s="51">
        <f>IF(NOTA[[#This Row],[JUMLAH]]="","",NOTA[[#This Row],[JUMLAH]]-NOTA[[#This Row],[DISC]])</f>
        <v>3191184</v>
      </c>
      <c r="AB579" s="51"/>
      <c r="AC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42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579" s="51" t="str">
        <f>IF(OR(NOTA[[#This Row],[QTY]]="",NOTA[[#This Row],[HARGA SATUAN]]="",),"",NOTA[[#This Row],[QTY]]*NOTA[[#This Row],[HARGA SATUAN]])</f>
        <v/>
      </c>
      <c r="AG579" s="40">
        <f ca="1">IF(NOTA[ID_H]="","",INDEX(NOTA[TANGGAL],MATCH(,INDIRECT(ADDRESS(ROW(NOTA[TANGGAL]),COLUMN(NOTA[TANGGAL]))&amp;":"&amp;ADDRESS(ROW(),COLUMN(NOTA[TANGGAL]))),-1)))</f>
        <v>45129</v>
      </c>
      <c r="AH579" s="42" t="str">
        <f ca="1">IF(NOTA[[#This Row],[NAMA BARANG]]="","",INDEX(NOTA[SUPPLIER],MATCH(,INDIRECT(ADDRESS(ROW(NOTA[ID]),COLUMN(NOTA[ID]))&amp;":"&amp;ADDRESS(ROW(),COLUMN(NOTA[ID]))),-1)))</f>
        <v>KENKO SINAR INDONESIA</v>
      </c>
      <c r="AI579" s="42" t="str">
        <f ca="1">IF(NOTA[[#This Row],[ID_H]]="","",IF(NOTA[[#This Row],[FAKTUR]]="",INDIRECT(ADDRESS(ROW()-1,COLUMN())),NOTA[[#This Row],[FAKTUR]]))</f>
        <v>ARTO MORO</v>
      </c>
      <c r="AJ579" s="39">
        <f ca="1">IF(NOTA[[#This Row],[ID]]="","",COUNTIF(NOTA[ID_H],NOTA[[#This Row],[ID_H]]))</f>
        <v>10</v>
      </c>
      <c r="AK579" s="39">
        <f>IF(NOTA[[#This Row],[TGL.NOTA]]="",IF(NOTA[[#This Row],[SUPPLIER_H]]="","",AK578),MONTH(NOTA[[#This Row],[TGL.NOTA]]))</f>
        <v>7</v>
      </c>
      <c r="AL579" s="39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5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5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57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MORO2307168645127kenkocorrectionfluidke301</v>
      </c>
      <c r="AP579" s="39" t="e">
        <f>IF(NOTA[[#This Row],[CONCAT4]]="","",_xlfn.IFNA(MATCH(NOTA[[#This Row],[CONCAT4]],[2]!RAW[CONCAT_H],0),FALSE))</f>
        <v>#REF!</v>
      </c>
      <c r="AQ579" s="39">
        <f>IF(NOTA[[#This Row],[CONCAT1]]="","",MATCH(NOTA[[#This Row],[CONCAT1]],[3]!db[NB NOTA_C],0))</f>
        <v>2681</v>
      </c>
      <c r="AR579" s="39" t="str">
        <f>IF(NOTA[[#This Row],[QTY/ CTN]]="","",TRUE)</f>
        <v/>
      </c>
      <c r="AS579" s="39" t="str">
        <f ca="1">IF(NOTA[[#This Row],[ID_H]]="","",IF(NOTA[[#This Row],[Column3]]=TRUE,NOTA[[#This Row],[QTY/ CTN]],INDEX([3]!db[QTY/ CTN],NOTA[[#This Row],[//DB]])))</f>
        <v>36 LSN</v>
      </c>
      <c r="AT5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kenkocorrectionfluidke30136lsnartomoro</v>
      </c>
      <c r="AU579" s="39" t="e">
        <f ca="1">IF(NOTA[[#This Row],[ID_H]]="","",MATCH(NOTA[[#This Row],[NB NOTA_C_QTY]],[4]!db[NB NOTA_C_QTY+F],0))</f>
        <v>#REF!</v>
      </c>
      <c r="AV579" s="55">
        <f ca="1">IF(NOTA[[#This Row],[NB NOTA_C_QTY]]="","",ROW()-2)</f>
        <v>577</v>
      </c>
    </row>
    <row r="580" spans="1:48" ht="20.100000000000001" customHeight="1" x14ac:dyDescent="0.25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114</v>
      </c>
      <c r="E580" s="47"/>
      <c r="H580" s="48"/>
      <c r="L580" s="38" t="s">
        <v>285</v>
      </c>
      <c r="M580" s="41">
        <v>4</v>
      </c>
      <c r="N580" s="39"/>
      <c r="Q580" s="43">
        <v>1380000</v>
      </c>
      <c r="R580" s="49"/>
      <c r="S580" s="50">
        <v>0.17</v>
      </c>
      <c r="U580" s="51"/>
      <c r="V580" s="46"/>
      <c r="W580" s="51">
        <f>IF(NOTA[[#This Row],[HARGA/ CTN]]="",NOTA[[#This Row],[JUMLAH_H]],NOTA[[#This Row],[HARGA/ CTN]]*IF(NOTA[[#This Row],[C]]="",0,NOTA[[#This Row],[C]]))</f>
        <v>5520000</v>
      </c>
      <c r="X580" s="51">
        <f>IF(NOTA[[#This Row],[JUMLAH]]="","",NOTA[[#This Row],[JUMLAH]]*NOTA[[#This Row],[DISC 1]])</f>
        <v>938400.00000000012</v>
      </c>
      <c r="Y580" s="51">
        <f>IF(NOTA[[#This Row],[JUMLAH]]="","",(NOTA[[#This Row],[JUMLAH]]-NOTA[[#This Row],[DISC 1-]])*NOTA[[#This Row],[DISC 2]])</f>
        <v>0</v>
      </c>
      <c r="Z580" s="51">
        <f>IF(NOTA[[#This Row],[JUMLAH]]="","",NOTA[[#This Row],[DISC 1-]]+NOTA[[#This Row],[DISC 2-]])</f>
        <v>938400.00000000012</v>
      </c>
      <c r="AA580" s="51">
        <f>IF(NOTA[[#This Row],[JUMLAH]]="","",NOTA[[#This Row],[JUMLAH]]-NOTA[[#This Row],[DISC]])</f>
        <v>4581600</v>
      </c>
      <c r="AB580" s="51"/>
      <c r="AC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80" s="51" t="str">
        <f>IF(OR(NOTA[[#This Row],[QTY]]="",NOTA[[#This Row],[HARGA SATUAN]]="",),"",NOTA[[#This Row],[QTY]]*NOTA[[#This Row],[HARGA SATUAN]])</f>
        <v/>
      </c>
      <c r="AG580" s="40">
        <f ca="1">IF(NOTA[ID_H]="","",INDEX(NOTA[TANGGAL],MATCH(,INDIRECT(ADDRESS(ROW(NOTA[TANGGAL]),COLUMN(NOTA[TANGGAL]))&amp;":"&amp;ADDRESS(ROW(),COLUMN(NOTA[TANGGAL]))),-1)))</f>
        <v>45129</v>
      </c>
      <c r="AH580" s="42" t="str">
        <f ca="1">IF(NOTA[[#This Row],[NAMA BARANG]]="","",INDEX(NOTA[SUPPLIER],MATCH(,INDIRECT(ADDRESS(ROW(NOTA[ID]),COLUMN(NOTA[ID]))&amp;":"&amp;ADDRESS(ROW(),COLUMN(NOTA[ID]))),-1)))</f>
        <v>KENKO SINAR INDONESIA</v>
      </c>
      <c r="AI580" s="42" t="str">
        <f ca="1">IF(NOTA[[#This Row],[ID_H]]="","",IF(NOTA[[#This Row],[FAKTUR]]="",INDIRECT(ADDRESS(ROW()-1,COLUMN())),NOTA[[#This Row],[FAKTUR]]))</f>
        <v>ARTO MORO</v>
      </c>
      <c r="AJ580" s="39" t="str">
        <f ca="1">IF(NOTA[[#This Row],[ID]]="","",COUNTIF(NOTA[ID_H],NOTA[[#This Row],[ID_H]]))</f>
        <v/>
      </c>
      <c r="AK580" s="39">
        <f ca="1">IF(NOTA[[#This Row],[TGL.NOTA]]="",IF(NOTA[[#This Row],[SUPPLIER_H]]="","",AK579),MONTH(NOTA[[#This Row],[TGL.NOTA]]))</f>
        <v>7</v>
      </c>
      <c r="AL580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39" t="str">
        <f>IF(NOTA[[#This Row],[CONCAT4]]="","",_xlfn.IFNA(MATCH(NOTA[[#This Row],[CONCAT4]],[2]!RAW[CONCAT_H],0),FALSE))</f>
        <v/>
      </c>
      <c r="AQ580" s="39">
        <f>IF(NOTA[[#This Row],[CONCAT1]]="","",MATCH(NOTA[[#This Row],[CONCAT1]],[3]!db[NB NOTA_C],0))</f>
        <v>229</v>
      </c>
      <c r="AR580" s="39" t="str">
        <f>IF(NOTA[[#This Row],[QTY/ CTN]]="","",TRUE)</f>
        <v/>
      </c>
      <c r="AS580" s="39" t="str">
        <f ca="1">IF(NOTA[[#This Row],[ID_H]]="","",IF(NOTA[[#This Row],[Column3]]=TRUE,NOTA[[#This Row],[QTY/ CTN]],INDEX([3]!db[QTY/ CTN],NOTA[[#This Row],[//DB]])))</f>
        <v>20 GRS</v>
      </c>
      <c r="AT5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580" s="39" t="e">
        <f ca="1">IF(NOTA[[#This Row],[ID_H]]="","",MATCH(NOTA[[#This Row],[NB NOTA_C_QTY]],[4]!db[NB NOTA_C_QTY+F],0))</f>
        <v>#REF!</v>
      </c>
      <c r="AV580" s="55">
        <f ca="1">IF(NOTA[[#This Row],[NB NOTA_C_QTY]]="","",ROW()-2)</f>
        <v>578</v>
      </c>
    </row>
    <row r="581" spans="1:48" ht="20.100000000000001" customHeight="1" x14ac:dyDescent="0.25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114</v>
      </c>
      <c r="E581" s="47"/>
      <c r="H581" s="48"/>
      <c r="L581" s="38" t="s">
        <v>675</v>
      </c>
      <c r="M581" s="41">
        <v>5</v>
      </c>
      <c r="N581" s="39"/>
      <c r="Q581" s="43">
        <v>1200000</v>
      </c>
      <c r="R581" s="49"/>
      <c r="S581" s="50">
        <v>0.17</v>
      </c>
      <c r="U581" s="51"/>
      <c r="V581" s="46"/>
      <c r="W581" s="51">
        <f>IF(NOTA[[#This Row],[HARGA/ CTN]]="",NOTA[[#This Row],[JUMLAH_H]],NOTA[[#This Row],[HARGA/ CTN]]*IF(NOTA[[#This Row],[C]]="",0,NOTA[[#This Row],[C]]))</f>
        <v>6000000</v>
      </c>
      <c r="X581" s="51">
        <f>IF(NOTA[[#This Row],[JUMLAH]]="","",NOTA[[#This Row],[JUMLAH]]*NOTA[[#This Row],[DISC 1]])</f>
        <v>1020000.0000000001</v>
      </c>
      <c r="Y581" s="51">
        <f>IF(NOTA[[#This Row],[JUMLAH]]="","",(NOTA[[#This Row],[JUMLAH]]-NOTA[[#This Row],[DISC 1-]])*NOTA[[#This Row],[DISC 2]])</f>
        <v>0</v>
      </c>
      <c r="Z581" s="51">
        <f>IF(NOTA[[#This Row],[JUMLAH]]="","",NOTA[[#This Row],[DISC 1-]]+NOTA[[#This Row],[DISC 2-]])</f>
        <v>1020000.0000000001</v>
      </c>
      <c r="AA581" s="51">
        <f>IF(NOTA[[#This Row],[JUMLAH]]="","",NOTA[[#This Row],[JUMLAH]]-NOTA[[#This Row],[DISC]])</f>
        <v>4980000</v>
      </c>
      <c r="AB581" s="51"/>
      <c r="AC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1" s="51" t="str">
        <f>IF(OR(NOTA[[#This Row],[QTY]]="",NOTA[[#This Row],[HARGA SATUAN]]="",),"",NOTA[[#This Row],[QTY]]*NOTA[[#This Row],[HARGA SATUAN]])</f>
        <v/>
      </c>
      <c r="AG581" s="40">
        <f ca="1">IF(NOTA[ID_H]="","",INDEX(NOTA[TANGGAL],MATCH(,INDIRECT(ADDRESS(ROW(NOTA[TANGGAL]),COLUMN(NOTA[TANGGAL]))&amp;":"&amp;ADDRESS(ROW(),COLUMN(NOTA[TANGGAL]))),-1)))</f>
        <v>45129</v>
      </c>
      <c r="AH581" s="42" t="str">
        <f ca="1">IF(NOTA[[#This Row],[NAMA BARANG]]="","",INDEX(NOTA[SUPPLIER],MATCH(,INDIRECT(ADDRESS(ROW(NOTA[ID]),COLUMN(NOTA[ID]))&amp;":"&amp;ADDRESS(ROW(),COLUMN(NOTA[ID]))),-1)))</f>
        <v>KENKO SINAR INDONESIA</v>
      </c>
      <c r="AI581" s="42" t="str">
        <f ca="1">IF(NOTA[[#This Row],[ID_H]]="","",IF(NOTA[[#This Row],[FAKTUR]]="",INDIRECT(ADDRESS(ROW()-1,COLUMN())),NOTA[[#This Row],[FAKTUR]]))</f>
        <v>ARTO MORO</v>
      </c>
      <c r="AJ581" s="39" t="str">
        <f ca="1">IF(NOTA[[#This Row],[ID]]="","",COUNTIF(NOTA[ID_H],NOTA[[#This Row],[ID_H]]))</f>
        <v/>
      </c>
      <c r="AK581" s="39">
        <f ca="1">IF(NOTA[[#This Row],[TGL.NOTA]]="",IF(NOTA[[#This Row],[SUPPLIER_H]]="","",AK580),MONTH(NOTA[[#This Row],[TGL.NOTA]]))</f>
        <v>7</v>
      </c>
      <c r="AL581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5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5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5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39" t="str">
        <f>IF(NOTA[[#This Row],[CONCAT4]]="","",_xlfn.IFNA(MATCH(NOTA[[#This Row],[CONCAT4]],[2]!RAW[CONCAT_H],0),FALSE))</f>
        <v/>
      </c>
      <c r="AQ581" s="39">
        <f>IF(NOTA[[#This Row],[CONCAT1]]="","",MATCH(NOTA[[#This Row],[CONCAT1]],[3]!db[NB NOTA_C],0))</f>
        <v>230</v>
      </c>
      <c r="AR581" s="39" t="str">
        <f>IF(NOTA[[#This Row],[QTY/ CTN]]="","",TRUE)</f>
        <v/>
      </c>
      <c r="AS581" s="39" t="str">
        <f ca="1">IF(NOTA[[#This Row],[ID_H]]="","",IF(NOTA[[#This Row],[Column3]]=TRUE,NOTA[[#This Row],[QTY/ CTN]],INDEX([3]!db[QTY/ CTN],NOTA[[#This Row],[//DB]])))</f>
        <v>10 GRS</v>
      </c>
      <c r="AT5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581" s="39" t="e">
        <f ca="1">IF(NOTA[[#This Row],[ID_H]]="","",MATCH(NOTA[[#This Row],[NB NOTA_C_QTY]],[4]!db[NB NOTA_C_QTY+F],0))</f>
        <v>#REF!</v>
      </c>
      <c r="AV581" s="55">
        <f ca="1">IF(NOTA[[#This Row],[NB NOTA_C_QTY]]="","",ROW()-2)</f>
        <v>579</v>
      </c>
    </row>
    <row r="582" spans="1:48" ht="20.100000000000001" customHeight="1" x14ac:dyDescent="0.25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114</v>
      </c>
      <c r="E582" s="47"/>
      <c r="H582" s="48"/>
      <c r="L582" s="38" t="s">
        <v>292</v>
      </c>
      <c r="M582" s="41">
        <v>5</v>
      </c>
      <c r="N582" s="39"/>
      <c r="Q582" s="43">
        <v>900000</v>
      </c>
      <c r="R582" s="49"/>
      <c r="S582" s="50">
        <v>0.17</v>
      </c>
      <c r="U582" s="51"/>
      <c r="V582" s="46"/>
      <c r="W582" s="51">
        <f>IF(NOTA[[#This Row],[HARGA/ CTN]]="",NOTA[[#This Row],[JUMLAH_H]],NOTA[[#This Row],[HARGA/ CTN]]*IF(NOTA[[#This Row],[C]]="",0,NOTA[[#This Row],[C]]))</f>
        <v>4500000</v>
      </c>
      <c r="X582" s="51">
        <f>IF(NOTA[[#This Row],[JUMLAH]]="","",NOTA[[#This Row],[JUMLAH]]*NOTA[[#This Row],[DISC 1]])</f>
        <v>765000</v>
      </c>
      <c r="Y582" s="51">
        <f>IF(NOTA[[#This Row],[JUMLAH]]="","",(NOTA[[#This Row],[JUMLAH]]-NOTA[[#This Row],[DISC 1-]])*NOTA[[#This Row],[DISC 2]])</f>
        <v>0</v>
      </c>
      <c r="Z582" s="51">
        <f>IF(NOTA[[#This Row],[JUMLAH]]="","",NOTA[[#This Row],[DISC 1-]]+NOTA[[#This Row],[DISC 2-]])</f>
        <v>765000</v>
      </c>
      <c r="AA582" s="51">
        <f>IF(NOTA[[#This Row],[JUMLAH]]="","",NOTA[[#This Row],[JUMLAH]]-NOTA[[#This Row],[DISC]])</f>
        <v>3735000</v>
      </c>
      <c r="AB582" s="51"/>
      <c r="AC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82" s="51" t="str">
        <f>IF(OR(NOTA[[#This Row],[QTY]]="",NOTA[[#This Row],[HARGA SATUAN]]="",),"",NOTA[[#This Row],[QTY]]*NOTA[[#This Row],[HARGA SATUAN]])</f>
        <v/>
      </c>
      <c r="AG582" s="40">
        <f ca="1">IF(NOTA[ID_H]="","",INDEX(NOTA[TANGGAL],MATCH(,INDIRECT(ADDRESS(ROW(NOTA[TANGGAL]),COLUMN(NOTA[TANGGAL]))&amp;":"&amp;ADDRESS(ROW(),COLUMN(NOTA[TANGGAL]))),-1)))</f>
        <v>45129</v>
      </c>
      <c r="AH582" s="42" t="str">
        <f ca="1">IF(NOTA[[#This Row],[NAMA BARANG]]="","",INDEX(NOTA[SUPPLIER],MATCH(,INDIRECT(ADDRESS(ROW(NOTA[ID]),COLUMN(NOTA[ID]))&amp;":"&amp;ADDRESS(ROW(),COLUMN(NOTA[ID]))),-1)))</f>
        <v>KENKO SINAR INDONESIA</v>
      </c>
      <c r="AI582" s="42" t="str">
        <f ca="1">IF(NOTA[[#This Row],[ID_H]]="","",IF(NOTA[[#This Row],[FAKTUR]]="",INDIRECT(ADDRESS(ROW()-1,COLUMN())),NOTA[[#This Row],[FAKTUR]]))</f>
        <v>ARTO MORO</v>
      </c>
      <c r="AJ582" s="39" t="str">
        <f ca="1">IF(NOTA[[#This Row],[ID]]="","",COUNTIF(NOTA[ID_H],NOTA[[#This Row],[ID_H]]))</f>
        <v/>
      </c>
      <c r="AK582" s="39">
        <f ca="1">IF(NOTA[[#This Row],[TGL.NOTA]]="",IF(NOTA[[#This Row],[SUPPLIER_H]]="","",AK581),MONTH(NOTA[[#This Row],[TGL.NOTA]]))</f>
        <v>7</v>
      </c>
      <c r="AL582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39" t="str">
        <f>IF(NOTA[[#This Row],[CONCAT4]]="","",_xlfn.IFNA(MATCH(NOTA[[#This Row],[CONCAT4]],[2]!RAW[CONCAT_H],0),FALSE))</f>
        <v/>
      </c>
      <c r="AQ582" s="39">
        <f>IF(NOTA[[#This Row],[CONCAT1]]="","",MATCH(NOTA[[#This Row],[CONCAT1]],[3]!db[NB NOTA_C],0))</f>
        <v>231</v>
      </c>
      <c r="AR582" s="39" t="str">
        <f>IF(NOTA[[#This Row],[QTY/ CTN]]="","",TRUE)</f>
        <v/>
      </c>
      <c r="AS582" s="39" t="str">
        <f ca="1">IF(NOTA[[#This Row],[ID_H]]="","",IF(NOTA[[#This Row],[Column3]]=TRUE,NOTA[[#This Row],[QTY/ CTN]],INDEX([3]!db[QTY/ CTN],NOTA[[#This Row],[//DB]])))</f>
        <v>5 GRS</v>
      </c>
      <c r="AT5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582" s="39" t="e">
        <f ca="1">IF(NOTA[[#This Row],[ID_H]]="","",MATCH(NOTA[[#This Row],[NB NOTA_C_QTY]],[4]!db[NB NOTA_C_QTY+F],0))</f>
        <v>#REF!</v>
      </c>
      <c r="AV582" s="55">
        <f ca="1">IF(NOTA[[#This Row],[NB NOTA_C_QTY]]="","",ROW()-2)</f>
        <v>580</v>
      </c>
    </row>
    <row r="583" spans="1:48" ht="20.100000000000001" customHeight="1" x14ac:dyDescent="0.25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114</v>
      </c>
      <c r="E583" s="47"/>
      <c r="H583" s="48"/>
      <c r="L583" s="38" t="s">
        <v>676</v>
      </c>
      <c r="M583" s="41">
        <v>2</v>
      </c>
      <c r="N583" s="39"/>
      <c r="Q583" s="43">
        <v>2750000</v>
      </c>
      <c r="R583" s="49"/>
      <c r="S583" s="50">
        <v>0.17</v>
      </c>
      <c r="U583" s="51"/>
      <c r="V583" s="46"/>
      <c r="W583" s="51">
        <f>IF(NOTA[[#This Row],[HARGA/ CTN]]="",NOTA[[#This Row],[JUMLAH_H]],NOTA[[#This Row],[HARGA/ CTN]]*IF(NOTA[[#This Row],[C]]="",0,NOTA[[#This Row],[C]]))</f>
        <v>5500000</v>
      </c>
      <c r="X583" s="51">
        <f>IF(NOTA[[#This Row],[JUMLAH]]="","",NOTA[[#This Row],[JUMLAH]]*NOTA[[#This Row],[DISC 1]])</f>
        <v>935000.00000000012</v>
      </c>
      <c r="Y583" s="51">
        <f>IF(NOTA[[#This Row],[JUMLAH]]="","",(NOTA[[#This Row],[JUMLAH]]-NOTA[[#This Row],[DISC 1-]])*NOTA[[#This Row],[DISC 2]])</f>
        <v>0</v>
      </c>
      <c r="Z583" s="51">
        <f>IF(NOTA[[#This Row],[JUMLAH]]="","",NOTA[[#This Row],[DISC 1-]]+NOTA[[#This Row],[DISC 2-]])</f>
        <v>935000.00000000012</v>
      </c>
      <c r="AA583" s="51">
        <f>IF(NOTA[[#This Row],[JUMLAH]]="","",NOTA[[#This Row],[JUMLAH]]-NOTA[[#This Row],[DISC]])</f>
        <v>4565000</v>
      </c>
      <c r="AB583" s="51"/>
      <c r="AC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4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83" s="51" t="str">
        <f>IF(OR(NOTA[[#This Row],[QTY]]="",NOTA[[#This Row],[HARGA SATUAN]]="",),"",NOTA[[#This Row],[QTY]]*NOTA[[#This Row],[HARGA SATUAN]])</f>
        <v/>
      </c>
      <c r="AG583" s="40">
        <f ca="1">IF(NOTA[ID_H]="","",INDEX(NOTA[TANGGAL],MATCH(,INDIRECT(ADDRESS(ROW(NOTA[TANGGAL]),COLUMN(NOTA[TANGGAL]))&amp;":"&amp;ADDRESS(ROW(),COLUMN(NOTA[TANGGAL]))),-1)))</f>
        <v>45129</v>
      </c>
      <c r="AH583" s="42" t="str">
        <f ca="1">IF(NOTA[[#This Row],[NAMA BARANG]]="","",INDEX(NOTA[SUPPLIER],MATCH(,INDIRECT(ADDRESS(ROW(NOTA[ID]),COLUMN(NOTA[ID]))&amp;":"&amp;ADDRESS(ROW(),COLUMN(NOTA[ID]))),-1)))</f>
        <v>KENKO SINAR INDONESIA</v>
      </c>
      <c r="AI583" s="42" t="str">
        <f ca="1">IF(NOTA[[#This Row],[ID_H]]="","",IF(NOTA[[#This Row],[FAKTUR]]="",INDIRECT(ADDRESS(ROW()-1,COLUMN())),NOTA[[#This Row],[FAKTUR]]))</f>
        <v>ARTO MORO</v>
      </c>
      <c r="AJ583" s="39" t="str">
        <f ca="1">IF(NOTA[[#This Row],[ID]]="","",COUNTIF(NOTA[ID_H],NOTA[[#This Row],[ID_H]]))</f>
        <v/>
      </c>
      <c r="AK583" s="39">
        <f ca="1">IF(NOTA[[#This Row],[TGL.NOTA]]="",IF(NOTA[[#This Row],[SUPPLIER_H]]="","",AK582),MONTH(NOTA[[#This Row],[TGL.NOTA]]))</f>
        <v>7</v>
      </c>
      <c r="AL583" s="39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39" t="str">
        <f>IF(NOTA[[#This Row],[CONCAT4]]="","",_xlfn.IFNA(MATCH(NOTA[[#This Row],[CONCAT4]],[2]!RAW[CONCAT_H],0),FALSE))</f>
        <v/>
      </c>
      <c r="AQ583" s="39">
        <f>IF(NOTA[[#This Row],[CONCAT1]]="","",MATCH(NOTA[[#This Row],[CONCAT1]],[3]!db[NB NOTA_C],0))</f>
        <v>1728</v>
      </c>
      <c r="AR583" s="39" t="str">
        <f>IF(NOTA[[#This Row],[QTY/ CTN]]="","",TRUE)</f>
        <v/>
      </c>
      <c r="AS583" s="39" t="str">
        <f ca="1">IF(NOTA[[#This Row],[ID_H]]="","",IF(NOTA[[#This Row],[Column3]]=TRUE,NOTA[[#This Row],[QTY/ CTN]],INDEX([3]!db[QTY/ CTN],NOTA[[#This Row],[//DB]])))</f>
        <v>50 PCS</v>
      </c>
      <c r="AT5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kenkopricelabellermx5500eos8digits1line50pcsartomoro</v>
      </c>
      <c r="AU583" s="39" t="e">
        <f ca="1">IF(NOTA[[#This Row],[ID_H]]="","",MATCH(NOTA[[#This Row],[NB NOTA_C_QTY]],[4]!db[NB NOTA_C_QTY+F],0))</f>
        <v>#REF!</v>
      </c>
      <c r="AV583" s="55">
        <f ca="1">IF(NOTA[[#This Row],[NB NOTA_C_QTY]]="","",ROW()-2)</f>
        <v>581</v>
      </c>
    </row>
    <row r="584" spans="1:48" ht="20.100000000000001" customHeight="1" x14ac:dyDescent="0.25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114</v>
      </c>
      <c r="E584" s="47"/>
      <c r="H584" s="48"/>
      <c r="L584" s="38" t="s">
        <v>677</v>
      </c>
      <c r="M584" s="41">
        <v>1</v>
      </c>
      <c r="N584" s="39"/>
      <c r="Q584" s="43">
        <v>1954800</v>
      </c>
      <c r="R584" s="49"/>
      <c r="S584" s="50">
        <v>0.17</v>
      </c>
      <c r="U584" s="51"/>
      <c r="V584" s="46"/>
      <c r="W584" s="51">
        <f>IF(NOTA[[#This Row],[HARGA/ CTN]]="",NOTA[[#This Row],[JUMLAH_H]],NOTA[[#This Row],[HARGA/ CTN]]*IF(NOTA[[#This Row],[C]]="",0,NOTA[[#This Row],[C]]))</f>
        <v>1954800</v>
      </c>
      <c r="X584" s="51">
        <f>IF(NOTA[[#This Row],[JUMLAH]]="","",NOTA[[#This Row],[JUMLAH]]*NOTA[[#This Row],[DISC 1]])</f>
        <v>332316</v>
      </c>
      <c r="Y584" s="51">
        <f>IF(NOTA[[#This Row],[JUMLAH]]="","",(NOTA[[#This Row],[JUMLAH]]-NOTA[[#This Row],[DISC 1-]])*NOTA[[#This Row],[DISC 2]])</f>
        <v>0</v>
      </c>
      <c r="Z584" s="51">
        <f>IF(NOTA[[#This Row],[JUMLAH]]="","",NOTA[[#This Row],[DISC 1-]]+NOTA[[#This Row],[DISC 2-]])</f>
        <v>332316</v>
      </c>
      <c r="AA584" s="51">
        <f>IF(NOTA[[#This Row],[JUMLAH]]="","",NOTA[[#This Row],[JUMLAH]]-NOTA[[#This Row],[DISC]])</f>
        <v>1622484</v>
      </c>
      <c r="AB584" s="51"/>
      <c r="AC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4" s="51" t="str">
        <f>IF(OR(NOTA[[#This Row],[QTY]]="",NOTA[[#This Row],[HARGA SATUAN]]="",),"",NOTA[[#This Row],[QTY]]*NOTA[[#This Row],[HARGA SATUAN]])</f>
        <v/>
      </c>
      <c r="AG584" s="40">
        <f ca="1">IF(NOTA[ID_H]="","",INDEX(NOTA[TANGGAL],MATCH(,INDIRECT(ADDRESS(ROW(NOTA[TANGGAL]),COLUMN(NOTA[TANGGAL]))&amp;":"&amp;ADDRESS(ROW(),COLUMN(NOTA[TANGGAL]))),-1)))</f>
        <v>45129</v>
      </c>
      <c r="AH584" s="42" t="str">
        <f ca="1">IF(NOTA[[#This Row],[NAMA BARANG]]="","",INDEX(NOTA[SUPPLIER],MATCH(,INDIRECT(ADDRESS(ROW(NOTA[ID]),COLUMN(NOTA[ID]))&amp;":"&amp;ADDRESS(ROW(),COLUMN(NOTA[ID]))),-1)))</f>
        <v>KENKO SINAR INDONESIA</v>
      </c>
      <c r="AI584" s="42" t="str">
        <f ca="1">IF(NOTA[[#This Row],[ID_H]]="","",IF(NOTA[[#This Row],[FAKTUR]]="",INDIRECT(ADDRESS(ROW()-1,COLUMN())),NOTA[[#This Row],[FAKTUR]]))</f>
        <v>ARTO MORO</v>
      </c>
      <c r="AJ584" s="39" t="str">
        <f ca="1">IF(NOTA[[#This Row],[ID]]="","",COUNTIF(NOTA[ID_H],NOTA[[#This Row],[ID_H]]))</f>
        <v/>
      </c>
      <c r="AK584" s="39">
        <f ca="1">IF(NOTA[[#This Row],[TGL.NOTA]]="",IF(NOTA[[#This Row],[SUPPLIER_H]]="","",AK583),MONTH(NOTA[[#This Row],[TGL.NOTA]]))</f>
        <v>7</v>
      </c>
      <c r="AL584" s="39" t="str">
        <f>LOWER(SUBSTITUTE(SUBSTITUTE(SUBSTITUTE(SUBSTITUTE(SUBSTITUTE(SUBSTITUTE(SUBSTITUTE(SUBSTITUTE(SUBSTITUTE(NOTA[NAMA BARANG]," ",),".",""),"-",""),"(",""),")",""),",",""),"/",""),"""",""),"+",""))</f>
        <v>kenkocorrectionfluidcb01</v>
      </c>
      <c r="AM5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kenkocorrectionfluidcb0119548000.17</v>
      </c>
      <c r="AN5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kenkocorrectionfluidcb0119548000.17</v>
      </c>
      <c r="AO5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39" t="str">
        <f>IF(NOTA[[#This Row],[CONCAT4]]="","",_xlfn.IFNA(MATCH(NOTA[[#This Row],[CONCAT4]],[2]!RAW[CONCAT_H],0),FALSE))</f>
        <v/>
      </c>
      <c r="AQ584" s="39">
        <f>IF(NOTA[[#This Row],[CONCAT1]]="","",MATCH(NOTA[[#This Row],[CONCAT1]],[3]!db[NB NOTA_C],0))</f>
        <v>2646</v>
      </c>
      <c r="AR584" s="39" t="str">
        <f>IF(NOTA[[#This Row],[QTY/ CTN]]="","",TRUE)</f>
        <v/>
      </c>
      <c r="AS584" s="39" t="str">
        <f ca="1">IF(NOTA[[#This Row],[ID_H]]="","",IF(NOTA[[#This Row],[Column3]]=TRUE,NOTA[[#This Row],[QTY/ CTN]],INDEX([3]!db[QTY/ CTN],NOTA[[#This Row],[//DB]])))</f>
        <v>36 LSN</v>
      </c>
      <c r="AT5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kenkocorrectionfluidcb0136lsnartomoro</v>
      </c>
      <c r="AU584" s="39" t="e">
        <f ca="1">IF(NOTA[[#This Row],[ID_H]]="","",MATCH(NOTA[[#This Row],[NB NOTA_C_QTY]],[4]!db[NB NOTA_C_QTY+F],0))</f>
        <v>#REF!</v>
      </c>
      <c r="AV584" s="55">
        <f ca="1">IF(NOTA[[#This Row],[NB NOTA_C_QTY]]="","",ROW()-2)</f>
        <v>582</v>
      </c>
    </row>
    <row r="585" spans="1:48" ht="20.100000000000001" customHeight="1" x14ac:dyDescent="0.25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39" t="str">
        <f>IF(NOTA[[#This Row],[ID_P]]="","",MATCH(NOTA[[#This Row],[ID_P]],[1]!B_MSK[N_ID],0))</f>
        <v/>
      </c>
      <c r="D585" s="39">
        <f ca="1">IF(NOTA[[#This Row],[NAMA BARANG]]="","",INDEX(NOTA[ID],MATCH(,INDIRECT(ADDRESS(ROW(NOTA[ID]),COLUMN(NOTA[ID]))&amp;":"&amp;ADDRESS(ROW(),COLUMN(NOTA[ID]))),-1)))</f>
        <v>114</v>
      </c>
      <c r="E585" s="47"/>
      <c r="H585" s="48"/>
      <c r="L585" s="38" t="s">
        <v>678</v>
      </c>
      <c r="M585" s="41">
        <v>1</v>
      </c>
      <c r="N585" s="39"/>
      <c r="Q585" s="43">
        <v>1954800</v>
      </c>
      <c r="R585" s="49"/>
      <c r="S585" s="50">
        <v>0.17</v>
      </c>
      <c r="U585" s="51"/>
      <c r="V585" s="46"/>
      <c r="W585" s="51">
        <f>IF(NOTA[[#This Row],[HARGA/ CTN]]="",NOTA[[#This Row],[JUMLAH_H]],NOTA[[#This Row],[HARGA/ CTN]]*IF(NOTA[[#This Row],[C]]="",0,NOTA[[#This Row],[C]]))</f>
        <v>1954800</v>
      </c>
      <c r="X585" s="51">
        <f>IF(NOTA[[#This Row],[JUMLAH]]="","",NOTA[[#This Row],[JUMLAH]]*NOTA[[#This Row],[DISC 1]])</f>
        <v>332316</v>
      </c>
      <c r="Y585" s="51">
        <f>IF(NOTA[[#This Row],[JUMLAH]]="","",(NOTA[[#This Row],[JUMLAH]]-NOTA[[#This Row],[DISC 1-]])*NOTA[[#This Row],[DISC 2]])</f>
        <v>0</v>
      </c>
      <c r="Z585" s="51">
        <f>IF(NOTA[[#This Row],[JUMLAH]]="","",NOTA[[#This Row],[DISC 1-]]+NOTA[[#This Row],[DISC 2-]])</f>
        <v>332316</v>
      </c>
      <c r="AA585" s="51">
        <f>IF(NOTA[[#This Row],[JUMLAH]]="","",NOTA[[#This Row],[JUMLAH]]-NOTA[[#This Row],[DISC]])</f>
        <v>1622484</v>
      </c>
      <c r="AB585" s="51"/>
      <c r="AC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5" s="51" t="str">
        <f>IF(OR(NOTA[[#This Row],[QTY]]="",NOTA[[#This Row],[HARGA SATUAN]]="",),"",NOTA[[#This Row],[QTY]]*NOTA[[#This Row],[HARGA SATUAN]])</f>
        <v/>
      </c>
      <c r="AG585" s="40">
        <f ca="1">IF(NOTA[ID_H]="","",INDEX(NOTA[TANGGAL],MATCH(,INDIRECT(ADDRESS(ROW(NOTA[TANGGAL]),COLUMN(NOTA[TANGGAL]))&amp;":"&amp;ADDRESS(ROW(),COLUMN(NOTA[TANGGAL]))),-1)))</f>
        <v>45129</v>
      </c>
      <c r="AH585" s="42" t="str">
        <f ca="1">IF(NOTA[[#This Row],[NAMA BARANG]]="","",INDEX(NOTA[SUPPLIER],MATCH(,INDIRECT(ADDRESS(ROW(NOTA[ID]),COLUMN(NOTA[ID]))&amp;":"&amp;ADDRESS(ROW(),COLUMN(NOTA[ID]))),-1)))</f>
        <v>KENKO SINAR INDONESIA</v>
      </c>
      <c r="AI585" s="42" t="str">
        <f ca="1">IF(NOTA[[#This Row],[ID_H]]="","",IF(NOTA[[#This Row],[FAKTUR]]="",INDIRECT(ADDRESS(ROW()-1,COLUMN())),NOTA[[#This Row],[FAKTUR]]))</f>
        <v>ARTO MORO</v>
      </c>
      <c r="AJ585" s="39" t="str">
        <f ca="1">IF(NOTA[[#This Row],[ID]]="","",COUNTIF(NOTA[ID_H],NOTA[[#This Row],[ID_H]]))</f>
        <v/>
      </c>
      <c r="AK585" s="39">
        <f ca="1">IF(NOTA[[#This Row],[TGL.NOTA]]="",IF(NOTA[[#This Row],[SUPPLIER_H]]="","",AK584),MONTH(NOTA[[#This Row],[TGL.NOTA]]))</f>
        <v>7</v>
      </c>
      <c r="AL585" s="39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M5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N5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O5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39" t="str">
        <f>IF(NOTA[[#This Row],[CONCAT4]]="","",_xlfn.IFNA(MATCH(NOTA[[#This Row],[CONCAT4]],[2]!RAW[CONCAT_H],0),FALSE))</f>
        <v/>
      </c>
      <c r="AQ585" s="39">
        <f>IF(NOTA[[#This Row],[CONCAT1]]="","",MATCH(NOTA[[#This Row],[CONCAT1]],[3]!db[NB NOTA_C],0))</f>
        <v>2676</v>
      </c>
      <c r="AR585" s="39" t="str">
        <f>IF(NOTA[[#This Row],[QTY/ CTN]]="","",TRUE)</f>
        <v/>
      </c>
      <c r="AS585" s="39" t="str">
        <f ca="1">IF(NOTA[[#This Row],[ID_H]]="","",IF(NOTA[[#This Row],[Column3]]=TRUE,NOTA[[#This Row],[QTY/ CTN]],INDEX([3]!db[QTY/ CTN],NOTA[[#This Row],[//DB]])))</f>
        <v>36 LSN</v>
      </c>
      <c r="AT5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U585" s="39" t="e">
        <f ca="1">IF(NOTA[[#This Row],[ID_H]]="","",MATCH(NOTA[[#This Row],[NB NOTA_C_QTY]],[4]!db[NB NOTA_C_QTY+F],0))</f>
        <v>#REF!</v>
      </c>
      <c r="AV585" s="55">
        <f ca="1">IF(NOTA[[#This Row],[NB NOTA_C_QTY]]="","",ROW()-2)</f>
        <v>583</v>
      </c>
    </row>
    <row r="586" spans="1:48" ht="20.100000000000001" customHeight="1" x14ac:dyDescent="0.25">
      <c r="A5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39" t="str">
        <f>IF(NOTA[[#This Row],[ID_P]]="","",MATCH(NOTA[[#This Row],[ID_P]],[1]!B_MSK[N_ID],0))</f>
        <v/>
      </c>
      <c r="D586" s="39">
        <f ca="1">IF(NOTA[[#This Row],[NAMA BARANG]]="","",INDEX(NOTA[ID],MATCH(,INDIRECT(ADDRESS(ROW(NOTA[ID]),COLUMN(NOTA[ID]))&amp;":"&amp;ADDRESS(ROW(),COLUMN(NOTA[ID]))),-1)))</f>
        <v>114</v>
      </c>
      <c r="E586" s="47"/>
      <c r="H586" s="48"/>
      <c r="L586" s="38" t="s">
        <v>679</v>
      </c>
      <c r="M586" s="41">
        <v>1</v>
      </c>
      <c r="N586" s="39"/>
      <c r="Q586" s="43">
        <v>1954800</v>
      </c>
      <c r="R586" s="49"/>
      <c r="S586" s="50">
        <v>0.17</v>
      </c>
      <c r="U586" s="51"/>
      <c r="V586" s="46"/>
      <c r="W586" s="51">
        <f>IF(NOTA[[#This Row],[HARGA/ CTN]]="",NOTA[[#This Row],[JUMLAH_H]],NOTA[[#This Row],[HARGA/ CTN]]*IF(NOTA[[#This Row],[C]]="",0,NOTA[[#This Row],[C]]))</f>
        <v>1954800</v>
      </c>
      <c r="X586" s="51">
        <f>IF(NOTA[[#This Row],[JUMLAH]]="","",NOTA[[#This Row],[JUMLAH]]*NOTA[[#This Row],[DISC 1]])</f>
        <v>332316</v>
      </c>
      <c r="Y586" s="51">
        <f>IF(NOTA[[#This Row],[JUMLAH]]="","",(NOTA[[#This Row],[JUMLAH]]-NOTA[[#This Row],[DISC 1-]])*NOTA[[#This Row],[DISC 2]])</f>
        <v>0</v>
      </c>
      <c r="Z586" s="51">
        <f>IF(NOTA[[#This Row],[JUMLAH]]="","",NOTA[[#This Row],[DISC 1-]]+NOTA[[#This Row],[DISC 2-]])</f>
        <v>332316</v>
      </c>
      <c r="AA586" s="51">
        <f>IF(NOTA[[#This Row],[JUMLAH]]="","",NOTA[[#This Row],[JUMLAH]]-NOTA[[#This Row],[DISC]])</f>
        <v>1622484</v>
      </c>
      <c r="AB586" s="51"/>
      <c r="AC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6" s="51" t="str">
        <f>IF(OR(NOTA[[#This Row],[QTY]]="",NOTA[[#This Row],[HARGA SATUAN]]="",),"",NOTA[[#This Row],[QTY]]*NOTA[[#This Row],[HARGA SATUAN]])</f>
        <v/>
      </c>
      <c r="AG586" s="40">
        <f ca="1">IF(NOTA[ID_H]="","",INDEX(NOTA[TANGGAL],MATCH(,INDIRECT(ADDRESS(ROW(NOTA[TANGGAL]),COLUMN(NOTA[TANGGAL]))&amp;":"&amp;ADDRESS(ROW(),COLUMN(NOTA[TANGGAL]))),-1)))</f>
        <v>45129</v>
      </c>
      <c r="AH586" s="42" t="str">
        <f ca="1">IF(NOTA[[#This Row],[NAMA BARANG]]="","",INDEX(NOTA[SUPPLIER],MATCH(,INDIRECT(ADDRESS(ROW(NOTA[ID]),COLUMN(NOTA[ID]))&amp;":"&amp;ADDRESS(ROW(),COLUMN(NOTA[ID]))),-1)))</f>
        <v>KENKO SINAR INDONESIA</v>
      </c>
      <c r="AI586" s="42" t="str">
        <f ca="1">IF(NOTA[[#This Row],[ID_H]]="","",IF(NOTA[[#This Row],[FAKTUR]]="",INDIRECT(ADDRESS(ROW()-1,COLUMN())),NOTA[[#This Row],[FAKTUR]]))</f>
        <v>ARTO MORO</v>
      </c>
      <c r="AJ586" s="39" t="str">
        <f ca="1">IF(NOTA[[#This Row],[ID]]="","",COUNTIF(NOTA[ID_H],NOTA[[#This Row],[ID_H]]))</f>
        <v/>
      </c>
      <c r="AK586" s="39">
        <f ca="1">IF(NOTA[[#This Row],[TGL.NOTA]]="",IF(NOTA[[#This Row],[SUPPLIER_H]]="","",AK585),MONTH(NOTA[[#This Row],[TGL.NOTA]]))</f>
        <v>7</v>
      </c>
      <c r="AL586" s="39" t="str">
        <f>LOWER(SUBSTITUTE(SUBSTITUTE(SUBSTITUTE(SUBSTITUTE(SUBSTITUTE(SUBSTITUTE(SUBSTITUTE(SUBSTITUTE(SUBSTITUTE(NOTA[NAMA BARANG]," ",),".",""),"-",""),"(",""),")",""),",",""),"/",""),"""",""),"+",""))</f>
        <v>kenkocorrectionfluidkr01</v>
      </c>
      <c r="AM5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kenkocorrectionfluidkr0119548000.17</v>
      </c>
      <c r="AN5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kenkocorrectionfluidkr0119548000.17</v>
      </c>
      <c r="AO5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39" t="str">
        <f>IF(NOTA[[#This Row],[CONCAT4]]="","",_xlfn.IFNA(MATCH(NOTA[[#This Row],[CONCAT4]],[2]!RAW[CONCAT_H],0),FALSE))</f>
        <v/>
      </c>
      <c r="AQ586" s="39">
        <f>IF(NOTA[[#This Row],[CONCAT1]]="","",MATCH(NOTA[[#This Row],[CONCAT1]],[3]!db[NB NOTA_C],0))</f>
        <v>2684</v>
      </c>
      <c r="AR586" s="39" t="str">
        <f>IF(NOTA[[#This Row],[QTY/ CTN]]="","",TRUE)</f>
        <v/>
      </c>
      <c r="AS586" s="39" t="str">
        <f ca="1">IF(NOTA[[#This Row],[ID_H]]="","",IF(NOTA[[#This Row],[Column3]]=TRUE,NOTA[[#This Row],[QTY/ CTN]],INDEX([3]!db[QTY/ CTN],NOTA[[#This Row],[//DB]])))</f>
        <v>36 LSN</v>
      </c>
      <c r="AT5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kenkocorrectionfluidkr0136lsnartomoro</v>
      </c>
      <c r="AU586" s="39" t="e">
        <f ca="1">IF(NOTA[[#This Row],[ID_H]]="","",MATCH(NOTA[[#This Row],[NB NOTA_C_QTY]],[4]!db[NB NOTA_C_QTY+F],0))</f>
        <v>#REF!</v>
      </c>
      <c r="AV586" s="55">
        <f ca="1">IF(NOTA[[#This Row],[NB NOTA_C_QTY]]="","",ROW()-2)</f>
        <v>584</v>
      </c>
    </row>
    <row r="587" spans="1:48" ht="20.100000000000001" customHeight="1" x14ac:dyDescent="0.25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39" t="str">
        <f>IF(NOTA[[#This Row],[ID_P]]="","",MATCH(NOTA[[#This Row],[ID_P]],[1]!B_MSK[N_ID],0))</f>
        <v/>
      </c>
      <c r="D587" s="39">
        <f ca="1">IF(NOTA[[#This Row],[NAMA BARANG]]="","",INDEX(NOTA[ID],MATCH(,INDIRECT(ADDRESS(ROW(NOTA[ID]),COLUMN(NOTA[ID]))&amp;":"&amp;ADDRESS(ROW(),COLUMN(NOTA[ID]))),-1)))</f>
        <v>114</v>
      </c>
      <c r="E587" s="47"/>
      <c r="H587" s="48"/>
      <c r="K587" s="38">
        <v>2</v>
      </c>
      <c r="L587" s="38" t="s">
        <v>680</v>
      </c>
      <c r="M587" s="41">
        <v>2</v>
      </c>
      <c r="N587" s="39"/>
      <c r="Q587" s="43">
        <v>1954800</v>
      </c>
      <c r="R587" s="49"/>
      <c r="S587" s="50">
        <v>0.17</v>
      </c>
      <c r="U587" s="51"/>
      <c r="V587" s="46"/>
      <c r="W587" s="51">
        <f>IF(NOTA[[#This Row],[HARGA/ CTN]]="",NOTA[[#This Row],[JUMLAH_H]],NOTA[[#This Row],[HARGA/ CTN]]*IF(NOTA[[#This Row],[C]]="",0,NOTA[[#This Row],[C]]))</f>
        <v>3909600</v>
      </c>
      <c r="X587" s="51">
        <f>IF(NOTA[[#This Row],[JUMLAH]]="","",NOTA[[#This Row],[JUMLAH]]*NOTA[[#This Row],[DISC 1]])</f>
        <v>664632</v>
      </c>
      <c r="Y587" s="51">
        <f>IF(NOTA[[#This Row],[JUMLAH]]="","",(NOTA[[#This Row],[JUMLAH]]-NOTA[[#This Row],[DISC 1-]])*NOTA[[#This Row],[DISC 2]])</f>
        <v>0</v>
      </c>
      <c r="Z587" s="51">
        <f>IF(NOTA[[#This Row],[JUMLAH]]="","",NOTA[[#This Row],[DISC 1-]]+NOTA[[#This Row],[DISC 2-]])</f>
        <v>664632</v>
      </c>
      <c r="AA587" s="51">
        <f>IF(NOTA[[#This Row],[JUMLAH]]="","",NOTA[[#This Row],[JUMLAH]]-NOTA[[#This Row],[DISC]])</f>
        <v>3244968</v>
      </c>
      <c r="AB587" s="51"/>
      <c r="AC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7" s="51" t="str">
        <f>IF(OR(NOTA[[#This Row],[QTY]]="",NOTA[[#This Row],[HARGA SATUAN]]="",),"",NOTA[[#This Row],[QTY]]*NOTA[[#This Row],[HARGA SATUAN]])</f>
        <v/>
      </c>
      <c r="AG587" s="40">
        <f ca="1">IF(NOTA[ID_H]="","",INDEX(NOTA[TANGGAL],MATCH(,INDIRECT(ADDRESS(ROW(NOTA[TANGGAL]),COLUMN(NOTA[TANGGAL]))&amp;":"&amp;ADDRESS(ROW(),COLUMN(NOTA[TANGGAL]))),-1)))</f>
        <v>45129</v>
      </c>
      <c r="AH587" s="42" t="str">
        <f ca="1">IF(NOTA[[#This Row],[NAMA BARANG]]="","",INDEX(NOTA[SUPPLIER],MATCH(,INDIRECT(ADDRESS(ROW(NOTA[ID]),COLUMN(NOTA[ID]))&amp;":"&amp;ADDRESS(ROW(),COLUMN(NOTA[ID]))),-1)))</f>
        <v>KENKO SINAR INDONESIA</v>
      </c>
      <c r="AI587" s="42" t="str">
        <f ca="1">IF(NOTA[[#This Row],[ID_H]]="","",IF(NOTA[[#This Row],[FAKTUR]]="",INDIRECT(ADDRESS(ROW()-1,COLUMN())),NOTA[[#This Row],[FAKTUR]]))</f>
        <v>ARTO MORO</v>
      </c>
      <c r="AJ587" s="39" t="str">
        <f ca="1">IF(NOTA[[#This Row],[ID]]="","",COUNTIF(NOTA[ID_H],NOTA[[#This Row],[ID_H]]))</f>
        <v/>
      </c>
      <c r="AK587" s="39">
        <f ca="1">IF(NOTA[[#This Row],[TGL.NOTA]]="",IF(NOTA[[#This Row],[SUPPLIER_H]]="","",AK586),MONTH(NOTA[[#This Row],[TGL.NOTA]]))</f>
        <v>7</v>
      </c>
      <c r="AL587" s="39" t="str">
        <f>LOWER(SUBSTITUTE(SUBSTITUTE(SUBSTITUTE(SUBSTITUTE(SUBSTITUTE(SUBSTITUTE(SUBSTITUTE(SUBSTITUTE(SUBSTITUTE(NOTA[NAMA BARANG]," ",),".",""),"-",""),"(",""),")",""),",",""),"/",""),"""",""),"+",""))</f>
        <v>kenkocorrectionfluidur01</v>
      </c>
      <c r="AM5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kenkocorrectionfluidur0119548000.17</v>
      </c>
      <c r="AN5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kenkocorrectionfluidur0119548000.17</v>
      </c>
      <c r="AO5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39" t="str">
        <f>IF(NOTA[[#This Row],[CONCAT4]]="","",_xlfn.IFNA(MATCH(NOTA[[#This Row],[CONCAT4]],[2]!RAW[CONCAT_H],0),FALSE))</f>
        <v/>
      </c>
      <c r="AQ587" s="39">
        <f>IF(NOTA[[#This Row],[CONCAT1]]="","",MATCH(NOTA[[#This Row],[CONCAT1]],[3]!db[NB NOTA_C],0))</f>
        <v>2685</v>
      </c>
      <c r="AR587" s="39" t="str">
        <f>IF(NOTA[[#This Row],[QTY/ CTN]]="","",TRUE)</f>
        <v/>
      </c>
      <c r="AS587" s="39" t="str">
        <f ca="1">IF(NOTA[[#This Row],[ID_H]]="","",IF(NOTA[[#This Row],[Column3]]=TRUE,NOTA[[#This Row],[QTY/ CTN]],INDEX([3]!db[QTY/ CTN],NOTA[[#This Row],[//DB]])))</f>
        <v>36 LSN</v>
      </c>
      <c r="AT5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kenkocorrectionfluidur0136lsnartomoro</v>
      </c>
      <c r="AU587" s="39" t="e">
        <f ca="1">IF(NOTA[[#This Row],[ID_H]]="","",MATCH(NOTA[[#This Row],[NB NOTA_C_QTY]],[4]!db[NB NOTA_C_QTY+F],0))</f>
        <v>#REF!</v>
      </c>
      <c r="AV587" s="55">
        <f ca="1">IF(NOTA[[#This Row],[NB NOTA_C_QTY]]="","",ROW()-2)</f>
        <v>585</v>
      </c>
    </row>
    <row r="588" spans="1:48" ht="20.100000000000001" customHeight="1" x14ac:dyDescent="0.25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39" t="str">
        <f>IF(NOTA[[#This Row],[ID_P]]="","",MATCH(NOTA[[#This Row],[ID_P]],[1]!B_MSK[N_ID],0))</f>
        <v/>
      </c>
      <c r="D588" s="39">
        <f ca="1">IF(NOTA[[#This Row],[NAMA BARANG]]="","",INDEX(NOTA[ID],MATCH(,INDIRECT(ADDRESS(ROW(NOTA[ID]),COLUMN(NOTA[ID]))&amp;":"&amp;ADDRESS(ROW(),COLUMN(NOTA[ID]))),-1)))</f>
        <v>114</v>
      </c>
      <c r="E588" s="47"/>
      <c r="H588" s="48"/>
      <c r="K588" s="38">
        <v>3</v>
      </c>
      <c r="L588" s="38" t="s">
        <v>89</v>
      </c>
      <c r="M588" s="41">
        <v>10</v>
      </c>
      <c r="N588" s="39"/>
      <c r="Q588" s="43">
        <v>1954800</v>
      </c>
      <c r="R588" s="49"/>
      <c r="S588" s="50">
        <v>0.17</v>
      </c>
      <c r="U588" s="51"/>
      <c r="V588" s="46"/>
      <c r="W588" s="51">
        <f>IF(NOTA[[#This Row],[HARGA/ CTN]]="",NOTA[[#This Row],[JUMLAH_H]],NOTA[[#This Row],[HARGA/ CTN]]*IF(NOTA[[#This Row],[C]]="",0,NOTA[[#This Row],[C]]))</f>
        <v>19548000</v>
      </c>
      <c r="X588" s="51">
        <f>IF(NOTA[[#This Row],[JUMLAH]]="","",NOTA[[#This Row],[JUMLAH]]*NOTA[[#This Row],[DISC 1]])</f>
        <v>3323160.0000000005</v>
      </c>
      <c r="Y588" s="51">
        <f>IF(NOTA[[#This Row],[JUMLAH]]="","",(NOTA[[#This Row],[JUMLAH]]-NOTA[[#This Row],[DISC 1-]])*NOTA[[#This Row],[DISC 2]])</f>
        <v>0</v>
      </c>
      <c r="Z588" s="51">
        <f>IF(NOTA[[#This Row],[JUMLAH]]="","",NOTA[[#This Row],[DISC 1-]]+NOTA[[#This Row],[DISC 2-]])</f>
        <v>3323160.0000000005</v>
      </c>
      <c r="AA588" s="51">
        <f>IF(NOTA[[#This Row],[JUMLAH]]="","",NOTA[[#This Row],[JUMLAH]]-NOTA[[#This Row],[DISC]])</f>
        <v>16224840</v>
      </c>
      <c r="AB588" s="51"/>
      <c r="AC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9296756</v>
      </c>
      <c r="AD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45390044</v>
      </c>
      <c r="AE5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8" s="51" t="str">
        <f>IF(OR(NOTA[[#This Row],[QTY]]="",NOTA[[#This Row],[HARGA SATUAN]]="",),"",NOTA[[#This Row],[QTY]]*NOTA[[#This Row],[HARGA SATUAN]])</f>
        <v/>
      </c>
      <c r="AG588" s="40">
        <f ca="1">IF(NOTA[ID_H]="","",INDEX(NOTA[TANGGAL],MATCH(,INDIRECT(ADDRESS(ROW(NOTA[TANGGAL]),COLUMN(NOTA[TANGGAL]))&amp;":"&amp;ADDRESS(ROW(),COLUMN(NOTA[TANGGAL]))),-1)))</f>
        <v>45129</v>
      </c>
      <c r="AH588" s="42" t="str">
        <f ca="1">IF(NOTA[[#This Row],[NAMA BARANG]]="","",INDEX(NOTA[SUPPLIER],MATCH(,INDIRECT(ADDRESS(ROW(NOTA[ID]),COLUMN(NOTA[ID]))&amp;":"&amp;ADDRESS(ROW(),COLUMN(NOTA[ID]))),-1)))</f>
        <v>KENKO SINAR INDONESIA</v>
      </c>
      <c r="AI588" s="42" t="str">
        <f ca="1">IF(NOTA[[#This Row],[ID_H]]="","",IF(NOTA[[#This Row],[FAKTUR]]="",INDIRECT(ADDRESS(ROW()-1,COLUMN())),NOTA[[#This Row],[FAKTUR]]))</f>
        <v>ARTO MORO</v>
      </c>
      <c r="AJ588" s="39" t="str">
        <f ca="1">IF(NOTA[[#This Row],[ID]]="","",COUNTIF(NOTA[ID_H],NOTA[[#This Row],[ID_H]]))</f>
        <v/>
      </c>
      <c r="AK588" s="39">
        <f ca="1">IF(NOTA[[#This Row],[TGL.NOTA]]="",IF(NOTA[[#This Row],[SUPPLIER_H]]="","",AK587),MONTH(NOTA[[#This Row],[TGL.NOTA]]))</f>
        <v>7</v>
      </c>
      <c r="AL588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39" t="str">
        <f>IF(NOTA[[#This Row],[CONCAT4]]="","",_xlfn.IFNA(MATCH(NOTA[[#This Row],[CONCAT4]],[2]!RAW[CONCAT_H],0),FALSE))</f>
        <v/>
      </c>
      <c r="AQ588" s="39">
        <f>IF(NOTA[[#This Row],[CONCAT1]]="","",MATCH(NOTA[[#This Row],[CONCAT1]],[3]!db[NB NOTA_C],0))</f>
        <v>2678</v>
      </c>
      <c r="AR588" s="39" t="str">
        <f>IF(NOTA[[#This Row],[QTY/ CTN]]="","",TRUE)</f>
        <v/>
      </c>
      <c r="AS588" s="39" t="str">
        <f ca="1">IF(NOTA[[#This Row],[ID_H]]="","",IF(NOTA[[#This Row],[Column3]]=TRUE,NOTA[[#This Row],[QTY/ CTN]],INDEX([3]!db[QTY/ CTN],NOTA[[#This Row],[//DB]])))</f>
        <v>36 LSN</v>
      </c>
      <c r="AT5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588" s="39" t="e">
        <f ca="1">IF(NOTA[[#This Row],[ID_H]]="","",MATCH(NOTA[[#This Row],[NB NOTA_C_QTY]],[4]!db[NB NOTA_C_QTY+F],0))</f>
        <v>#REF!</v>
      </c>
      <c r="AV588" s="55">
        <f ca="1">IF(NOTA[[#This Row],[NB NOTA_C_QTY]]="","",ROW()-2)</f>
        <v>586</v>
      </c>
    </row>
    <row r="589" spans="1:48" ht="20.100000000000001" customHeight="1" x14ac:dyDescent="0.25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39" t="str">
        <f>IF(NOTA[[#This Row],[ID_P]]="","",MATCH(NOTA[[#This Row],[ID_P]],[1]!B_MSK[N_ID],0))</f>
        <v/>
      </c>
      <c r="D589" s="39" t="str">
        <f ca="1">IF(NOTA[[#This Row],[NAMA BARANG]]="","",INDEX(NOTA[ID],MATCH(,INDIRECT(ADDRESS(ROW(NOTA[ID]),COLUMN(NOTA[ID]))&amp;":"&amp;ADDRESS(ROW(),COLUMN(NOTA[ID]))),-1)))</f>
        <v/>
      </c>
      <c r="E589" s="47"/>
      <c r="H589" s="48"/>
      <c r="N589" s="39"/>
      <c r="Q589" s="43"/>
      <c r="R589" s="49"/>
      <c r="S589" s="50"/>
      <c r="U589" s="51"/>
      <c r="V589" s="46"/>
      <c r="W589" s="51" t="str">
        <f>IF(NOTA[[#This Row],[HARGA/ CTN]]="",NOTA[[#This Row],[JUMLAH_H]],NOTA[[#This Row],[HARGA/ CTN]]*IF(NOTA[[#This Row],[C]]="",0,NOTA[[#This Row],[C]]))</f>
        <v/>
      </c>
      <c r="X589" s="51" t="str">
        <f>IF(NOTA[[#This Row],[JUMLAH]]="","",NOTA[[#This Row],[JUMLAH]]*NOTA[[#This Row],[DISC 1]])</f>
        <v/>
      </c>
      <c r="Y589" s="51" t="str">
        <f>IF(NOTA[[#This Row],[JUMLAH]]="","",(NOTA[[#This Row],[JUMLAH]]-NOTA[[#This Row],[DISC 1-]])*NOTA[[#This Row],[DISC 2]])</f>
        <v/>
      </c>
      <c r="Z589" s="51" t="str">
        <f>IF(NOTA[[#This Row],[JUMLAH]]="","",NOTA[[#This Row],[DISC 1-]]+NOTA[[#This Row],[DISC 2-]])</f>
        <v/>
      </c>
      <c r="AA589" s="51" t="str">
        <f>IF(NOTA[[#This Row],[JUMLAH]]="","",NOTA[[#This Row],[JUMLAH]]-NOTA[[#This Row],[DISC]])</f>
        <v/>
      </c>
      <c r="AB589" s="51"/>
      <c r="AC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51" t="str">
        <f>IF(OR(NOTA[[#This Row],[QTY]]="",NOTA[[#This Row],[HARGA SATUAN]]="",),"",NOTA[[#This Row],[QTY]]*NOTA[[#This Row],[HARGA SATUAN]])</f>
        <v/>
      </c>
      <c r="AG589" s="40" t="str">
        <f ca="1">IF(NOTA[ID_H]="","",INDEX(NOTA[TANGGAL],MATCH(,INDIRECT(ADDRESS(ROW(NOTA[TANGGAL]),COLUMN(NOTA[TANGGAL]))&amp;":"&amp;ADDRESS(ROW(),COLUMN(NOTA[TANGGAL]))),-1)))</f>
        <v/>
      </c>
      <c r="AH589" s="42" t="str">
        <f ca="1">IF(NOTA[[#This Row],[NAMA BARANG]]="","",INDEX(NOTA[SUPPLIER],MATCH(,INDIRECT(ADDRESS(ROW(NOTA[ID]),COLUMN(NOTA[ID]))&amp;":"&amp;ADDRESS(ROW(),COLUMN(NOTA[ID]))),-1)))</f>
        <v/>
      </c>
      <c r="AI589" s="42" t="str">
        <f ca="1">IF(NOTA[[#This Row],[ID_H]]="","",IF(NOTA[[#This Row],[FAKTUR]]="",INDIRECT(ADDRESS(ROW()-1,COLUMN())),NOTA[[#This Row],[FAKTUR]]))</f>
        <v/>
      </c>
      <c r="AJ589" s="39" t="str">
        <f ca="1">IF(NOTA[[#This Row],[ID]]="","",COUNTIF(NOTA[ID_H],NOTA[[#This Row],[ID_H]]))</f>
        <v/>
      </c>
      <c r="AK589" s="39" t="str">
        <f ca="1">IF(NOTA[[#This Row],[TGL.NOTA]]="",IF(NOTA[[#This Row],[SUPPLIER_H]]="","",AK588),MONTH(NOTA[[#This Row],[TGL.NOTA]]))</f>
        <v/>
      </c>
      <c r="AL589" s="39" t="str">
        <f>LOWER(SUBSTITUTE(SUBSTITUTE(SUBSTITUTE(SUBSTITUTE(SUBSTITUTE(SUBSTITUTE(SUBSTITUTE(SUBSTITUTE(SUBSTITUTE(NOTA[NAMA BARANG]," ",),".",""),"-",""),"(",""),")",""),",",""),"/",""),"""",""),"+",""))</f>
        <v/>
      </c>
      <c r="AM5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39" t="str">
        <f>IF(NOTA[[#This Row],[CONCAT4]]="","",_xlfn.IFNA(MATCH(NOTA[[#This Row],[CONCAT4]],[2]!RAW[CONCAT_H],0),FALSE))</f>
        <v/>
      </c>
      <c r="AQ589" s="39" t="str">
        <f>IF(NOTA[[#This Row],[CONCAT1]]="","",MATCH(NOTA[[#This Row],[CONCAT1]],[3]!db[NB NOTA_C],0))</f>
        <v/>
      </c>
      <c r="AR589" s="39" t="str">
        <f>IF(NOTA[[#This Row],[QTY/ CTN]]="","",TRUE)</f>
        <v/>
      </c>
      <c r="AS589" s="39" t="str">
        <f ca="1">IF(NOTA[[#This Row],[ID_H]]="","",IF(NOTA[[#This Row],[Column3]]=TRUE,NOTA[[#This Row],[QTY/ CTN]],INDEX([3]!db[QTY/ CTN],NOTA[[#This Row],[//DB]])))</f>
        <v/>
      </c>
      <c r="AT5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9" s="39" t="str">
        <f ca="1">IF(NOTA[[#This Row],[ID_H]]="","",MATCH(NOTA[[#This Row],[NB NOTA_C_QTY]],[4]!db[NB NOTA_C_QTY+F],0))</f>
        <v/>
      </c>
      <c r="AV589" s="55" t="str">
        <f ca="1">IF(NOTA[[#This Row],[NB NOTA_C_QTY]]="","",ROW()-2)</f>
        <v/>
      </c>
    </row>
    <row r="590" spans="1:48" ht="20.100000000000001" customHeight="1" x14ac:dyDescent="0.25">
      <c r="A590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5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KEN_2207_701-8</v>
      </c>
      <c r="C590" s="39" t="e">
        <f ca="1">IF(NOTA[[#This Row],[ID_P]]="","",MATCH(NOTA[[#This Row],[ID_P]],[1]!B_MSK[N_ID],0))</f>
        <v>#REF!</v>
      </c>
      <c r="D590" s="39">
        <f ca="1">IF(NOTA[[#This Row],[NAMA BARANG]]="","",INDEX(NOTA[ID],MATCH(,INDIRECT(ADDRESS(ROW(NOTA[ID]),COLUMN(NOTA[ID]))&amp;":"&amp;ADDRESS(ROW(),COLUMN(NOTA[ID]))),-1)))</f>
        <v>115</v>
      </c>
      <c r="E590" s="47"/>
      <c r="F590" s="38" t="s">
        <v>22</v>
      </c>
      <c r="G590" s="38" t="s">
        <v>23</v>
      </c>
      <c r="H590" s="48" t="s">
        <v>681</v>
      </c>
      <c r="J590" s="40">
        <v>45127</v>
      </c>
      <c r="K590" s="38">
        <v>3</v>
      </c>
      <c r="L590" s="38" t="s">
        <v>377</v>
      </c>
      <c r="M590" s="41">
        <v>5</v>
      </c>
      <c r="N590" s="39"/>
      <c r="Q590" s="43">
        <v>3888000</v>
      </c>
      <c r="R590" s="49"/>
      <c r="S590" s="50">
        <v>0.17</v>
      </c>
      <c r="U590" s="51"/>
      <c r="V590" s="46"/>
      <c r="W590" s="51">
        <f>IF(NOTA[[#This Row],[HARGA/ CTN]]="",NOTA[[#This Row],[JUMLAH_H]],NOTA[[#This Row],[HARGA/ CTN]]*IF(NOTA[[#This Row],[C]]="",0,NOTA[[#This Row],[C]]))</f>
        <v>19440000</v>
      </c>
      <c r="X590" s="51">
        <f>IF(NOTA[[#This Row],[JUMLAH]]="","",NOTA[[#This Row],[JUMLAH]]*NOTA[[#This Row],[DISC 1]])</f>
        <v>3304800.0000000005</v>
      </c>
      <c r="Y590" s="51">
        <f>IF(NOTA[[#This Row],[JUMLAH]]="","",(NOTA[[#This Row],[JUMLAH]]-NOTA[[#This Row],[DISC 1-]])*NOTA[[#This Row],[DISC 2]])</f>
        <v>0</v>
      </c>
      <c r="Z590" s="51">
        <f>IF(NOTA[[#This Row],[JUMLAH]]="","",NOTA[[#This Row],[DISC 1-]]+NOTA[[#This Row],[DISC 2-]])</f>
        <v>3304800.0000000005</v>
      </c>
      <c r="AA590" s="51">
        <f>IF(NOTA[[#This Row],[JUMLAH]]="","",NOTA[[#This Row],[JUMLAH]]-NOTA[[#This Row],[DISC]])</f>
        <v>16135200</v>
      </c>
      <c r="AB590" s="51"/>
      <c r="AC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90" s="51" t="str">
        <f>IF(OR(NOTA[[#This Row],[QTY]]="",NOTA[[#This Row],[HARGA SATUAN]]="",),"",NOTA[[#This Row],[QTY]]*NOTA[[#This Row],[HARGA SATUAN]])</f>
        <v/>
      </c>
      <c r="AG590" s="40">
        <f ca="1">IF(NOTA[ID_H]="","",INDEX(NOTA[TANGGAL],MATCH(,INDIRECT(ADDRESS(ROW(NOTA[TANGGAL]),COLUMN(NOTA[TANGGAL]))&amp;":"&amp;ADDRESS(ROW(),COLUMN(NOTA[TANGGAL]))),-1)))</f>
        <v>45129</v>
      </c>
      <c r="AH590" s="42" t="str">
        <f ca="1">IF(NOTA[[#This Row],[NAMA BARANG]]="","",INDEX(NOTA[SUPPLIER],MATCH(,INDIRECT(ADDRESS(ROW(NOTA[ID]),COLUMN(NOTA[ID]))&amp;":"&amp;ADDRESS(ROW(),COLUMN(NOTA[ID]))),-1)))</f>
        <v>KENKO SINAR INDONESIA</v>
      </c>
      <c r="AI590" s="42" t="str">
        <f ca="1">IF(NOTA[[#This Row],[ID_H]]="","",IF(NOTA[[#This Row],[FAKTUR]]="",INDIRECT(ADDRESS(ROW()-1,COLUMN())),NOTA[[#This Row],[FAKTUR]]))</f>
        <v>ARTO MORO</v>
      </c>
      <c r="AJ590" s="39">
        <f ca="1">IF(NOTA[[#This Row],[ID]]="","",COUNTIF(NOTA[ID_H],NOTA[[#This Row],[ID_H]]))</f>
        <v>8</v>
      </c>
      <c r="AK590" s="39">
        <f>IF(NOTA[[#This Row],[TGL.NOTA]]="",IF(NOTA[[#This Row],[SUPPLIER_H]]="","",AK589),MONTH(NOTA[[#This Row],[TGL.NOTA]]))</f>
        <v>7</v>
      </c>
      <c r="AL59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9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MORO2307170145127kenkocutterbladel15018mm</v>
      </c>
      <c r="AP590" s="39" t="e">
        <f>IF(NOTA[[#This Row],[CONCAT4]]="","",_xlfn.IFNA(MATCH(NOTA[[#This Row],[CONCAT4]],[2]!RAW[CONCAT_H],0),FALSE))</f>
        <v>#REF!</v>
      </c>
      <c r="AQ590" s="39">
        <f>IF(NOTA[[#This Row],[CONCAT1]]="","",MATCH(NOTA[[#This Row],[CONCAT1]],[3]!db[NB NOTA_C],0))</f>
        <v>1303</v>
      </c>
      <c r="AR590" s="39" t="str">
        <f>IF(NOTA[[#This Row],[QTY/ CTN]]="","",TRUE)</f>
        <v/>
      </c>
      <c r="AS590" s="39" t="str">
        <f ca="1">IF(NOTA[[#This Row],[ID_H]]="","",IF(NOTA[[#This Row],[Column3]]=TRUE,NOTA[[#This Row],[QTY/ CTN]],INDEX([3]!db[QTY/ CTN],NOTA[[#This Row],[//DB]])))</f>
        <v>60 LSN</v>
      </c>
      <c r="AT5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590" s="39" t="e">
        <f ca="1">IF(NOTA[[#This Row],[ID_H]]="","",MATCH(NOTA[[#This Row],[NB NOTA_C_QTY]],[4]!db[NB NOTA_C_QTY+F],0))</f>
        <v>#REF!</v>
      </c>
      <c r="AV590" s="55">
        <f ca="1">IF(NOTA[[#This Row],[NB NOTA_C_QTY]]="","",ROW()-2)</f>
        <v>588</v>
      </c>
    </row>
    <row r="591" spans="1:48" ht="20.100000000000001" customHeight="1" x14ac:dyDescent="0.25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39" t="str">
        <f>IF(NOTA[[#This Row],[ID_P]]="","",MATCH(NOTA[[#This Row],[ID_P]],[1]!B_MSK[N_ID],0))</f>
        <v/>
      </c>
      <c r="D591" s="39">
        <f ca="1">IF(NOTA[[#This Row],[NAMA BARANG]]="","",INDEX(NOTA[ID],MATCH(,INDIRECT(ADDRESS(ROW(NOTA[ID]),COLUMN(NOTA[ID]))&amp;":"&amp;ADDRESS(ROW(),COLUMN(NOTA[ID]))),-1)))</f>
        <v>115</v>
      </c>
      <c r="E591" s="47"/>
      <c r="H591" s="48"/>
      <c r="L591" s="38" t="s">
        <v>329</v>
      </c>
      <c r="M591" s="41">
        <v>3</v>
      </c>
      <c r="N591" s="39"/>
      <c r="Q591" s="43">
        <v>1440000</v>
      </c>
      <c r="R591" s="49"/>
      <c r="S591" s="50">
        <v>0.17</v>
      </c>
      <c r="U591" s="51"/>
      <c r="V591" s="46"/>
      <c r="W591" s="51">
        <f>IF(NOTA[[#This Row],[HARGA/ CTN]]="",NOTA[[#This Row],[JUMLAH_H]],NOTA[[#This Row],[HARGA/ CTN]]*IF(NOTA[[#This Row],[C]]="",0,NOTA[[#This Row],[C]]))</f>
        <v>4320000</v>
      </c>
      <c r="X591" s="51">
        <f>IF(NOTA[[#This Row],[JUMLAH]]="","",NOTA[[#This Row],[JUMLAH]]*NOTA[[#This Row],[DISC 1]])</f>
        <v>734400</v>
      </c>
      <c r="Y591" s="51">
        <f>IF(NOTA[[#This Row],[JUMLAH]]="","",(NOTA[[#This Row],[JUMLAH]]-NOTA[[#This Row],[DISC 1-]])*NOTA[[#This Row],[DISC 2]])</f>
        <v>0</v>
      </c>
      <c r="Z591" s="51">
        <f>IF(NOTA[[#This Row],[JUMLAH]]="","",NOTA[[#This Row],[DISC 1-]]+NOTA[[#This Row],[DISC 2-]])</f>
        <v>734400</v>
      </c>
      <c r="AA591" s="51">
        <f>IF(NOTA[[#This Row],[JUMLAH]]="","",NOTA[[#This Row],[JUMLAH]]-NOTA[[#This Row],[DISC]])</f>
        <v>3585600</v>
      </c>
      <c r="AB591" s="51"/>
      <c r="AC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91" s="51" t="str">
        <f>IF(OR(NOTA[[#This Row],[QTY]]="",NOTA[[#This Row],[HARGA SATUAN]]="",),"",NOTA[[#This Row],[QTY]]*NOTA[[#This Row],[HARGA SATUAN]])</f>
        <v/>
      </c>
      <c r="AG591" s="40">
        <f ca="1">IF(NOTA[ID_H]="","",INDEX(NOTA[TANGGAL],MATCH(,INDIRECT(ADDRESS(ROW(NOTA[TANGGAL]),COLUMN(NOTA[TANGGAL]))&amp;":"&amp;ADDRESS(ROW(),COLUMN(NOTA[TANGGAL]))),-1)))</f>
        <v>45129</v>
      </c>
      <c r="AH591" s="42" t="str">
        <f ca="1">IF(NOTA[[#This Row],[NAMA BARANG]]="","",INDEX(NOTA[SUPPLIER],MATCH(,INDIRECT(ADDRESS(ROW(NOTA[ID]),COLUMN(NOTA[ID]))&amp;":"&amp;ADDRESS(ROW(),COLUMN(NOTA[ID]))),-1)))</f>
        <v>KENKO SINAR INDONESIA</v>
      </c>
      <c r="AI591" s="42" t="str">
        <f ca="1">IF(NOTA[[#This Row],[ID_H]]="","",IF(NOTA[[#This Row],[FAKTUR]]="",INDIRECT(ADDRESS(ROW()-1,COLUMN())),NOTA[[#This Row],[FAKTUR]]))</f>
        <v>ARTO MORO</v>
      </c>
      <c r="AJ591" s="39" t="str">
        <f ca="1">IF(NOTA[[#This Row],[ID]]="","",COUNTIF(NOTA[ID_H],NOTA[[#This Row],[ID_H]]))</f>
        <v/>
      </c>
      <c r="AK591" s="39">
        <f ca="1">IF(NOTA[[#This Row],[TGL.NOTA]]="",IF(NOTA[[#This Row],[SUPPLIER_H]]="","",AK590),MONTH(NOTA[[#This Row],[TGL.NOTA]]))</f>
        <v>7</v>
      </c>
      <c r="AL591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5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5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5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39" t="str">
        <f>IF(NOTA[[#This Row],[CONCAT4]]="","",_xlfn.IFNA(MATCH(NOTA[[#This Row],[CONCAT4]],[2]!RAW[CONCAT_H],0),FALSE))</f>
        <v/>
      </c>
      <c r="AQ591" s="39">
        <f>IF(NOTA[[#This Row],[CONCAT1]]="","",MATCH(NOTA[[#This Row],[CONCAT1]],[3]!db[NB NOTA_C],0))</f>
        <v>226</v>
      </c>
      <c r="AR591" s="39" t="str">
        <f>IF(NOTA[[#This Row],[QTY/ CTN]]="","",TRUE)</f>
        <v/>
      </c>
      <c r="AS591" s="39" t="str">
        <f ca="1">IF(NOTA[[#This Row],[ID_H]]="","",IF(NOTA[[#This Row],[Column3]]=TRUE,NOTA[[#This Row],[QTY/ CTN]],INDEX([3]!db[QTY/ CTN],NOTA[[#This Row],[//DB]])))</f>
        <v>50 GRS</v>
      </c>
      <c r="AT5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591" s="39" t="e">
        <f ca="1">IF(NOTA[[#This Row],[ID_H]]="","",MATCH(NOTA[[#This Row],[NB NOTA_C_QTY]],[4]!db[NB NOTA_C_QTY+F],0))</f>
        <v>#REF!</v>
      </c>
      <c r="AV591" s="55">
        <f ca="1">IF(NOTA[[#This Row],[NB NOTA_C_QTY]]="","",ROW()-2)</f>
        <v>589</v>
      </c>
    </row>
    <row r="592" spans="1:48" ht="20.100000000000001" customHeight="1" x14ac:dyDescent="0.25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39" t="str">
        <f>IF(NOTA[[#This Row],[ID_P]]="","",MATCH(NOTA[[#This Row],[ID_P]],[1]!B_MSK[N_ID],0))</f>
        <v/>
      </c>
      <c r="D592" s="39">
        <f ca="1">IF(NOTA[[#This Row],[NAMA BARANG]]="","",INDEX(NOTA[ID],MATCH(,INDIRECT(ADDRESS(ROW(NOTA[ID]),COLUMN(NOTA[ID]))&amp;":"&amp;ADDRESS(ROW(),COLUMN(NOTA[ID]))),-1)))</f>
        <v>115</v>
      </c>
      <c r="E592" s="47"/>
      <c r="H592" s="48"/>
      <c r="I592" s="40"/>
      <c r="L592" s="38" t="s">
        <v>330</v>
      </c>
      <c r="M592" s="41">
        <v>3</v>
      </c>
      <c r="N592" s="39"/>
      <c r="Q592" s="43">
        <v>1590000</v>
      </c>
      <c r="R592" s="49"/>
      <c r="S592" s="50">
        <v>0.17</v>
      </c>
      <c r="U592" s="51"/>
      <c r="V592" s="46"/>
      <c r="W592" s="51">
        <f>IF(NOTA[[#This Row],[HARGA/ CTN]]="",NOTA[[#This Row],[JUMLAH_H]],NOTA[[#This Row],[HARGA/ CTN]]*IF(NOTA[[#This Row],[C]]="",0,NOTA[[#This Row],[C]]))</f>
        <v>4770000</v>
      </c>
      <c r="X592" s="51">
        <f>IF(NOTA[[#This Row],[JUMLAH]]="","",NOTA[[#This Row],[JUMLAH]]*NOTA[[#This Row],[DISC 1]])</f>
        <v>810900.00000000012</v>
      </c>
      <c r="Y592" s="51">
        <f>IF(NOTA[[#This Row],[JUMLAH]]="","",(NOTA[[#This Row],[JUMLAH]]-NOTA[[#This Row],[DISC 1-]])*NOTA[[#This Row],[DISC 2]])</f>
        <v>0</v>
      </c>
      <c r="Z592" s="51">
        <f>IF(NOTA[[#This Row],[JUMLAH]]="","",NOTA[[#This Row],[DISC 1-]]+NOTA[[#This Row],[DISC 2-]])</f>
        <v>810900.00000000012</v>
      </c>
      <c r="AA592" s="51">
        <f>IF(NOTA[[#This Row],[JUMLAH]]="","",NOTA[[#This Row],[JUMLAH]]-NOTA[[#This Row],[DISC]])</f>
        <v>3959100</v>
      </c>
      <c r="AB592" s="51"/>
      <c r="AC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592" s="51" t="str">
        <f>IF(OR(NOTA[[#This Row],[QTY]]="",NOTA[[#This Row],[HARGA SATUAN]]="",),"",NOTA[[#This Row],[QTY]]*NOTA[[#This Row],[HARGA SATUAN]])</f>
        <v/>
      </c>
      <c r="AG592" s="40">
        <f ca="1">IF(NOTA[ID_H]="","",INDEX(NOTA[TANGGAL],MATCH(,INDIRECT(ADDRESS(ROW(NOTA[TANGGAL]),COLUMN(NOTA[TANGGAL]))&amp;":"&amp;ADDRESS(ROW(),COLUMN(NOTA[TANGGAL]))),-1)))</f>
        <v>45129</v>
      </c>
      <c r="AH592" s="42" t="str">
        <f ca="1">IF(NOTA[[#This Row],[NAMA BARANG]]="","",INDEX(NOTA[SUPPLIER],MATCH(,INDIRECT(ADDRESS(ROW(NOTA[ID]),COLUMN(NOTA[ID]))&amp;":"&amp;ADDRESS(ROW(),COLUMN(NOTA[ID]))),-1)))</f>
        <v>KENKO SINAR INDONESIA</v>
      </c>
      <c r="AI592" s="42" t="str">
        <f ca="1">IF(NOTA[[#This Row],[ID_H]]="","",IF(NOTA[[#This Row],[FAKTUR]]="",INDIRECT(ADDRESS(ROW()-1,COLUMN())),NOTA[[#This Row],[FAKTUR]]))</f>
        <v>ARTO MORO</v>
      </c>
      <c r="AJ592" s="39" t="str">
        <f ca="1">IF(NOTA[[#This Row],[ID]]="","",COUNTIF(NOTA[ID_H],NOTA[[#This Row],[ID_H]]))</f>
        <v/>
      </c>
      <c r="AK592" s="39">
        <f ca="1">IF(NOTA[[#This Row],[TGL.NOTA]]="",IF(NOTA[[#This Row],[SUPPLIER_H]]="","",AK591),MONTH(NOTA[[#This Row],[TGL.NOTA]]))</f>
        <v>7</v>
      </c>
      <c r="AL592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5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5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5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39" t="str">
        <f>IF(NOTA[[#This Row],[CONCAT4]]="","",_xlfn.IFNA(MATCH(NOTA[[#This Row],[CONCAT4]],[2]!RAW[CONCAT_H],0),FALSE))</f>
        <v/>
      </c>
      <c r="AQ592" s="39">
        <f>IF(NOTA[[#This Row],[CONCAT1]]="","",MATCH(NOTA[[#This Row],[CONCAT1]],[3]!db[NB NOTA_C],0))</f>
        <v>227</v>
      </c>
      <c r="AR592" s="39" t="str">
        <f>IF(NOTA[[#This Row],[QTY/ CTN]]="","",TRUE)</f>
        <v/>
      </c>
      <c r="AS592" s="39" t="str">
        <f ca="1">IF(NOTA[[#This Row],[ID_H]]="","",IF(NOTA[[#This Row],[Column3]]=TRUE,NOTA[[#This Row],[QTY/ CTN]],INDEX([3]!db[QTY/ CTN],NOTA[[#This Row],[//DB]])))</f>
        <v>50 GRS</v>
      </c>
      <c r="AT5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592" s="39" t="e">
        <f ca="1">IF(NOTA[[#This Row],[ID_H]]="","",MATCH(NOTA[[#This Row],[NB NOTA_C_QTY]],[4]!db[NB NOTA_C_QTY+F],0))</f>
        <v>#REF!</v>
      </c>
      <c r="AV592" s="55">
        <f ca="1">IF(NOTA[[#This Row],[NB NOTA_C_QTY]]="","",ROW()-2)</f>
        <v>590</v>
      </c>
    </row>
    <row r="593" spans="1:48" ht="20.100000000000001" customHeight="1" x14ac:dyDescent="0.25">
      <c r="A5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39" t="str">
        <f>IF(NOTA[[#This Row],[ID_P]]="","",MATCH(NOTA[[#This Row],[ID_P]],[1]!B_MSK[N_ID],0))</f>
        <v/>
      </c>
      <c r="D593" s="39">
        <f ca="1">IF(NOTA[[#This Row],[NAMA BARANG]]="","",INDEX(NOTA[ID],MATCH(,INDIRECT(ADDRESS(ROW(NOTA[ID]),COLUMN(NOTA[ID]))&amp;":"&amp;ADDRESS(ROW(),COLUMN(NOTA[ID]))),-1)))</f>
        <v>115</v>
      </c>
      <c r="E593" s="47"/>
      <c r="H593" s="48"/>
      <c r="L593" s="38" t="s">
        <v>331</v>
      </c>
      <c r="M593" s="41">
        <v>4</v>
      </c>
      <c r="N593" s="39"/>
      <c r="Q593" s="43">
        <v>1476000</v>
      </c>
      <c r="R593" s="49"/>
      <c r="S593" s="50">
        <v>0.17</v>
      </c>
      <c r="U593" s="51"/>
      <c r="V593" s="46"/>
      <c r="W593" s="51">
        <f>IF(NOTA[[#This Row],[HARGA/ CTN]]="",NOTA[[#This Row],[JUMLAH_H]],NOTA[[#This Row],[HARGA/ CTN]]*IF(NOTA[[#This Row],[C]]="",0,NOTA[[#This Row],[C]]))</f>
        <v>5904000</v>
      </c>
      <c r="X593" s="51">
        <f>IF(NOTA[[#This Row],[JUMLAH]]="","",NOTA[[#This Row],[JUMLAH]]*NOTA[[#This Row],[DISC 1]])</f>
        <v>1003680.0000000001</v>
      </c>
      <c r="Y593" s="51">
        <f>IF(NOTA[[#This Row],[JUMLAH]]="","",(NOTA[[#This Row],[JUMLAH]]-NOTA[[#This Row],[DISC 1-]])*NOTA[[#This Row],[DISC 2]])</f>
        <v>0</v>
      </c>
      <c r="Z593" s="51">
        <f>IF(NOTA[[#This Row],[JUMLAH]]="","",NOTA[[#This Row],[DISC 1-]]+NOTA[[#This Row],[DISC 2-]])</f>
        <v>1003680.0000000001</v>
      </c>
      <c r="AA593" s="51">
        <f>IF(NOTA[[#This Row],[JUMLAH]]="","",NOTA[[#This Row],[JUMLAH]]-NOTA[[#This Row],[DISC]])</f>
        <v>4900320</v>
      </c>
      <c r="AB593" s="51"/>
      <c r="AC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593" s="51" t="str">
        <f>IF(OR(NOTA[[#This Row],[QTY]]="",NOTA[[#This Row],[HARGA SATUAN]]="",),"",NOTA[[#This Row],[QTY]]*NOTA[[#This Row],[HARGA SATUAN]])</f>
        <v/>
      </c>
      <c r="AG593" s="40">
        <f ca="1">IF(NOTA[ID_H]="","",INDEX(NOTA[TANGGAL],MATCH(,INDIRECT(ADDRESS(ROW(NOTA[TANGGAL]),COLUMN(NOTA[TANGGAL]))&amp;":"&amp;ADDRESS(ROW(),COLUMN(NOTA[TANGGAL]))),-1)))</f>
        <v>45129</v>
      </c>
      <c r="AH593" s="42" t="str">
        <f ca="1">IF(NOTA[[#This Row],[NAMA BARANG]]="","",INDEX(NOTA[SUPPLIER],MATCH(,INDIRECT(ADDRESS(ROW(NOTA[ID]),COLUMN(NOTA[ID]))&amp;":"&amp;ADDRESS(ROW(),COLUMN(NOTA[ID]))),-1)))</f>
        <v>KENKO SINAR INDONESIA</v>
      </c>
      <c r="AI593" s="42" t="str">
        <f ca="1">IF(NOTA[[#This Row],[ID_H]]="","",IF(NOTA[[#This Row],[FAKTUR]]="",INDIRECT(ADDRESS(ROW()-1,COLUMN())),NOTA[[#This Row],[FAKTUR]]))</f>
        <v>ARTO MORO</v>
      </c>
      <c r="AJ593" s="39" t="str">
        <f ca="1">IF(NOTA[[#This Row],[ID]]="","",COUNTIF(NOTA[ID_H],NOTA[[#This Row],[ID_H]]))</f>
        <v/>
      </c>
      <c r="AK593" s="39">
        <f ca="1">IF(NOTA[[#This Row],[TGL.NOTA]]="",IF(NOTA[[#This Row],[SUPPLIER_H]]="","",AK592),MONTH(NOTA[[#This Row],[TGL.NOTA]]))</f>
        <v>7</v>
      </c>
      <c r="AL593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5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5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5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39" t="str">
        <f>IF(NOTA[[#This Row],[CONCAT4]]="","",_xlfn.IFNA(MATCH(NOTA[[#This Row],[CONCAT4]],[2]!RAW[CONCAT_H],0),FALSE))</f>
        <v/>
      </c>
      <c r="AQ593" s="39">
        <f>IF(NOTA[[#This Row],[CONCAT1]]="","",MATCH(NOTA[[#This Row],[CONCAT1]],[3]!db[NB NOTA_C],0))</f>
        <v>228</v>
      </c>
      <c r="AR593" s="39" t="str">
        <f>IF(NOTA[[#This Row],[QTY/ CTN]]="","",TRUE)</f>
        <v/>
      </c>
      <c r="AS593" s="39" t="str">
        <f ca="1">IF(NOTA[[#This Row],[ID_H]]="","",IF(NOTA[[#This Row],[Column3]]=TRUE,NOTA[[#This Row],[QTY/ CTN]],INDEX([3]!db[QTY/ CTN],NOTA[[#This Row],[//DB]])))</f>
        <v>30 GRS</v>
      </c>
      <c r="AT5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593" s="39" t="e">
        <f ca="1">IF(NOTA[[#This Row],[ID_H]]="","",MATCH(NOTA[[#This Row],[NB NOTA_C_QTY]],[4]!db[NB NOTA_C_QTY+F],0))</f>
        <v>#REF!</v>
      </c>
      <c r="AV593" s="55">
        <f ca="1">IF(NOTA[[#This Row],[NB NOTA_C_QTY]]="","",ROW()-2)</f>
        <v>591</v>
      </c>
    </row>
    <row r="594" spans="1:48" ht="20.100000000000001" customHeight="1" x14ac:dyDescent="0.25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115</v>
      </c>
      <c r="E594" s="47"/>
      <c r="H594" s="48"/>
      <c r="L594" s="38" t="s">
        <v>682</v>
      </c>
      <c r="M594" s="41">
        <v>10</v>
      </c>
      <c r="N594" s="39"/>
      <c r="Q594" s="43">
        <v>5616000</v>
      </c>
      <c r="R594" s="49"/>
      <c r="S594" s="50">
        <v>0.17</v>
      </c>
      <c r="U594" s="51"/>
      <c r="V594" s="46"/>
      <c r="W594" s="51">
        <f>IF(NOTA[[#This Row],[HARGA/ CTN]]="",NOTA[[#This Row],[JUMLAH_H]],NOTA[[#This Row],[HARGA/ CTN]]*IF(NOTA[[#This Row],[C]]="",0,NOTA[[#This Row],[C]]))</f>
        <v>56160000</v>
      </c>
      <c r="X594" s="51">
        <f>IF(NOTA[[#This Row],[JUMLAH]]="","",NOTA[[#This Row],[JUMLAH]]*NOTA[[#This Row],[DISC 1]])</f>
        <v>9547200</v>
      </c>
      <c r="Y594" s="51">
        <f>IF(NOTA[[#This Row],[JUMLAH]]="","",(NOTA[[#This Row],[JUMLAH]]-NOTA[[#This Row],[DISC 1-]])*NOTA[[#This Row],[DISC 2]])</f>
        <v>0</v>
      </c>
      <c r="Z594" s="51">
        <f>IF(NOTA[[#This Row],[JUMLAH]]="","",NOTA[[#This Row],[DISC 1-]]+NOTA[[#This Row],[DISC 2-]])</f>
        <v>9547200</v>
      </c>
      <c r="AA594" s="51">
        <f>IF(NOTA[[#This Row],[JUMLAH]]="","",NOTA[[#This Row],[JUMLAH]]-NOTA[[#This Row],[DISC]])</f>
        <v>46612800</v>
      </c>
      <c r="AB594" s="51"/>
      <c r="AC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4" s="51" t="str">
        <f>IF(OR(NOTA[[#This Row],[QTY]]="",NOTA[[#This Row],[HARGA SATUAN]]="",),"",NOTA[[#This Row],[QTY]]*NOTA[[#This Row],[HARGA SATUAN]])</f>
        <v/>
      </c>
      <c r="AG594" s="40">
        <f ca="1">IF(NOTA[ID_H]="","",INDEX(NOTA[TANGGAL],MATCH(,INDIRECT(ADDRESS(ROW(NOTA[TANGGAL]),COLUMN(NOTA[TANGGAL]))&amp;":"&amp;ADDRESS(ROW(),COLUMN(NOTA[TANGGAL]))),-1)))</f>
        <v>45129</v>
      </c>
      <c r="AH594" s="42" t="str">
        <f ca="1">IF(NOTA[[#This Row],[NAMA BARANG]]="","",INDEX(NOTA[SUPPLIER],MATCH(,INDIRECT(ADDRESS(ROW(NOTA[ID]),COLUMN(NOTA[ID]))&amp;":"&amp;ADDRESS(ROW(),COLUMN(NOTA[ID]))),-1)))</f>
        <v>KENKO SINAR INDONESIA</v>
      </c>
      <c r="AI594" s="42" t="str">
        <f ca="1">IF(NOTA[[#This Row],[ID_H]]="","",IF(NOTA[[#This Row],[FAKTUR]]="",INDIRECT(ADDRESS(ROW()-1,COLUMN())),NOTA[[#This Row],[FAKTUR]]))</f>
        <v>ARTO MORO</v>
      </c>
      <c r="AJ594" s="39" t="str">
        <f ca="1">IF(NOTA[[#This Row],[ID]]="","",COUNTIF(NOTA[ID_H],NOTA[[#This Row],[ID_H]]))</f>
        <v/>
      </c>
      <c r="AK594" s="39">
        <f ca="1">IF(NOTA[[#This Row],[TGL.NOTA]]="",IF(NOTA[[#This Row],[SUPPLIER_H]]="","",AK593),MONTH(NOTA[[#This Row],[TGL.NOTA]]))</f>
        <v>7</v>
      </c>
      <c r="AL594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5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5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5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39" t="str">
        <f>IF(NOTA[[#This Row],[CONCAT4]]="","",_xlfn.IFNA(MATCH(NOTA[[#This Row],[CONCAT4]],[2]!RAW[CONCAT_H],0),FALSE))</f>
        <v/>
      </c>
      <c r="AQ594" s="39">
        <f>IF(NOTA[[#This Row],[CONCAT1]]="","",MATCH(NOTA[[#This Row],[CONCAT1]],[3]!db[NB NOTA_C],0))</f>
        <v>649</v>
      </c>
      <c r="AR594" s="39" t="str">
        <f>IF(NOTA[[#This Row],[QTY/ CTN]]="","",TRUE)</f>
        <v/>
      </c>
      <c r="AS594" s="39" t="str">
        <f ca="1">IF(NOTA[[#This Row],[ID_H]]="","",IF(NOTA[[#This Row],[Column3]]=TRUE,NOTA[[#This Row],[QTY/ CTN]],INDEX([3]!db[QTY/ CTN],NOTA[[#This Row],[//DB]])))</f>
        <v>144 LSN</v>
      </c>
      <c r="AT5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U594" s="39" t="e">
        <f ca="1">IF(NOTA[[#This Row],[ID_H]]="","",MATCH(NOTA[[#This Row],[NB NOTA_C_QTY]],[4]!db[NB NOTA_C_QTY+F],0))</f>
        <v>#REF!</v>
      </c>
      <c r="AV594" s="55">
        <f ca="1">IF(NOTA[[#This Row],[NB NOTA_C_QTY]]="","",ROW()-2)</f>
        <v>592</v>
      </c>
    </row>
    <row r="595" spans="1:48" ht="20.100000000000001" customHeight="1" x14ac:dyDescent="0.25">
      <c r="A5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115</v>
      </c>
      <c r="E595" s="47"/>
      <c r="H595" s="48"/>
      <c r="L595" s="38" t="s">
        <v>683</v>
      </c>
      <c r="M595" s="41">
        <v>2</v>
      </c>
      <c r="N595" s="39"/>
      <c r="Q595" s="43">
        <v>5616000</v>
      </c>
      <c r="R595" s="49"/>
      <c r="S595" s="50">
        <v>0.17</v>
      </c>
      <c r="U595" s="51"/>
      <c r="V595" s="46"/>
      <c r="W595" s="51">
        <f>IF(NOTA[[#This Row],[HARGA/ CTN]]="",NOTA[[#This Row],[JUMLAH_H]],NOTA[[#This Row],[HARGA/ CTN]]*IF(NOTA[[#This Row],[C]]="",0,NOTA[[#This Row],[C]]))</f>
        <v>11232000</v>
      </c>
      <c r="X595" s="51">
        <f>IF(NOTA[[#This Row],[JUMLAH]]="","",NOTA[[#This Row],[JUMLAH]]*NOTA[[#This Row],[DISC 1]])</f>
        <v>1909440.0000000002</v>
      </c>
      <c r="Y595" s="51">
        <f>IF(NOTA[[#This Row],[JUMLAH]]="","",(NOTA[[#This Row],[JUMLAH]]-NOTA[[#This Row],[DISC 1-]])*NOTA[[#This Row],[DISC 2]])</f>
        <v>0</v>
      </c>
      <c r="Z595" s="51">
        <f>IF(NOTA[[#This Row],[JUMLAH]]="","",NOTA[[#This Row],[DISC 1-]]+NOTA[[#This Row],[DISC 2-]])</f>
        <v>1909440.0000000002</v>
      </c>
      <c r="AA595" s="51">
        <f>IF(NOTA[[#This Row],[JUMLAH]]="","",NOTA[[#This Row],[JUMLAH]]-NOTA[[#This Row],[DISC]])</f>
        <v>9322560</v>
      </c>
      <c r="AB595" s="51"/>
      <c r="AC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5" s="51" t="str">
        <f>IF(OR(NOTA[[#This Row],[QTY]]="",NOTA[[#This Row],[HARGA SATUAN]]="",),"",NOTA[[#This Row],[QTY]]*NOTA[[#This Row],[HARGA SATUAN]])</f>
        <v/>
      </c>
      <c r="AG595" s="40">
        <f ca="1">IF(NOTA[ID_H]="","",INDEX(NOTA[TANGGAL],MATCH(,INDIRECT(ADDRESS(ROW(NOTA[TANGGAL]),COLUMN(NOTA[TANGGAL]))&amp;":"&amp;ADDRESS(ROW(),COLUMN(NOTA[TANGGAL]))),-1)))</f>
        <v>45129</v>
      </c>
      <c r="AH595" s="42" t="str">
        <f ca="1">IF(NOTA[[#This Row],[NAMA BARANG]]="","",INDEX(NOTA[SUPPLIER],MATCH(,INDIRECT(ADDRESS(ROW(NOTA[ID]),COLUMN(NOTA[ID]))&amp;":"&amp;ADDRESS(ROW(),COLUMN(NOTA[ID]))),-1)))</f>
        <v>KENKO SINAR INDONESIA</v>
      </c>
      <c r="AI595" s="42" t="str">
        <f ca="1">IF(NOTA[[#This Row],[ID_H]]="","",IF(NOTA[[#This Row],[FAKTUR]]="",INDIRECT(ADDRESS(ROW()-1,COLUMN())),NOTA[[#This Row],[FAKTUR]]))</f>
        <v>ARTO MORO</v>
      </c>
      <c r="AJ595" s="39" t="str">
        <f ca="1">IF(NOTA[[#This Row],[ID]]="","",COUNTIF(NOTA[ID_H],NOTA[[#This Row],[ID_H]]))</f>
        <v/>
      </c>
      <c r="AK595" s="39">
        <f ca="1">IF(NOTA[[#This Row],[TGL.NOTA]]="",IF(NOTA[[#This Row],[SUPPLIER_H]]="","",AK594),MONTH(NOTA[[#This Row],[TGL.NOTA]]))</f>
        <v>7</v>
      </c>
      <c r="AL595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39" t="str">
        <f>IF(NOTA[[#This Row],[CONCAT4]]="","",_xlfn.IFNA(MATCH(NOTA[[#This Row],[CONCAT4]],[2]!RAW[CONCAT_H],0),FALSE))</f>
        <v/>
      </c>
      <c r="AQ595" s="39">
        <f>IF(NOTA[[#This Row],[CONCAT1]]="","",MATCH(NOTA[[#This Row],[CONCAT1]],[3]!db[NB NOTA_C],0))</f>
        <v>648</v>
      </c>
      <c r="AR595" s="39" t="str">
        <f>IF(NOTA[[#This Row],[QTY/ CTN]]="","",TRUE)</f>
        <v/>
      </c>
      <c r="AS595" s="39" t="str">
        <f ca="1">IF(NOTA[[#This Row],[ID_H]]="","",IF(NOTA[[#This Row],[Column3]]=TRUE,NOTA[[#This Row],[QTY/ CTN]],INDEX([3]!db[QTY/ CTN],NOTA[[#This Row],[//DB]])))</f>
        <v>144 LSN</v>
      </c>
      <c r="AT5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595" s="39" t="e">
        <f ca="1">IF(NOTA[[#This Row],[ID_H]]="","",MATCH(NOTA[[#This Row],[NB NOTA_C_QTY]],[4]!db[NB NOTA_C_QTY+F],0))</f>
        <v>#REF!</v>
      </c>
      <c r="AV595" s="55">
        <f ca="1">IF(NOTA[[#This Row],[NB NOTA_C_QTY]]="","",ROW()-2)</f>
        <v>593</v>
      </c>
    </row>
    <row r="596" spans="1:48" ht="20.100000000000001" customHeight="1" x14ac:dyDescent="0.25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115</v>
      </c>
      <c r="E596" s="47"/>
      <c r="H596" s="48"/>
      <c r="K596" s="38">
        <v>2</v>
      </c>
      <c r="L596" s="38" t="s">
        <v>684</v>
      </c>
      <c r="M596" s="41">
        <v>2</v>
      </c>
      <c r="N596" s="39"/>
      <c r="Q596" s="43">
        <v>5702400</v>
      </c>
      <c r="R596" s="49"/>
      <c r="S596" s="50">
        <v>0.17</v>
      </c>
      <c r="U596" s="51"/>
      <c r="V596" s="46"/>
      <c r="W596" s="51">
        <f>IF(NOTA[[#This Row],[HARGA/ CTN]]="",NOTA[[#This Row],[JUMLAH_H]],NOTA[[#This Row],[HARGA/ CTN]]*IF(NOTA[[#This Row],[C]]="",0,NOTA[[#This Row],[C]]))</f>
        <v>11404800</v>
      </c>
      <c r="X596" s="51">
        <f>IF(NOTA[[#This Row],[JUMLAH]]="","",NOTA[[#This Row],[JUMLAH]]*NOTA[[#This Row],[DISC 1]])</f>
        <v>1938816.0000000002</v>
      </c>
      <c r="Y596" s="51">
        <f>IF(NOTA[[#This Row],[JUMLAH]]="","",(NOTA[[#This Row],[JUMLAH]]-NOTA[[#This Row],[DISC 1-]])*NOTA[[#This Row],[DISC 2]])</f>
        <v>0</v>
      </c>
      <c r="Z596" s="51">
        <f>IF(NOTA[[#This Row],[JUMLAH]]="","",NOTA[[#This Row],[DISC 1-]]+NOTA[[#This Row],[DISC 2-]])</f>
        <v>1938816.0000000002</v>
      </c>
      <c r="AA596" s="51">
        <f>IF(NOTA[[#This Row],[JUMLAH]]="","",NOTA[[#This Row],[JUMLAH]]-NOTA[[#This Row],[DISC]])</f>
        <v>9465984</v>
      </c>
      <c r="AB596" s="51"/>
      <c r="AC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596" s="51" t="str">
        <f>IF(OR(NOTA[[#This Row],[QTY]]="",NOTA[[#This Row],[HARGA SATUAN]]="",),"",NOTA[[#This Row],[QTY]]*NOTA[[#This Row],[HARGA SATUAN]])</f>
        <v/>
      </c>
      <c r="AG596" s="40">
        <f ca="1">IF(NOTA[ID_H]="","",INDEX(NOTA[TANGGAL],MATCH(,INDIRECT(ADDRESS(ROW(NOTA[TANGGAL]),COLUMN(NOTA[TANGGAL]))&amp;":"&amp;ADDRESS(ROW(),COLUMN(NOTA[TANGGAL]))),-1)))</f>
        <v>45129</v>
      </c>
      <c r="AH596" s="42" t="str">
        <f ca="1">IF(NOTA[[#This Row],[NAMA BARANG]]="","",INDEX(NOTA[SUPPLIER],MATCH(,INDIRECT(ADDRESS(ROW(NOTA[ID]),COLUMN(NOTA[ID]))&amp;":"&amp;ADDRESS(ROW(),COLUMN(NOTA[ID]))),-1)))</f>
        <v>KENKO SINAR INDONESIA</v>
      </c>
      <c r="AI596" s="42" t="str">
        <f ca="1">IF(NOTA[[#This Row],[ID_H]]="","",IF(NOTA[[#This Row],[FAKTUR]]="",INDIRECT(ADDRESS(ROW()-1,COLUMN())),NOTA[[#This Row],[FAKTUR]]))</f>
        <v>ARTO MORO</v>
      </c>
      <c r="AJ596" s="39" t="str">
        <f ca="1">IF(NOTA[[#This Row],[ID]]="","",COUNTIF(NOTA[ID_H],NOTA[[#This Row],[ID_H]]))</f>
        <v/>
      </c>
      <c r="AK596" s="39">
        <f ca="1">IF(NOTA[[#This Row],[TGL.NOTA]]="",IF(NOTA[[#This Row],[SUPPLIER_H]]="","",AK595),MONTH(NOTA[[#This Row],[TGL.NOTA]]))</f>
        <v>7</v>
      </c>
      <c r="AL596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5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5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5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39" t="str">
        <f>IF(NOTA[[#This Row],[CONCAT4]]="","",_xlfn.IFNA(MATCH(NOTA[[#This Row],[CONCAT4]],[2]!RAW[CONCAT_H],0),FALSE))</f>
        <v/>
      </c>
      <c r="AQ596" s="39">
        <f>IF(NOTA[[#This Row],[CONCAT1]]="","",MATCH(NOTA[[#This Row],[CONCAT1]],[3]!db[NB NOTA_C],0))</f>
        <v>661</v>
      </c>
      <c r="AR596" s="39" t="str">
        <f>IF(NOTA[[#This Row],[QTY/ CTN]]="","",TRUE)</f>
        <v/>
      </c>
      <c r="AS596" s="39" t="str">
        <f ca="1">IF(NOTA[[#This Row],[ID_H]]="","",IF(NOTA[[#This Row],[Column3]]=TRUE,NOTA[[#This Row],[QTY/ CTN]],INDEX([3]!db[QTY/ CTN],NOTA[[#This Row],[//DB]])))</f>
        <v>144 LSN</v>
      </c>
      <c r="AT5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596" s="39" t="e">
        <f ca="1">IF(NOTA[[#This Row],[ID_H]]="","",MATCH(NOTA[[#This Row],[NB NOTA_C_QTY]],[4]!db[NB NOTA_C_QTY+F],0))</f>
        <v>#REF!</v>
      </c>
      <c r="AV596" s="55">
        <f ca="1">IF(NOTA[[#This Row],[NB NOTA_C_QTY]]="","",ROW()-2)</f>
        <v>594</v>
      </c>
    </row>
    <row r="597" spans="1:48" ht="20.100000000000001" customHeight="1" x14ac:dyDescent="0.25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>
        <f ca="1">IF(NOTA[[#This Row],[NAMA BARANG]]="","",INDEX(NOTA[ID],MATCH(,INDIRECT(ADDRESS(ROW(NOTA[ID]),COLUMN(NOTA[ID]))&amp;":"&amp;ADDRESS(ROW(),COLUMN(NOTA[ID]))),-1)))</f>
        <v>115</v>
      </c>
      <c r="E597" s="47"/>
      <c r="H597" s="48"/>
      <c r="K597" s="38">
        <v>3</v>
      </c>
      <c r="L597" s="38" t="s">
        <v>685</v>
      </c>
      <c r="M597" s="41">
        <v>5</v>
      </c>
      <c r="N597" s="39"/>
      <c r="Q597" s="43">
        <v>3110400</v>
      </c>
      <c r="R597" s="49"/>
      <c r="S597" s="50">
        <v>0.17</v>
      </c>
      <c r="U597" s="51"/>
      <c r="V597" s="46"/>
      <c r="W597" s="51">
        <f>IF(NOTA[[#This Row],[HARGA/ CTN]]="",NOTA[[#This Row],[JUMLAH_H]],NOTA[[#This Row],[HARGA/ CTN]]*IF(NOTA[[#This Row],[C]]="",0,NOTA[[#This Row],[C]]))</f>
        <v>15552000</v>
      </c>
      <c r="X597" s="51">
        <f>IF(NOTA[[#This Row],[JUMLAH]]="","",NOTA[[#This Row],[JUMLAH]]*NOTA[[#This Row],[DISC 1]])</f>
        <v>2643840</v>
      </c>
      <c r="Y597" s="51">
        <f>IF(NOTA[[#This Row],[JUMLAH]]="","",(NOTA[[#This Row],[JUMLAH]]-NOTA[[#This Row],[DISC 1-]])*NOTA[[#This Row],[DISC 2]])</f>
        <v>0</v>
      </c>
      <c r="Z597" s="51">
        <f>IF(NOTA[[#This Row],[JUMLAH]]="","",NOTA[[#This Row],[DISC 1-]]+NOTA[[#This Row],[DISC 2-]])</f>
        <v>2643840</v>
      </c>
      <c r="AA597" s="51">
        <f>IF(NOTA[[#This Row],[JUMLAH]]="","",NOTA[[#This Row],[JUMLAH]]-NOTA[[#This Row],[DISC]])</f>
        <v>12908160</v>
      </c>
      <c r="AB597" s="51"/>
      <c r="AC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21893076</v>
      </c>
      <c r="AD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106889724</v>
      </c>
      <c r="AE597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97" s="51" t="str">
        <f>IF(OR(NOTA[[#This Row],[QTY]]="",NOTA[[#This Row],[HARGA SATUAN]]="",),"",NOTA[[#This Row],[QTY]]*NOTA[[#This Row],[HARGA SATUAN]])</f>
        <v/>
      </c>
      <c r="AG597" s="40">
        <f ca="1">IF(NOTA[ID_H]="","",INDEX(NOTA[TANGGAL],MATCH(,INDIRECT(ADDRESS(ROW(NOTA[TANGGAL]),COLUMN(NOTA[TANGGAL]))&amp;":"&amp;ADDRESS(ROW(),COLUMN(NOTA[TANGGAL]))),-1)))</f>
        <v>45129</v>
      </c>
      <c r="AH597" s="42" t="str">
        <f ca="1">IF(NOTA[[#This Row],[NAMA BARANG]]="","",INDEX(NOTA[SUPPLIER],MATCH(,INDIRECT(ADDRESS(ROW(NOTA[ID]),COLUMN(NOTA[ID]))&amp;":"&amp;ADDRESS(ROW(),COLUMN(NOTA[ID]))),-1)))</f>
        <v>KENKO SINAR INDONESIA</v>
      </c>
      <c r="AI597" s="42" t="str">
        <f ca="1">IF(NOTA[[#This Row],[ID_H]]="","",IF(NOTA[[#This Row],[FAKTUR]]="",INDIRECT(ADDRESS(ROW()-1,COLUMN())),NOTA[[#This Row],[FAKTUR]]))</f>
        <v>ARTO MORO</v>
      </c>
      <c r="AJ597" s="39" t="str">
        <f ca="1">IF(NOTA[[#This Row],[ID]]="","",COUNTIF(NOTA[ID_H],NOTA[[#This Row],[ID_H]]))</f>
        <v/>
      </c>
      <c r="AK597" s="39">
        <f ca="1">IF(NOTA[[#This Row],[TGL.NOTA]]="",IF(NOTA[[#This Row],[SUPPLIER_H]]="","",AK596),MONTH(NOTA[[#This Row],[TGL.NOTA]]))</f>
        <v>7</v>
      </c>
      <c r="AL597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5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39" t="str">
        <f>IF(NOTA[[#This Row],[CONCAT4]]="","",_xlfn.IFNA(MATCH(NOTA[[#This Row],[CONCAT4]],[2]!RAW[CONCAT_H],0),FALSE))</f>
        <v/>
      </c>
      <c r="AQ597" s="39">
        <f>IF(NOTA[[#This Row],[CONCAT1]]="","",MATCH(NOTA[[#This Row],[CONCAT1]],[3]!db[NB NOTA_C],0))</f>
        <v>670</v>
      </c>
      <c r="AR597" s="39" t="str">
        <f>IF(NOTA[[#This Row],[QTY/ CTN]]="","",TRUE)</f>
        <v/>
      </c>
      <c r="AS597" s="39" t="str">
        <f ca="1">IF(NOTA[[#This Row],[ID_H]]="","",IF(NOTA[[#This Row],[Column3]]=TRUE,NOTA[[#This Row],[QTY/ CTN]],INDEX([3]!db[QTY/ CTN],NOTA[[#This Row],[//DB]])))</f>
        <v>144 LSN</v>
      </c>
      <c r="AT5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U597" s="39" t="e">
        <f ca="1">IF(NOTA[[#This Row],[ID_H]]="","",MATCH(NOTA[[#This Row],[NB NOTA_C_QTY]],[4]!db[NB NOTA_C_QTY+F],0))</f>
        <v>#REF!</v>
      </c>
      <c r="AV597" s="55">
        <f ca="1">IF(NOTA[[#This Row],[NB NOTA_C_QTY]]="","",ROW()-2)</f>
        <v>595</v>
      </c>
    </row>
    <row r="598" spans="1:48" ht="20.100000000000001" customHeight="1" x14ac:dyDescent="0.25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39" t="str">
        <f>IF(NOTA[[#This Row],[ID_P]]="","",MATCH(NOTA[[#This Row],[ID_P]],[1]!B_MSK[N_ID],0))</f>
        <v/>
      </c>
      <c r="D598" s="39" t="str">
        <f ca="1">IF(NOTA[[#This Row],[NAMA BARANG]]="","",INDEX(NOTA[ID],MATCH(,INDIRECT(ADDRESS(ROW(NOTA[ID]),COLUMN(NOTA[ID]))&amp;":"&amp;ADDRESS(ROW(),COLUMN(NOTA[ID]))),-1)))</f>
        <v/>
      </c>
      <c r="E598" s="47"/>
      <c r="H598" s="48"/>
      <c r="N598" s="39"/>
      <c r="Q598" s="43"/>
      <c r="R598" s="49"/>
      <c r="S598" s="50"/>
      <c r="U598" s="51"/>
      <c r="V598" s="46"/>
      <c r="W598" s="51" t="str">
        <f>IF(NOTA[[#This Row],[HARGA/ CTN]]="",NOTA[[#This Row],[JUMLAH_H]],NOTA[[#This Row],[HARGA/ CTN]]*IF(NOTA[[#This Row],[C]]="",0,NOTA[[#This Row],[C]]))</f>
        <v/>
      </c>
      <c r="X598" s="51" t="str">
        <f>IF(NOTA[[#This Row],[JUMLAH]]="","",NOTA[[#This Row],[JUMLAH]]*NOTA[[#This Row],[DISC 1]])</f>
        <v/>
      </c>
      <c r="Y598" s="51" t="str">
        <f>IF(NOTA[[#This Row],[JUMLAH]]="","",(NOTA[[#This Row],[JUMLAH]]-NOTA[[#This Row],[DISC 1-]])*NOTA[[#This Row],[DISC 2]])</f>
        <v/>
      </c>
      <c r="Z598" s="51" t="str">
        <f>IF(NOTA[[#This Row],[JUMLAH]]="","",NOTA[[#This Row],[DISC 1-]]+NOTA[[#This Row],[DISC 2-]])</f>
        <v/>
      </c>
      <c r="AA598" s="51" t="str">
        <f>IF(NOTA[[#This Row],[JUMLAH]]="","",NOTA[[#This Row],[JUMLAH]]-NOTA[[#This Row],[DISC]])</f>
        <v/>
      </c>
      <c r="AB598" s="51"/>
      <c r="AC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51" t="str">
        <f>IF(OR(NOTA[[#This Row],[QTY]]="",NOTA[[#This Row],[HARGA SATUAN]]="",),"",NOTA[[#This Row],[QTY]]*NOTA[[#This Row],[HARGA SATUAN]])</f>
        <v/>
      </c>
      <c r="AG598" s="40" t="str">
        <f ca="1">IF(NOTA[ID_H]="","",INDEX(NOTA[TANGGAL],MATCH(,INDIRECT(ADDRESS(ROW(NOTA[TANGGAL]),COLUMN(NOTA[TANGGAL]))&amp;":"&amp;ADDRESS(ROW(),COLUMN(NOTA[TANGGAL]))),-1)))</f>
        <v/>
      </c>
      <c r="AH598" s="42" t="str">
        <f ca="1">IF(NOTA[[#This Row],[NAMA BARANG]]="","",INDEX(NOTA[SUPPLIER],MATCH(,INDIRECT(ADDRESS(ROW(NOTA[ID]),COLUMN(NOTA[ID]))&amp;":"&amp;ADDRESS(ROW(),COLUMN(NOTA[ID]))),-1)))</f>
        <v/>
      </c>
      <c r="AI598" s="42" t="str">
        <f ca="1">IF(NOTA[[#This Row],[ID_H]]="","",IF(NOTA[[#This Row],[FAKTUR]]="",INDIRECT(ADDRESS(ROW()-1,COLUMN())),NOTA[[#This Row],[FAKTUR]]))</f>
        <v/>
      </c>
      <c r="AJ598" s="39" t="str">
        <f ca="1">IF(NOTA[[#This Row],[ID]]="","",COUNTIF(NOTA[ID_H],NOTA[[#This Row],[ID_H]]))</f>
        <v/>
      </c>
      <c r="AK598" s="39" t="str">
        <f ca="1">IF(NOTA[[#This Row],[TGL.NOTA]]="",IF(NOTA[[#This Row],[SUPPLIER_H]]="","",AK597),MONTH(NOTA[[#This Row],[TGL.NOTA]]))</f>
        <v/>
      </c>
      <c r="AL598" s="39" t="str">
        <f>LOWER(SUBSTITUTE(SUBSTITUTE(SUBSTITUTE(SUBSTITUTE(SUBSTITUTE(SUBSTITUTE(SUBSTITUTE(SUBSTITUTE(SUBSTITUTE(NOTA[NAMA BARANG]," ",),".",""),"-",""),"(",""),")",""),",",""),"/",""),"""",""),"+",""))</f>
        <v/>
      </c>
      <c r="AM5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39" t="str">
        <f>IF(NOTA[[#This Row],[CONCAT4]]="","",_xlfn.IFNA(MATCH(NOTA[[#This Row],[CONCAT4]],[2]!RAW[CONCAT_H],0),FALSE))</f>
        <v/>
      </c>
      <c r="AQ598" s="39" t="str">
        <f>IF(NOTA[[#This Row],[CONCAT1]]="","",MATCH(NOTA[[#This Row],[CONCAT1]],[3]!db[NB NOTA_C],0))</f>
        <v/>
      </c>
      <c r="AR598" s="39" t="str">
        <f>IF(NOTA[[#This Row],[QTY/ CTN]]="","",TRUE)</f>
        <v/>
      </c>
      <c r="AS598" s="39" t="str">
        <f ca="1">IF(NOTA[[#This Row],[ID_H]]="","",IF(NOTA[[#This Row],[Column3]]=TRUE,NOTA[[#This Row],[QTY/ CTN]],INDEX([3]!db[QTY/ CTN],NOTA[[#This Row],[//DB]])))</f>
        <v/>
      </c>
      <c r="AT5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8" s="39" t="str">
        <f ca="1">IF(NOTA[[#This Row],[ID_H]]="","",MATCH(NOTA[[#This Row],[NB NOTA_C_QTY]],[4]!db[NB NOTA_C_QTY+F],0))</f>
        <v/>
      </c>
      <c r="AV598" s="55" t="str">
        <f ca="1">IF(NOTA[[#This Row],[NB NOTA_C_QTY]]="","",ROW()-2)</f>
        <v/>
      </c>
    </row>
    <row r="599" spans="1:48" ht="20.100000000000001" customHeight="1" x14ac:dyDescent="0.25">
      <c r="A599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5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ATA_2207_527-2</v>
      </c>
      <c r="C599" s="39" t="e">
        <f ca="1">IF(NOTA[[#This Row],[ID_P]]="","",MATCH(NOTA[[#This Row],[ID_P]],[1]!B_MSK[N_ID],0))</f>
        <v>#REF!</v>
      </c>
      <c r="D599" s="39">
        <f ca="1">IF(NOTA[[#This Row],[NAMA BARANG]]="","",INDEX(NOTA[ID],MATCH(,INDIRECT(ADDRESS(ROW(NOTA[ID]),COLUMN(NOTA[ID]))&amp;":"&amp;ADDRESS(ROW(),COLUMN(NOTA[ID]))),-1)))</f>
        <v>116</v>
      </c>
      <c r="E599" s="47"/>
      <c r="F599" s="38" t="s">
        <v>24</v>
      </c>
      <c r="G599" s="38" t="s">
        <v>23</v>
      </c>
      <c r="H599" s="48" t="s">
        <v>738</v>
      </c>
      <c r="J599" s="40">
        <v>45125</v>
      </c>
      <c r="L599" s="38" t="s">
        <v>262</v>
      </c>
      <c r="M599" s="41">
        <v>10</v>
      </c>
      <c r="N599" s="39">
        <v>1440</v>
      </c>
      <c r="O599" s="38" t="s">
        <v>263</v>
      </c>
      <c r="P599" s="42">
        <v>11900</v>
      </c>
      <c r="Q599" s="43"/>
      <c r="R599" s="49"/>
      <c r="S599" s="50">
        <v>0.125</v>
      </c>
      <c r="T599" s="45">
        <v>0.05</v>
      </c>
      <c r="U599" s="51"/>
      <c r="V599" s="46"/>
      <c r="W599" s="51">
        <f>IF(NOTA[[#This Row],[HARGA/ CTN]]="",NOTA[[#This Row],[JUMLAH_H]],NOTA[[#This Row],[HARGA/ CTN]]*IF(NOTA[[#This Row],[C]]="",0,NOTA[[#This Row],[C]]))</f>
        <v>17136000</v>
      </c>
      <c r="X599" s="51">
        <f>IF(NOTA[[#This Row],[JUMLAH]]="","",NOTA[[#This Row],[JUMLAH]]*NOTA[[#This Row],[DISC 1]])</f>
        <v>2142000</v>
      </c>
      <c r="Y599" s="51">
        <f>IF(NOTA[[#This Row],[JUMLAH]]="","",(NOTA[[#This Row],[JUMLAH]]-NOTA[[#This Row],[DISC 1-]])*NOTA[[#This Row],[DISC 2]])</f>
        <v>749700</v>
      </c>
      <c r="Z599" s="51">
        <f>IF(NOTA[[#This Row],[JUMLAH]]="","",NOTA[[#This Row],[DISC 1-]]+NOTA[[#This Row],[DISC 2-]])</f>
        <v>2891700</v>
      </c>
      <c r="AA599" s="51">
        <f>IF(NOTA[[#This Row],[JUMLAH]]="","",NOTA[[#This Row],[JUMLAH]]-NOTA[[#This Row],[DISC]])</f>
        <v>14244300</v>
      </c>
      <c r="AB599" s="51"/>
      <c r="AC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99" s="51">
        <f>IF(OR(NOTA[[#This Row],[QTY]]="",NOTA[[#This Row],[HARGA SATUAN]]="",),"",NOTA[[#This Row],[QTY]]*NOTA[[#This Row],[HARGA SATUAN]])</f>
        <v>17136000</v>
      </c>
      <c r="AG599" s="40">
        <f ca="1">IF(NOTA[ID_H]="","",INDEX(NOTA[TANGGAL],MATCH(,INDIRECT(ADDRESS(ROW(NOTA[TANGGAL]),COLUMN(NOTA[TANGGAL]))&amp;":"&amp;ADDRESS(ROW(),COLUMN(NOTA[TANGGAL]))),-1)))</f>
        <v>45129</v>
      </c>
      <c r="AH599" s="42" t="str">
        <f ca="1">IF(NOTA[[#This Row],[NAMA BARANG]]="","",INDEX(NOTA[SUPPLIER],MATCH(,INDIRECT(ADDRESS(ROW(NOTA[ID]),COLUMN(NOTA[ID]))&amp;":"&amp;ADDRESS(ROW(),COLUMN(NOTA[ID]))),-1)))</f>
        <v>ATALI MAKMUR</v>
      </c>
      <c r="AI599" s="42" t="str">
        <f ca="1">IF(NOTA[[#This Row],[ID_H]]="","",IF(NOTA[[#This Row],[FAKTUR]]="",INDIRECT(ADDRESS(ROW()-1,COLUMN())),NOTA[[#This Row],[FAKTUR]]))</f>
        <v>ARTO MORO</v>
      </c>
      <c r="AJ599" s="39">
        <f ca="1">IF(NOTA[[#This Row],[ID]]="","",COUNTIF(NOTA[ID_H],NOTA[[#This Row],[ID_H]]))</f>
        <v>2</v>
      </c>
      <c r="AK599" s="39">
        <f>IF(NOTA[[#This Row],[TGL.NOTA]]="",IF(NOTA[[#This Row],[SUPPLIER_H]]="","",AK598),MONTH(NOTA[[#This Row],[TGL.NOTA]]))</f>
        <v>7</v>
      </c>
      <c r="AL59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9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MOROSA23071252745125oilpastelop12sppcaseseaworldjk</v>
      </c>
      <c r="AP599" s="39" t="e">
        <f>IF(NOTA[[#This Row],[CONCAT4]]="","",_xlfn.IFNA(MATCH(NOTA[[#This Row],[CONCAT4]],[2]!RAW[CONCAT_H],0),FALSE))</f>
        <v>#REF!</v>
      </c>
      <c r="AQ599" s="39">
        <f>IF(NOTA[[#This Row],[CONCAT1]]="","",MATCH(NOTA[[#This Row],[CONCAT1]],[3]!db[NB NOTA_C],0))</f>
        <v>1775</v>
      </c>
      <c r="AR599" s="39" t="str">
        <f>IF(NOTA[[#This Row],[QTY/ CTN]]="","",TRUE)</f>
        <v/>
      </c>
      <c r="AS599" s="39" t="str">
        <f ca="1">IF(NOTA[[#This Row],[ID_H]]="","",IF(NOTA[[#This Row],[Column3]]=TRUE,NOTA[[#This Row],[QTY/ CTN]],INDEX([3]!db[QTY/ CTN],NOTA[[#This Row],[//DB]])))</f>
        <v>12 LSN</v>
      </c>
      <c r="AT5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599" s="39" t="e">
        <f ca="1">IF(NOTA[[#This Row],[ID_H]]="","",MATCH(NOTA[[#This Row],[NB NOTA_C_QTY]],[4]!db[NB NOTA_C_QTY+F],0))</f>
        <v>#REF!</v>
      </c>
      <c r="AV599" s="55">
        <f ca="1">IF(NOTA[[#This Row],[NB NOTA_C_QTY]]="","",ROW()-2)</f>
        <v>597</v>
      </c>
    </row>
    <row r="600" spans="1:48" ht="20.100000000000001" customHeight="1" x14ac:dyDescent="0.25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39" t="str">
        <f>IF(NOTA[[#This Row],[ID_P]]="","",MATCH(NOTA[[#This Row],[ID_P]],[1]!B_MSK[N_ID],0))</f>
        <v/>
      </c>
      <c r="D600" s="39">
        <f ca="1">IF(NOTA[[#This Row],[NAMA BARANG]]="","",INDEX(NOTA[ID],MATCH(,INDIRECT(ADDRESS(ROW(NOTA[ID]),COLUMN(NOTA[ID]))&amp;":"&amp;ADDRESS(ROW(),COLUMN(NOTA[ID]))),-1)))</f>
        <v>116</v>
      </c>
      <c r="E600" s="47"/>
      <c r="H600" s="48"/>
      <c r="L600" s="38" t="s">
        <v>264</v>
      </c>
      <c r="M600" s="41">
        <v>5</v>
      </c>
      <c r="N600" s="39">
        <v>360</v>
      </c>
      <c r="O600" s="38" t="s">
        <v>263</v>
      </c>
      <c r="P600" s="42">
        <v>23000</v>
      </c>
      <c r="Q600" s="43"/>
      <c r="R600" s="49"/>
      <c r="S600" s="50">
        <v>0.125</v>
      </c>
      <c r="T600" s="45">
        <v>0.05</v>
      </c>
      <c r="U600" s="51"/>
      <c r="V600" s="46"/>
      <c r="W600" s="51">
        <f>IF(NOTA[[#This Row],[HARGA/ CTN]]="",NOTA[[#This Row],[JUMLAH_H]],NOTA[[#This Row],[HARGA/ CTN]]*IF(NOTA[[#This Row],[C]]="",0,NOTA[[#This Row],[C]]))</f>
        <v>8280000</v>
      </c>
      <c r="X600" s="51">
        <f>IF(NOTA[[#This Row],[JUMLAH]]="","",NOTA[[#This Row],[JUMLAH]]*NOTA[[#This Row],[DISC 1]])</f>
        <v>1035000</v>
      </c>
      <c r="Y600" s="51">
        <f>IF(NOTA[[#This Row],[JUMLAH]]="","",(NOTA[[#This Row],[JUMLAH]]-NOTA[[#This Row],[DISC 1-]])*NOTA[[#This Row],[DISC 2]])</f>
        <v>362250</v>
      </c>
      <c r="Z600" s="51">
        <f>IF(NOTA[[#This Row],[JUMLAH]]="","",NOTA[[#This Row],[DISC 1-]]+NOTA[[#This Row],[DISC 2-]])</f>
        <v>1397250</v>
      </c>
      <c r="AA600" s="51">
        <f>IF(NOTA[[#This Row],[JUMLAH]]="","",NOTA[[#This Row],[JUMLAH]]-NOTA[[#This Row],[DISC]])</f>
        <v>6882750</v>
      </c>
      <c r="AB600" s="51"/>
      <c r="AC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4288950</v>
      </c>
      <c r="AD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21127050</v>
      </c>
      <c r="AE60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00" s="51">
        <f>IF(OR(NOTA[[#This Row],[QTY]]="",NOTA[[#This Row],[HARGA SATUAN]]="",),"",NOTA[[#This Row],[QTY]]*NOTA[[#This Row],[HARGA SATUAN]])</f>
        <v>8280000</v>
      </c>
      <c r="AG600" s="40">
        <f ca="1">IF(NOTA[ID_H]="","",INDEX(NOTA[TANGGAL],MATCH(,INDIRECT(ADDRESS(ROW(NOTA[TANGGAL]),COLUMN(NOTA[TANGGAL]))&amp;":"&amp;ADDRESS(ROW(),COLUMN(NOTA[TANGGAL]))),-1)))</f>
        <v>45129</v>
      </c>
      <c r="AH600" s="42" t="str">
        <f ca="1">IF(NOTA[[#This Row],[NAMA BARANG]]="","",INDEX(NOTA[SUPPLIER],MATCH(,INDIRECT(ADDRESS(ROW(NOTA[ID]),COLUMN(NOTA[ID]))&amp;":"&amp;ADDRESS(ROW(),COLUMN(NOTA[ID]))),-1)))</f>
        <v>ATALI MAKMUR</v>
      </c>
      <c r="AI600" s="42" t="str">
        <f ca="1">IF(NOTA[[#This Row],[ID_H]]="","",IF(NOTA[[#This Row],[FAKTUR]]="",INDIRECT(ADDRESS(ROW()-1,COLUMN())),NOTA[[#This Row],[FAKTUR]]))</f>
        <v>ARTO MORO</v>
      </c>
      <c r="AJ600" s="39" t="str">
        <f ca="1">IF(NOTA[[#This Row],[ID]]="","",COUNTIF(NOTA[ID_H],NOTA[[#This Row],[ID_H]]))</f>
        <v/>
      </c>
      <c r="AK600" s="39">
        <f ca="1">IF(NOTA[[#This Row],[TGL.NOTA]]="",IF(NOTA[[#This Row],[SUPPLIER_H]]="","",AK599),MONTH(NOTA[[#This Row],[TGL.NOTA]]))</f>
        <v>7</v>
      </c>
      <c r="AL60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39" t="str">
        <f>IF(NOTA[[#This Row],[CONCAT4]]="","",_xlfn.IFNA(MATCH(NOTA[[#This Row],[CONCAT4]],[2]!RAW[CONCAT_H],0),FALSE))</f>
        <v/>
      </c>
      <c r="AQ600" s="39">
        <f>IF(NOTA[[#This Row],[CONCAT1]]="","",MATCH(NOTA[[#This Row],[CONCAT1]],[3]!db[NB NOTA_C],0))</f>
        <v>1777</v>
      </c>
      <c r="AR600" s="39" t="str">
        <f>IF(NOTA[[#This Row],[QTY/ CTN]]="","",TRUE)</f>
        <v/>
      </c>
      <c r="AS600" s="39" t="str">
        <f ca="1">IF(NOTA[[#This Row],[ID_H]]="","",IF(NOTA[[#This Row],[Column3]]=TRUE,NOTA[[#This Row],[QTY/ CTN]],INDEX([3]!db[QTY/ CTN],NOTA[[#This Row],[//DB]])))</f>
        <v>6 LSN</v>
      </c>
      <c r="AT6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600" s="39" t="e">
        <f ca="1">IF(NOTA[[#This Row],[ID_H]]="","",MATCH(NOTA[[#This Row],[NB NOTA_C_QTY]],[4]!db[NB NOTA_C_QTY+F],0))</f>
        <v>#REF!</v>
      </c>
      <c r="AV600" s="55">
        <f ca="1">IF(NOTA[[#This Row],[NB NOTA_C_QTY]]="","",ROW()-2)</f>
        <v>598</v>
      </c>
    </row>
    <row r="601" spans="1:48" ht="20.100000000000001" customHeight="1" x14ac:dyDescent="0.25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39" t="str">
        <f>IF(NOTA[[#This Row],[ID_P]]="","",MATCH(NOTA[[#This Row],[ID_P]],[1]!B_MSK[N_ID],0))</f>
        <v/>
      </c>
      <c r="D601" s="39" t="str">
        <f ca="1">IF(NOTA[[#This Row],[NAMA BARANG]]="","",INDEX(NOTA[ID],MATCH(,INDIRECT(ADDRESS(ROW(NOTA[ID]),COLUMN(NOTA[ID]))&amp;":"&amp;ADDRESS(ROW(),COLUMN(NOTA[ID]))),-1)))</f>
        <v/>
      </c>
      <c r="E601" s="47"/>
      <c r="H601" s="48"/>
      <c r="N601" s="39"/>
      <c r="Q601" s="43"/>
      <c r="R601" s="49"/>
      <c r="S601" s="50"/>
      <c r="U601" s="51"/>
      <c r="V601" s="46"/>
      <c r="W601" s="51" t="str">
        <f>IF(NOTA[[#This Row],[HARGA/ CTN]]="",NOTA[[#This Row],[JUMLAH_H]],NOTA[[#This Row],[HARGA/ CTN]]*IF(NOTA[[#This Row],[C]]="",0,NOTA[[#This Row],[C]]))</f>
        <v/>
      </c>
      <c r="X601" s="51" t="str">
        <f>IF(NOTA[[#This Row],[JUMLAH]]="","",NOTA[[#This Row],[JUMLAH]]*NOTA[[#This Row],[DISC 1]])</f>
        <v/>
      </c>
      <c r="Y601" s="51" t="str">
        <f>IF(NOTA[[#This Row],[JUMLAH]]="","",(NOTA[[#This Row],[JUMLAH]]-NOTA[[#This Row],[DISC 1-]])*NOTA[[#This Row],[DISC 2]])</f>
        <v/>
      </c>
      <c r="Z601" s="51" t="str">
        <f>IF(NOTA[[#This Row],[JUMLAH]]="","",NOTA[[#This Row],[DISC 1-]]+NOTA[[#This Row],[DISC 2-]])</f>
        <v/>
      </c>
      <c r="AA601" s="51" t="str">
        <f>IF(NOTA[[#This Row],[JUMLAH]]="","",NOTA[[#This Row],[JUMLAH]]-NOTA[[#This Row],[DISC]])</f>
        <v/>
      </c>
      <c r="AB601" s="51"/>
      <c r="AC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51" t="str">
        <f>IF(OR(NOTA[[#This Row],[QTY]]="",NOTA[[#This Row],[HARGA SATUAN]]="",),"",NOTA[[#This Row],[QTY]]*NOTA[[#This Row],[HARGA SATUAN]])</f>
        <v/>
      </c>
      <c r="AG601" s="40" t="str">
        <f ca="1">IF(NOTA[ID_H]="","",INDEX(NOTA[TANGGAL],MATCH(,INDIRECT(ADDRESS(ROW(NOTA[TANGGAL]),COLUMN(NOTA[TANGGAL]))&amp;":"&amp;ADDRESS(ROW(),COLUMN(NOTA[TANGGAL]))),-1)))</f>
        <v/>
      </c>
      <c r="AH601" s="42" t="str">
        <f ca="1">IF(NOTA[[#This Row],[NAMA BARANG]]="","",INDEX(NOTA[SUPPLIER],MATCH(,INDIRECT(ADDRESS(ROW(NOTA[ID]),COLUMN(NOTA[ID]))&amp;":"&amp;ADDRESS(ROW(),COLUMN(NOTA[ID]))),-1)))</f>
        <v/>
      </c>
      <c r="AI601" s="42" t="str">
        <f ca="1">IF(NOTA[[#This Row],[ID_H]]="","",IF(NOTA[[#This Row],[FAKTUR]]="",INDIRECT(ADDRESS(ROW()-1,COLUMN())),NOTA[[#This Row],[FAKTUR]]))</f>
        <v/>
      </c>
      <c r="AJ601" s="39" t="str">
        <f ca="1">IF(NOTA[[#This Row],[ID]]="","",COUNTIF(NOTA[ID_H],NOTA[[#This Row],[ID_H]]))</f>
        <v/>
      </c>
      <c r="AK601" s="39" t="str">
        <f ca="1">IF(NOTA[[#This Row],[TGL.NOTA]]="",IF(NOTA[[#This Row],[SUPPLIER_H]]="","",AK600),MONTH(NOTA[[#This Row],[TGL.NOTA]]))</f>
        <v/>
      </c>
      <c r="AL601" s="39" t="str">
        <f>LOWER(SUBSTITUTE(SUBSTITUTE(SUBSTITUTE(SUBSTITUTE(SUBSTITUTE(SUBSTITUTE(SUBSTITUTE(SUBSTITUTE(SUBSTITUTE(NOTA[NAMA BARANG]," ",),".",""),"-",""),"(",""),")",""),",",""),"/",""),"""",""),"+",""))</f>
        <v/>
      </c>
      <c r="AM6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39" t="str">
        <f>IF(NOTA[[#This Row],[CONCAT4]]="","",_xlfn.IFNA(MATCH(NOTA[[#This Row],[CONCAT4]],[2]!RAW[CONCAT_H],0),FALSE))</f>
        <v/>
      </c>
      <c r="AQ601" s="39" t="str">
        <f>IF(NOTA[[#This Row],[CONCAT1]]="","",MATCH(NOTA[[#This Row],[CONCAT1]],[3]!db[NB NOTA_C],0))</f>
        <v/>
      </c>
      <c r="AR601" s="39" t="str">
        <f>IF(NOTA[[#This Row],[QTY/ CTN]]="","",TRUE)</f>
        <v/>
      </c>
      <c r="AS601" s="39" t="str">
        <f ca="1">IF(NOTA[[#This Row],[ID_H]]="","",IF(NOTA[[#This Row],[Column3]]=TRUE,NOTA[[#This Row],[QTY/ CTN]],INDEX([3]!db[QTY/ CTN],NOTA[[#This Row],[//DB]])))</f>
        <v/>
      </c>
      <c r="AT6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39" t="str">
        <f ca="1">IF(NOTA[[#This Row],[ID_H]]="","",MATCH(NOTA[[#This Row],[NB NOTA_C_QTY]],[4]!db[NB NOTA_C_QTY+F],0))</f>
        <v/>
      </c>
      <c r="AV601" s="55" t="str">
        <f ca="1">IF(NOTA[[#This Row],[NB NOTA_C_QTY]]="","",ROW()-2)</f>
        <v/>
      </c>
    </row>
    <row r="602" spans="1:48" ht="20.100000000000001" customHeight="1" x14ac:dyDescent="0.25">
      <c r="A602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GUN_2207_580-4</v>
      </c>
      <c r="C602" s="39" t="e">
        <f ca="1">IF(NOTA[[#This Row],[ID_P]]="","",MATCH(NOTA[[#This Row],[ID_P]],[1]!B_MSK[N_ID],0))</f>
        <v>#REF!</v>
      </c>
      <c r="D602" s="39">
        <f ca="1">IF(NOTA[[#This Row],[NAMA BARANG]]="","",INDEX(NOTA[ID],MATCH(,INDIRECT(ADDRESS(ROW(NOTA[ID]),COLUMN(NOTA[ID]))&amp;":"&amp;ADDRESS(ROW(),COLUMN(NOTA[ID]))),-1)))</f>
        <v>117</v>
      </c>
      <c r="E602" s="47"/>
      <c r="F602" s="38" t="s">
        <v>524</v>
      </c>
      <c r="G602" s="38" t="s">
        <v>145</v>
      </c>
      <c r="H602" s="48" t="s">
        <v>687</v>
      </c>
      <c r="J602" s="40">
        <v>45127</v>
      </c>
      <c r="K602" s="38">
        <v>2</v>
      </c>
      <c r="L602" s="38" t="s">
        <v>688</v>
      </c>
      <c r="M602" s="41">
        <v>2</v>
      </c>
      <c r="N602" s="39">
        <v>120</v>
      </c>
      <c r="O602" s="38" t="s">
        <v>152</v>
      </c>
      <c r="P602" s="42">
        <v>57000</v>
      </c>
      <c r="Q602" s="43"/>
      <c r="R602" s="49" t="s">
        <v>153</v>
      </c>
      <c r="S602" s="50">
        <v>0.05</v>
      </c>
      <c r="T602" s="45">
        <v>0.1</v>
      </c>
      <c r="U602" s="51"/>
      <c r="V602" s="46"/>
      <c r="W602" s="51">
        <f>IF(NOTA[[#This Row],[HARGA/ CTN]]="",NOTA[[#This Row],[JUMLAH_H]],NOTA[[#This Row],[HARGA/ CTN]]*IF(NOTA[[#This Row],[C]]="",0,NOTA[[#This Row],[C]]))</f>
        <v>6840000</v>
      </c>
      <c r="X602" s="51">
        <f>IF(NOTA[[#This Row],[JUMLAH]]="","",NOTA[[#This Row],[JUMLAH]]*NOTA[[#This Row],[DISC 1]])</f>
        <v>342000</v>
      </c>
      <c r="Y602" s="51">
        <f>IF(NOTA[[#This Row],[JUMLAH]]="","",(NOTA[[#This Row],[JUMLAH]]-NOTA[[#This Row],[DISC 1-]])*NOTA[[#This Row],[DISC 2]])</f>
        <v>649800</v>
      </c>
      <c r="Z602" s="51">
        <f>IF(NOTA[[#This Row],[JUMLAH]]="","",NOTA[[#This Row],[DISC 1-]]+NOTA[[#This Row],[DISC 2-]])</f>
        <v>991800</v>
      </c>
      <c r="AA602" s="51">
        <f>IF(NOTA[[#This Row],[JUMLAH]]="","",NOTA[[#This Row],[JUMLAH]]-NOTA[[#This Row],[DISC]])</f>
        <v>5848200</v>
      </c>
      <c r="AB602" s="51"/>
      <c r="AC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02" s="51">
        <f>IF(OR(NOTA[[#This Row],[QTY]]="",NOTA[[#This Row],[HARGA SATUAN]]="",),"",NOTA[[#This Row],[QTY]]*NOTA[[#This Row],[HARGA SATUAN]])</f>
        <v>6840000</v>
      </c>
      <c r="AG602" s="40">
        <f ca="1">IF(NOTA[ID_H]="","",INDEX(NOTA[TANGGAL],MATCH(,INDIRECT(ADDRESS(ROW(NOTA[TANGGAL]),COLUMN(NOTA[TANGGAL]))&amp;":"&amp;ADDRESS(ROW(),COLUMN(NOTA[TANGGAL]))),-1)))</f>
        <v>45129</v>
      </c>
      <c r="AH602" s="42" t="str">
        <f ca="1">IF(NOTA[[#This Row],[NAMA BARANG]]="","",INDEX(NOTA[SUPPLIER],MATCH(,INDIRECT(ADDRESS(ROW(NOTA[ID]),COLUMN(NOTA[ID]))&amp;":"&amp;ADDRESS(ROW(),COLUMN(NOTA[ID]))),-1)))</f>
        <v>GUNINDO</v>
      </c>
      <c r="AI602" s="42" t="str">
        <f ca="1">IF(NOTA[[#This Row],[ID_H]]="","",IF(NOTA[[#This Row],[FAKTUR]]="",INDIRECT(ADDRESS(ROW()-1,COLUMN())),NOTA[[#This Row],[FAKTUR]]))</f>
        <v>UNTANA</v>
      </c>
      <c r="AJ602" s="39">
        <f ca="1">IF(NOTA[[#This Row],[ID]]="","",COUNTIF(NOTA[ID_H],NOTA[[#This Row],[ID_H]]))</f>
        <v>4</v>
      </c>
      <c r="AK602" s="39">
        <f>IF(NOTA[[#This Row],[TGL.NOTA]]="",IF(NOTA[[#This Row],[SUPPLIER_H]]="","",AK601),MONTH(NOTA[[#This Row],[TGL.NOTA]]))</f>
        <v>7</v>
      </c>
      <c r="AL602" s="39" t="str">
        <f>LOWER(SUBSTITUTE(SUBSTITUTE(SUBSTITUTE(SUBSTITUTE(SUBSTITUTE(SUBSTITUTE(SUBSTITUTE(SUBSTITUTE(SUBSTITUTE(NOTA[NAMA BARANG]," ",),".",""),"-",""),"(",""),")",""),",",""),"/",""),"""",""),"+",""))</f>
        <v>ommgunindo</v>
      </c>
      <c r="AM6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6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602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GUNINDOUNTANA230158045127ommgunindo</v>
      </c>
      <c r="AP602" s="39" t="e">
        <f>IF(NOTA[[#This Row],[CONCAT4]]="","",_xlfn.IFNA(MATCH(NOTA[[#This Row],[CONCAT4]],[2]!RAW[CONCAT_H],0),FALSE))</f>
        <v>#REF!</v>
      </c>
      <c r="AQ602" s="39">
        <f>IF(NOTA[[#This Row],[CONCAT1]]="","",MATCH(NOTA[[#This Row],[CONCAT1]],[3]!db[NB NOTA_C],0))</f>
        <v>1234</v>
      </c>
      <c r="AR602" s="39" t="b">
        <f>IF(NOTA[[#This Row],[QTY/ CTN]]="","",TRUE)</f>
        <v>1</v>
      </c>
      <c r="AS602" s="39" t="str">
        <f ca="1">IF(NOTA[[#This Row],[ID_H]]="","",IF(NOTA[[#This Row],[Column3]]=TRUE,NOTA[[#This Row],[QTY/ CTN]],INDEX([3]!db[QTY/ CTN],NOTA[[#This Row],[//DB]])))</f>
        <v>60 LSN</v>
      </c>
      <c r="AT6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U602" s="39" t="e">
        <f ca="1">IF(NOTA[[#This Row],[ID_H]]="","",MATCH(NOTA[[#This Row],[NB NOTA_C_QTY]],[4]!db[NB NOTA_C_QTY+F],0))</f>
        <v>#REF!</v>
      </c>
      <c r="AV602" s="55">
        <f ca="1">IF(NOTA[[#This Row],[NB NOTA_C_QTY]]="","",ROW()-2)</f>
        <v>600</v>
      </c>
    </row>
    <row r="603" spans="1:48" ht="20.100000000000001" customHeight="1" x14ac:dyDescent="0.25">
      <c r="A6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39" t="str">
        <f>IF(NOTA[[#This Row],[ID_P]]="","",MATCH(NOTA[[#This Row],[ID_P]],[1]!B_MSK[N_ID],0))</f>
        <v/>
      </c>
      <c r="D603" s="39">
        <f ca="1">IF(NOTA[[#This Row],[NAMA BARANG]]="","",INDEX(NOTA[ID],MATCH(,INDIRECT(ADDRESS(ROW(NOTA[ID]),COLUMN(NOTA[ID]))&amp;":"&amp;ADDRESS(ROW(),COLUMN(NOTA[ID]))),-1)))</f>
        <v>117</v>
      </c>
      <c r="E603" s="47"/>
      <c r="H603" s="48"/>
      <c r="K603" s="38">
        <v>1</v>
      </c>
      <c r="L603" s="38" t="s">
        <v>689</v>
      </c>
      <c r="M603" s="41">
        <v>1</v>
      </c>
      <c r="N603" s="39">
        <v>30</v>
      </c>
      <c r="O603" s="38" t="s">
        <v>152</v>
      </c>
      <c r="P603" s="42">
        <v>90000</v>
      </c>
      <c r="Q603" s="43"/>
      <c r="R603" s="49" t="s">
        <v>236</v>
      </c>
      <c r="S603" s="50">
        <v>0.05</v>
      </c>
      <c r="T603" s="45">
        <v>0.1</v>
      </c>
      <c r="U603" s="51"/>
      <c r="V603" s="46"/>
      <c r="W603" s="51">
        <f>IF(NOTA[[#This Row],[HARGA/ CTN]]="",NOTA[[#This Row],[JUMLAH_H]],NOTA[[#This Row],[HARGA/ CTN]]*IF(NOTA[[#This Row],[C]]="",0,NOTA[[#This Row],[C]]))</f>
        <v>2700000</v>
      </c>
      <c r="X603" s="51">
        <f>IF(NOTA[[#This Row],[JUMLAH]]="","",NOTA[[#This Row],[JUMLAH]]*NOTA[[#This Row],[DISC 1]])</f>
        <v>135000</v>
      </c>
      <c r="Y603" s="51">
        <f>IF(NOTA[[#This Row],[JUMLAH]]="","",(NOTA[[#This Row],[JUMLAH]]-NOTA[[#This Row],[DISC 1-]])*NOTA[[#This Row],[DISC 2]])</f>
        <v>256500</v>
      </c>
      <c r="Z603" s="51">
        <f>IF(NOTA[[#This Row],[JUMLAH]]="","",NOTA[[#This Row],[DISC 1-]]+NOTA[[#This Row],[DISC 2-]])</f>
        <v>391500</v>
      </c>
      <c r="AA603" s="51">
        <f>IF(NOTA[[#This Row],[JUMLAH]]="","",NOTA[[#This Row],[JUMLAH]]-NOTA[[#This Row],[DISC]])</f>
        <v>2308500</v>
      </c>
      <c r="AB603" s="51"/>
      <c r="AC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603" s="51">
        <f>IF(OR(NOTA[[#This Row],[QTY]]="",NOTA[[#This Row],[HARGA SATUAN]]="",),"",NOTA[[#This Row],[QTY]]*NOTA[[#This Row],[HARGA SATUAN]])</f>
        <v>2700000</v>
      </c>
      <c r="AG603" s="40">
        <f ca="1">IF(NOTA[ID_H]="","",INDEX(NOTA[TANGGAL],MATCH(,INDIRECT(ADDRESS(ROW(NOTA[TANGGAL]),COLUMN(NOTA[TANGGAL]))&amp;":"&amp;ADDRESS(ROW(),COLUMN(NOTA[TANGGAL]))),-1)))</f>
        <v>45129</v>
      </c>
      <c r="AH603" s="42" t="str">
        <f ca="1">IF(NOTA[[#This Row],[NAMA BARANG]]="","",INDEX(NOTA[SUPPLIER],MATCH(,INDIRECT(ADDRESS(ROW(NOTA[ID]),COLUMN(NOTA[ID]))&amp;":"&amp;ADDRESS(ROW(),COLUMN(NOTA[ID]))),-1)))</f>
        <v>GUNINDO</v>
      </c>
      <c r="AI603" s="42" t="str">
        <f ca="1">IF(NOTA[[#This Row],[ID_H]]="","",IF(NOTA[[#This Row],[FAKTUR]]="",INDIRECT(ADDRESS(ROW()-1,COLUMN())),NOTA[[#This Row],[FAKTUR]]))</f>
        <v>UNTANA</v>
      </c>
      <c r="AJ603" s="39" t="str">
        <f ca="1">IF(NOTA[[#This Row],[ID]]="","",COUNTIF(NOTA[ID_H],NOTA[[#This Row],[ID_H]]))</f>
        <v/>
      </c>
      <c r="AK603" s="39">
        <f ca="1">IF(NOTA[[#This Row],[TGL.NOTA]]="",IF(NOTA[[#This Row],[SUPPLIER_H]]="","",AK602),MONTH(NOTA[[#This Row],[TGL.NOTA]]))</f>
        <v>7</v>
      </c>
      <c r="AL603" s="39" t="str">
        <f>LOWER(SUBSTITUTE(SUBSTITUTE(SUBSTITUTE(SUBSTITUTE(SUBSTITUTE(SUBSTITUTE(SUBSTITUTE(SUBSTITUTE(SUBSTITUTE(NOTA[NAMA BARANG]," ",),".",""),"-",""),"(",""),")",""),",",""),"/",""),"""",""),"+",""))</f>
        <v>gunindofmcoklat</v>
      </c>
      <c r="AM6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N6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O6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39" t="str">
        <f>IF(NOTA[[#This Row],[CONCAT4]]="","",_xlfn.IFNA(MATCH(NOTA[[#This Row],[CONCAT4]],[2]!RAW[CONCAT_H],0),FALSE))</f>
        <v/>
      </c>
      <c r="AQ603" s="39">
        <f>IF(NOTA[[#This Row],[CONCAT1]]="","",MATCH(NOTA[[#This Row],[CONCAT1]],[3]!db[NB NOTA_C],0))</f>
        <v>1222</v>
      </c>
      <c r="AR603" s="39" t="b">
        <f>IF(NOTA[[#This Row],[QTY/ CTN]]="","",TRUE)</f>
        <v>1</v>
      </c>
      <c r="AS603" s="39" t="str">
        <f ca="1">IF(NOTA[[#This Row],[ID_H]]="","",IF(NOTA[[#This Row],[Column3]]=TRUE,NOTA[[#This Row],[QTY/ CTN]],INDEX([3]!db[QTY/ CTN],NOTA[[#This Row],[//DB]])))</f>
        <v>30 LSN</v>
      </c>
      <c r="AT6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U603" s="39" t="e">
        <f ca="1">IF(NOTA[[#This Row],[ID_H]]="","",MATCH(NOTA[[#This Row],[NB NOTA_C_QTY]],[4]!db[NB NOTA_C_QTY+F],0))</f>
        <v>#REF!</v>
      </c>
      <c r="AV603" s="55">
        <f ca="1">IF(NOTA[[#This Row],[NB NOTA_C_QTY]]="","",ROW()-2)</f>
        <v>601</v>
      </c>
    </row>
    <row r="604" spans="1:48" ht="20.100000000000001" customHeight="1" x14ac:dyDescent="0.25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39" t="str">
        <f>IF(NOTA[[#This Row],[ID_P]]="","",MATCH(NOTA[[#This Row],[ID_P]],[1]!B_MSK[N_ID],0))</f>
        <v/>
      </c>
      <c r="D604" s="39">
        <f ca="1">IF(NOTA[[#This Row],[NAMA BARANG]]="","",INDEX(NOTA[ID],MATCH(,INDIRECT(ADDRESS(ROW(NOTA[ID]),COLUMN(NOTA[ID]))&amp;":"&amp;ADDRESS(ROW(),COLUMN(NOTA[ID]))),-1)))</f>
        <v>117</v>
      </c>
      <c r="E604" s="47"/>
      <c r="H604" s="48"/>
      <c r="K604" s="38">
        <v>1</v>
      </c>
      <c r="L604" s="38" t="s">
        <v>690</v>
      </c>
      <c r="M604" s="41">
        <v>1</v>
      </c>
      <c r="N604" s="39">
        <v>20</v>
      </c>
      <c r="O604" s="38" t="s">
        <v>152</v>
      </c>
      <c r="P604" s="42">
        <v>120000</v>
      </c>
      <c r="Q604" s="43"/>
      <c r="R604" s="49" t="s">
        <v>484</v>
      </c>
      <c r="S604" s="50">
        <v>0.05</v>
      </c>
      <c r="T604" s="45">
        <v>0.1</v>
      </c>
      <c r="U604" s="51"/>
      <c r="V604" s="46"/>
      <c r="W604" s="51">
        <f>IF(NOTA[[#This Row],[HARGA/ CTN]]="",NOTA[[#This Row],[JUMLAH_H]],NOTA[[#This Row],[HARGA/ CTN]]*IF(NOTA[[#This Row],[C]]="",0,NOTA[[#This Row],[C]]))</f>
        <v>2400000</v>
      </c>
      <c r="X604" s="51">
        <f>IF(NOTA[[#This Row],[JUMLAH]]="","",NOTA[[#This Row],[JUMLAH]]*NOTA[[#This Row],[DISC 1]])</f>
        <v>120000</v>
      </c>
      <c r="Y604" s="51">
        <f>IF(NOTA[[#This Row],[JUMLAH]]="","",(NOTA[[#This Row],[JUMLAH]]-NOTA[[#This Row],[DISC 1-]])*NOTA[[#This Row],[DISC 2]])</f>
        <v>228000</v>
      </c>
      <c r="Z604" s="51">
        <f>IF(NOTA[[#This Row],[JUMLAH]]="","",NOTA[[#This Row],[DISC 1-]]+NOTA[[#This Row],[DISC 2-]])</f>
        <v>348000</v>
      </c>
      <c r="AA604" s="51">
        <f>IF(NOTA[[#This Row],[JUMLAH]]="","",NOTA[[#This Row],[JUMLAH]]-NOTA[[#This Row],[DISC]])</f>
        <v>2052000</v>
      </c>
      <c r="AB604" s="51"/>
      <c r="AC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04" s="51">
        <f>IF(OR(NOTA[[#This Row],[QTY]]="",NOTA[[#This Row],[HARGA SATUAN]]="",),"",NOTA[[#This Row],[QTY]]*NOTA[[#This Row],[HARGA SATUAN]])</f>
        <v>2400000</v>
      </c>
      <c r="AG604" s="40">
        <f ca="1">IF(NOTA[ID_H]="","",INDEX(NOTA[TANGGAL],MATCH(,INDIRECT(ADDRESS(ROW(NOTA[TANGGAL]),COLUMN(NOTA[TANGGAL]))&amp;":"&amp;ADDRESS(ROW(),COLUMN(NOTA[TANGGAL]))),-1)))</f>
        <v>45129</v>
      </c>
      <c r="AH604" s="42" t="str">
        <f ca="1">IF(NOTA[[#This Row],[NAMA BARANG]]="","",INDEX(NOTA[SUPPLIER],MATCH(,INDIRECT(ADDRESS(ROW(NOTA[ID]),COLUMN(NOTA[ID]))&amp;":"&amp;ADDRESS(ROW(),COLUMN(NOTA[ID]))),-1)))</f>
        <v>GUNINDO</v>
      </c>
      <c r="AI604" s="42" t="str">
        <f ca="1">IF(NOTA[[#This Row],[ID_H]]="","",IF(NOTA[[#This Row],[FAKTUR]]="",INDIRECT(ADDRESS(ROW()-1,COLUMN())),NOTA[[#This Row],[FAKTUR]]))</f>
        <v>UNTANA</v>
      </c>
      <c r="AJ604" s="39" t="str">
        <f ca="1">IF(NOTA[[#This Row],[ID]]="","",COUNTIF(NOTA[ID_H],NOTA[[#This Row],[ID_H]]))</f>
        <v/>
      </c>
      <c r="AK604" s="39">
        <f ca="1">IF(NOTA[[#This Row],[TGL.NOTA]]="",IF(NOTA[[#This Row],[SUPPLIER_H]]="","",AK603),MONTH(NOTA[[#This Row],[TGL.NOTA]]))</f>
        <v>7</v>
      </c>
      <c r="AL604" s="39" t="str">
        <f>LOWER(SUBSTITUTE(SUBSTITUTE(SUBSTITUTE(SUBSTITUTE(SUBSTITUTE(SUBSTITUTE(SUBSTITUTE(SUBSTITUTE(SUBSTITUTE(NOTA[NAMA BARANG]," ",),".",""),"-",""),"(",""),")",""),",",""),"/",""),"""",""),"+",""))</f>
        <v>gunindoflcoklat</v>
      </c>
      <c r="AM6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6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6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39" t="str">
        <f>IF(NOTA[[#This Row],[CONCAT4]]="","",_xlfn.IFNA(MATCH(NOTA[[#This Row],[CONCAT4]],[2]!RAW[CONCAT_H],0),FALSE))</f>
        <v/>
      </c>
      <c r="AQ604" s="39">
        <f>IF(NOTA[[#This Row],[CONCAT1]]="","",MATCH(NOTA[[#This Row],[CONCAT1]],[3]!db[NB NOTA_C],0))</f>
        <v>1220</v>
      </c>
      <c r="AR604" s="39" t="b">
        <f>IF(NOTA[[#This Row],[QTY/ CTN]]="","",TRUE)</f>
        <v>1</v>
      </c>
      <c r="AS604" s="39" t="str">
        <f ca="1">IF(NOTA[[#This Row],[ID_H]]="","",IF(NOTA[[#This Row],[Column3]]=TRUE,NOTA[[#This Row],[QTY/ CTN]],INDEX([3]!db[QTY/ CTN],NOTA[[#This Row],[//DB]])))</f>
        <v>20 LSN</v>
      </c>
      <c r="AT6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U604" s="39" t="e">
        <f ca="1">IF(NOTA[[#This Row],[ID_H]]="","",MATCH(NOTA[[#This Row],[NB NOTA_C_QTY]],[4]!db[NB NOTA_C_QTY+F],0))</f>
        <v>#REF!</v>
      </c>
      <c r="AV604" s="55">
        <f ca="1">IF(NOTA[[#This Row],[NB NOTA_C_QTY]]="","",ROW()-2)</f>
        <v>602</v>
      </c>
    </row>
    <row r="605" spans="1:48" ht="20.100000000000001" customHeight="1" x14ac:dyDescent="0.25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39" t="str">
        <f>IF(NOTA[[#This Row],[ID_P]]="","",MATCH(NOTA[[#This Row],[ID_P]],[1]!B_MSK[N_ID],0))</f>
        <v/>
      </c>
      <c r="D605" s="39">
        <f ca="1">IF(NOTA[[#This Row],[NAMA BARANG]]="","",INDEX(NOTA[ID],MATCH(,INDIRECT(ADDRESS(ROW(NOTA[ID]),COLUMN(NOTA[ID]))&amp;":"&amp;ADDRESS(ROW(),COLUMN(NOTA[ID]))),-1)))</f>
        <v>117</v>
      </c>
      <c r="E605" s="47"/>
      <c r="H605" s="48"/>
      <c r="K605" s="38">
        <v>1</v>
      </c>
      <c r="L605" s="38" t="s">
        <v>715</v>
      </c>
      <c r="M605" s="41">
        <v>1</v>
      </c>
      <c r="N605" s="39">
        <v>30</v>
      </c>
      <c r="O605" s="38" t="s">
        <v>152</v>
      </c>
      <c r="P605" s="42">
        <v>61000</v>
      </c>
      <c r="Q605" s="43"/>
      <c r="R605" s="49" t="s">
        <v>236</v>
      </c>
      <c r="S605" s="50">
        <v>0.05</v>
      </c>
      <c r="T605" s="45">
        <v>0.1</v>
      </c>
      <c r="U605" s="51"/>
      <c r="V605" s="46"/>
      <c r="W605" s="51">
        <f>IF(NOTA[[#This Row],[HARGA/ CTN]]="",NOTA[[#This Row],[JUMLAH_H]],NOTA[[#This Row],[HARGA/ CTN]]*IF(NOTA[[#This Row],[C]]="",0,NOTA[[#This Row],[C]]))</f>
        <v>1830000</v>
      </c>
      <c r="X605" s="51">
        <f>IF(NOTA[[#This Row],[JUMLAH]]="","",NOTA[[#This Row],[JUMLAH]]*NOTA[[#This Row],[DISC 1]])</f>
        <v>91500</v>
      </c>
      <c r="Y605" s="51">
        <f>IF(NOTA[[#This Row],[JUMLAH]]="","",(NOTA[[#This Row],[JUMLAH]]-NOTA[[#This Row],[DISC 1-]])*NOTA[[#This Row],[DISC 2]])</f>
        <v>173850</v>
      </c>
      <c r="Z605" s="51">
        <f>IF(NOTA[[#This Row],[JUMLAH]]="","",NOTA[[#This Row],[DISC 1-]]+NOTA[[#This Row],[DISC 2-]])</f>
        <v>265350</v>
      </c>
      <c r="AA605" s="51">
        <f>IF(NOTA[[#This Row],[JUMLAH]]="","",NOTA[[#This Row],[JUMLAH]]-NOTA[[#This Row],[DISC]])</f>
        <v>1564650</v>
      </c>
      <c r="AB605" s="51"/>
      <c r="AC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1996650</v>
      </c>
      <c r="AD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11773350</v>
      </c>
      <c r="AE605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05" s="51">
        <f>IF(OR(NOTA[[#This Row],[QTY]]="",NOTA[[#This Row],[HARGA SATUAN]]="",),"",NOTA[[#This Row],[QTY]]*NOTA[[#This Row],[HARGA SATUAN]])</f>
        <v>1830000</v>
      </c>
      <c r="AG605" s="40">
        <f ca="1">IF(NOTA[ID_H]="","",INDEX(NOTA[TANGGAL],MATCH(,INDIRECT(ADDRESS(ROW(NOTA[TANGGAL]),COLUMN(NOTA[TANGGAL]))&amp;":"&amp;ADDRESS(ROW(),COLUMN(NOTA[TANGGAL]))),-1)))</f>
        <v>45129</v>
      </c>
      <c r="AH605" s="42" t="str">
        <f ca="1">IF(NOTA[[#This Row],[NAMA BARANG]]="","",INDEX(NOTA[SUPPLIER],MATCH(,INDIRECT(ADDRESS(ROW(NOTA[ID]),COLUMN(NOTA[ID]))&amp;":"&amp;ADDRESS(ROW(),COLUMN(NOTA[ID]))),-1)))</f>
        <v>GUNINDO</v>
      </c>
      <c r="AI605" s="42" t="str">
        <f ca="1">IF(NOTA[[#This Row],[ID_H]]="","",IF(NOTA[[#This Row],[FAKTUR]]="",INDIRECT(ADDRESS(ROW()-1,COLUMN())),NOTA[[#This Row],[FAKTUR]]))</f>
        <v>UNTANA</v>
      </c>
      <c r="AJ605" s="39" t="str">
        <f ca="1">IF(NOTA[[#This Row],[ID]]="","",COUNTIF(NOTA[ID_H],NOTA[[#This Row],[ID_H]]))</f>
        <v/>
      </c>
      <c r="AK605" s="39">
        <f ca="1">IF(NOTA[[#This Row],[TGL.NOTA]]="",IF(NOTA[[#This Row],[SUPPLIER_H]]="","",AK604),MONTH(NOTA[[#This Row],[TGL.NOTA]]))</f>
        <v>7</v>
      </c>
      <c r="AL605" s="39" t="str">
        <f>LOWER(SUBSTITUTE(SUBSTITUTE(SUBSTITUTE(SUBSTITUTE(SUBSTITUTE(SUBSTITUTE(SUBSTITUTE(SUBSTITUTE(SUBSTITUTE(NOTA[NAMA BARANG]," ",),".",""),"-",""),"(",""),")",""),",",""),"/",""),"""",""),"+",""))</f>
        <v>wberaser803</v>
      </c>
      <c r="AM6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39" t="str">
        <f>IF(NOTA[[#This Row],[CONCAT4]]="","",_xlfn.IFNA(MATCH(NOTA[[#This Row],[CONCAT4]],[2]!RAW[CONCAT_H],0),FALSE))</f>
        <v/>
      </c>
      <c r="AQ605" s="39">
        <f>IF(NOTA[[#This Row],[CONCAT1]]="","",MATCH(NOTA[[#This Row],[CONCAT1]],[3]!db[NB NOTA_C],0))</f>
        <v>2136</v>
      </c>
      <c r="AR605" s="39" t="b">
        <f>IF(NOTA[[#This Row],[QTY/ CTN]]="","",TRUE)</f>
        <v>1</v>
      </c>
      <c r="AS605" s="39" t="str">
        <f ca="1">IF(NOTA[[#This Row],[ID_H]]="","",IF(NOTA[[#This Row],[Column3]]=TRUE,NOTA[[#This Row],[QTY/ CTN]],INDEX([3]!db[QTY/ CTN],NOTA[[#This Row],[//DB]])))</f>
        <v>30 LSN</v>
      </c>
      <c r="AT6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605" s="39" t="e">
        <f ca="1">IF(NOTA[[#This Row],[ID_H]]="","",MATCH(NOTA[[#This Row],[NB NOTA_C_QTY]],[4]!db[NB NOTA_C_QTY+F],0))</f>
        <v>#REF!</v>
      </c>
      <c r="AV605" s="55">
        <f ca="1">IF(NOTA[[#This Row],[NB NOTA_C_QTY]]="","",ROW()-2)</f>
        <v>603</v>
      </c>
    </row>
    <row r="606" spans="1:48" ht="20.100000000000001" customHeight="1" x14ac:dyDescent="0.25">
      <c r="A6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39" t="str">
        <f>IF(NOTA[[#This Row],[ID_P]]="","",MATCH(NOTA[[#This Row],[ID_P]],[1]!B_MSK[N_ID],0))</f>
        <v/>
      </c>
      <c r="D606" s="39" t="str">
        <f ca="1">IF(NOTA[[#This Row],[NAMA BARANG]]="","",INDEX(NOTA[ID],MATCH(,INDIRECT(ADDRESS(ROW(NOTA[ID]),COLUMN(NOTA[ID]))&amp;":"&amp;ADDRESS(ROW(),COLUMN(NOTA[ID]))),-1)))</f>
        <v/>
      </c>
      <c r="E606" s="47"/>
      <c r="H606" s="48"/>
      <c r="N606" s="39"/>
      <c r="Q606" s="43"/>
      <c r="R606" s="49"/>
      <c r="S606" s="50"/>
      <c r="U606" s="51"/>
      <c r="V606" s="46"/>
      <c r="W606" s="51" t="str">
        <f>IF(NOTA[[#This Row],[HARGA/ CTN]]="",NOTA[[#This Row],[JUMLAH_H]],NOTA[[#This Row],[HARGA/ CTN]]*IF(NOTA[[#This Row],[C]]="",0,NOTA[[#This Row],[C]]))</f>
        <v/>
      </c>
      <c r="X606" s="51" t="str">
        <f>IF(NOTA[[#This Row],[JUMLAH]]="","",NOTA[[#This Row],[JUMLAH]]*NOTA[[#This Row],[DISC 1]])</f>
        <v/>
      </c>
      <c r="Y606" s="51" t="str">
        <f>IF(NOTA[[#This Row],[JUMLAH]]="","",(NOTA[[#This Row],[JUMLAH]]-NOTA[[#This Row],[DISC 1-]])*NOTA[[#This Row],[DISC 2]])</f>
        <v/>
      </c>
      <c r="Z606" s="51" t="str">
        <f>IF(NOTA[[#This Row],[JUMLAH]]="","",NOTA[[#This Row],[DISC 1-]]+NOTA[[#This Row],[DISC 2-]])</f>
        <v/>
      </c>
      <c r="AA606" s="51" t="str">
        <f>IF(NOTA[[#This Row],[JUMLAH]]="","",NOTA[[#This Row],[JUMLAH]]-NOTA[[#This Row],[DISC]])</f>
        <v/>
      </c>
      <c r="AB606" s="51"/>
      <c r="AC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51" t="str">
        <f>IF(OR(NOTA[[#This Row],[QTY]]="",NOTA[[#This Row],[HARGA SATUAN]]="",),"",NOTA[[#This Row],[QTY]]*NOTA[[#This Row],[HARGA SATUAN]])</f>
        <v/>
      </c>
      <c r="AG606" s="40" t="str">
        <f ca="1">IF(NOTA[ID_H]="","",INDEX(NOTA[TANGGAL],MATCH(,INDIRECT(ADDRESS(ROW(NOTA[TANGGAL]),COLUMN(NOTA[TANGGAL]))&amp;":"&amp;ADDRESS(ROW(),COLUMN(NOTA[TANGGAL]))),-1)))</f>
        <v/>
      </c>
      <c r="AH606" s="42" t="str">
        <f ca="1">IF(NOTA[[#This Row],[NAMA BARANG]]="","",INDEX(NOTA[SUPPLIER],MATCH(,INDIRECT(ADDRESS(ROW(NOTA[ID]),COLUMN(NOTA[ID]))&amp;":"&amp;ADDRESS(ROW(),COLUMN(NOTA[ID]))),-1)))</f>
        <v/>
      </c>
      <c r="AI606" s="42" t="str">
        <f ca="1">IF(NOTA[[#This Row],[ID_H]]="","",IF(NOTA[[#This Row],[FAKTUR]]="",INDIRECT(ADDRESS(ROW()-1,COLUMN())),NOTA[[#This Row],[FAKTUR]]))</f>
        <v/>
      </c>
      <c r="AJ606" s="39" t="str">
        <f ca="1">IF(NOTA[[#This Row],[ID]]="","",COUNTIF(NOTA[ID_H],NOTA[[#This Row],[ID_H]]))</f>
        <v/>
      </c>
      <c r="AK606" s="39" t="str">
        <f ca="1">IF(NOTA[[#This Row],[TGL.NOTA]]="",IF(NOTA[[#This Row],[SUPPLIER_H]]="","",AK605),MONTH(NOTA[[#This Row],[TGL.NOTA]]))</f>
        <v/>
      </c>
      <c r="AL606" s="39" t="str">
        <f>LOWER(SUBSTITUTE(SUBSTITUTE(SUBSTITUTE(SUBSTITUTE(SUBSTITUTE(SUBSTITUTE(SUBSTITUTE(SUBSTITUTE(SUBSTITUTE(NOTA[NAMA BARANG]," ",),".",""),"-",""),"(",""),")",""),",",""),"/",""),"""",""),"+",""))</f>
        <v/>
      </c>
      <c r="AM6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39" t="str">
        <f>IF(NOTA[[#This Row],[CONCAT4]]="","",_xlfn.IFNA(MATCH(NOTA[[#This Row],[CONCAT4]],[2]!RAW[CONCAT_H],0),FALSE))</f>
        <v/>
      </c>
      <c r="AQ606" s="39" t="str">
        <f>IF(NOTA[[#This Row],[CONCAT1]]="","",MATCH(NOTA[[#This Row],[CONCAT1]],[3]!db[NB NOTA_C],0))</f>
        <v/>
      </c>
      <c r="AR606" s="39" t="str">
        <f>IF(NOTA[[#This Row],[QTY/ CTN]]="","",TRUE)</f>
        <v/>
      </c>
      <c r="AS606" s="39" t="str">
        <f ca="1">IF(NOTA[[#This Row],[ID_H]]="","",IF(NOTA[[#This Row],[Column3]]=TRUE,NOTA[[#This Row],[QTY/ CTN]],INDEX([3]!db[QTY/ CTN],NOTA[[#This Row],[//DB]])))</f>
        <v/>
      </c>
      <c r="AT6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39" t="str">
        <f ca="1">IF(NOTA[[#This Row],[ID_H]]="","",MATCH(NOTA[[#This Row],[NB NOTA_C_QTY]],[4]!db[NB NOTA_C_QTY+F],0))</f>
        <v/>
      </c>
      <c r="AV606" s="55" t="str">
        <f ca="1">IF(NOTA[[#This Row],[NB NOTA_C_QTY]]="","",ROW()-2)</f>
        <v/>
      </c>
    </row>
    <row r="607" spans="1:48" ht="20.100000000000001" customHeight="1" x14ac:dyDescent="0.25">
      <c r="A607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DUT_2207_23H-2</v>
      </c>
      <c r="C607" s="39" t="e">
        <f ca="1">IF(NOTA[[#This Row],[ID_P]]="","",MATCH(NOTA[[#This Row],[ID_P]],[1]!B_MSK[N_ID],0))</f>
        <v>#REF!</v>
      </c>
      <c r="D607" s="39">
        <f ca="1">IF(NOTA[[#This Row],[NAMA BARANG]]="","",INDEX(NOTA[ID],MATCH(,INDIRECT(ADDRESS(ROW(NOTA[ID]),COLUMN(NOTA[ID]))&amp;":"&amp;ADDRESS(ROW(),COLUMN(NOTA[ID]))),-1)))</f>
        <v>118</v>
      </c>
      <c r="E607" s="47"/>
      <c r="F607" s="38" t="s">
        <v>156</v>
      </c>
      <c r="G607" s="38" t="s">
        <v>145</v>
      </c>
      <c r="H607" s="48" t="s">
        <v>691</v>
      </c>
      <c r="J607" s="40">
        <v>45127</v>
      </c>
      <c r="L607" s="38" t="s">
        <v>692</v>
      </c>
      <c r="M607" s="41">
        <v>2</v>
      </c>
      <c r="N607" s="39">
        <v>600</v>
      </c>
      <c r="O607" s="38" t="s">
        <v>117</v>
      </c>
      <c r="P607" s="42">
        <v>7000</v>
      </c>
      <c r="Q607" s="43"/>
      <c r="R607" s="49" t="s">
        <v>693</v>
      </c>
      <c r="S607" s="50"/>
      <c r="U607" s="51"/>
      <c r="V607" s="46"/>
      <c r="W607" s="51">
        <f>IF(NOTA[[#This Row],[HARGA/ CTN]]="",NOTA[[#This Row],[JUMLAH_H]],NOTA[[#This Row],[HARGA/ CTN]]*IF(NOTA[[#This Row],[C]]="",0,NOTA[[#This Row],[C]]))</f>
        <v>4200000</v>
      </c>
      <c r="X607" s="51">
        <f>IF(NOTA[[#This Row],[JUMLAH]]="","",NOTA[[#This Row],[JUMLAH]]*NOTA[[#This Row],[DISC 1]])</f>
        <v>0</v>
      </c>
      <c r="Y607" s="51">
        <f>IF(NOTA[[#This Row],[JUMLAH]]="","",(NOTA[[#This Row],[JUMLAH]]-NOTA[[#This Row],[DISC 1-]])*NOTA[[#This Row],[DISC 2]])</f>
        <v>0</v>
      </c>
      <c r="Z607" s="51">
        <f>IF(NOTA[[#This Row],[JUMLAH]]="","",NOTA[[#This Row],[DISC 1-]]+NOTA[[#This Row],[DISC 2-]])</f>
        <v>0</v>
      </c>
      <c r="AA607" s="51">
        <f>IF(NOTA[[#This Row],[JUMLAH]]="","",NOTA[[#This Row],[JUMLAH]]-NOTA[[#This Row],[DISC]])</f>
        <v>4200000</v>
      </c>
      <c r="AB607" s="51"/>
      <c r="AC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07" s="51">
        <f>IF(OR(NOTA[[#This Row],[QTY]]="",NOTA[[#This Row],[HARGA SATUAN]]="",),"",NOTA[[#This Row],[QTY]]*NOTA[[#This Row],[HARGA SATUAN]])</f>
        <v>4200000</v>
      </c>
      <c r="AG607" s="40">
        <f ca="1">IF(NOTA[ID_H]="","",INDEX(NOTA[TANGGAL],MATCH(,INDIRECT(ADDRESS(ROW(NOTA[TANGGAL]),COLUMN(NOTA[TANGGAL]))&amp;":"&amp;ADDRESS(ROW(),COLUMN(NOTA[TANGGAL]))),-1)))</f>
        <v>45129</v>
      </c>
      <c r="AH607" s="42" t="str">
        <f ca="1">IF(NOTA[[#This Row],[NAMA BARANG]]="","",INDEX(NOTA[SUPPLIER],MATCH(,INDIRECT(ADDRESS(ROW(NOTA[ID]),COLUMN(NOTA[ID]))&amp;":"&amp;ADDRESS(ROW(),COLUMN(NOTA[ID]))),-1)))</f>
        <v>DUTA BUANA</v>
      </c>
      <c r="AI607" s="42" t="str">
        <f ca="1">IF(NOTA[[#This Row],[ID_H]]="","",IF(NOTA[[#This Row],[FAKTUR]]="",INDIRECT(ADDRESS(ROW()-1,COLUMN())),NOTA[[#This Row],[FAKTUR]]))</f>
        <v>UNTANA</v>
      </c>
      <c r="AJ607" s="39">
        <f ca="1">IF(NOTA[[#This Row],[ID]]="","",COUNTIF(NOTA[ID_H],NOTA[[#This Row],[ID_H]]))</f>
        <v>2</v>
      </c>
      <c r="AK607" s="39">
        <f>IF(NOTA[[#This Row],[TGL.NOTA]]="",IF(NOTA[[#This Row],[SUPPLIER_H]]="","",AK606),MONTH(NOTA[[#This Row],[TGL.NOTA]]))</f>
        <v>7</v>
      </c>
      <c r="AL607" s="39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6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</v>
      </c>
      <c r="AN6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</v>
      </c>
      <c r="AO60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BUANAUNTANAHM/205/07-23H45127sticknotetf6548c200lbr</v>
      </c>
      <c r="AP607" s="39" t="e">
        <f>IF(NOTA[[#This Row],[CONCAT4]]="","",_xlfn.IFNA(MATCH(NOTA[[#This Row],[CONCAT4]],[2]!RAW[CONCAT_H],0),FALSE))</f>
        <v>#REF!</v>
      </c>
      <c r="AQ607" s="39">
        <f>IF(NOTA[[#This Row],[CONCAT1]]="","",MATCH(NOTA[[#This Row],[CONCAT1]],[3]!db[NB NOTA_C],0))</f>
        <v>2483</v>
      </c>
      <c r="AR607" s="39" t="b">
        <f>IF(NOTA[[#This Row],[QTY/ CTN]]="","",TRUE)</f>
        <v>1</v>
      </c>
      <c r="AS607" s="39" t="str">
        <f ca="1">IF(NOTA[[#This Row],[ID_H]]="","",IF(NOTA[[#This Row],[Column3]]=TRUE,NOTA[[#This Row],[QTY/ CTN]],INDEX([3]!db[QTY/ CTN],NOTA[[#This Row],[//DB]])))</f>
        <v>300 PCS</v>
      </c>
      <c r="AT6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U607" s="39" t="e">
        <f ca="1">IF(NOTA[[#This Row],[ID_H]]="","",MATCH(NOTA[[#This Row],[NB NOTA_C_QTY]],[4]!db[NB NOTA_C_QTY+F],0))</f>
        <v>#REF!</v>
      </c>
      <c r="AV607" s="55">
        <f ca="1">IF(NOTA[[#This Row],[NB NOTA_C_QTY]]="","",ROW()-2)</f>
        <v>605</v>
      </c>
    </row>
    <row r="608" spans="1:48" ht="20.100000000000001" customHeight="1" x14ac:dyDescent="0.25">
      <c r="A6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39" t="str">
        <f>IF(NOTA[[#This Row],[ID_P]]="","",MATCH(NOTA[[#This Row],[ID_P]],[1]!B_MSK[N_ID],0))</f>
        <v/>
      </c>
      <c r="D608" s="39">
        <f ca="1">IF(NOTA[[#This Row],[NAMA BARANG]]="","",INDEX(NOTA[ID],MATCH(,INDIRECT(ADDRESS(ROW(NOTA[ID]),COLUMN(NOTA[ID]))&amp;":"&amp;ADDRESS(ROW(),COLUMN(NOTA[ID]))),-1)))</f>
        <v>118</v>
      </c>
      <c r="E608" s="47"/>
      <c r="H608" s="48"/>
      <c r="L608" s="38" t="s">
        <v>716</v>
      </c>
      <c r="M608" s="41">
        <v>2</v>
      </c>
      <c r="N608" s="39">
        <v>216</v>
      </c>
      <c r="O608" s="38" t="s">
        <v>117</v>
      </c>
      <c r="P608" s="42">
        <v>13000</v>
      </c>
      <c r="Q608" s="43"/>
      <c r="R608" s="49" t="s">
        <v>694</v>
      </c>
      <c r="S608" s="50"/>
      <c r="U608" s="51">
        <v>210200</v>
      </c>
      <c r="V608" s="46"/>
      <c r="W608" s="51">
        <f>IF(NOTA[[#This Row],[HARGA/ CTN]]="",NOTA[[#This Row],[JUMLAH_H]],NOTA[[#This Row],[HARGA/ CTN]]*IF(NOTA[[#This Row],[C]]="",0,NOTA[[#This Row],[C]]))</f>
        <v>2808000</v>
      </c>
      <c r="X608" s="51">
        <f>IF(NOTA[[#This Row],[JUMLAH]]="","",NOTA[[#This Row],[JUMLAH]]*NOTA[[#This Row],[DISC 1]])</f>
        <v>0</v>
      </c>
      <c r="Y608" s="51">
        <f>IF(NOTA[[#This Row],[JUMLAH]]="","",(NOTA[[#This Row],[JUMLAH]]-NOTA[[#This Row],[DISC 1-]])*NOTA[[#This Row],[DISC 2]])</f>
        <v>0</v>
      </c>
      <c r="Z608" s="51">
        <f>IF(NOTA[[#This Row],[JUMLAH]]="","",NOTA[[#This Row],[DISC 1-]]+NOTA[[#This Row],[DISC 2-]])</f>
        <v>0</v>
      </c>
      <c r="AA608" s="51">
        <f>IF(NOTA[[#This Row],[JUMLAH]]="","",NOTA[[#This Row],[JUMLAH]]-NOTA[[#This Row],[DISC]])</f>
        <v>2808000</v>
      </c>
      <c r="AB608" s="51"/>
      <c r="AC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210200</v>
      </c>
      <c r="AD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6797800</v>
      </c>
      <c r="AE60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8" s="51">
        <f>IF(OR(NOTA[[#This Row],[QTY]]="",NOTA[[#This Row],[HARGA SATUAN]]="",),"",NOTA[[#This Row],[QTY]]*NOTA[[#This Row],[HARGA SATUAN]])</f>
        <v>2808000</v>
      </c>
      <c r="AG608" s="40">
        <f ca="1">IF(NOTA[ID_H]="","",INDEX(NOTA[TANGGAL],MATCH(,INDIRECT(ADDRESS(ROW(NOTA[TANGGAL]),COLUMN(NOTA[TANGGAL]))&amp;":"&amp;ADDRESS(ROW(),COLUMN(NOTA[TANGGAL]))),-1)))</f>
        <v>45129</v>
      </c>
      <c r="AH608" s="42" t="str">
        <f ca="1">IF(NOTA[[#This Row],[NAMA BARANG]]="","",INDEX(NOTA[SUPPLIER],MATCH(,INDIRECT(ADDRESS(ROW(NOTA[ID]),COLUMN(NOTA[ID]))&amp;":"&amp;ADDRESS(ROW(),COLUMN(NOTA[ID]))),-1)))</f>
        <v>DUTA BUANA</v>
      </c>
      <c r="AI608" s="42" t="str">
        <f ca="1">IF(NOTA[[#This Row],[ID_H]]="","",IF(NOTA[[#This Row],[FAKTUR]]="",INDIRECT(ADDRESS(ROW()-1,COLUMN())),NOTA[[#This Row],[FAKTUR]]))</f>
        <v>UNTANA</v>
      </c>
      <c r="AJ608" s="39" t="str">
        <f ca="1">IF(NOTA[[#This Row],[ID]]="","",COUNTIF(NOTA[ID_H],NOTA[[#This Row],[ID_H]]))</f>
        <v/>
      </c>
      <c r="AK608" s="39">
        <f ca="1">IF(NOTA[[#This Row],[TGL.NOTA]]="",IF(NOTA[[#This Row],[SUPPLIER_H]]="","",AK607),MONTH(NOTA[[#This Row],[TGL.NOTA]]))</f>
        <v>7</v>
      </c>
      <c r="AL608" s="39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M6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sticknotetf02458c400lbr1404000</v>
      </c>
      <c r="AN6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sticknotetf02458c400lbr1404000</v>
      </c>
      <c r="AO6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39" t="str">
        <f>IF(NOTA[[#This Row],[CONCAT4]]="","",_xlfn.IFNA(MATCH(NOTA[[#This Row],[CONCAT4]],[2]!RAW[CONCAT_H],0),FALSE))</f>
        <v/>
      </c>
      <c r="AQ608" s="39">
        <f>IF(NOTA[[#This Row],[CONCAT1]]="","",MATCH(NOTA[[#This Row],[CONCAT1]],[3]!db[NB NOTA_C],0))</f>
        <v>2482</v>
      </c>
      <c r="AR608" s="39" t="b">
        <f>IF(NOTA[[#This Row],[QTY/ CTN]]="","",TRUE)</f>
        <v>1</v>
      </c>
      <c r="AS608" s="39" t="str">
        <f ca="1">IF(NOTA[[#This Row],[ID_H]]="","",IF(NOTA[[#This Row],[Column3]]=TRUE,NOTA[[#This Row],[QTY/ CTN]],INDEX([3]!db[QTY/ CTN],NOTA[[#This Row],[//DB]])))</f>
        <v>108 PCS</v>
      </c>
      <c r="AT6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U608" s="39" t="e">
        <f ca="1">IF(NOTA[[#This Row],[ID_H]]="","",MATCH(NOTA[[#This Row],[NB NOTA_C_QTY]],[4]!db[NB NOTA_C_QTY+F],0))</f>
        <v>#REF!</v>
      </c>
      <c r="AV608" s="55">
        <f ca="1">IF(NOTA[[#This Row],[NB NOTA_C_QTY]]="","",ROW()-2)</f>
        <v>606</v>
      </c>
    </row>
    <row r="609" spans="1:48" ht="20.100000000000001" customHeight="1" x14ac:dyDescent="0.25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39" t="str">
        <f>IF(NOTA[[#This Row],[ID_P]]="","",MATCH(NOTA[[#This Row],[ID_P]],[1]!B_MSK[N_ID],0))</f>
        <v/>
      </c>
      <c r="D609" s="39" t="str">
        <f ca="1">IF(NOTA[[#This Row],[NAMA BARANG]]="","",INDEX(NOTA[ID],MATCH(,INDIRECT(ADDRESS(ROW(NOTA[ID]),COLUMN(NOTA[ID]))&amp;":"&amp;ADDRESS(ROW(),COLUMN(NOTA[ID]))),-1)))</f>
        <v/>
      </c>
      <c r="E609" s="47"/>
      <c r="H609" s="48"/>
      <c r="N609" s="39"/>
      <c r="Q609" s="43"/>
      <c r="R609" s="49"/>
      <c r="S609" s="50"/>
      <c r="U609" s="51"/>
      <c r="V609" s="46"/>
      <c r="W609" s="51" t="str">
        <f>IF(NOTA[[#This Row],[HARGA/ CTN]]="",NOTA[[#This Row],[JUMLAH_H]],NOTA[[#This Row],[HARGA/ CTN]]*IF(NOTA[[#This Row],[C]]="",0,NOTA[[#This Row],[C]]))</f>
        <v/>
      </c>
      <c r="X609" s="51" t="str">
        <f>IF(NOTA[[#This Row],[JUMLAH]]="","",NOTA[[#This Row],[JUMLAH]]*NOTA[[#This Row],[DISC 1]])</f>
        <v/>
      </c>
      <c r="Y609" s="51" t="str">
        <f>IF(NOTA[[#This Row],[JUMLAH]]="","",(NOTA[[#This Row],[JUMLAH]]-NOTA[[#This Row],[DISC 1-]])*NOTA[[#This Row],[DISC 2]])</f>
        <v/>
      </c>
      <c r="Z609" s="51" t="str">
        <f>IF(NOTA[[#This Row],[JUMLAH]]="","",NOTA[[#This Row],[DISC 1-]]+NOTA[[#This Row],[DISC 2-]])</f>
        <v/>
      </c>
      <c r="AA609" s="51" t="str">
        <f>IF(NOTA[[#This Row],[JUMLAH]]="","",NOTA[[#This Row],[JUMLAH]]-NOTA[[#This Row],[DISC]])</f>
        <v/>
      </c>
      <c r="AB609" s="51"/>
      <c r="AC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51" t="str">
        <f>IF(OR(NOTA[[#This Row],[QTY]]="",NOTA[[#This Row],[HARGA SATUAN]]="",),"",NOTA[[#This Row],[QTY]]*NOTA[[#This Row],[HARGA SATUAN]])</f>
        <v/>
      </c>
      <c r="AG609" s="40" t="str">
        <f ca="1">IF(NOTA[ID_H]="","",INDEX(NOTA[TANGGAL],MATCH(,INDIRECT(ADDRESS(ROW(NOTA[TANGGAL]),COLUMN(NOTA[TANGGAL]))&amp;":"&amp;ADDRESS(ROW(),COLUMN(NOTA[TANGGAL]))),-1)))</f>
        <v/>
      </c>
      <c r="AH609" s="42" t="str">
        <f ca="1">IF(NOTA[[#This Row],[NAMA BARANG]]="","",INDEX(NOTA[SUPPLIER],MATCH(,INDIRECT(ADDRESS(ROW(NOTA[ID]),COLUMN(NOTA[ID]))&amp;":"&amp;ADDRESS(ROW(),COLUMN(NOTA[ID]))),-1)))</f>
        <v/>
      </c>
      <c r="AI609" s="42" t="str">
        <f ca="1">IF(NOTA[[#This Row],[ID_H]]="","",IF(NOTA[[#This Row],[FAKTUR]]="",INDIRECT(ADDRESS(ROW()-1,COLUMN())),NOTA[[#This Row],[FAKTUR]]))</f>
        <v/>
      </c>
      <c r="AJ609" s="39" t="str">
        <f ca="1">IF(NOTA[[#This Row],[ID]]="","",COUNTIF(NOTA[ID_H],NOTA[[#This Row],[ID_H]]))</f>
        <v/>
      </c>
      <c r="AK609" s="39" t="str">
        <f ca="1">IF(NOTA[[#This Row],[TGL.NOTA]]="",IF(NOTA[[#This Row],[SUPPLIER_H]]="","",AK608),MONTH(NOTA[[#This Row],[TGL.NOTA]]))</f>
        <v/>
      </c>
      <c r="AL609" s="39" t="str">
        <f>LOWER(SUBSTITUTE(SUBSTITUTE(SUBSTITUTE(SUBSTITUTE(SUBSTITUTE(SUBSTITUTE(SUBSTITUTE(SUBSTITUTE(SUBSTITUTE(NOTA[NAMA BARANG]," ",),".",""),"-",""),"(",""),")",""),",",""),"/",""),"""",""),"+",""))</f>
        <v/>
      </c>
      <c r="AM6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39" t="str">
        <f>IF(NOTA[[#This Row],[CONCAT4]]="","",_xlfn.IFNA(MATCH(NOTA[[#This Row],[CONCAT4]],[2]!RAW[CONCAT_H],0),FALSE))</f>
        <v/>
      </c>
      <c r="AQ609" s="39" t="str">
        <f>IF(NOTA[[#This Row],[CONCAT1]]="","",MATCH(NOTA[[#This Row],[CONCAT1]],[3]!db[NB NOTA_C],0))</f>
        <v/>
      </c>
      <c r="AR609" s="39" t="str">
        <f>IF(NOTA[[#This Row],[QTY/ CTN]]="","",TRUE)</f>
        <v/>
      </c>
      <c r="AS609" s="39" t="str">
        <f ca="1">IF(NOTA[[#This Row],[ID_H]]="","",IF(NOTA[[#This Row],[Column3]]=TRUE,NOTA[[#This Row],[QTY/ CTN]],INDEX([3]!db[QTY/ CTN],NOTA[[#This Row],[//DB]])))</f>
        <v/>
      </c>
      <c r="AT6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39" t="str">
        <f ca="1">IF(NOTA[[#This Row],[ID_H]]="","",MATCH(NOTA[[#This Row],[NB NOTA_C_QTY]],[4]!db[NB NOTA_C_QTY+F],0))</f>
        <v/>
      </c>
      <c r="AV609" s="55" t="str">
        <f ca="1">IF(NOTA[[#This Row],[NB NOTA_C_QTY]]="","",ROW()-2)</f>
        <v/>
      </c>
    </row>
    <row r="610" spans="1:48" ht="20.100000000000001" customHeight="1" x14ac:dyDescent="0.25">
      <c r="A610" s="4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KUN_2407_604-2</v>
      </c>
      <c r="C610" s="39" t="e">
        <f ca="1">IF(NOTA[[#This Row],[ID_P]]="","",MATCH(NOTA[[#This Row],[ID_P]],[1]!B_MSK[N_ID],0))</f>
        <v>#REF!</v>
      </c>
      <c r="D610" s="39">
        <f ca="1">IF(NOTA[[#This Row],[NAMA BARANG]]="","",INDEX(NOTA[ID],MATCH(,INDIRECT(ADDRESS(ROW(NOTA[ID]),COLUMN(NOTA[ID]))&amp;":"&amp;ADDRESS(ROW(),COLUMN(NOTA[ID]))),-1)))</f>
        <v>119</v>
      </c>
      <c r="E610" s="47">
        <v>45131</v>
      </c>
      <c r="F610" s="38" t="s">
        <v>81</v>
      </c>
      <c r="G610" s="38" t="s">
        <v>23</v>
      </c>
      <c r="H610" s="48" t="s">
        <v>695</v>
      </c>
      <c r="J610" s="40">
        <v>45128</v>
      </c>
      <c r="L610" s="38" t="s">
        <v>696</v>
      </c>
      <c r="M610" s="41">
        <v>15</v>
      </c>
      <c r="N610" s="39">
        <f>20*15</f>
        <v>300</v>
      </c>
      <c r="O610" s="38" t="s">
        <v>210</v>
      </c>
      <c r="P610" s="42">
        <v>14900</v>
      </c>
      <c r="Q610" s="43"/>
      <c r="R610" s="49" t="s">
        <v>569</v>
      </c>
      <c r="S610" s="50"/>
      <c r="U610" s="51"/>
      <c r="V610" s="46" t="s">
        <v>699</v>
      </c>
      <c r="W610" s="51">
        <f>IF(NOTA[[#This Row],[HARGA/ CTN]]="",NOTA[[#This Row],[JUMLAH_H]],NOTA[[#This Row],[HARGA/ CTN]]*IF(NOTA[[#This Row],[C]]="",0,NOTA[[#This Row],[C]]))</f>
        <v>4470000</v>
      </c>
      <c r="X610" s="51">
        <f>IF(NOTA[[#This Row],[JUMLAH]]="","",NOTA[[#This Row],[JUMLAH]]*NOTA[[#This Row],[DISC 1]])</f>
        <v>0</v>
      </c>
      <c r="Y610" s="51">
        <f>IF(NOTA[[#This Row],[JUMLAH]]="","",(NOTA[[#This Row],[JUMLAH]]-NOTA[[#This Row],[DISC 1-]])*NOTA[[#This Row],[DISC 2]])</f>
        <v>0</v>
      </c>
      <c r="Z610" s="51">
        <f>IF(NOTA[[#This Row],[JUMLAH]]="","",NOTA[[#This Row],[DISC 1-]]+NOTA[[#This Row],[DISC 2-]])</f>
        <v>0</v>
      </c>
      <c r="AA610" s="51">
        <f>IF(NOTA[[#This Row],[JUMLAH]]="","",NOTA[[#This Row],[JUMLAH]]-NOTA[[#This Row],[DISC]])</f>
        <v>4470000</v>
      </c>
      <c r="AB610" s="51"/>
      <c r="AC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42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F610" s="51">
        <f>IF(OR(NOTA[[#This Row],[QTY]]="",NOTA[[#This Row],[HARGA SATUAN]]="",),"",NOTA[[#This Row],[QTY]]*NOTA[[#This Row],[HARGA SATUAN]])</f>
        <v>4470000</v>
      </c>
      <c r="AG610" s="40">
        <f ca="1">IF(NOTA[ID_H]="","",INDEX(NOTA[TANGGAL],MATCH(,INDIRECT(ADDRESS(ROW(NOTA[TANGGAL]),COLUMN(NOTA[TANGGAL]))&amp;":"&amp;ADDRESS(ROW(),COLUMN(NOTA[TANGGAL]))),-1)))</f>
        <v>45131</v>
      </c>
      <c r="AH610" s="42" t="str">
        <f ca="1">IF(NOTA[[#This Row],[NAMA BARANG]]="","",INDEX(NOTA[SUPPLIER],MATCH(,INDIRECT(ADDRESS(ROW(NOTA[ID]),COLUMN(NOTA[ID]))&amp;":"&amp;ADDRESS(ROW(),COLUMN(NOTA[ID]))),-1)))</f>
        <v>KUNCI MATAHARI</v>
      </c>
      <c r="AI610" s="42" t="str">
        <f ca="1">IF(NOTA[[#This Row],[ID_H]]="","",IF(NOTA[[#This Row],[FAKTUR]]="",INDIRECT(ADDRESS(ROW()-1,COLUMN())),NOTA[[#This Row],[FAKTUR]]))</f>
        <v>ARTO MORO</v>
      </c>
      <c r="AJ610" s="39">
        <f ca="1">IF(NOTA[[#This Row],[ID]]="","",COUNTIF(NOTA[ID_H],NOTA[[#This Row],[ID_H]]))</f>
        <v>2</v>
      </c>
      <c r="AK610" s="39">
        <f>IF(NOTA[[#This Row],[TGL.NOTA]]="",IF(NOTA[[#This Row],[SUPPLIER_H]]="","",AK609),MONTH(NOTA[[#This Row],[TGL.NOTA]]))</f>
        <v>7</v>
      </c>
      <c r="AL610" s="39" t="str">
        <f>LOWER(SUBSTITUTE(SUBSTITUTE(SUBSTITUTE(SUBSTITUTE(SUBSTITUTE(SUBSTITUTE(SUBSTITUTE(SUBSTITUTE(SUBSTITUTE(NOTA[NAMA BARANG]," ",),".",""),"-",""),"(",""),")",""),",",""),"/",""),"""",""),"+",""))</f>
        <v>kartustockkwarto</v>
      </c>
      <c r="AM6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N6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O610" s="39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MORO00560445128kartustockkwarto</v>
      </c>
      <c r="AP610" s="39" t="e">
        <f>IF(NOTA[[#This Row],[CONCAT4]]="","",_xlfn.IFNA(MATCH(NOTA[[#This Row],[CONCAT4]],[2]!RAW[CONCAT_H],0),FALSE))</f>
        <v>#REF!</v>
      </c>
      <c r="AQ610" s="39">
        <f>IF(NOTA[[#This Row],[CONCAT1]]="","",MATCH(NOTA[[#This Row],[CONCAT1]],[3]!db[NB NOTA_C],0))</f>
        <v>1393</v>
      </c>
      <c r="AR610" s="39" t="b">
        <f>IF(NOTA[[#This Row],[QTY/ CTN]]="","",TRUE)</f>
        <v>1</v>
      </c>
      <c r="AS610" s="39" t="str">
        <f ca="1">IF(NOTA[[#This Row],[ID_H]]="","",IF(NOTA[[#This Row],[Column3]]=TRUE,NOTA[[#This Row],[QTY/ CTN]],INDEX([3]!db[QTY/ CTN],NOTA[[#This Row],[//DB]])))</f>
        <v>20 PAK</v>
      </c>
      <c r="AT6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U610" s="39" t="e">
        <f ca="1">IF(NOTA[[#This Row],[ID_H]]="","",MATCH(NOTA[[#This Row],[NB NOTA_C_QTY]],[4]!db[NB NOTA_C_QTY+F],0))</f>
        <v>#REF!</v>
      </c>
      <c r="AV610" s="55">
        <f ca="1">IF(NOTA[[#This Row],[NB NOTA_C_QTY]]="","",ROW()-2)</f>
        <v>608</v>
      </c>
    </row>
    <row r="611" spans="1:48" ht="20.100000000000001" customHeight="1" x14ac:dyDescent="0.25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39" t="str">
        <f>IF(NOTA[[#This Row],[ID_P]]="","",MATCH(NOTA[[#This Row],[ID_P]],[1]!B_MSK[N_ID],0))</f>
        <v/>
      </c>
      <c r="D611" s="39">
        <f ca="1">IF(NOTA[[#This Row],[NAMA BARANG]]="","",INDEX(NOTA[ID],MATCH(,INDIRECT(ADDRESS(ROW(NOTA[ID]),COLUMN(NOTA[ID]))&amp;":"&amp;ADDRESS(ROW(),COLUMN(NOTA[ID]))),-1)))</f>
        <v>119</v>
      </c>
      <c r="E611" s="47"/>
      <c r="H611" s="48"/>
      <c r="L611" s="38" t="s">
        <v>697</v>
      </c>
      <c r="M611" s="41">
        <v>38</v>
      </c>
      <c r="N611" s="39">
        <v>380</v>
      </c>
      <c r="O611" s="38" t="s">
        <v>210</v>
      </c>
      <c r="P611" s="42">
        <v>29900</v>
      </c>
      <c r="Q611" s="43"/>
      <c r="R611" s="49" t="s">
        <v>698</v>
      </c>
      <c r="S611" s="50"/>
      <c r="U611" s="51"/>
      <c r="V611" s="46" t="s">
        <v>699</v>
      </c>
      <c r="W611" s="51">
        <f>IF(NOTA[[#This Row],[HARGA/ CTN]]="",NOTA[[#This Row],[JUMLAH_H]],NOTA[[#This Row],[HARGA/ CTN]]*IF(NOTA[[#This Row],[C]]="",0,NOTA[[#This Row],[C]]))</f>
        <v>11362000</v>
      </c>
      <c r="X611" s="51">
        <f>IF(NOTA[[#This Row],[JUMLAH]]="","",NOTA[[#This Row],[JUMLAH]]*NOTA[[#This Row],[DISC 1]])</f>
        <v>0</v>
      </c>
      <c r="Y611" s="51">
        <f>IF(NOTA[[#This Row],[JUMLAH]]="","",(NOTA[[#This Row],[JUMLAH]]-NOTA[[#This Row],[DISC 1-]])*NOTA[[#This Row],[DISC 2]])</f>
        <v>0</v>
      </c>
      <c r="Z611" s="51">
        <f>IF(NOTA[[#This Row],[JUMLAH]]="","",NOTA[[#This Row],[DISC 1-]]+NOTA[[#This Row],[DISC 2-]])</f>
        <v>0</v>
      </c>
      <c r="AA611" s="51">
        <f>IF(NOTA[[#This Row],[JUMLAH]]="","",NOTA[[#This Row],[JUMLAH]]-NOTA[[#This Row],[DISC]])</f>
        <v>11362000</v>
      </c>
      <c r="AB611" s="51"/>
      <c r="AC6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15832000</v>
      </c>
      <c r="AE611" s="42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F611" s="51">
        <f>IF(OR(NOTA[[#This Row],[QTY]]="",NOTA[[#This Row],[HARGA SATUAN]]="",),"",NOTA[[#This Row],[QTY]]*NOTA[[#This Row],[HARGA SATUAN]])</f>
        <v>11362000</v>
      </c>
      <c r="AG611" s="40">
        <f ca="1">IF(NOTA[ID_H]="","",INDEX(NOTA[TANGGAL],MATCH(,INDIRECT(ADDRESS(ROW(NOTA[TANGGAL]),COLUMN(NOTA[TANGGAL]))&amp;":"&amp;ADDRESS(ROW(),COLUMN(NOTA[TANGGAL]))),-1)))</f>
        <v>45131</v>
      </c>
      <c r="AH611" s="42" t="str">
        <f ca="1">IF(NOTA[[#This Row],[NAMA BARANG]]="","",INDEX(NOTA[SUPPLIER],MATCH(,INDIRECT(ADDRESS(ROW(NOTA[ID]),COLUMN(NOTA[ID]))&amp;":"&amp;ADDRESS(ROW(),COLUMN(NOTA[ID]))),-1)))</f>
        <v>KUNCI MATAHARI</v>
      </c>
      <c r="AI611" s="42" t="str">
        <f ca="1">IF(NOTA[[#This Row],[ID_H]]="","",IF(NOTA[[#This Row],[FAKTUR]]="",INDIRECT(ADDRESS(ROW()-1,COLUMN())),NOTA[[#This Row],[FAKTUR]]))</f>
        <v>ARTO MORO</v>
      </c>
      <c r="AJ611" s="39" t="str">
        <f ca="1">IF(NOTA[[#This Row],[ID]]="","",COUNTIF(NOTA[ID_H],NOTA[[#This Row],[ID_H]]))</f>
        <v/>
      </c>
      <c r="AK611" s="39">
        <f ca="1">IF(NOTA[[#This Row],[TGL.NOTA]]="",IF(NOTA[[#This Row],[SUPPLIER_H]]="","",AK610),MONTH(NOTA[[#This Row],[TGL.NOTA]]))</f>
        <v>7</v>
      </c>
      <c r="AL611" s="39" t="str">
        <f>LOWER(SUBSTITUTE(SUBSTITUTE(SUBSTITUTE(SUBSTITUTE(SUBSTITUTE(SUBSTITUTE(SUBSTITUTE(SUBSTITUTE(SUBSTITUTE(NOTA[NAMA BARANG]," ",),".",""),"-",""),"(",""),")",""),",",""),"/",""),"""",""),"+",""))</f>
        <v>kartustockfolio</v>
      </c>
      <c r="AM6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N6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O6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39" t="str">
        <f>IF(NOTA[[#This Row],[CONCAT4]]="","",_xlfn.IFNA(MATCH(NOTA[[#This Row],[CONCAT4]],[2]!RAW[CONCAT_H],0),FALSE))</f>
        <v/>
      </c>
      <c r="AQ611" s="39">
        <f>IF(NOTA[[#This Row],[CONCAT1]]="","",MATCH(NOTA[[#This Row],[CONCAT1]],[3]!db[NB NOTA_C],0))</f>
        <v>1391</v>
      </c>
      <c r="AR611" s="39" t="b">
        <f>IF(NOTA[[#This Row],[QTY/ CTN]]="","",TRUE)</f>
        <v>1</v>
      </c>
      <c r="AS611" s="39" t="str">
        <f ca="1">IF(NOTA[[#This Row],[ID_H]]="","",IF(NOTA[[#This Row],[Column3]]=TRUE,NOTA[[#This Row],[QTY/ CTN]],INDEX([3]!db[QTY/ CTN],NOTA[[#This Row],[//DB]])))</f>
        <v>10 PAK</v>
      </c>
      <c r="AT6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U611" s="39" t="e">
        <f ca="1">IF(NOTA[[#This Row],[ID_H]]="","",MATCH(NOTA[[#This Row],[NB NOTA_C_QTY]],[4]!db[NB NOTA_C_QTY+F],0))</f>
        <v>#REF!</v>
      </c>
      <c r="AV611" s="55">
        <f ca="1">IF(NOTA[[#This Row],[NB NOTA_C_QTY]]="","",ROW()-2)</f>
        <v>609</v>
      </c>
    </row>
    <row r="612" spans="1:48" ht="20.100000000000001" customHeight="1" x14ac:dyDescent="0.25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39" t="str">
        <f>IF(NOTA[[#This Row],[ID_P]]="","",MATCH(NOTA[[#This Row],[ID_P]],[1]!B_MSK[N_ID],0))</f>
        <v/>
      </c>
      <c r="D612" s="39" t="str">
        <f ca="1">IF(NOTA[[#This Row],[NAMA BARANG]]="","",INDEX(NOTA[ID],MATCH(,INDIRECT(ADDRESS(ROW(NOTA[ID]),COLUMN(NOTA[ID]))&amp;":"&amp;ADDRESS(ROW(),COLUMN(NOTA[ID]))),-1)))</f>
        <v/>
      </c>
      <c r="E612" s="47"/>
      <c r="H612" s="48"/>
      <c r="N612" s="39"/>
      <c r="Q612" s="43"/>
      <c r="R612" s="49"/>
      <c r="S612" s="50"/>
      <c r="U612" s="51"/>
      <c r="V612" s="46"/>
      <c r="W612" s="51" t="str">
        <f>IF(NOTA[[#This Row],[HARGA/ CTN]]="",NOTA[[#This Row],[JUMLAH_H]],NOTA[[#This Row],[HARGA/ CTN]]*IF(NOTA[[#This Row],[C]]="",0,NOTA[[#This Row],[C]]))</f>
        <v/>
      </c>
      <c r="X612" s="51" t="str">
        <f>IF(NOTA[[#This Row],[JUMLAH]]="","",NOTA[[#This Row],[JUMLAH]]*NOTA[[#This Row],[DISC 1]])</f>
        <v/>
      </c>
      <c r="Y612" s="51" t="str">
        <f>IF(NOTA[[#This Row],[JUMLAH]]="","",(NOTA[[#This Row],[JUMLAH]]-NOTA[[#This Row],[DISC 1-]])*NOTA[[#This Row],[DISC 2]])</f>
        <v/>
      </c>
      <c r="Z612" s="51" t="str">
        <f>IF(NOTA[[#This Row],[JUMLAH]]="","",NOTA[[#This Row],[DISC 1-]]+NOTA[[#This Row],[DISC 2-]])</f>
        <v/>
      </c>
      <c r="AA612" s="51" t="str">
        <f>IF(NOTA[[#This Row],[JUMLAH]]="","",NOTA[[#This Row],[JUMLAH]]-NOTA[[#This Row],[DISC]])</f>
        <v/>
      </c>
      <c r="AB612" s="51"/>
      <c r="AC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51" t="str">
        <f>IF(OR(NOTA[[#This Row],[QTY]]="",NOTA[[#This Row],[HARGA SATUAN]]="",),"",NOTA[[#This Row],[QTY]]*NOTA[[#This Row],[HARGA SATUAN]])</f>
        <v/>
      </c>
      <c r="AG612" s="40" t="str">
        <f ca="1">IF(NOTA[ID_H]="","",INDEX(NOTA[TANGGAL],MATCH(,INDIRECT(ADDRESS(ROW(NOTA[TANGGAL]),COLUMN(NOTA[TANGGAL]))&amp;":"&amp;ADDRESS(ROW(),COLUMN(NOTA[TANGGAL]))),-1)))</f>
        <v/>
      </c>
      <c r="AH612" s="42" t="str">
        <f ca="1">IF(NOTA[[#This Row],[NAMA BARANG]]="","",INDEX(NOTA[SUPPLIER],MATCH(,INDIRECT(ADDRESS(ROW(NOTA[ID]),COLUMN(NOTA[ID]))&amp;":"&amp;ADDRESS(ROW(),COLUMN(NOTA[ID]))),-1)))</f>
        <v/>
      </c>
      <c r="AI612" s="42" t="str">
        <f ca="1">IF(NOTA[[#This Row],[ID_H]]="","",IF(NOTA[[#This Row],[FAKTUR]]="",INDIRECT(ADDRESS(ROW()-1,COLUMN())),NOTA[[#This Row],[FAKTUR]]))</f>
        <v/>
      </c>
      <c r="AJ612" s="39" t="str">
        <f ca="1">IF(NOTA[[#This Row],[ID]]="","",COUNTIF(NOTA[ID_H],NOTA[[#This Row],[ID_H]]))</f>
        <v/>
      </c>
      <c r="AK612" s="39" t="str">
        <f ca="1">IF(NOTA[[#This Row],[TGL.NOTA]]="",IF(NOTA[[#This Row],[SUPPLIER_H]]="","",AK611),MONTH(NOTA[[#This Row],[TGL.NOTA]]))</f>
        <v/>
      </c>
      <c r="AL612" s="39" t="str">
        <f>LOWER(SUBSTITUTE(SUBSTITUTE(SUBSTITUTE(SUBSTITUTE(SUBSTITUTE(SUBSTITUTE(SUBSTITUTE(SUBSTITUTE(SUBSTITUTE(NOTA[NAMA BARANG]," ",),".",""),"-",""),"(",""),")",""),",",""),"/",""),"""",""),"+",""))</f>
        <v/>
      </c>
      <c r="AM6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39" t="str">
        <f>IF(NOTA[[#This Row],[CONCAT4]]="","",_xlfn.IFNA(MATCH(NOTA[[#This Row],[CONCAT4]],[2]!RAW[CONCAT_H],0),FALSE))</f>
        <v/>
      </c>
      <c r="AQ612" s="39" t="str">
        <f>IF(NOTA[[#This Row],[CONCAT1]]="","",MATCH(NOTA[[#This Row],[CONCAT1]],[3]!db[NB NOTA_C],0))</f>
        <v/>
      </c>
      <c r="AR612" s="39" t="str">
        <f>IF(NOTA[[#This Row],[QTY/ CTN]]="","",TRUE)</f>
        <v/>
      </c>
      <c r="AS612" s="39" t="str">
        <f ca="1">IF(NOTA[[#This Row],[ID_H]]="","",IF(NOTA[[#This Row],[Column3]]=TRUE,NOTA[[#This Row],[QTY/ CTN]],INDEX([3]!db[QTY/ CTN],NOTA[[#This Row],[//DB]])))</f>
        <v/>
      </c>
      <c r="AT6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39" t="str">
        <f ca="1">IF(NOTA[[#This Row],[ID_H]]="","",MATCH(NOTA[[#This Row],[NB NOTA_C_QTY]],[4]!db[NB NOTA_C_QTY+F],0))</f>
        <v/>
      </c>
      <c r="AV612" s="55" t="str">
        <f ca="1">IF(NOTA[[#This Row],[NB NOTA_C_QTY]]="","",ROW()-2)</f>
        <v/>
      </c>
    </row>
    <row r="613" spans="1:48" ht="20.100000000000001" customHeight="1" x14ac:dyDescent="0.25">
      <c r="A613" s="4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HAN_2407_330-2</v>
      </c>
      <c r="C613" s="39" t="e">
        <f ca="1">IF(NOTA[[#This Row],[ID_P]]="","",MATCH(NOTA[[#This Row],[ID_P]],[1]!B_MSK[N_ID],0))</f>
        <v>#REF!</v>
      </c>
      <c r="D613" s="39">
        <f ca="1">IF(NOTA[[#This Row],[NAMA BARANG]]="","",INDEX(NOTA[ID],MATCH(,INDIRECT(ADDRESS(ROW(NOTA[ID]),COLUMN(NOTA[ID]))&amp;":"&amp;ADDRESS(ROW(),COLUMN(NOTA[ID]))),-1)))</f>
        <v>120</v>
      </c>
      <c r="E613" s="47"/>
      <c r="F613" s="38" t="s">
        <v>193</v>
      </c>
      <c r="G613" s="38" t="s">
        <v>145</v>
      </c>
      <c r="H613" s="48" t="s">
        <v>700</v>
      </c>
      <c r="J613" s="40">
        <v>45131</v>
      </c>
      <c r="L613" s="38" t="s">
        <v>701</v>
      </c>
      <c r="N613" s="39">
        <v>4</v>
      </c>
      <c r="O613" s="38" t="s">
        <v>152</v>
      </c>
      <c r="P613" s="42">
        <v>13000</v>
      </c>
      <c r="Q613" s="43"/>
      <c r="R613" s="49"/>
      <c r="S613" s="50"/>
      <c r="U613" s="51"/>
      <c r="V613" s="46" t="s">
        <v>702</v>
      </c>
      <c r="W613" s="51">
        <f>IF(NOTA[[#This Row],[HARGA/ CTN]]="",NOTA[[#This Row],[JUMLAH_H]],NOTA[[#This Row],[HARGA/ CTN]]*IF(NOTA[[#This Row],[C]]="",0,NOTA[[#This Row],[C]]))</f>
        <v>52000</v>
      </c>
      <c r="X613" s="51">
        <f>IF(NOTA[[#This Row],[JUMLAH]]="","",NOTA[[#This Row],[JUMLAH]]*NOTA[[#This Row],[DISC 1]])</f>
        <v>0</v>
      </c>
      <c r="Y613" s="51">
        <f>IF(NOTA[[#This Row],[JUMLAH]]="","",(NOTA[[#This Row],[JUMLAH]]-NOTA[[#This Row],[DISC 1-]])*NOTA[[#This Row],[DISC 2]])</f>
        <v>0</v>
      </c>
      <c r="Z613" s="51">
        <f>IF(NOTA[[#This Row],[JUMLAH]]="","",NOTA[[#This Row],[DISC 1-]]+NOTA[[#This Row],[DISC 2-]])</f>
        <v>0</v>
      </c>
      <c r="AA613" s="51">
        <f>IF(NOTA[[#This Row],[JUMLAH]]="","",NOTA[[#This Row],[JUMLAH]]-NOTA[[#This Row],[DISC]])</f>
        <v>52000</v>
      </c>
      <c r="AB613" s="51"/>
      <c r="AC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4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613" s="51">
        <f>IF(OR(NOTA[[#This Row],[QTY]]="",NOTA[[#This Row],[HARGA SATUAN]]="",),"",NOTA[[#This Row],[QTY]]*NOTA[[#This Row],[HARGA SATUAN]])</f>
        <v>52000</v>
      </c>
      <c r="AG613" s="40">
        <f ca="1">IF(NOTA[ID_H]="","",INDEX(NOTA[TANGGAL],MATCH(,INDIRECT(ADDRESS(ROW(NOTA[TANGGAL]),COLUMN(NOTA[TANGGAL]))&amp;":"&amp;ADDRESS(ROW(),COLUMN(NOTA[TANGGAL]))),-1)))</f>
        <v>45131</v>
      </c>
      <c r="AH613" s="42" t="str">
        <f ca="1">IF(NOTA[[#This Row],[NAMA BARANG]]="","",INDEX(NOTA[SUPPLIER],MATCH(,INDIRECT(ADDRESS(ROW(NOTA[ID]),COLUMN(NOTA[ID]))&amp;":"&amp;ADDRESS(ROW(),COLUMN(NOTA[ID]))),-1)))</f>
        <v>HANSA</v>
      </c>
      <c r="AI613" s="42" t="str">
        <f ca="1">IF(NOTA[[#This Row],[ID_H]]="","",IF(NOTA[[#This Row],[FAKTUR]]="",INDIRECT(ADDRESS(ROW()-1,COLUMN())),NOTA[[#This Row],[FAKTUR]]))</f>
        <v>UNTANA</v>
      </c>
      <c r="AJ613" s="39">
        <f ca="1">IF(NOTA[[#This Row],[ID]]="","",COUNTIF(NOTA[ID_H],NOTA[[#This Row],[ID_H]]))</f>
        <v>2</v>
      </c>
      <c r="AK613" s="39">
        <f>IF(NOTA[[#This Row],[TGL.NOTA]]="",IF(NOTA[[#This Row],[SUPPLIER_H]]="","",AK612),MONTH(NOTA[[#This Row],[TGL.NOTA]]))</f>
        <v>7</v>
      </c>
      <c r="AL613" s="39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6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6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613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HANSAUNTANAHN07202333045131lilinangkashintoeng</v>
      </c>
      <c r="AP613" s="39" t="e">
        <f>IF(NOTA[[#This Row],[CONCAT4]]="","",_xlfn.IFNA(MATCH(NOTA[[#This Row],[CONCAT4]],[2]!RAW[CONCAT_H],0),FALSE))</f>
        <v>#REF!</v>
      </c>
      <c r="AQ613" s="39">
        <f>IF(NOTA[[#This Row],[CONCAT1]]="","",MATCH(NOTA[[#This Row],[CONCAT1]],[3]!db[NB NOTA_C],0))</f>
        <v>1521</v>
      </c>
      <c r="AR613" s="39" t="str">
        <f>IF(NOTA[[#This Row],[QTY/ CTN]]="","",TRUE)</f>
        <v/>
      </c>
      <c r="AS613" s="39" t="str">
        <f ca="1">IF(NOTA[[#This Row],[ID_H]]="","",IF(NOTA[[#This Row],[Column3]]=TRUE,NOTA[[#This Row],[QTY/ CTN]],INDEX([3]!db[QTY/ CTN],NOTA[[#This Row],[//DB]])))</f>
        <v>100 LSN</v>
      </c>
      <c r="AT6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U613" s="39" t="e">
        <f ca="1">IF(NOTA[[#This Row],[ID_H]]="","",MATCH(NOTA[[#This Row],[NB NOTA_C_QTY]],[4]!db[NB NOTA_C_QTY+F],0))</f>
        <v>#REF!</v>
      </c>
      <c r="AV613" s="55">
        <f ca="1">IF(NOTA[[#This Row],[NB NOTA_C_QTY]]="","",ROW()-2)</f>
        <v>611</v>
      </c>
    </row>
    <row r="614" spans="1:48" ht="20.100000000000001" customHeight="1" x14ac:dyDescent="0.25">
      <c r="A6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39" t="str">
        <f>IF(NOTA[[#This Row],[ID_P]]="","",MATCH(NOTA[[#This Row],[ID_P]],[1]!B_MSK[N_ID],0))</f>
        <v/>
      </c>
      <c r="D614" s="39">
        <f ca="1">IF(NOTA[[#This Row],[NAMA BARANG]]="","",INDEX(NOTA[ID],MATCH(,INDIRECT(ADDRESS(ROW(NOTA[ID]),COLUMN(NOTA[ID]))&amp;":"&amp;ADDRESS(ROW(),COLUMN(NOTA[ID]))),-1)))</f>
        <v>120</v>
      </c>
      <c r="E614" s="47"/>
      <c r="H614" s="48"/>
      <c r="L614" s="38" t="s">
        <v>701</v>
      </c>
      <c r="N614" s="39">
        <v>4</v>
      </c>
      <c r="O614" s="38" t="s">
        <v>152</v>
      </c>
      <c r="P614" s="42">
        <v>13000</v>
      </c>
      <c r="Q614" s="43"/>
      <c r="R614" s="49"/>
      <c r="S614" s="50"/>
      <c r="U614" s="51"/>
      <c r="V614" s="46" t="s">
        <v>703</v>
      </c>
      <c r="W614" s="51">
        <f>IF(NOTA[[#This Row],[HARGA/ CTN]]="",NOTA[[#This Row],[JUMLAH_H]],NOTA[[#This Row],[HARGA/ CTN]]*IF(NOTA[[#This Row],[C]]="",0,NOTA[[#This Row],[C]]))</f>
        <v>52000</v>
      </c>
      <c r="X614" s="51">
        <f>IF(NOTA[[#This Row],[JUMLAH]]="","",NOTA[[#This Row],[JUMLAH]]*NOTA[[#This Row],[DISC 1]])</f>
        <v>0</v>
      </c>
      <c r="Y614" s="51">
        <f>IF(NOTA[[#This Row],[JUMLAH]]="","",(NOTA[[#This Row],[JUMLAH]]-NOTA[[#This Row],[DISC 1-]])*NOTA[[#This Row],[DISC 2]])</f>
        <v>0</v>
      </c>
      <c r="Z614" s="51">
        <f>IF(NOTA[[#This Row],[JUMLAH]]="","",NOTA[[#This Row],[DISC 1-]]+NOTA[[#This Row],[DISC 2-]])</f>
        <v>0</v>
      </c>
      <c r="AA614" s="51">
        <f>IF(NOTA[[#This Row],[JUMLAH]]="","",NOTA[[#This Row],[JUMLAH]]-NOTA[[#This Row],[DISC]])</f>
        <v>52000</v>
      </c>
      <c r="AB614" s="51"/>
      <c r="AC6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E614" s="4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614" s="51">
        <f>IF(OR(NOTA[[#This Row],[QTY]]="",NOTA[[#This Row],[HARGA SATUAN]]="",),"",NOTA[[#This Row],[QTY]]*NOTA[[#This Row],[HARGA SATUAN]])</f>
        <v>52000</v>
      </c>
      <c r="AG614" s="40">
        <f ca="1">IF(NOTA[ID_H]="","",INDEX(NOTA[TANGGAL],MATCH(,INDIRECT(ADDRESS(ROW(NOTA[TANGGAL]),COLUMN(NOTA[TANGGAL]))&amp;":"&amp;ADDRESS(ROW(),COLUMN(NOTA[TANGGAL]))),-1)))</f>
        <v>45131</v>
      </c>
      <c r="AH614" s="42" t="str">
        <f ca="1">IF(NOTA[[#This Row],[NAMA BARANG]]="","",INDEX(NOTA[SUPPLIER],MATCH(,INDIRECT(ADDRESS(ROW(NOTA[ID]),COLUMN(NOTA[ID]))&amp;":"&amp;ADDRESS(ROW(),COLUMN(NOTA[ID]))),-1)))</f>
        <v>HANSA</v>
      </c>
      <c r="AI614" s="42" t="str">
        <f ca="1">IF(NOTA[[#This Row],[ID_H]]="","",IF(NOTA[[#This Row],[FAKTUR]]="",INDIRECT(ADDRESS(ROW()-1,COLUMN())),NOTA[[#This Row],[FAKTUR]]))</f>
        <v>UNTANA</v>
      </c>
      <c r="AJ614" s="39" t="str">
        <f ca="1">IF(NOTA[[#This Row],[ID]]="","",COUNTIF(NOTA[ID_H],NOTA[[#This Row],[ID_H]]))</f>
        <v/>
      </c>
      <c r="AK614" s="39">
        <f ca="1">IF(NOTA[[#This Row],[TGL.NOTA]]="",IF(NOTA[[#This Row],[SUPPLIER_H]]="","",AK613),MONTH(NOTA[[#This Row],[TGL.NOTA]]))</f>
        <v>7</v>
      </c>
      <c r="AL614" s="39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6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6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6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39" t="str">
        <f>IF(NOTA[[#This Row],[CONCAT4]]="","",_xlfn.IFNA(MATCH(NOTA[[#This Row],[CONCAT4]],[2]!RAW[CONCAT_H],0),FALSE))</f>
        <v/>
      </c>
      <c r="AQ614" s="39">
        <f>IF(NOTA[[#This Row],[CONCAT1]]="","",MATCH(NOTA[[#This Row],[CONCAT1]],[3]!db[NB NOTA_C],0))</f>
        <v>1521</v>
      </c>
      <c r="AR614" s="39" t="str">
        <f>IF(NOTA[[#This Row],[QTY/ CTN]]="","",TRUE)</f>
        <v/>
      </c>
      <c r="AS614" s="39" t="str">
        <f ca="1">IF(NOTA[[#This Row],[ID_H]]="","",IF(NOTA[[#This Row],[Column3]]=TRUE,NOTA[[#This Row],[QTY/ CTN]],INDEX([3]!db[QTY/ CTN],NOTA[[#This Row],[//DB]])))</f>
        <v>100 LSN</v>
      </c>
      <c r="AT6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U614" s="39" t="e">
        <f ca="1">IF(NOTA[[#This Row],[ID_H]]="","",MATCH(NOTA[[#This Row],[NB NOTA_C_QTY]],[4]!db[NB NOTA_C_QTY+F],0))</f>
        <v>#REF!</v>
      </c>
      <c r="AV614" s="55">
        <f ca="1">IF(NOTA[[#This Row],[NB NOTA_C_QTY]]="","",ROW()-2)</f>
        <v>612</v>
      </c>
    </row>
    <row r="615" spans="1:48" ht="20.100000000000001" customHeight="1" x14ac:dyDescent="0.25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39" t="str">
        <f>IF(NOTA[[#This Row],[ID_P]]="","",MATCH(NOTA[[#This Row],[ID_P]],[1]!B_MSK[N_ID],0))</f>
        <v/>
      </c>
      <c r="D615" s="39" t="str">
        <f ca="1">IF(NOTA[[#This Row],[NAMA BARANG]]="","",INDEX(NOTA[ID],MATCH(,INDIRECT(ADDRESS(ROW(NOTA[ID]),COLUMN(NOTA[ID]))&amp;":"&amp;ADDRESS(ROW(),COLUMN(NOTA[ID]))),-1)))</f>
        <v/>
      </c>
      <c r="E615" s="47"/>
      <c r="H615" s="48"/>
      <c r="N615" s="39"/>
      <c r="Q615" s="43"/>
      <c r="R615" s="49"/>
      <c r="S615" s="50"/>
      <c r="U615" s="51"/>
      <c r="V615" s="46"/>
      <c r="W615" s="51" t="str">
        <f>IF(NOTA[[#This Row],[HARGA/ CTN]]="",NOTA[[#This Row],[JUMLAH_H]],NOTA[[#This Row],[HARGA/ CTN]]*IF(NOTA[[#This Row],[C]]="",0,NOTA[[#This Row],[C]]))</f>
        <v/>
      </c>
      <c r="X615" s="51" t="str">
        <f>IF(NOTA[[#This Row],[JUMLAH]]="","",NOTA[[#This Row],[JUMLAH]]*NOTA[[#This Row],[DISC 1]])</f>
        <v/>
      </c>
      <c r="Y615" s="51" t="str">
        <f>IF(NOTA[[#This Row],[JUMLAH]]="","",(NOTA[[#This Row],[JUMLAH]]-NOTA[[#This Row],[DISC 1-]])*NOTA[[#This Row],[DISC 2]])</f>
        <v/>
      </c>
      <c r="Z615" s="51" t="str">
        <f>IF(NOTA[[#This Row],[JUMLAH]]="","",NOTA[[#This Row],[DISC 1-]]+NOTA[[#This Row],[DISC 2-]])</f>
        <v/>
      </c>
      <c r="AA615" s="51" t="str">
        <f>IF(NOTA[[#This Row],[JUMLAH]]="","",NOTA[[#This Row],[JUMLAH]]-NOTA[[#This Row],[DISC]])</f>
        <v/>
      </c>
      <c r="AB615" s="51"/>
      <c r="AC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51" t="str">
        <f>IF(OR(NOTA[[#This Row],[QTY]]="",NOTA[[#This Row],[HARGA SATUAN]]="",),"",NOTA[[#This Row],[QTY]]*NOTA[[#This Row],[HARGA SATUAN]])</f>
        <v/>
      </c>
      <c r="AG615" s="40" t="str">
        <f ca="1">IF(NOTA[ID_H]="","",INDEX(NOTA[TANGGAL],MATCH(,INDIRECT(ADDRESS(ROW(NOTA[TANGGAL]),COLUMN(NOTA[TANGGAL]))&amp;":"&amp;ADDRESS(ROW(),COLUMN(NOTA[TANGGAL]))),-1)))</f>
        <v/>
      </c>
      <c r="AH615" s="42" t="str">
        <f ca="1">IF(NOTA[[#This Row],[NAMA BARANG]]="","",INDEX(NOTA[SUPPLIER],MATCH(,INDIRECT(ADDRESS(ROW(NOTA[ID]),COLUMN(NOTA[ID]))&amp;":"&amp;ADDRESS(ROW(),COLUMN(NOTA[ID]))),-1)))</f>
        <v/>
      </c>
      <c r="AI615" s="42" t="str">
        <f ca="1">IF(NOTA[[#This Row],[ID_H]]="","",IF(NOTA[[#This Row],[FAKTUR]]="",INDIRECT(ADDRESS(ROW()-1,COLUMN())),NOTA[[#This Row],[FAKTUR]]))</f>
        <v/>
      </c>
      <c r="AJ615" s="39" t="str">
        <f ca="1">IF(NOTA[[#This Row],[ID]]="","",COUNTIF(NOTA[ID_H],NOTA[[#This Row],[ID_H]]))</f>
        <v/>
      </c>
      <c r="AK615" s="39" t="str">
        <f ca="1">IF(NOTA[[#This Row],[TGL.NOTA]]="",IF(NOTA[[#This Row],[SUPPLIER_H]]="","",AK614),MONTH(NOTA[[#This Row],[TGL.NOTA]]))</f>
        <v/>
      </c>
      <c r="AL615" s="39" t="str">
        <f>LOWER(SUBSTITUTE(SUBSTITUTE(SUBSTITUTE(SUBSTITUTE(SUBSTITUTE(SUBSTITUTE(SUBSTITUTE(SUBSTITUTE(SUBSTITUTE(NOTA[NAMA BARANG]," ",),".",""),"-",""),"(",""),")",""),",",""),"/",""),"""",""),"+",""))</f>
        <v/>
      </c>
      <c r="AM6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39" t="str">
        <f>IF(NOTA[[#This Row],[CONCAT4]]="","",_xlfn.IFNA(MATCH(NOTA[[#This Row],[CONCAT4]],[2]!RAW[CONCAT_H],0),FALSE))</f>
        <v/>
      </c>
      <c r="AQ615" s="39" t="str">
        <f>IF(NOTA[[#This Row],[CONCAT1]]="","",MATCH(NOTA[[#This Row],[CONCAT1]],[3]!db[NB NOTA_C],0))</f>
        <v/>
      </c>
      <c r="AR615" s="39" t="str">
        <f>IF(NOTA[[#This Row],[QTY/ CTN]]="","",TRUE)</f>
        <v/>
      </c>
      <c r="AS615" s="39" t="str">
        <f ca="1">IF(NOTA[[#This Row],[ID_H]]="","",IF(NOTA[[#This Row],[Column3]]=TRUE,NOTA[[#This Row],[QTY/ CTN]],INDEX([3]!db[QTY/ CTN],NOTA[[#This Row],[//DB]])))</f>
        <v/>
      </c>
      <c r="AT6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39" t="str">
        <f ca="1">IF(NOTA[[#This Row],[ID_H]]="","",MATCH(NOTA[[#This Row],[NB NOTA_C_QTY]],[4]!db[NB NOTA_C_QTY+F],0))</f>
        <v/>
      </c>
      <c r="AV615" s="55" t="str">
        <f ca="1">IF(NOTA[[#This Row],[NB NOTA_C_QTY]]="","",ROW()-2)</f>
        <v/>
      </c>
    </row>
    <row r="616" spans="1:48" ht="20.100000000000001" customHeight="1" x14ac:dyDescent="0.25">
      <c r="A616" s="4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KAW_2407_-1</v>
      </c>
      <c r="C616" s="39" t="e">
        <f ca="1">IF(NOTA[[#This Row],[ID_P]]="","",MATCH(NOTA[[#This Row],[ID_P]],[1]!B_MSK[N_ID],0))</f>
        <v>#REF!</v>
      </c>
      <c r="D616" s="39">
        <f ca="1">IF(NOTA[[#This Row],[NAMA BARANG]]="","",INDEX(NOTA[ID],MATCH(,INDIRECT(ADDRESS(ROW(NOTA[ID]),COLUMN(NOTA[ID]))&amp;":"&amp;ADDRESS(ROW(),COLUMN(NOTA[ID]))),-1)))</f>
        <v>121</v>
      </c>
      <c r="E616" s="47"/>
      <c r="F616" s="38" t="s">
        <v>608</v>
      </c>
      <c r="G616" s="38" t="s">
        <v>145</v>
      </c>
      <c r="H616" s="48"/>
      <c r="J616" s="40">
        <v>45129</v>
      </c>
      <c r="L616" s="38" t="s">
        <v>609</v>
      </c>
      <c r="M616" s="41">
        <v>44</v>
      </c>
      <c r="N616" s="39">
        <f>10*44</f>
        <v>440</v>
      </c>
      <c r="O616" s="38" t="s">
        <v>117</v>
      </c>
      <c r="P616" s="42">
        <v>47500</v>
      </c>
      <c r="Q616" s="43"/>
      <c r="R616" s="49" t="s">
        <v>150</v>
      </c>
      <c r="S616" s="50"/>
      <c r="U616" s="51"/>
      <c r="V616" s="46" t="s">
        <v>704</v>
      </c>
      <c r="W616" s="51">
        <f>IF(NOTA[[#This Row],[HARGA/ CTN]]="",NOTA[[#This Row],[JUMLAH_H]],NOTA[[#This Row],[HARGA/ CTN]]*IF(NOTA[[#This Row],[C]]="",0,NOTA[[#This Row],[C]]))</f>
        <v>20900000</v>
      </c>
      <c r="X616" s="51">
        <f>IF(NOTA[[#This Row],[JUMLAH]]="","",NOTA[[#This Row],[JUMLAH]]*NOTA[[#This Row],[DISC 1]])</f>
        <v>0</v>
      </c>
      <c r="Y616" s="51">
        <f>IF(NOTA[[#This Row],[JUMLAH]]="","",(NOTA[[#This Row],[JUMLAH]]-NOTA[[#This Row],[DISC 1-]])*NOTA[[#This Row],[DISC 2]])</f>
        <v>0</v>
      </c>
      <c r="Z616" s="51">
        <f>IF(NOTA[[#This Row],[JUMLAH]]="","",NOTA[[#This Row],[DISC 1-]]+NOTA[[#This Row],[DISC 2-]])</f>
        <v>0</v>
      </c>
      <c r="AA616" s="51">
        <f>IF(NOTA[[#This Row],[JUMLAH]]="","",NOTA[[#This Row],[JUMLAH]]-NOTA[[#This Row],[DISC]])</f>
        <v>20900000</v>
      </c>
      <c r="AB616" s="51"/>
      <c r="AC6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6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616" s="51">
        <f>IF(OR(NOTA[[#This Row],[QTY]]="",NOTA[[#This Row],[HARGA SATUAN]]="",),"",NOTA[[#This Row],[QTY]]*NOTA[[#This Row],[HARGA SATUAN]])</f>
        <v>20900000</v>
      </c>
      <c r="AG616" s="40">
        <f ca="1">IF(NOTA[ID_H]="","",INDEX(NOTA[TANGGAL],MATCH(,INDIRECT(ADDRESS(ROW(NOTA[TANGGAL]),COLUMN(NOTA[TANGGAL]))&amp;":"&amp;ADDRESS(ROW(),COLUMN(NOTA[TANGGAL]))),-1)))</f>
        <v>45131</v>
      </c>
      <c r="AH616" s="42" t="str">
        <f ca="1">IF(NOTA[[#This Row],[NAMA BARANG]]="","",INDEX(NOTA[SUPPLIER],MATCH(,INDIRECT(ADDRESS(ROW(NOTA[ID]),COLUMN(NOTA[ID]))&amp;":"&amp;ADDRESS(ROW(),COLUMN(NOTA[ID]))),-1)))</f>
        <v>KAWAN SETIA</v>
      </c>
      <c r="AI616" s="42" t="str">
        <f ca="1">IF(NOTA[[#This Row],[ID_H]]="","",IF(NOTA[[#This Row],[FAKTUR]]="",INDIRECT(ADDRESS(ROW()-1,COLUMN())),NOTA[[#This Row],[FAKTUR]]))</f>
        <v>UNTANA</v>
      </c>
      <c r="AJ616" s="39">
        <f ca="1">IF(NOTA[[#This Row],[ID]]="","",COUNTIF(NOTA[ID_H],NOTA[[#This Row],[ID_H]]))</f>
        <v>1</v>
      </c>
      <c r="AK616" s="39">
        <f>IF(NOTA[[#This Row],[TGL.NOTA]]="",IF(NOTA[[#This Row],[SUPPLIER_H]]="","",AK615),MONTH(NOTA[[#This Row],[TGL.NOTA]]))</f>
        <v>7</v>
      </c>
      <c r="AL6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6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6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6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SETIAUNTANA45129mejakarakter</v>
      </c>
      <c r="AP616" s="39" t="e">
        <f>IF(NOTA[[#This Row],[CONCAT4]]="","",_xlfn.IFNA(MATCH(NOTA[[#This Row],[CONCAT4]],[2]!RAW[CONCAT_H],0),FALSE))</f>
        <v>#REF!</v>
      </c>
      <c r="AQ616" s="39">
        <f>IF(NOTA[[#This Row],[CONCAT1]]="","",MATCH(NOTA[[#This Row],[CONCAT1]],[3]!db[NB NOTA_C],0))</f>
        <v>1722</v>
      </c>
      <c r="AR616" s="39" t="b">
        <f>IF(NOTA[[#This Row],[QTY/ CTN]]="","",TRUE)</f>
        <v>1</v>
      </c>
      <c r="AS616" s="39" t="str">
        <f ca="1">IF(NOTA[[#This Row],[ID_H]]="","",IF(NOTA[[#This Row],[Column3]]=TRUE,NOTA[[#This Row],[QTY/ CTN]],INDEX([3]!db[QTY/ CTN],NOTA[[#This Row],[//DB]])))</f>
        <v>10 PCS</v>
      </c>
      <c r="AT6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616" s="39" t="e">
        <f ca="1">IF(NOTA[[#This Row],[ID_H]]="","",MATCH(NOTA[[#This Row],[NB NOTA_C_QTY]],[4]!db[NB NOTA_C_QTY+F],0))</f>
        <v>#REF!</v>
      </c>
      <c r="AV616" s="55">
        <f ca="1">IF(NOTA[[#This Row],[NB NOTA_C_QTY]]="","",ROW()-2)</f>
        <v>614</v>
      </c>
    </row>
    <row r="617" spans="1:48" ht="20.100000000000001" customHeight="1" x14ac:dyDescent="0.25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47"/>
      <c r="H617" s="48"/>
      <c r="N617" s="39"/>
      <c r="Q617" s="43"/>
      <c r="R617" s="49"/>
      <c r="S617" s="50"/>
      <c r="U617" s="51"/>
      <c r="V617" s="46"/>
      <c r="W617" s="51" t="str">
        <f>IF(NOTA[[#This Row],[HARGA/ CTN]]="",NOTA[[#This Row],[JUMLAH_H]],NOTA[[#This Row],[HARGA/ CTN]]*IF(NOTA[[#This Row],[C]]="",0,NOTA[[#This Row],[C]]))</f>
        <v/>
      </c>
      <c r="X617" s="51" t="str">
        <f>IF(NOTA[[#This Row],[JUMLAH]]="","",NOTA[[#This Row],[JUMLAH]]*NOTA[[#This Row],[DISC 1]])</f>
        <v/>
      </c>
      <c r="Y617" s="51" t="str">
        <f>IF(NOTA[[#This Row],[JUMLAH]]="","",(NOTA[[#This Row],[JUMLAH]]-NOTA[[#This Row],[DISC 1-]])*NOTA[[#This Row],[DISC 2]])</f>
        <v/>
      </c>
      <c r="Z617" s="51" t="str">
        <f>IF(NOTA[[#This Row],[JUMLAH]]="","",NOTA[[#This Row],[DISC 1-]]+NOTA[[#This Row],[DISC 2-]])</f>
        <v/>
      </c>
      <c r="AA617" s="51" t="str">
        <f>IF(NOTA[[#This Row],[JUMLAH]]="","",NOTA[[#This Row],[JUMLAH]]-NOTA[[#This Row],[DISC]])</f>
        <v/>
      </c>
      <c r="AB617" s="51"/>
      <c r="AC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51" t="str">
        <f>IF(OR(NOTA[[#This Row],[QTY]]="",NOTA[[#This Row],[HARGA SATUAN]]="",),"",NOTA[[#This Row],[QTY]]*NOTA[[#This Row],[HARGA SATUAN]])</f>
        <v/>
      </c>
      <c r="AG617" s="40" t="str">
        <f ca="1">IF(NOTA[ID_H]="","",INDEX(NOTA[TANGGAL],MATCH(,INDIRECT(ADDRESS(ROW(NOTA[TANGGAL]),COLUMN(NOTA[TANGGAL]))&amp;":"&amp;ADDRESS(ROW(),COLUMN(NOTA[TANGGAL]))),-1)))</f>
        <v/>
      </c>
      <c r="AH617" s="42" t="str">
        <f ca="1">IF(NOTA[[#This Row],[NAMA BARANG]]="","",INDEX(NOTA[SUPPLIER],MATCH(,INDIRECT(ADDRESS(ROW(NOTA[ID]),COLUMN(NOTA[ID]))&amp;":"&amp;ADDRESS(ROW(),COLUMN(NOTA[ID]))),-1)))</f>
        <v/>
      </c>
      <c r="AI617" s="42" t="str">
        <f ca="1">IF(NOTA[[#This Row],[ID_H]]="","",IF(NOTA[[#This Row],[FAKTUR]]="",INDIRECT(ADDRESS(ROW()-1,COLUMN())),NOTA[[#This Row],[FAKTUR]]))</f>
        <v/>
      </c>
      <c r="AJ617" s="39" t="str">
        <f ca="1">IF(NOTA[[#This Row],[ID]]="","",COUNTIF(NOTA[ID_H],NOTA[[#This Row],[ID_H]]))</f>
        <v/>
      </c>
      <c r="AK617" s="39" t="str">
        <f ca="1">IF(NOTA[[#This Row],[TGL.NOTA]]="",IF(NOTA[[#This Row],[SUPPLIER_H]]="","",AK616),MONTH(NOTA[[#This Row],[TGL.NOTA]]))</f>
        <v/>
      </c>
      <c r="AL617" s="39" t="str">
        <f>LOWER(SUBSTITUTE(SUBSTITUTE(SUBSTITUTE(SUBSTITUTE(SUBSTITUTE(SUBSTITUTE(SUBSTITUTE(SUBSTITUTE(SUBSTITUTE(NOTA[NAMA BARANG]," ",),".",""),"-",""),"(",""),")",""),",",""),"/",""),"""",""),"+",""))</f>
        <v/>
      </c>
      <c r="AM6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39" t="str">
        <f>IF(NOTA[[#This Row],[CONCAT4]]="","",_xlfn.IFNA(MATCH(NOTA[[#This Row],[CONCAT4]],[2]!RAW[CONCAT_H],0),FALSE))</f>
        <v/>
      </c>
      <c r="AQ617" s="39" t="str">
        <f>IF(NOTA[[#This Row],[CONCAT1]]="","",MATCH(NOTA[[#This Row],[CONCAT1]],[3]!db[NB NOTA_C],0))</f>
        <v/>
      </c>
      <c r="AR617" s="39" t="str">
        <f>IF(NOTA[[#This Row],[QTY/ CTN]]="","",TRUE)</f>
        <v/>
      </c>
      <c r="AS617" s="39" t="str">
        <f ca="1">IF(NOTA[[#This Row],[ID_H]]="","",IF(NOTA[[#This Row],[Column3]]=TRUE,NOTA[[#This Row],[QTY/ CTN]],INDEX([3]!db[QTY/ CTN],NOTA[[#This Row],[//DB]])))</f>
        <v/>
      </c>
      <c r="AT6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39" t="str">
        <f ca="1">IF(NOTA[[#This Row],[ID_H]]="","",MATCH(NOTA[[#This Row],[NB NOTA_C_QTY]],[4]!db[NB NOTA_C_QTY+F],0))</f>
        <v/>
      </c>
      <c r="AV617" s="55" t="str">
        <f ca="1">IF(NOTA[[#This Row],[NB NOTA_C_QTY]]="","",ROW()-2)</f>
        <v/>
      </c>
    </row>
    <row r="618" spans="1:48" ht="20.100000000000001" customHeight="1" x14ac:dyDescent="0.25">
      <c r="A618" s="4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GUN_2407_594-1</v>
      </c>
      <c r="C618" s="39" t="e">
        <f ca="1">IF(NOTA[[#This Row],[ID_P]]="","",MATCH(NOTA[[#This Row],[ID_P]],[1]!B_MSK[N_ID],0))</f>
        <v>#REF!</v>
      </c>
      <c r="D618" s="39">
        <f ca="1">IF(NOTA[[#This Row],[NAMA BARANG]]="","",INDEX(NOTA[ID],MATCH(,INDIRECT(ADDRESS(ROW(NOTA[ID]),COLUMN(NOTA[ID]))&amp;":"&amp;ADDRESS(ROW(),COLUMN(NOTA[ID]))),-1)))</f>
        <v>122</v>
      </c>
      <c r="E618" s="47"/>
      <c r="F618" s="38" t="s">
        <v>524</v>
      </c>
      <c r="G618" s="38" t="s">
        <v>145</v>
      </c>
      <c r="H618" s="48" t="s">
        <v>705</v>
      </c>
      <c r="J618" s="40">
        <v>45128</v>
      </c>
      <c r="K618" s="38">
        <v>5</v>
      </c>
      <c r="L618" s="38" t="s">
        <v>706</v>
      </c>
      <c r="M618" s="41">
        <v>5</v>
      </c>
      <c r="N618" s="39">
        <v>300</v>
      </c>
      <c r="O618" s="38" t="s">
        <v>152</v>
      </c>
      <c r="P618" s="42">
        <v>49200</v>
      </c>
      <c r="Q618" s="43"/>
      <c r="R618" s="49" t="s">
        <v>153</v>
      </c>
      <c r="S618" s="50">
        <v>0.05</v>
      </c>
      <c r="T618" s="45">
        <v>0.1</v>
      </c>
      <c r="U618" s="51"/>
      <c r="V618" s="46"/>
      <c r="W618" s="51">
        <f>IF(NOTA[[#This Row],[HARGA/ CTN]]="",NOTA[[#This Row],[JUMLAH_H]],NOTA[[#This Row],[HARGA/ CTN]]*IF(NOTA[[#This Row],[C]]="",0,NOTA[[#This Row],[C]]))</f>
        <v>14760000</v>
      </c>
      <c r="X618" s="51">
        <f>IF(NOTA[[#This Row],[JUMLAH]]="","",NOTA[[#This Row],[JUMLAH]]*NOTA[[#This Row],[DISC 1]])</f>
        <v>738000</v>
      </c>
      <c r="Y618" s="51">
        <f>IF(NOTA[[#This Row],[JUMLAH]]="","",(NOTA[[#This Row],[JUMLAH]]-NOTA[[#This Row],[DISC 1-]])*NOTA[[#This Row],[DISC 2]])</f>
        <v>1402200</v>
      </c>
      <c r="Z618" s="51">
        <f>IF(NOTA[[#This Row],[JUMLAH]]="","",NOTA[[#This Row],[DISC 1-]]+NOTA[[#This Row],[DISC 2-]])</f>
        <v>2140200</v>
      </c>
      <c r="AA618" s="51">
        <f>IF(NOTA[[#This Row],[JUMLAH]]="","",NOTA[[#This Row],[JUMLAH]]-NOTA[[#This Row],[DISC]])</f>
        <v>12619800</v>
      </c>
      <c r="AB618" s="51"/>
      <c r="AC6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2140200</v>
      </c>
      <c r="AD6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12619800</v>
      </c>
      <c r="AE618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8" s="51">
        <f>IF(OR(NOTA[[#This Row],[QTY]]="",NOTA[[#This Row],[HARGA SATUAN]]="",),"",NOTA[[#This Row],[QTY]]*NOTA[[#This Row],[HARGA SATUAN]])</f>
        <v>14760000</v>
      </c>
      <c r="AG618" s="40">
        <f ca="1">IF(NOTA[ID_H]="","",INDEX(NOTA[TANGGAL],MATCH(,INDIRECT(ADDRESS(ROW(NOTA[TANGGAL]),COLUMN(NOTA[TANGGAL]))&amp;":"&amp;ADDRESS(ROW(),COLUMN(NOTA[TANGGAL]))),-1)))</f>
        <v>45131</v>
      </c>
      <c r="AH618" s="42" t="str">
        <f ca="1">IF(NOTA[[#This Row],[NAMA BARANG]]="","",INDEX(NOTA[SUPPLIER],MATCH(,INDIRECT(ADDRESS(ROW(NOTA[ID]),COLUMN(NOTA[ID]))&amp;":"&amp;ADDRESS(ROW(),COLUMN(NOTA[ID]))),-1)))</f>
        <v>GUNINDO</v>
      </c>
      <c r="AI618" s="42" t="str">
        <f ca="1">IF(NOTA[[#This Row],[ID_H]]="","",IF(NOTA[[#This Row],[FAKTUR]]="",INDIRECT(ADDRESS(ROW()-1,COLUMN())),NOTA[[#This Row],[FAKTUR]]))</f>
        <v>UNTANA</v>
      </c>
      <c r="AJ618" s="39">
        <f ca="1">IF(NOTA[[#This Row],[ID]]="","",COUNTIF(NOTA[ID_H],NOTA[[#This Row],[ID_H]]))</f>
        <v>1</v>
      </c>
      <c r="AK618" s="39">
        <f>IF(NOTA[[#This Row],[TGL.NOTA]]="",IF(NOTA[[#This Row],[SUPPLIER_H]]="","",#REF!),MONTH(NOTA[[#This Row],[TGL.NOTA]]))</f>
        <v>7</v>
      </c>
      <c r="AL618" s="39" t="str">
        <f>LOWER(SUBSTITUTE(SUBSTITUTE(SUBSTITUTE(SUBSTITUTE(SUBSTITUTE(SUBSTITUTE(SUBSTITUTE(SUBSTITUTE(SUBSTITUTE(NOTA[NAMA BARANG]," ",),".",""),"-",""),"(",""),")",""),",",""),"/",""),"""",""),"+",""))</f>
        <v>ossgunindo</v>
      </c>
      <c r="AM6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GUNINDOUNTANA230159445128ossgunindo</v>
      </c>
      <c r="AP618" s="39" t="e">
        <f>IF(NOTA[[#This Row],[CONCAT4]]="","",_xlfn.IFNA(MATCH(NOTA[[#This Row],[CONCAT4]],[2]!RAW[CONCAT_H],0),FALSE))</f>
        <v>#REF!</v>
      </c>
      <c r="AQ618" s="39">
        <f>IF(NOTA[[#This Row],[CONCAT1]]="","",MATCH(NOTA[[#This Row],[CONCAT1]],[3]!db[NB NOTA_C],0))</f>
        <v>1236</v>
      </c>
      <c r="AR618" s="39" t="b">
        <f>IF(NOTA[[#This Row],[QTY/ CTN]]="","",TRUE)</f>
        <v>1</v>
      </c>
      <c r="AS618" s="39" t="str">
        <f ca="1">IF(NOTA[[#This Row],[ID_H]]="","",IF(NOTA[[#This Row],[Column3]]=TRUE,NOTA[[#This Row],[QTY/ CTN]],INDEX([3]!db[QTY/ CTN],NOTA[[#This Row],[//DB]])))</f>
        <v>60 LSN</v>
      </c>
      <c r="AT6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U618" s="39" t="e">
        <f ca="1">IF(NOTA[[#This Row],[ID_H]]="","",MATCH(NOTA[[#This Row],[NB NOTA_C_QTY]],[4]!db[NB NOTA_C_QTY+F],0))</f>
        <v>#REF!</v>
      </c>
      <c r="AV618" s="55">
        <f ca="1">IF(NOTA[[#This Row],[NB NOTA_C_QTY]]="","",ROW()-2)</f>
        <v>616</v>
      </c>
    </row>
    <row r="619" spans="1:48" ht="20.100000000000001" customHeight="1" x14ac:dyDescent="0.25">
      <c r="A6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39" t="str">
        <f>IF(NOTA[[#This Row],[ID_P]]="","",MATCH(NOTA[[#This Row],[ID_P]],[1]!B_MSK[N_ID],0))</f>
        <v/>
      </c>
      <c r="D619" s="39" t="str">
        <f ca="1">IF(NOTA[[#This Row],[NAMA BARANG]]="","",INDEX(NOTA[ID],MATCH(,INDIRECT(ADDRESS(ROW(NOTA[ID]),COLUMN(NOTA[ID]))&amp;":"&amp;ADDRESS(ROW(),COLUMN(NOTA[ID]))),-1)))</f>
        <v/>
      </c>
      <c r="E619" s="47"/>
      <c r="H619" s="48"/>
      <c r="N619" s="39"/>
      <c r="Q619" s="43"/>
      <c r="R619" s="49"/>
      <c r="S619" s="50"/>
      <c r="U619" s="51"/>
      <c r="V619" s="46"/>
      <c r="W619" s="51" t="str">
        <f>IF(NOTA[[#This Row],[HARGA/ CTN]]="",NOTA[[#This Row],[JUMLAH_H]],NOTA[[#This Row],[HARGA/ CTN]]*IF(NOTA[[#This Row],[C]]="",0,NOTA[[#This Row],[C]]))</f>
        <v/>
      </c>
      <c r="X619" s="51" t="str">
        <f>IF(NOTA[[#This Row],[JUMLAH]]="","",NOTA[[#This Row],[JUMLAH]]*NOTA[[#This Row],[DISC 1]])</f>
        <v/>
      </c>
      <c r="Y619" s="51" t="str">
        <f>IF(NOTA[[#This Row],[JUMLAH]]="","",(NOTA[[#This Row],[JUMLAH]]-NOTA[[#This Row],[DISC 1-]])*NOTA[[#This Row],[DISC 2]])</f>
        <v/>
      </c>
      <c r="Z619" s="51" t="str">
        <f>IF(NOTA[[#This Row],[JUMLAH]]="","",NOTA[[#This Row],[DISC 1-]]+NOTA[[#This Row],[DISC 2-]])</f>
        <v/>
      </c>
      <c r="AA619" s="51" t="str">
        <f>IF(NOTA[[#This Row],[JUMLAH]]="","",NOTA[[#This Row],[JUMLAH]]-NOTA[[#This Row],[DISC]])</f>
        <v/>
      </c>
      <c r="AB619" s="51"/>
      <c r="AC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51" t="str">
        <f>IF(OR(NOTA[[#This Row],[QTY]]="",NOTA[[#This Row],[HARGA SATUAN]]="",),"",NOTA[[#This Row],[QTY]]*NOTA[[#This Row],[HARGA SATUAN]])</f>
        <v/>
      </c>
      <c r="AG619" s="40" t="str">
        <f ca="1">IF(NOTA[ID_H]="","",INDEX(NOTA[TANGGAL],MATCH(,INDIRECT(ADDRESS(ROW(NOTA[TANGGAL]),COLUMN(NOTA[TANGGAL]))&amp;":"&amp;ADDRESS(ROW(),COLUMN(NOTA[TANGGAL]))),-1)))</f>
        <v/>
      </c>
      <c r="AH619" s="42" t="str">
        <f ca="1">IF(NOTA[[#This Row],[NAMA BARANG]]="","",INDEX(NOTA[SUPPLIER],MATCH(,INDIRECT(ADDRESS(ROW(NOTA[ID]),COLUMN(NOTA[ID]))&amp;":"&amp;ADDRESS(ROW(),COLUMN(NOTA[ID]))),-1)))</f>
        <v/>
      </c>
      <c r="AI619" s="42" t="str">
        <f ca="1">IF(NOTA[[#This Row],[ID_H]]="","",IF(NOTA[[#This Row],[FAKTUR]]="",INDIRECT(ADDRESS(ROW()-1,COLUMN())),NOTA[[#This Row],[FAKTUR]]))</f>
        <v/>
      </c>
      <c r="AJ619" s="39" t="str">
        <f ca="1">IF(NOTA[[#This Row],[ID]]="","",COUNTIF(NOTA[ID_H],NOTA[[#This Row],[ID_H]]))</f>
        <v/>
      </c>
      <c r="AK619" s="39" t="str">
        <f ca="1">IF(NOTA[[#This Row],[TGL.NOTA]]="",IF(NOTA[[#This Row],[SUPPLIER_H]]="","",AK618),MONTH(NOTA[[#This Row],[TGL.NOTA]]))</f>
        <v/>
      </c>
      <c r="AL619" s="39" t="str">
        <f>LOWER(SUBSTITUTE(SUBSTITUTE(SUBSTITUTE(SUBSTITUTE(SUBSTITUTE(SUBSTITUTE(SUBSTITUTE(SUBSTITUTE(SUBSTITUTE(NOTA[NAMA BARANG]," ",),".",""),"-",""),"(",""),")",""),",",""),"/",""),"""",""),"+",""))</f>
        <v/>
      </c>
      <c r="AM6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39" t="str">
        <f>IF(NOTA[[#This Row],[CONCAT4]]="","",_xlfn.IFNA(MATCH(NOTA[[#This Row],[CONCAT4]],[2]!RAW[CONCAT_H],0),FALSE))</f>
        <v/>
      </c>
      <c r="AQ619" s="39" t="str">
        <f>IF(NOTA[[#This Row],[CONCAT1]]="","",MATCH(NOTA[[#This Row],[CONCAT1]],[3]!db[NB NOTA_C],0))</f>
        <v/>
      </c>
      <c r="AR619" s="39" t="str">
        <f>IF(NOTA[[#This Row],[QTY/ CTN]]="","",TRUE)</f>
        <v/>
      </c>
      <c r="AS619" s="39" t="str">
        <f ca="1">IF(NOTA[[#This Row],[ID_H]]="","",IF(NOTA[[#This Row],[Column3]]=TRUE,NOTA[[#This Row],[QTY/ CTN]],INDEX([3]!db[QTY/ CTN],NOTA[[#This Row],[//DB]])))</f>
        <v/>
      </c>
      <c r="AT6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39" t="str">
        <f ca="1">IF(NOTA[[#This Row],[ID_H]]="","",MATCH(NOTA[[#This Row],[NB NOTA_C_QTY]],[4]!db[NB NOTA_C_QTY+F],0))</f>
        <v/>
      </c>
      <c r="AV619" s="55" t="str">
        <f ca="1">IF(NOTA[[#This Row],[NB NOTA_C_QTY]]="","",ROW()-2)</f>
        <v/>
      </c>
    </row>
    <row r="620" spans="1:48" ht="20.100000000000001" customHeight="1" x14ac:dyDescent="0.25">
      <c r="A620" s="4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JEF_2407_-1</v>
      </c>
      <c r="C620" s="39" t="e">
        <f ca="1">IF(NOTA[[#This Row],[ID_P]]="","",MATCH(NOTA[[#This Row],[ID_P]],[1]!B_MSK[N_ID],0))</f>
        <v>#REF!</v>
      </c>
      <c r="D620" s="39">
        <f ca="1">IF(NOTA[[#This Row],[NAMA BARANG]]="","",INDEX(NOTA[ID],MATCH(,INDIRECT(ADDRESS(ROW(NOTA[ID]),COLUMN(NOTA[ID]))&amp;":"&amp;ADDRESS(ROW(),COLUMN(NOTA[ID]))),-1)))</f>
        <v>123</v>
      </c>
      <c r="E620" s="47"/>
      <c r="F620" s="38" t="s">
        <v>707</v>
      </c>
      <c r="G620" s="38" t="s">
        <v>145</v>
      </c>
      <c r="H620" s="48"/>
      <c r="J620" s="40">
        <v>45131</v>
      </c>
      <c r="L620" s="38" t="s">
        <v>708</v>
      </c>
      <c r="M620" s="41">
        <v>10</v>
      </c>
      <c r="N620" s="39">
        <v>5000</v>
      </c>
      <c r="O620" s="38" t="s">
        <v>319</v>
      </c>
      <c r="P620" s="42">
        <v>4900</v>
      </c>
      <c r="Q620" s="43"/>
      <c r="R620" s="49" t="s">
        <v>709</v>
      </c>
      <c r="S620" s="50">
        <v>0.05</v>
      </c>
      <c r="U620" s="51"/>
      <c r="V620" s="46"/>
      <c r="W620" s="51">
        <f>IF(NOTA[[#This Row],[HARGA/ CTN]]="",NOTA[[#This Row],[JUMLAH_H]],NOTA[[#This Row],[HARGA/ CTN]]*IF(NOTA[[#This Row],[C]]="",0,NOTA[[#This Row],[C]]))</f>
        <v>24500000</v>
      </c>
      <c r="X620" s="51">
        <f>IF(NOTA[[#This Row],[JUMLAH]]="","",NOTA[[#This Row],[JUMLAH]]*NOTA[[#This Row],[DISC 1]])</f>
        <v>1225000</v>
      </c>
      <c r="Y620" s="51">
        <f>IF(NOTA[[#This Row],[JUMLAH]]="","",(NOTA[[#This Row],[JUMLAH]]-NOTA[[#This Row],[DISC 1-]])*NOTA[[#This Row],[DISC 2]])</f>
        <v>0</v>
      </c>
      <c r="Z620" s="51">
        <f>IF(NOTA[[#This Row],[JUMLAH]]="","",NOTA[[#This Row],[DISC 1-]]+NOTA[[#This Row],[DISC 2-]])</f>
        <v>1225000</v>
      </c>
      <c r="AA620" s="51">
        <f>IF(NOTA[[#This Row],[JUMLAH]]="","",NOTA[[#This Row],[JUMLAH]]-NOTA[[#This Row],[DISC]])</f>
        <v>23275000</v>
      </c>
      <c r="AB620" s="51"/>
      <c r="AC6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1225000</v>
      </c>
      <c r="AD6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23275000</v>
      </c>
      <c r="AE620" s="42">
        <f>IF(NOTA[[#This Row],[NAMA BARANG]]="","",IF(NOTA[[#This Row],[JUMLAH_H]]="",NOTA[[#This Row],[HARGA/ CTN]],NOTA[[#This Row],[QTY]]*NOTA[[#This Row],[HARGA SATUAN]]/IF(ISNUMBER(NOTA[[#This Row],[C]]),NOTA[[#This Row],[C]],1)))</f>
        <v>2450000</v>
      </c>
      <c r="AF620" s="51">
        <f>IF(OR(NOTA[[#This Row],[QTY]]="",NOTA[[#This Row],[HARGA SATUAN]]="",),"",NOTA[[#This Row],[QTY]]*NOTA[[#This Row],[HARGA SATUAN]])</f>
        <v>24500000</v>
      </c>
      <c r="AG620" s="40">
        <f ca="1">IF(NOTA[ID_H]="","",INDEX(NOTA[TANGGAL],MATCH(,INDIRECT(ADDRESS(ROW(NOTA[TANGGAL]),COLUMN(NOTA[TANGGAL]))&amp;":"&amp;ADDRESS(ROW(),COLUMN(NOTA[TANGGAL]))),-1)))</f>
        <v>45131</v>
      </c>
      <c r="AH620" s="42" t="str">
        <f ca="1">IF(NOTA[[#This Row],[NAMA BARANG]]="","",INDEX(NOTA[SUPPLIER],MATCH(,INDIRECT(ADDRESS(ROW(NOTA[ID]),COLUMN(NOTA[ID]))&amp;":"&amp;ADDRESS(ROW(),COLUMN(NOTA[ID]))),-1)))</f>
        <v>JEFFRY</v>
      </c>
      <c r="AI620" s="42" t="str">
        <f ca="1">IF(NOTA[[#This Row],[ID_H]]="","",IF(NOTA[[#This Row],[FAKTUR]]="",INDIRECT(ADDRESS(ROW()-1,COLUMN())),NOTA[[#This Row],[FAKTUR]]))</f>
        <v>UNTANA</v>
      </c>
      <c r="AJ620" s="39">
        <f ca="1">IF(NOTA[[#This Row],[ID]]="","",COUNTIF(NOTA[ID_H],NOTA[[#This Row],[ID_H]]))</f>
        <v>1</v>
      </c>
      <c r="AK620" s="39">
        <f>IF(NOTA[[#This Row],[TGL.NOTA]]="",IF(NOTA[[#This Row],[SUPPLIER_H]]="","",AK619),MONTH(NOTA[[#This Row],[TGL.NOTA]]))</f>
        <v>7</v>
      </c>
      <c r="AL620" s="39" t="str">
        <f>LOWER(SUBSTITUTE(SUBSTITUTE(SUBSTITUTE(SUBSTITUTE(SUBSTITUTE(SUBSTITUTE(SUBSTITUTE(SUBSTITUTE(SUBSTITUTE(NOTA[NAMA BARANG]," ",),".",""),"-",""),"(",""),")",""),",",""),"/",""),"""",""),"+",""))</f>
        <v>karetpentilrodamas</v>
      </c>
      <c r="AM6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karetpentilrodamas24500000.05</v>
      </c>
      <c r="AN6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karetpentilrodamas24500000.05</v>
      </c>
      <c r="AO620" s="39" t="str">
        <f>IF(NOTA[[#This Row],[SUPPLIER]]="","",NOTA[[#This Row],[SUPPLIER]]&amp;NOTA[[#This Row],[FAKTUR]]&amp;NOTA[[#This Row],[NO.NOTA]]&amp;NOTA[[#This Row],[NO.SJ]]&amp;NOTA[[#This Row],[TGL.NOTA]]&amp;NOTA[[#This Row],[CONCAT1]])</f>
        <v>JEFFRYUNTANA45131karetpentilrodamas</v>
      </c>
      <c r="AP620" s="39" t="e">
        <f>IF(NOTA[[#This Row],[CONCAT4]]="","",_xlfn.IFNA(MATCH(NOTA[[#This Row],[CONCAT4]],[2]!RAW[CONCAT_H],0),FALSE))</f>
        <v>#REF!</v>
      </c>
      <c r="AQ620" s="39">
        <f>IF(NOTA[[#This Row],[CONCAT1]]="","",MATCH(NOTA[[#This Row],[CONCAT1]],[3]!db[NB NOTA_C],0))</f>
        <v>1385</v>
      </c>
      <c r="AR620" s="39" t="b">
        <f>IF(NOTA[[#This Row],[QTY/ CTN]]="","",TRUE)</f>
        <v>1</v>
      </c>
      <c r="AS620" s="39" t="str">
        <f ca="1">IF(NOTA[[#This Row],[ID_H]]="","",IF(NOTA[[#This Row],[Column3]]=TRUE,NOTA[[#This Row],[QTY/ CTN]],INDEX([3]!db[QTY/ CTN],NOTA[[#This Row],[//DB]])))</f>
        <v>500 BOX</v>
      </c>
      <c r="AT6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karetpentilrodamas500boxuntana</v>
      </c>
      <c r="AU620" s="39" t="e">
        <f ca="1">IF(NOTA[[#This Row],[ID_H]]="","",MATCH(NOTA[[#This Row],[NB NOTA_C_QTY]],[4]!db[NB NOTA_C_QTY+F],0))</f>
        <v>#REF!</v>
      </c>
      <c r="AV620" s="55">
        <f ca="1">IF(NOTA[[#This Row],[NB NOTA_C_QTY]]="","",ROW()-2)</f>
        <v>618</v>
      </c>
    </row>
    <row r="621" spans="1:48" ht="20.100000000000001" customHeight="1" x14ac:dyDescent="0.25">
      <c r="A6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39" t="str">
        <f>IF(NOTA[[#This Row],[ID_P]]="","",MATCH(NOTA[[#This Row],[ID_P]],[1]!B_MSK[N_ID],0))</f>
        <v/>
      </c>
      <c r="D621" s="39" t="str">
        <f ca="1">IF(NOTA[[#This Row],[NAMA BARANG]]="","",INDEX(NOTA[ID],MATCH(,INDIRECT(ADDRESS(ROW(NOTA[ID]),COLUMN(NOTA[ID]))&amp;":"&amp;ADDRESS(ROW(),COLUMN(NOTA[ID]))),-1)))</f>
        <v/>
      </c>
      <c r="E621" s="47"/>
      <c r="H621" s="48"/>
      <c r="N621" s="39"/>
      <c r="Q621" s="43"/>
      <c r="R621" s="49"/>
      <c r="S621" s="50"/>
      <c r="U621" s="51"/>
      <c r="V621" s="46"/>
      <c r="W621" s="51" t="str">
        <f>IF(NOTA[[#This Row],[HARGA/ CTN]]="",NOTA[[#This Row],[JUMLAH_H]],NOTA[[#This Row],[HARGA/ CTN]]*IF(NOTA[[#This Row],[C]]="",0,NOTA[[#This Row],[C]]))</f>
        <v/>
      </c>
      <c r="X621" s="51" t="str">
        <f>IF(NOTA[[#This Row],[JUMLAH]]="","",NOTA[[#This Row],[JUMLAH]]*NOTA[[#This Row],[DISC 1]])</f>
        <v/>
      </c>
      <c r="Y621" s="51" t="str">
        <f>IF(NOTA[[#This Row],[JUMLAH]]="","",(NOTA[[#This Row],[JUMLAH]]-NOTA[[#This Row],[DISC 1-]])*NOTA[[#This Row],[DISC 2]])</f>
        <v/>
      </c>
      <c r="Z621" s="51" t="str">
        <f>IF(NOTA[[#This Row],[JUMLAH]]="","",NOTA[[#This Row],[DISC 1-]]+NOTA[[#This Row],[DISC 2-]])</f>
        <v/>
      </c>
      <c r="AA621" s="51" t="str">
        <f>IF(NOTA[[#This Row],[JUMLAH]]="","",NOTA[[#This Row],[JUMLAH]]-NOTA[[#This Row],[DISC]])</f>
        <v/>
      </c>
      <c r="AB621" s="51"/>
      <c r="AC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51" t="str">
        <f>IF(OR(NOTA[[#This Row],[QTY]]="",NOTA[[#This Row],[HARGA SATUAN]]="",),"",NOTA[[#This Row],[QTY]]*NOTA[[#This Row],[HARGA SATUAN]])</f>
        <v/>
      </c>
      <c r="AG621" s="40" t="str">
        <f ca="1">IF(NOTA[ID_H]="","",INDEX(NOTA[TANGGAL],MATCH(,INDIRECT(ADDRESS(ROW(NOTA[TANGGAL]),COLUMN(NOTA[TANGGAL]))&amp;":"&amp;ADDRESS(ROW(),COLUMN(NOTA[TANGGAL]))),-1)))</f>
        <v/>
      </c>
      <c r="AH621" s="42" t="str">
        <f ca="1">IF(NOTA[[#This Row],[NAMA BARANG]]="","",INDEX(NOTA[SUPPLIER],MATCH(,INDIRECT(ADDRESS(ROW(NOTA[ID]),COLUMN(NOTA[ID]))&amp;":"&amp;ADDRESS(ROW(),COLUMN(NOTA[ID]))),-1)))</f>
        <v/>
      </c>
      <c r="AI621" s="42" t="str">
        <f ca="1">IF(NOTA[[#This Row],[ID_H]]="","",IF(NOTA[[#This Row],[FAKTUR]]="",INDIRECT(ADDRESS(ROW()-1,COLUMN())),NOTA[[#This Row],[FAKTUR]]))</f>
        <v/>
      </c>
      <c r="AJ621" s="39" t="str">
        <f ca="1">IF(NOTA[[#This Row],[ID]]="","",COUNTIF(NOTA[ID_H],NOTA[[#This Row],[ID_H]]))</f>
        <v/>
      </c>
      <c r="AK621" s="39" t="str">
        <f ca="1">IF(NOTA[[#This Row],[TGL.NOTA]]="",IF(NOTA[[#This Row],[SUPPLIER_H]]="","",AK620),MONTH(NOTA[[#This Row],[TGL.NOTA]]))</f>
        <v/>
      </c>
      <c r="AL621" s="39" t="str">
        <f>LOWER(SUBSTITUTE(SUBSTITUTE(SUBSTITUTE(SUBSTITUTE(SUBSTITUTE(SUBSTITUTE(SUBSTITUTE(SUBSTITUTE(SUBSTITUTE(NOTA[NAMA BARANG]," ",),".",""),"-",""),"(",""),")",""),",",""),"/",""),"""",""),"+",""))</f>
        <v/>
      </c>
      <c r="AM6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39" t="str">
        <f>IF(NOTA[[#This Row],[CONCAT4]]="","",_xlfn.IFNA(MATCH(NOTA[[#This Row],[CONCAT4]],[2]!RAW[CONCAT_H],0),FALSE))</f>
        <v/>
      </c>
      <c r="AQ621" s="39" t="str">
        <f>IF(NOTA[[#This Row],[CONCAT1]]="","",MATCH(NOTA[[#This Row],[CONCAT1]],[3]!db[NB NOTA_C],0))</f>
        <v/>
      </c>
      <c r="AR621" s="39" t="str">
        <f>IF(NOTA[[#This Row],[QTY/ CTN]]="","",TRUE)</f>
        <v/>
      </c>
      <c r="AS621" s="39" t="str">
        <f ca="1">IF(NOTA[[#This Row],[ID_H]]="","",IF(NOTA[[#This Row],[Column3]]=TRUE,NOTA[[#This Row],[QTY/ CTN]],INDEX([3]!db[QTY/ CTN],NOTA[[#This Row],[//DB]])))</f>
        <v/>
      </c>
      <c r="AT6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39" t="str">
        <f ca="1">IF(NOTA[[#This Row],[ID_H]]="","",MATCH(NOTA[[#This Row],[NB NOTA_C_QTY]],[4]!db[NB NOTA_C_QTY+F],0))</f>
        <v/>
      </c>
      <c r="AV621" s="55" t="str">
        <f ca="1">IF(NOTA[[#This Row],[NB NOTA_C_QTY]]="","",ROW()-2)</f>
        <v/>
      </c>
    </row>
    <row r="622" spans="1:48" ht="20.100000000000001" customHeight="1" x14ac:dyDescent="0.25">
      <c r="A622" s="4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BIN_2407_266-2</v>
      </c>
      <c r="C622" s="39" t="e">
        <f ca="1">IF(NOTA[[#This Row],[ID_P]]="","",MATCH(NOTA[[#This Row],[ID_P]],[1]!B_MSK[N_ID],0))</f>
        <v>#REF!</v>
      </c>
      <c r="D622" s="39">
        <f ca="1">IF(NOTA[[#This Row],[NAMA BARANG]]="","",INDEX(NOTA[ID],MATCH(,INDIRECT(ADDRESS(ROW(NOTA[ID]),COLUMN(NOTA[ID]))&amp;":"&amp;ADDRESS(ROW(),COLUMN(NOTA[ID]))),-1)))</f>
        <v>124</v>
      </c>
      <c r="E622" s="47"/>
      <c r="F622" s="38" t="s">
        <v>539</v>
      </c>
      <c r="G622" s="38" t="s">
        <v>145</v>
      </c>
      <c r="H622" s="48" t="s">
        <v>710</v>
      </c>
      <c r="J622" s="40">
        <v>45128</v>
      </c>
      <c r="L622" s="38" t="s">
        <v>711</v>
      </c>
      <c r="M622" s="41">
        <v>1</v>
      </c>
      <c r="N622" s="39">
        <v>30</v>
      </c>
      <c r="O622" s="38" t="s">
        <v>152</v>
      </c>
      <c r="P622" s="42">
        <v>25500</v>
      </c>
      <c r="Q622" s="43"/>
      <c r="R622" s="49" t="s">
        <v>236</v>
      </c>
      <c r="S622" s="50"/>
      <c r="U622" s="51"/>
      <c r="V622" s="46"/>
      <c r="W622" s="51">
        <f>IF(NOTA[[#This Row],[HARGA/ CTN]]="",NOTA[[#This Row],[JUMLAH_H]],NOTA[[#This Row],[HARGA/ CTN]]*IF(NOTA[[#This Row],[C]]="",0,NOTA[[#This Row],[C]]))</f>
        <v>765000</v>
      </c>
      <c r="X622" s="51">
        <f>IF(NOTA[[#This Row],[JUMLAH]]="","",NOTA[[#This Row],[JUMLAH]]*NOTA[[#This Row],[DISC 1]])</f>
        <v>0</v>
      </c>
      <c r="Y622" s="51">
        <f>IF(NOTA[[#This Row],[JUMLAH]]="","",(NOTA[[#This Row],[JUMLAH]]-NOTA[[#This Row],[DISC 1-]])*NOTA[[#This Row],[DISC 2]])</f>
        <v>0</v>
      </c>
      <c r="Z622" s="51">
        <f>IF(NOTA[[#This Row],[JUMLAH]]="","",NOTA[[#This Row],[DISC 1-]]+NOTA[[#This Row],[DISC 2-]])</f>
        <v>0</v>
      </c>
      <c r="AA622" s="51">
        <f>IF(NOTA[[#This Row],[JUMLAH]]="","",NOTA[[#This Row],[JUMLAH]]-NOTA[[#This Row],[DISC]])</f>
        <v>765000</v>
      </c>
      <c r="AB622" s="51"/>
      <c r="AC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4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622" s="51">
        <f>IF(OR(NOTA[[#This Row],[QTY]]="",NOTA[[#This Row],[HARGA SATUAN]]="",),"",NOTA[[#This Row],[QTY]]*NOTA[[#This Row],[HARGA SATUAN]])</f>
        <v>765000</v>
      </c>
      <c r="AG622" s="40">
        <f ca="1">IF(NOTA[ID_H]="","",INDEX(NOTA[TANGGAL],MATCH(,INDIRECT(ADDRESS(ROW(NOTA[TANGGAL]),COLUMN(NOTA[TANGGAL]))&amp;":"&amp;ADDRESS(ROW(),COLUMN(NOTA[TANGGAL]))),-1)))</f>
        <v>45131</v>
      </c>
      <c r="AH622" s="42" t="str">
        <f ca="1">IF(NOTA[[#This Row],[NAMA BARANG]]="","",INDEX(NOTA[SUPPLIER],MATCH(,INDIRECT(ADDRESS(ROW(NOTA[ID]),COLUMN(NOTA[ID]))&amp;":"&amp;ADDRESS(ROW(),COLUMN(NOTA[ID]))),-1)))</f>
        <v>BINTANG SAUDARA</v>
      </c>
      <c r="AI622" s="42" t="str">
        <f ca="1">IF(NOTA[[#This Row],[ID_H]]="","",IF(NOTA[[#This Row],[FAKTUR]]="",INDIRECT(ADDRESS(ROW()-1,COLUMN())),NOTA[[#This Row],[FAKTUR]]))</f>
        <v>UNTANA</v>
      </c>
      <c r="AJ622" s="39">
        <f ca="1">IF(NOTA[[#This Row],[ID]]="","",COUNTIF(NOTA[ID_H],NOTA[[#This Row],[ID_H]]))</f>
        <v>2</v>
      </c>
      <c r="AK622" s="39">
        <f>IF(NOTA[[#This Row],[TGL.NOTA]]="",IF(NOTA[[#This Row],[SUPPLIER_H]]="","",AK621),MONTH(NOTA[[#This Row],[TGL.NOTA]]))</f>
        <v>7</v>
      </c>
      <c r="AL622" s="39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6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6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62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SAUDARAUNTANASO202307008126645128paperbagcoklatbesartebal</v>
      </c>
      <c r="AP622" s="39" t="e">
        <f>IF(NOTA[[#This Row],[CONCAT4]]="","",_xlfn.IFNA(MATCH(NOTA[[#This Row],[CONCAT4]],[2]!RAW[CONCAT_H],0),FALSE))</f>
        <v>#REF!</v>
      </c>
      <c r="AQ622" s="39">
        <f>IF(NOTA[[#This Row],[CONCAT1]]="","",MATCH(NOTA[[#This Row],[CONCAT1]],[3]!db[NB NOTA_C],0))</f>
        <v>2546</v>
      </c>
      <c r="AR622" s="39" t="b">
        <f>IF(NOTA[[#This Row],[QTY/ CTN]]="","",TRUE)</f>
        <v>1</v>
      </c>
      <c r="AS622" s="39" t="str">
        <f ca="1">IF(NOTA[[#This Row],[ID_H]]="","",IF(NOTA[[#This Row],[Column3]]=TRUE,NOTA[[#This Row],[QTY/ CTN]],INDEX([3]!db[QTY/ CTN],NOTA[[#This Row],[//DB]])))</f>
        <v>30 LSN</v>
      </c>
      <c r="AT6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U622" s="39" t="e">
        <f ca="1">IF(NOTA[[#This Row],[ID_H]]="","",MATCH(NOTA[[#This Row],[NB NOTA_C_QTY]],[4]!db[NB NOTA_C_QTY+F],0))</f>
        <v>#REF!</v>
      </c>
      <c r="AV622" s="55">
        <f ca="1">IF(NOTA[[#This Row],[NB NOTA_C_QTY]]="","",ROW()-2)</f>
        <v>620</v>
      </c>
    </row>
    <row r="623" spans="1:48" ht="20.100000000000001" customHeight="1" x14ac:dyDescent="0.25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39" t="str">
        <f>IF(NOTA[[#This Row],[ID_P]]="","",MATCH(NOTA[[#This Row],[ID_P]],[1]!B_MSK[N_ID],0))</f>
        <v/>
      </c>
      <c r="D623" s="39">
        <f ca="1">IF(NOTA[[#This Row],[NAMA BARANG]]="","",INDEX(NOTA[ID],MATCH(,INDIRECT(ADDRESS(ROW(NOTA[ID]),COLUMN(NOTA[ID]))&amp;":"&amp;ADDRESS(ROW(),COLUMN(NOTA[ID]))),-1)))</f>
        <v>124</v>
      </c>
      <c r="E623" s="47"/>
      <c r="H623" s="48"/>
      <c r="L623" s="38" t="s">
        <v>712</v>
      </c>
      <c r="M623" s="41">
        <v>1</v>
      </c>
      <c r="N623" s="39">
        <v>144</v>
      </c>
      <c r="O623" s="38" t="s">
        <v>117</v>
      </c>
      <c r="P623" s="42">
        <v>15500</v>
      </c>
      <c r="Q623" s="43"/>
      <c r="R623" s="49" t="s">
        <v>413</v>
      </c>
      <c r="S623" s="50"/>
      <c r="U623" s="51"/>
      <c r="V623" s="46"/>
      <c r="W623" s="51">
        <f>IF(NOTA[[#This Row],[HARGA/ CTN]]="",NOTA[[#This Row],[JUMLAH_H]],NOTA[[#This Row],[HARGA/ CTN]]*IF(NOTA[[#This Row],[C]]="",0,NOTA[[#This Row],[C]]))</f>
        <v>2232000</v>
      </c>
      <c r="X623" s="51">
        <f>IF(NOTA[[#This Row],[JUMLAH]]="","",NOTA[[#This Row],[JUMLAH]]*NOTA[[#This Row],[DISC 1]])</f>
        <v>0</v>
      </c>
      <c r="Y623" s="51">
        <f>IF(NOTA[[#This Row],[JUMLAH]]="","",(NOTA[[#This Row],[JUMLAH]]-NOTA[[#This Row],[DISC 1-]])*NOTA[[#This Row],[DISC 2]])</f>
        <v>0</v>
      </c>
      <c r="Z623" s="51">
        <f>IF(NOTA[[#This Row],[JUMLAH]]="","",NOTA[[#This Row],[DISC 1-]]+NOTA[[#This Row],[DISC 2-]])</f>
        <v>0</v>
      </c>
      <c r="AA623" s="51">
        <f>IF(NOTA[[#This Row],[JUMLAH]]="","",NOTA[[#This Row],[JUMLAH]]-NOTA[[#This Row],[DISC]])</f>
        <v>2232000</v>
      </c>
      <c r="AB623" s="51"/>
      <c r="AC6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2997000</v>
      </c>
      <c r="AE623" s="42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623" s="51">
        <f>IF(OR(NOTA[[#This Row],[QTY]]="",NOTA[[#This Row],[HARGA SATUAN]]="",),"",NOTA[[#This Row],[QTY]]*NOTA[[#This Row],[HARGA SATUAN]])</f>
        <v>2232000</v>
      </c>
      <c r="AG623" s="40">
        <f ca="1">IF(NOTA[ID_H]="","",INDEX(NOTA[TANGGAL],MATCH(,INDIRECT(ADDRESS(ROW(NOTA[TANGGAL]),COLUMN(NOTA[TANGGAL]))&amp;":"&amp;ADDRESS(ROW(),COLUMN(NOTA[TANGGAL]))),-1)))</f>
        <v>45131</v>
      </c>
      <c r="AH623" s="42" t="str">
        <f ca="1">IF(NOTA[[#This Row],[NAMA BARANG]]="","",INDEX(NOTA[SUPPLIER],MATCH(,INDIRECT(ADDRESS(ROW(NOTA[ID]),COLUMN(NOTA[ID]))&amp;":"&amp;ADDRESS(ROW(),COLUMN(NOTA[ID]))),-1)))</f>
        <v>BINTANG SAUDARA</v>
      </c>
      <c r="AI623" s="42" t="str">
        <f ca="1">IF(NOTA[[#This Row],[ID_H]]="","",IF(NOTA[[#This Row],[FAKTUR]]="",INDIRECT(ADDRESS(ROW()-1,COLUMN())),NOTA[[#This Row],[FAKTUR]]))</f>
        <v>UNTANA</v>
      </c>
      <c r="AJ623" s="39" t="str">
        <f ca="1">IF(NOTA[[#This Row],[ID]]="","",COUNTIF(NOTA[ID_H],NOTA[[#This Row],[ID_H]]))</f>
        <v/>
      </c>
      <c r="AK623" s="39">
        <f ca="1">IF(NOTA[[#This Row],[TGL.NOTA]]="",IF(NOTA[[#This Row],[SUPPLIER_H]]="","",AK622),MONTH(NOTA[[#This Row],[TGL.NOTA]]))</f>
        <v>7</v>
      </c>
      <c r="AL623" s="39" t="str">
        <f>LOWER(SUBSTITUTE(SUBSTITUTE(SUBSTITUTE(SUBSTITUTE(SUBSTITUTE(SUBSTITUTE(SUBSTITUTE(SUBSTITUTE(SUBSTITUTE(NOTA[NAMA BARANG]," ",),".",""),"-",""),"(",""),")",""),",",""),"/",""),"""",""),"+",""))</f>
        <v>sketchbooka53555</v>
      </c>
      <c r="AM6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sketchbooka535552232000</v>
      </c>
      <c r="AN6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sketchbooka535552232000</v>
      </c>
      <c r="AO6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39" t="str">
        <f>IF(NOTA[[#This Row],[CONCAT4]]="","",_xlfn.IFNA(MATCH(NOTA[[#This Row],[CONCAT4]],[2]!RAW[CONCAT_H],0),FALSE))</f>
        <v/>
      </c>
      <c r="AQ623" s="39">
        <f>IF(NOTA[[#This Row],[CONCAT1]]="","",MATCH(NOTA[[#This Row],[CONCAT1]],[3]!db[NB NOTA_C],0))</f>
        <v>256</v>
      </c>
      <c r="AR623" s="39" t="b">
        <f>IF(NOTA[[#This Row],[QTY/ CTN]]="","",TRUE)</f>
        <v>1</v>
      </c>
      <c r="AS623" s="39" t="str">
        <f ca="1">IF(NOTA[[#This Row],[ID_H]]="","",IF(NOTA[[#This Row],[Column3]]=TRUE,NOTA[[#This Row],[QTY/ CTN]],INDEX([3]!db[QTY/ CTN],NOTA[[#This Row],[//DB]])))</f>
        <v>144 PCS</v>
      </c>
      <c r="AT6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sketchbooka53555144pcsuntana</v>
      </c>
      <c r="AU623" s="39" t="e">
        <f ca="1">IF(NOTA[[#This Row],[ID_H]]="","",MATCH(NOTA[[#This Row],[NB NOTA_C_QTY]],[4]!db[NB NOTA_C_QTY+F],0))</f>
        <v>#REF!</v>
      </c>
      <c r="AV623" s="55">
        <f ca="1">IF(NOTA[[#This Row],[NB NOTA_C_QTY]]="","",ROW()-2)</f>
        <v>621</v>
      </c>
    </row>
    <row r="624" spans="1:48" ht="20.100000000000001" customHeight="1" x14ac:dyDescent="0.25">
      <c r="A6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39" t="str">
        <f>IF(NOTA[[#This Row],[ID_P]]="","",MATCH(NOTA[[#This Row],[ID_P]],[1]!B_MSK[N_ID],0))</f>
        <v/>
      </c>
      <c r="D624" s="39" t="str">
        <f ca="1">IF(NOTA[[#This Row],[NAMA BARANG]]="","",INDEX(NOTA[ID],MATCH(,INDIRECT(ADDRESS(ROW(NOTA[ID]),COLUMN(NOTA[ID]))&amp;":"&amp;ADDRESS(ROW(),COLUMN(NOTA[ID]))),-1)))</f>
        <v/>
      </c>
      <c r="E624" s="47"/>
      <c r="H624" s="48"/>
      <c r="N624" s="39"/>
      <c r="Q624" s="43"/>
      <c r="R624" s="49"/>
      <c r="S624" s="50"/>
      <c r="U624" s="51"/>
      <c r="V624" s="46"/>
      <c r="W624" s="51" t="str">
        <f>IF(NOTA[[#This Row],[HARGA/ CTN]]="",NOTA[[#This Row],[JUMLAH_H]],NOTA[[#This Row],[HARGA/ CTN]]*IF(NOTA[[#This Row],[C]]="",0,NOTA[[#This Row],[C]]))</f>
        <v/>
      </c>
      <c r="X624" s="51" t="str">
        <f>IF(NOTA[[#This Row],[JUMLAH]]="","",NOTA[[#This Row],[JUMLAH]]*NOTA[[#This Row],[DISC 1]])</f>
        <v/>
      </c>
      <c r="Y624" s="51" t="str">
        <f>IF(NOTA[[#This Row],[JUMLAH]]="","",(NOTA[[#This Row],[JUMLAH]]-NOTA[[#This Row],[DISC 1-]])*NOTA[[#This Row],[DISC 2]])</f>
        <v/>
      </c>
      <c r="Z624" s="51" t="str">
        <f>IF(NOTA[[#This Row],[JUMLAH]]="","",NOTA[[#This Row],[DISC 1-]]+NOTA[[#This Row],[DISC 2-]])</f>
        <v/>
      </c>
      <c r="AA624" s="51" t="str">
        <f>IF(NOTA[[#This Row],[JUMLAH]]="","",NOTA[[#This Row],[JUMLAH]]-NOTA[[#This Row],[DISC]])</f>
        <v/>
      </c>
      <c r="AB624" s="51"/>
      <c r="AC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51" t="str">
        <f>IF(OR(NOTA[[#This Row],[QTY]]="",NOTA[[#This Row],[HARGA SATUAN]]="",),"",NOTA[[#This Row],[QTY]]*NOTA[[#This Row],[HARGA SATUAN]])</f>
        <v/>
      </c>
      <c r="AG624" s="40" t="str">
        <f ca="1">IF(NOTA[ID_H]="","",INDEX(NOTA[TANGGAL],MATCH(,INDIRECT(ADDRESS(ROW(NOTA[TANGGAL]),COLUMN(NOTA[TANGGAL]))&amp;":"&amp;ADDRESS(ROW(),COLUMN(NOTA[TANGGAL]))),-1)))</f>
        <v/>
      </c>
      <c r="AH624" s="42" t="str">
        <f ca="1">IF(NOTA[[#This Row],[NAMA BARANG]]="","",INDEX(NOTA[SUPPLIER],MATCH(,INDIRECT(ADDRESS(ROW(NOTA[ID]),COLUMN(NOTA[ID]))&amp;":"&amp;ADDRESS(ROW(),COLUMN(NOTA[ID]))),-1)))</f>
        <v/>
      </c>
      <c r="AI624" s="42" t="str">
        <f ca="1">IF(NOTA[[#This Row],[ID_H]]="","",IF(NOTA[[#This Row],[FAKTUR]]="",INDIRECT(ADDRESS(ROW()-1,COLUMN())),NOTA[[#This Row],[FAKTUR]]))</f>
        <v/>
      </c>
      <c r="AJ624" s="39" t="str">
        <f ca="1">IF(NOTA[[#This Row],[ID]]="","",COUNTIF(NOTA[ID_H],NOTA[[#This Row],[ID_H]]))</f>
        <v/>
      </c>
      <c r="AK624" s="39" t="str">
        <f ca="1">IF(NOTA[[#This Row],[TGL.NOTA]]="",IF(NOTA[[#This Row],[SUPPLIER_H]]="","",AK623),MONTH(NOTA[[#This Row],[TGL.NOTA]]))</f>
        <v/>
      </c>
      <c r="AL624" s="39" t="str">
        <f>LOWER(SUBSTITUTE(SUBSTITUTE(SUBSTITUTE(SUBSTITUTE(SUBSTITUTE(SUBSTITUTE(SUBSTITUTE(SUBSTITUTE(SUBSTITUTE(NOTA[NAMA BARANG]," ",),".",""),"-",""),"(",""),")",""),",",""),"/",""),"""",""),"+",""))</f>
        <v/>
      </c>
      <c r="AM6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39" t="str">
        <f>IF(NOTA[[#This Row],[CONCAT4]]="","",_xlfn.IFNA(MATCH(NOTA[[#This Row],[CONCAT4]],[2]!RAW[CONCAT_H],0),FALSE))</f>
        <v/>
      </c>
      <c r="AQ624" s="39" t="str">
        <f>IF(NOTA[[#This Row],[CONCAT1]]="","",MATCH(NOTA[[#This Row],[CONCAT1]],[3]!db[NB NOTA_C],0))</f>
        <v/>
      </c>
      <c r="AR624" s="39" t="str">
        <f>IF(NOTA[[#This Row],[QTY/ CTN]]="","",TRUE)</f>
        <v/>
      </c>
      <c r="AS624" s="39" t="str">
        <f ca="1">IF(NOTA[[#This Row],[ID_H]]="","",IF(NOTA[[#This Row],[Column3]]=TRUE,NOTA[[#This Row],[QTY/ CTN]],INDEX([3]!db[QTY/ CTN],NOTA[[#This Row],[//DB]])))</f>
        <v/>
      </c>
      <c r="AT6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39" t="str">
        <f ca="1">IF(NOTA[[#This Row],[ID_H]]="","",MATCH(NOTA[[#This Row],[NB NOTA_C_QTY]],[4]!db[NB NOTA_C_QTY+F],0))</f>
        <v/>
      </c>
      <c r="AV624" s="55" t="str">
        <f ca="1">IF(NOTA[[#This Row],[NB NOTA_C_QTY]]="","",ROW()-2)</f>
        <v/>
      </c>
    </row>
    <row r="625" spans="1:48" ht="20.100000000000001" customHeight="1" x14ac:dyDescent="0.25">
      <c r="A625" s="4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ATA_2407_769-8</v>
      </c>
      <c r="C625" s="39" t="e">
        <f ca="1">IF(NOTA[[#This Row],[ID_P]]="","",MATCH(NOTA[[#This Row],[ID_P]],[1]!B_MSK[N_ID],0))</f>
        <v>#REF!</v>
      </c>
      <c r="D625" s="39">
        <f ca="1">IF(NOTA[[#This Row],[NAMA BARANG]]="","",INDEX(NOTA[ID],MATCH(,INDIRECT(ADDRESS(ROW(NOTA[ID]),COLUMN(NOTA[ID]))&amp;":"&amp;ADDRESS(ROW(),COLUMN(NOTA[ID]))),-1)))</f>
        <v>125</v>
      </c>
      <c r="E625" s="47">
        <v>45131</v>
      </c>
      <c r="F625" s="38" t="s">
        <v>24</v>
      </c>
      <c r="G625" s="38" t="s">
        <v>23</v>
      </c>
      <c r="H625" s="48" t="s">
        <v>717</v>
      </c>
      <c r="J625" s="40">
        <v>45128</v>
      </c>
      <c r="K625" s="38">
        <v>2</v>
      </c>
      <c r="L625" s="38" t="s">
        <v>718</v>
      </c>
      <c r="M625" s="41">
        <v>2</v>
      </c>
      <c r="N625" s="39">
        <v>1440</v>
      </c>
      <c r="O625" s="38" t="s">
        <v>117</v>
      </c>
      <c r="P625" s="42">
        <v>4800</v>
      </c>
      <c r="Q625" s="43"/>
      <c r="R625" s="49" t="s">
        <v>153</v>
      </c>
      <c r="S625" s="50">
        <v>0.125</v>
      </c>
      <c r="T625" s="45">
        <v>0.05</v>
      </c>
      <c r="U625" s="51"/>
      <c r="V625" s="46"/>
      <c r="W625" s="51">
        <f>IF(NOTA[[#This Row],[HARGA/ CTN]]="",NOTA[[#This Row],[JUMLAH_H]],NOTA[[#This Row],[HARGA/ CTN]]*IF(NOTA[[#This Row],[C]]="",0,NOTA[[#This Row],[C]]))</f>
        <v>6912000</v>
      </c>
      <c r="X625" s="51">
        <f>IF(NOTA[[#This Row],[JUMLAH]]="","",NOTA[[#This Row],[JUMLAH]]*NOTA[[#This Row],[DISC 1]])</f>
        <v>864000</v>
      </c>
      <c r="Y625" s="51">
        <f>IF(NOTA[[#This Row],[JUMLAH]]="","",(NOTA[[#This Row],[JUMLAH]]-NOTA[[#This Row],[DISC 1-]])*NOTA[[#This Row],[DISC 2]])</f>
        <v>302400</v>
      </c>
      <c r="Z625" s="51">
        <f>IF(NOTA[[#This Row],[JUMLAH]]="","",NOTA[[#This Row],[DISC 1-]]+NOTA[[#This Row],[DISC 2-]])</f>
        <v>1166400</v>
      </c>
      <c r="AA625" s="51">
        <f>IF(NOTA[[#This Row],[JUMLAH]]="","",NOTA[[#This Row],[JUMLAH]]-NOTA[[#This Row],[DISC]])</f>
        <v>5745600</v>
      </c>
      <c r="AB625" s="51"/>
      <c r="AC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25" s="51">
        <f>IF(OR(NOTA[[#This Row],[QTY]]="",NOTA[[#This Row],[HARGA SATUAN]]="",),"",NOTA[[#This Row],[QTY]]*NOTA[[#This Row],[HARGA SATUAN]])</f>
        <v>6912000</v>
      </c>
      <c r="AG625" s="40">
        <f ca="1">IF(NOTA[ID_H]="","",INDEX(NOTA[TANGGAL],MATCH(,INDIRECT(ADDRESS(ROW(NOTA[TANGGAL]),COLUMN(NOTA[TANGGAL]))&amp;":"&amp;ADDRESS(ROW(),COLUMN(NOTA[TANGGAL]))),-1)))</f>
        <v>45131</v>
      </c>
      <c r="AH625" s="42" t="str">
        <f ca="1">IF(NOTA[[#This Row],[NAMA BARANG]]="","",INDEX(NOTA[SUPPLIER],MATCH(,INDIRECT(ADDRESS(ROW(NOTA[ID]),COLUMN(NOTA[ID]))&amp;":"&amp;ADDRESS(ROW(),COLUMN(NOTA[ID]))),-1)))</f>
        <v>ATALI MAKMUR</v>
      </c>
      <c r="AI625" s="42" t="str">
        <f ca="1">IF(NOTA[[#This Row],[ID_H]]="","",IF(NOTA[[#This Row],[FAKTUR]]="",INDIRECT(ADDRESS(ROW()-1,COLUMN())),NOTA[[#This Row],[FAKTUR]]))</f>
        <v>ARTO MORO</v>
      </c>
      <c r="AJ625" s="39">
        <f ca="1">IF(NOTA[[#This Row],[ID]]="","",COUNTIF(NOTA[ID_H],NOTA[[#This Row],[ID_H]]))</f>
        <v>8</v>
      </c>
      <c r="AK625" s="39">
        <f>IF(NOTA[[#This Row],[TGL.NOTA]]="",IF(NOTA[[#This Row],[SUPPLIER_H]]="","",AK624),MONTH(NOTA[[#This Row],[TGL.NOTA]]))</f>
        <v>7</v>
      </c>
      <c r="AL625" s="39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2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MOROSA23071276945128correctiontapect522jk</v>
      </c>
      <c r="AP625" s="39" t="e">
        <f>IF(NOTA[[#This Row],[CONCAT4]]="","",_xlfn.IFNA(MATCH(NOTA[[#This Row],[CONCAT4]],[2]!RAW[CONCAT_H],0),FALSE))</f>
        <v>#REF!</v>
      </c>
      <c r="AQ625" s="39">
        <f>IF(NOTA[[#This Row],[CONCAT1]]="","",MATCH(NOTA[[#This Row],[CONCAT1]],[3]!db[NB NOTA_C],0))</f>
        <v>2628</v>
      </c>
      <c r="AR625" s="39" t="b">
        <f>IF(NOTA[[#This Row],[QTY/ CTN]]="","",TRUE)</f>
        <v>1</v>
      </c>
      <c r="AS625" s="39" t="str">
        <f ca="1">IF(NOTA[[#This Row],[ID_H]]="","",IF(NOTA[[#This Row],[Column3]]=TRUE,NOTA[[#This Row],[QTY/ CTN]],INDEX([3]!db[QTY/ CTN],NOTA[[#This Row],[//DB]])))</f>
        <v>60 LSN</v>
      </c>
      <c r="AT6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625" s="39" t="e">
        <f ca="1">IF(NOTA[[#This Row],[ID_H]]="","",MATCH(NOTA[[#This Row],[NB NOTA_C_QTY]],[4]!db[NB NOTA_C_QTY+F],0))</f>
        <v>#REF!</v>
      </c>
      <c r="AV625" s="55">
        <f ca="1">IF(NOTA[[#This Row],[NB NOTA_C_QTY]]="","",ROW()-2)</f>
        <v>623</v>
      </c>
    </row>
    <row r="626" spans="1:48" ht="20.100000000000001" customHeight="1" x14ac:dyDescent="0.25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39" t="str">
        <f>IF(NOTA[[#This Row],[ID_P]]="","",MATCH(NOTA[[#This Row],[ID_P]],[1]!B_MSK[N_ID],0))</f>
        <v/>
      </c>
      <c r="D626" s="39">
        <f ca="1">IF(NOTA[[#This Row],[NAMA BARANG]]="","",INDEX(NOTA[ID],MATCH(,INDIRECT(ADDRESS(ROW(NOTA[ID]),COLUMN(NOTA[ID]))&amp;":"&amp;ADDRESS(ROW(),COLUMN(NOTA[ID]))),-1)))</f>
        <v>125</v>
      </c>
      <c r="E626" s="47"/>
      <c r="H626" s="48"/>
      <c r="K626" s="38">
        <v>2</v>
      </c>
      <c r="L626" s="38" t="s">
        <v>110</v>
      </c>
      <c r="M626" s="41">
        <v>2</v>
      </c>
      <c r="N626" s="39">
        <v>2000</v>
      </c>
      <c r="O626" s="38" t="s">
        <v>308</v>
      </c>
      <c r="P626" s="42">
        <v>2050</v>
      </c>
      <c r="Q626" s="43"/>
      <c r="R626" s="49"/>
      <c r="S626" s="50">
        <v>0.125</v>
      </c>
      <c r="T626" s="45">
        <v>0.05</v>
      </c>
      <c r="U626" s="51"/>
      <c r="V626" s="46"/>
      <c r="W626" s="51">
        <f>IF(NOTA[[#This Row],[HARGA/ CTN]]="",NOTA[[#This Row],[JUMLAH_H]],NOTA[[#This Row],[HARGA/ CTN]]*IF(NOTA[[#This Row],[C]]="",0,NOTA[[#This Row],[C]]))</f>
        <v>4100000</v>
      </c>
      <c r="X626" s="51">
        <f>IF(NOTA[[#This Row],[JUMLAH]]="","",NOTA[[#This Row],[JUMLAH]]*NOTA[[#This Row],[DISC 1]])</f>
        <v>512500</v>
      </c>
      <c r="Y626" s="51">
        <f>IF(NOTA[[#This Row],[JUMLAH]]="","",(NOTA[[#This Row],[JUMLAH]]-NOTA[[#This Row],[DISC 1-]])*NOTA[[#This Row],[DISC 2]])</f>
        <v>179375</v>
      </c>
      <c r="Z626" s="51">
        <f>IF(NOTA[[#This Row],[JUMLAH]]="","",NOTA[[#This Row],[DISC 1-]]+NOTA[[#This Row],[DISC 2-]])</f>
        <v>691875</v>
      </c>
      <c r="AA626" s="51">
        <f>IF(NOTA[[#This Row],[JUMLAH]]="","",NOTA[[#This Row],[JUMLAH]]-NOTA[[#This Row],[DISC]])</f>
        <v>3408125</v>
      </c>
      <c r="AB626" s="51"/>
      <c r="AC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6" s="51">
        <f>IF(OR(NOTA[[#This Row],[QTY]]="",NOTA[[#This Row],[HARGA SATUAN]]="",),"",NOTA[[#This Row],[QTY]]*NOTA[[#This Row],[HARGA SATUAN]])</f>
        <v>4100000</v>
      </c>
      <c r="AG626" s="40">
        <f ca="1">IF(NOTA[ID_H]="","",INDEX(NOTA[TANGGAL],MATCH(,INDIRECT(ADDRESS(ROW(NOTA[TANGGAL]),COLUMN(NOTA[TANGGAL]))&amp;":"&amp;ADDRESS(ROW(),COLUMN(NOTA[TANGGAL]))),-1)))</f>
        <v>45131</v>
      </c>
      <c r="AH626" s="42" t="str">
        <f ca="1">IF(NOTA[[#This Row],[NAMA BARANG]]="","",INDEX(NOTA[SUPPLIER],MATCH(,INDIRECT(ADDRESS(ROW(NOTA[ID]),COLUMN(NOTA[ID]))&amp;":"&amp;ADDRESS(ROW(),COLUMN(NOTA[ID]))),-1)))</f>
        <v>ATALI MAKMUR</v>
      </c>
      <c r="AI626" s="42" t="str">
        <f ca="1">IF(NOTA[[#This Row],[ID_H]]="","",IF(NOTA[[#This Row],[FAKTUR]]="",INDIRECT(ADDRESS(ROW()-1,COLUMN())),NOTA[[#This Row],[FAKTUR]]))</f>
        <v>ARTO MORO</v>
      </c>
      <c r="AJ626" s="39" t="str">
        <f ca="1">IF(NOTA[[#This Row],[ID]]="","",COUNTIF(NOTA[ID_H],NOTA[[#This Row],[ID_H]]))</f>
        <v/>
      </c>
      <c r="AK626" s="39">
        <f ca="1">IF(NOTA[[#This Row],[TGL.NOTA]]="",IF(NOTA[[#This Row],[SUPPLIER_H]]="","",AK625),MONTH(NOTA[[#This Row],[TGL.NOTA]]))</f>
        <v>7</v>
      </c>
      <c r="AL626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39" t="str">
        <f>IF(NOTA[[#This Row],[CONCAT4]]="","",_xlfn.IFNA(MATCH(NOTA[[#This Row],[CONCAT4]],[2]!RAW[CONCAT_H],0),FALSE))</f>
        <v/>
      </c>
      <c r="AQ626" s="39">
        <f>IF(NOTA[[#This Row],[CONCAT1]]="","",MATCH(NOTA[[#This Row],[CONCAT1]],[3]!db[NB NOTA_C],0))</f>
        <v>1468</v>
      </c>
      <c r="AR626" s="39" t="str">
        <f>IF(NOTA[[#This Row],[QTY/ CTN]]="","",TRUE)</f>
        <v/>
      </c>
      <c r="AS626" s="39" t="str">
        <f ca="1">IF(NOTA[[#This Row],[ID_H]]="","",IF(NOTA[[#This Row],[Column3]]=TRUE,NOTA[[#This Row],[QTY/ CTN]],INDEX([3]!db[QTY/ CTN],NOTA[[#This Row],[//DB]])))</f>
        <v>100 PAK (10 ROL)</v>
      </c>
      <c r="AT6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626" s="39" t="e">
        <f ca="1">IF(NOTA[[#This Row],[ID_H]]="","",MATCH(NOTA[[#This Row],[NB NOTA_C_QTY]],[4]!db[NB NOTA_C_QTY+F],0))</f>
        <v>#REF!</v>
      </c>
      <c r="AV626" s="55">
        <f ca="1">IF(NOTA[[#This Row],[NB NOTA_C_QTY]]="","",ROW()-2)</f>
        <v>624</v>
      </c>
    </row>
    <row r="627" spans="1:48" ht="20.100000000000001" customHeight="1" x14ac:dyDescent="0.25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39" t="str">
        <f>IF(NOTA[[#This Row],[ID_P]]="","",MATCH(NOTA[[#This Row],[ID_P]],[1]!B_MSK[N_ID],0))</f>
        <v/>
      </c>
      <c r="D627" s="39">
        <f ca="1">IF(NOTA[[#This Row],[NAMA BARANG]]="","",INDEX(NOTA[ID],MATCH(,INDIRECT(ADDRESS(ROW(NOTA[ID]),COLUMN(NOTA[ID]))&amp;":"&amp;ADDRESS(ROW(),COLUMN(NOTA[ID]))),-1)))</f>
        <v>125</v>
      </c>
      <c r="E627" s="47"/>
      <c r="H627" s="48"/>
      <c r="K627" s="38">
        <v>2</v>
      </c>
      <c r="L627" s="38" t="s">
        <v>262</v>
      </c>
      <c r="M627" s="41">
        <v>2</v>
      </c>
      <c r="N627" s="39">
        <v>288</v>
      </c>
      <c r="O627" s="38" t="s">
        <v>263</v>
      </c>
      <c r="P627" s="42">
        <v>11900</v>
      </c>
      <c r="Q627" s="43"/>
      <c r="R627" s="49"/>
      <c r="S627" s="50">
        <v>0.125</v>
      </c>
      <c r="T627" s="45">
        <v>0.05</v>
      </c>
      <c r="U627" s="51"/>
      <c r="V627" s="46"/>
      <c r="W627" s="51">
        <f>IF(NOTA[[#This Row],[HARGA/ CTN]]="",NOTA[[#This Row],[JUMLAH_H]],NOTA[[#This Row],[HARGA/ CTN]]*IF(NOTA[[#This Row],[C]]="",0,NOTA[[#This Row],[C]]))</f>
        <v>3427200</v>
      </c>
      <c r="X627" s="51">
        <f>IF(NOTA[[#This Row],[JUMLAH]]="","",NOTA[[#This Row],[JUMLAH]]*NOTA[[#This Row],[DISC 1]])</f>
        <v>428400</v>
      </c>
      <c r="Y627" s="51">
        <f>IF(NOTA[[#This Row],[JUMLAH]]="","",(NOTA[[#This Row],[JUMLAH]]-NOTA[[#This Row],[DISC 1-]])*NOTA[[#This Row],[DISC 2]])</f>
        <v>149940</v>
      </c>
      <c r="Z627" s="51">
        <f>IF(NOTA[[#This Row],[JUMLAH]]="","",NOTA[[#This Row],[DISC 1-]]+NOTA[[#This Row],[DISC 2-]])</f>
        <v>578340</v>
      </c>
      <c r="AA627" s="51">
        <f>IF(NOTA[[#This Row],[JUMLAH]]="","",NOTA[[#This Row],[JUMLAH]]-NOTA[[#This Row],[DISC]])</f>
        <v>2848860</v>
      </c>
      <c r="AB627" s="51"/>
      <c r="AC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27" s="51">
        <f>IF(OR(NOTA[[#This Row],[QTY]]="",NOTA[[#This Row],[HARGA SATUAN]]="",),"",NOTA[[#This Row],[QTY]]*NOTA[[#This Row],[HARGA SATUAN]])</f>
        <v>3427200</v>
      </c>
      <c r="AG627" s="40">
        <f ca="1">IF(NOTA[ID_H]="","",INDEX(NOTA[TANGGAL],MATCH(,INDIRECT(ADDRESS(ROW(NOTA[TANGGAL]),COLUMN(NOTA[TANGGAL]))&amp;":"&amp;ADDRESS(ROW(),COLUMN(NOTA[TANGGAL]))),-1)))</f>
        <v>45131</v>
      </c>
      <c r="AH627" s="42" t="str">
        <f ca="1">IF(NOTA[[#This Row],[NAMA BARANG]]="","",INDEX(NOTA[SUPPLIER],MATCH(,INDIRECT(ADDRESS(ROW(NOTA[ID]),COLUMN(NOTA[ID]))&amp;":"&amp;ADDRESS(ROW(),COLUMN(NOTA[ID]))),-1)))</f>
        <v>ATALI MAKMUR</v>
      </c>
      <c r="AI627" s="42" t="str">
        <f ca="1">IF(NOTA[[#This Row],[ID_H]]="","",IF(NOTA[[#This Row],[FAKTUR]]="",INDIRECT(ADDRESS(ROW()-1,COLUMN())),NOTA[[#This Row],[FAKTUR]]))</f>
        <v>ARTO MORO</v>
      </c>
      <c r="AJ627" s="39" t="str">
        <f ca="1">IF(NOTA[[#This Row],[ID]]="","",COUNTIF(NOTA[ID_H],NOTA[[#This Row],[ID_H]]))</f>
        <v/>
      </c>
      <c r="AK627" s="39">
        <f ca="1">IF(NOTA[[#This Row],[TGL.NOTA]]="",IF(NOTA[[#This Row],[SUPPLIER_H]]="","",AK626),MONTH(NOTA[[#This Row],[TGL.NOTA]]))</f>
        <v>7</v>
      </c>
      <c r="AL627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39" t="str">
        <f>IF(NOTA[[#This Row],[CONCAT4]]="","",_xlfn.IFNA(MATCH(NOTA[[#This Row],[CONCAT4]],[2]!RAW[CONCAT_H],0),FALSE))</f>
        <v/>
      </c>
      <c r="AQ627" s="39">
        <f>IF(NOTA[[#This Row],[CONCAT1]]="","",MATCH(NOTA[[#This Row],[CONCAT1]],[3]!db[NB NOTA_C],0))</f>
        <v>1775</v>
      </c>
      <c r="AR627" s="39" t="str">
        <f>IF(NOTA[[#This Row],[QTY/ CTN]]="","",TRUE)</f>
        <v/>
      </c>
      <c r="AS627" s="39" t="str">
        <f ca="1">IF(NOTA[[#This Row],[ID_H]]="","",IF(NOTA[[#This Row],[Column3]]=TRUE,NOTA[[#This Row],[QTY/ CTN]],INDEX([3]!db[QTY/ CTN],NOTA[[#This Row],[//DB]])))</f>
        <v>12 LSN</v>
      </c>
      <c r="AT6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627" s="39" t="e">
        <f ca="1">IF(NOTA[[#This Row],[ID_H]]="","",MATCH(NOTA[[#This Row],[NB NOTA_C_QTY]],[4]!db[NB NOTA_C_QTY+F],0))</f>
        <v>#REF!</v>
      </c>
      <c r="AV627" s="55">
        <f ca="1">IF(NOTA[[#This Row],[NB NOTA_C_QTY]]="","",ROW()-2)</f>
        <v>625</v>
      </c>
    </row>
    <row r="628" spans="1:48" ht="20.100000000000001" customHeight="1" x14ac:dyDescent="0.25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39" t="str">
        <f>IF(NOTA[[#This Row],[ID_P]]="","",MATCH(NOTA[[#This Row],[ID_P]],[1]!B_MSK[N_ID],0))</f>
        <v/>
      </c>
      <c r="D628" s="39">
        <f ca="1">IF(NOTA[[#This Row],[NAMA BARANG]]="","",INDEX(NOTA[ID],MATCH(,INDIRECT(ADDRESS(ROW(NOTA[ID]),COLUMN(NOTA[ID]))&amp;":"&amp;ADDRESS(ROW(),COLUMN(NOTA[ID]))),-1)))</f>
        <v>125</v>
      </c>
      <c r="E628" s="47"/>
      <c r="H628" s="48"/>
      <c r="K628" s="38">
        <v>2</v>
      </c>
      <c r="L628" s="38" t="s">
        <v>444</v>
      </c>
      <c r="M628" s="41">
        <v>2</v>
      </c>
      <c r="N628" s="39">
        <v>1000</v>
      </c>
      <c r="O628" s="38" t="s">
        <v>319</v>
      </c>
      <c r="P628" s="42">
        <v>1850</v>
      </c>
      <c r="Q628" s="43"/>
      <c r="R628" s="49"/>
      <c r="S628" s="50">
        <v>0.125</v>
      </c>
      <c r="T628" s="45">
        <v>0.05</v>
      </c>
      <c r="U628" s="51"/>
      <c r="V628" s="46"/>
      <c r="W628" s="51">
        <f>IF(NOTA[[#This Row],[HARGA/ CTN]]="",NOTA[[#This Row],[JUMLAH_H]],NOTA[[#This Row],[HARGA/ CTN]]*IF(NOTA[[#This Row],[C]]="",0,NOTA[[#This Row],[C]]))</f>
        <v>1850000</v>
      </c>
      <c r="X628" s="51">
        <f>IF(NOTA[[#This Row],[JUMLAH]]="","",NOTA[[#This Row],[JUMLAH]]*NOTA[[#This Row],[DISC 1]])</f>
        <v>231250</v>
      </c>
      <c r="Y628" s="51">
        <f>IF(NOTA[[#This Row],[JUMLAH]]="","",(NOTA[[#This Row],[JUMLAH]]-NOTA[[#This Row],[DISC 1-]])*NOTA[[#This Row],[DISC 2]])</f>
        <v>80937.5</v>
      </c>
      <c r="Z628" s="51">
        <f>IF(NOTA[[#This Row],[JUMLAH]]="","",NOTA[[#This Row],[DISC 1-]]+NOTA[[#This Row],[DISC 2-]])</f>
        <v>312187.5</v>
      </c>
      <c r="AA628" s="51">
        <f>IF(NOTA[[#This Row],[JUMLAH]]="","",NOTA[[#This Row],[JUMLAH]]-NOTA[[#This Row],[DISC]])</f>
        <v>1537812.5</v>
      </c>
      <c r="AB628" s="51"/>
      <c r="AC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628" s="51">
        <f>IF(OR(NOTA[[#This Row],[QTY]]="",NOTA[[#This Row],[HARGA SATUAN]]="",),"",NOTA[[#This Row],[QTY]]*NOTA[[#This Row],[HARGA SATUAN]])</f>
        <v>1850000</v>
      </c>
      <c r="AG628" s="40">
        <f ca="1">IF(NOTA[ID_H]="","",INDEX(NOTA[TANGGAL],MATCH(,INDIRECT(ADDRESS(ROW(NOTA[TANGGAL]),COLUMN(NOTA[TANGGAL]))&amp;":"&amp;ADDRESS(ROW(),COLUMN(NOTA[TANGGAL]))),-1)))</f>
        <v>45131</v>
      </c>
      <c r="AH628" s="42" t="str">
        <f ca="1">IF(NOTA[[#This Row],[NAMA BARANG]]="","",INDEX(NOTA[SUPPLIER],MATCH(,INDIRECT(ADDRESS(ROW(NOTA[ID]),COLUMN(NOTA[ID]))&amp;":"&amp;ADDRESS(ROW(),COLUMN(NOTA[ID]))),-1)))</f>
        <v>ATALI MAKMUR</v>
      </c>
      <c r="AI628" s="42" t="str">
        <f ca="1">IF(NOTA[[#This Row],[ID_H]]="","",IF(NOTA[[#This Row],[FAKTUR]]="",INDIRECT(ADDRESS(ROW()-1,COLUMN())),NOTA[[#This Row],[FAKTUR]]))</f>
        <v>ARTO MORO</v>
      </c>
      <c r="AJ628" s="39" t="str">
        <f ca="1">IF(NOTA[[#This Row],[ID]]="","",COUNTIF(NOTA[ID_H],NOTA[[#This Row],[ID_H]]))</f>
        <v/>
      </c>
      <c r="AK628" s="39">
        <f ca="1">IF(NOTA[[#This Row],[TGL.NOTA]]="",IF(NOTA[[#This Row],[SUPPLIER_H]]="","",AK627),MONTH(NOTA[[#This Row],[TGL.NOTA]]))</f>
        <v>7</v>
      </c>
      <c r="AL628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6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6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6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39" t="str">
        <f>IF(NOTA[[#This Row],[CONCAT4]]="","",_xlfn.IFNA(MATCH(NOTA[[#This Row],[CONCAT4]],[2]!RAW[CONCAT_H],0),FALSE))</f>
        <v/>
      </c>
      <c r="AQ628" s="39">
        <f>IF(NOTA[[#This Row],[CONCAT1]]="","",MATCH(NOTA[[#This Row],[CONCAT1]],[3]!db[NB NOTA_C],0))</f>
        <v>890</v>
      </c>
      <c r="AR628" s="39" t="str">
        <f>IF(NOTA[[#This Row],[QTY/ CTN]]="","",TRUE)</f>
        <v/>
      </c>
      <c r="AS628" s="39" t="str">
        <f ca="1">IF(NOTA[[#This Row],[ID_H]]="","",IF(NOTA[[#This Row],[Column3]]=TRUE,NOTA[[#This Row],[QTY/ CTN]],INDEX([3]!db[QTY/ CTN],NOTA[[#This Row],[//DB]])))</f>
        <v>500 BOX</v>
      </c>
      <c r="AT6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U628" s="39" t="e">
        <f ca="1">IF(NOTA[[#This Row],[ID_H]]="","",MATCH(NOTA[[#This Row],[NB NOTA_C_QTY]],[4]!db[NB NOTA_C_QTY+F],0))</f>
        <v>#REF!</v>
      </c>
      <c r="AV628" s="55">
        <f ca="1">IF(NOTA[[#This Row],[NB NOTA_C_QTY]]="","",ROW()-2)</f>
        <v>626</v>
      </c>
    </row>
    <row r="629" spans="1:48" ht="20.100000000000001" customHeight="1" x14ac:dyDescent="0.25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39" t="str">
        <f>IF(NOTA[[#This Row],[ID_P]]="","",MATCH(NOTA[[#This Row],[ID_P]],[1]!B_MSK[N_ID],0))</f>
        <v/>
      </c>
      <c r="D629" s="39">
        <f ca="1">IF(NOTA[[#This Row],[NAMA BARANG]]="","",INDEX(NOTA[ID],MATCH(,INDIRECT(ADDRESS(ROW(NOTA[ID]),COLUMN(NOTA[ID]))&amp;":"&amp;ADDRESS(ROW(),COLUMN(NOTA[ID]))),-1)))</f>
        <v>125</v>
      </c>
      <c r="E629" s="47"/>
      <c r="H629" s="48"/>
      <c r="K629" s="38">
        <v>2</v>
      </c>
      <c r="L629" s="38" t="s">
        <v>721</v>
      </c>
      <c r="M629" s="41">
        <v>3</v>
      </c>
      <c r="N629" s="39">
        <v>1500</v>
      </c>
      <c r="O629" s="38" t="s">
        <v>319</v>
      </c>
      <c r="P629" s="42">
        <v>1625</v>
      </c>
      <c r="Q629" s="43"/>
      <c r="R629" s="49"/>
      <c r="S629" s="50">
        <v>0.125</v>
      </c>
      <c r="T629" s="45">
        <v>0.05</v>
      </c>
      <c r="U629" s="51"/>
      <c r="V629" s="46"/>
      <c r="W629" s="51">
        <f>IF(NOTA[[#This Row],[HARGA/ CTN]]="",NOTA[[#This Row],[JUMLAH_H]],NOTA[[#This Row],[HARGA/ CTN]]*IF(NOTA[[#This Row],[C]]="",0,NOTA[[#This Row],[C]]))</f>
        <v>2437500</v>
      </c>
      <c r="X629" s="51">
        <f>IF(NOTA[[#This Row],[JUMLAH]]="","",NOTA[[#This Row],[JUMLAH]]*NOTA[[#This Row],[DISC 1]])</f>
        <v>304687.5</v>
      </c>
      <c r="Y629" s="51">
        <f>IF(NOTA[[#This Row],[JUMLAH]]="","",(NOTA[[#This Row],[JUMLAH]]-NOTA[[#This Row],[DISC 1-]])*NOTA[[#This Row],[DISC 2]])</f>
        <v>106640.625</v>
      </c>
      <c r="Z629" s="51">
        <f>IF(NOTA[[#This Row],[JUMLAH]]="","",NOTA[[#This Row],[DISC 1-]]+NOTA[[#This Row],[DISC 2-]])</f>
        <v>411328.125</v>
      </c>
      <c r="AA629" s="51">
        <f>IF(NOTA[[#This Row],[JUMLAH]]="","",NOTA[[#This Row],[JUMLAH]]-NOTA[[#This Row],[DISC]])</f>
        <v>2026171.875</v>
      </c>
      <c r="AB629" s="51"/>
      <c r="AC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42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29" s="51">
        <f>IF(OR(NOTA[[#This Row],[QTY]]="",NOTA[[#This Row],[HARGA SATUAN]]="",),"",NOTA[[#This Row],[QTY]]*NOTA[[#This Row],[HARGA SATUAN]])</f>
        <v>2437500</v>
      </c>
      <c r="AG629" s="40">
        <f ca="1">IF(NOTA[ID_H]="","",INDEX(NOTA[TANGGAL],MATCH(,INDIRECT(ADDRESS(ROW(NOTA[TANGGAL]),COLUMN(NOTA[TANGGAL]))&amp;":"&amp;ADDRESS(ROW(),COLUMN(NOTA[TANGGAL]))),-1)))</f>
        <v>45131</v>
      </c>
      <c r="AH629" s="42" t="str">
        <f ca="1">IF(NOTA[[#This Row],[NAMA BARANG]]="","",INDEX(NOTA[SUPPLIER],MATCH(,INDIRECT(ADDRESS(ROW(NOTA[ID]),COLUMN(NOTA[ID]))&amp;":"&amp;ADDRESS(ROW(),COLUMN(NOTA[ID]))),-1)))</f>
        <v>ATALI MAKMUR</v>
      </c>
      <c r="AI629" s="42" t="str">
        <f ca="1">IF(NOTA[[#This Row],[ID_H]]="","",IF(NOTA[[#This Row],[FAKTUR]]="",INDIRECT(ADDRESS(ROW()-1,COLUMN())),NOTA[[#This Row],[FAKTUR]]))</f>
        <v>ARTO MORO</v>
      </c>
      <c r="AJ629" s="39" t="str">
        <f ca="1">IF(NOTA[[#This Row],[ID]]="","",COUNTIF(NOTA[ID_H],NOTA[[#This Row],[ID_H]]))</f>
        <v/>
      </c>
      <c r="AK629" s="39">
        <f ca="1">IF(NOTA[[#This Row],[TGL.NOTA]]="",IF(NOTA[[#This Row],[SUPPLIER_H]]="","",AK628),MONTH(NOTA[[#This Row],[TGL.NOTA]]))</f>
        <v>7</v>
      </c>
      <c r="AL629" s="39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39" t="str">
        <f>IF(NOTA[[#This Row],[CONCAT4]]="","",_xlfn.IFNA(MATCH(NOTA[[#This Row],[CONCAT4]],[2]!RAW[CONCAT_H],0),FALSE))</f>
        <v/>
      </c>
      <c r="AQ629" s="39">
        <f>IF(NOTA[[#This Row],[CONCAT1]]="","",MATCH(NOTA[[#This Row],[CONCAT1]],[3]!db[NB NOTA_C],0))</f>
        <v>891</v>
      </c>
      <c r="AR629" s="39" t="str">
        <f>IF(NOTA[[#This Row],[QTY/ CTN]]="","",TRUE)</f>
        <v/>
      </c>
      <c r="AS629" s="39" t="str">
        <f ca="1">IF(NOTA[[#This Row],[ID_H]]="","",IF(NOTA[[#This Row],[Column3]]=TRUE,NOTA[[#This Row],[QTY/ CTN]],INDEX([3]!db[QTY/ CTN],NOTA[[#This Row],[//DB]])))</f>
        <v>500 BOX</v>
      </c>
      <c r="AT6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U629" s="39" t="e">
        <f ca="1">IF(NOTA[[#This Row],[ID_H]]="","",MATCH(NOTA[[#This Row],[NB NOTA_C_QTY]],[4]!db[NB NOTA_C_QTY+F],0))</f>
        <v>#REF!</v>
      </c>
      <c r="AV629" s="55">
        <f ca="1">IF(NOTA[[#This Row],[NB NOTA_C_QTY]]="","",ROW()-2)</f>
        <v>627</v>
      </c>
    </row>
    <row r="630" spans="1:48" ht="20.100000000000001" customHeight="1" x14ac:dyDescent="0.25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39" t="str">
        <f>IF(NOTA[[#This Row],[ID_P]]="","",MATCH(NOTA[[#This Row],[ID_P]],[1]!B_MSK[N_ID],0))</f>
        <v/>
      </c>
      <c r="D630" s="39">
        <f ca="1">IF(NOTA[[#This Row],[NAMA BARANG]]="","",INDEX(NOTA[ID],MATCH(,INDIRECT(ADDRESS(ROW(NOTA[ID]),COLUMN(NOTA[ID]))&amp;":"&amp;ADDRESS(ROW(),COLUMN(NOTA[ID]))),-1)))</f>
        <v>125</v>
      </c>
      <c r="E630" s="47"/>
      <c r="H630" s="48"/>
      <c r="K630" s="38">
        <v>1</v>
      </c>
      <c r="L630" s="38" t="s">
        <v>719</v>
      </c>
      <c r="M630" s="41">
        <v>1</v>
      </c>
      <c r="N630" s="39">
        <v>200</v>
      </c>
      <c r="O630" s="38" t="s">
        <v>319</v>
      </c>
      <c r="P630" s="42">
        <v>4400</v>
      </c>
      <c r="Q630" s="43"/>
      <c r="R630" s="49"/>
      <c r="S630" s="50">
        <v>0.125</v>
      </c>
      <c r="T630" s="45">
        <v>0.05</v>
      </c>
      <c r="U630" s="51"/>
      <c r="V630" s="46"/>
      <c r="W630" s="51">
        <f>IF(NOTA[[#This Row],[HARGA/ CTN]]="",NOTA[[#This Row],[JUMLAH_H]],NOTA[[#This Row],[HARGA/ CTN]]*IF(NOTA[[#This Row],[C]]="",0,NOTA[[#This Row],[C]]))</f>
        <v>880000</v>
      </c>
      <c r="X630" s="51">
        <f>IF(NOTA[[#This Row],[JUMLAH]]="","",NOTA[[#This Row],[JUMLAH]]*NOTA[[#This Row],[DISC 1]])</f>
        <v>110000</v>
      </c>
      <c r="Y630" s="51">
        <f>IF(NOTA[[#This Row],[JUMLAH]]="","",(NOTA[[#This Row],[JUMLAH]]-NOTA[[#This Row],[DISC 1-]])*NOTA[[#This Row],[DISC 2]])</f>
        <v>38500</v>
      </c>
      <c r="Z630" s="51">
        <f>IF(NOTA[[#This Row],[JUMLAH]]="","",NOTA[[#This Row],[DISC 1-]]+NOTA[[#This Row],[DISC 2-]])</f>
        <v>148500</v>
      </c>
      <c r="AA630" s="51">
        <f>IF(NOTA[[#This Row],[JUMLAH]]="","",NOTA[[#This Row],[JUMLAH]]-NOTA[[#This Row],[DISC]])</f>
        <v>731500</v>
      </c>
      <c r="AB630" s="51"/>
      <c r="AC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42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30" s="51">
        <f>IF(OR(NOTA[[#This Row],[QTY]]="",NOTA[[#This Row],[HARGA SATUAN]]="",),"",NOTA[[#This Row],[QTY]]*NOTA[[#This Row],[HARGA SATUAN]])</f>
        <v>880000</v>
      </c>
      <c r="AG630" s="40">
        <f ca="1">IF(NOTA[ID_H]="","",INDEX(NOTA[TANGGAL],MATCH(,INDIRECT(ADDRESS(ROW(NOTA[TANGGAL]),COLUMN(NOTA[TANGGAL]))&amp;":"&amp;ADDRESS(ROW(),COLUMN(NOTA[TANGGAL]))),-1)))</f>
        <v>45131</v>
      </c>
      <c r="AH630" s="42" t="str">
        <f ca="1">IF(NOTA[[#This Row],[NAMA BARANG]]="","",INDEX(NOTA[SUPPLIER],MATCH(,INDIRECT(ADDRESS(ROW(NOTA[ID]),COLUMN(NOTA[ID]))&amp;":"&amp;ADDRESS(ROW(),COLUMN(NOTA[ID]))),-1)))</f>
        <v>ATALI MAKMUR</v>
      </c>
      <c r="AI630" s="42" t="str">
        <f ca="1">IF(NOTA[[#This Row],[ID_H]]="","",IF(NOTA[[#This Row],[FAKTUR]]="",INDIRECT(ADDRESS(ROW()-1,COLUMN())),NOTA[[#This Row],[FAKTUR]]))</f>
        <v>ARTO MORO</v>
      </c>
      <c r="AJ630" s="39" t="str">
        <f ca="1">IF(NOTA[[#This Row],[ID]]="","",COUNTIF(NOTA[ID_H],NOTA[[#This Row],[ID_H]]))</f>
        <v/>
      </c>
      <c r="AK630" s="39">
        <f ca="1">IF(NOTA[[#This Row],[TGL.NOTA]]="",IF(NOTA[[#This Row],[SUPPLIER_H]]="","",AK629),MONTH(NOTA[[#This Row],[TGL.NOTA]]))</f>
        <v>7</v>
      </c>
      <c r="AL630" s="39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39" t="str">
        <f>IF(NOTA[[#This Row],[CONCAT4]]="","",_xlfn.IFNA(MATCH(NOTA[[#This Row],[CONCAT4]],[2]!RAW[CONCAT_H],0),FALSE))</f>
        <v/>
      </c>
      <c r="AQ630" s="39">
        <f>IF(NOTA[[#This Row],[CONCAT1]]="","",MATCH(NOTA[[#This Row],[CONCAT1]],[3]!db[NB NOTA_C],0))</f>
        <v>892</v>
      </c>
      <c r="AR630" s="39" t="str">
        <f>IF(NOTA[[#This Row],[QTY/ CTN]]="","",TRUE)</f>
        <v/>
      </c>
      <c r="AS630" s="39" t="str">
        <f ca="1">IF(NOTA[[#This Row],[ID_H]]="","",IF(NOTA[[#This Row],[Column3]]=TRUE,NOTA[[#This Row],[QTY/ CTN]],INDEX([3]!db[QTY/ CTN],NOTA[[#This Row],[//DB]])))</f>
        <v>200 BOX</v>
      </c>
      <c r="AT6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U630" s="39" t="e">
        <f ca="1">IF(NOTA[[#This Row],[ID_H]]="","",MATCH(NOTA[[#This Row],[NB NOTA_C_QTY]],[4]!db[NB NOTA_C_QTY+F],0))</f>
        <v>#REF!</v>
      </c>
      <c r="AV630" s="55">
        <f ca="1">IF(NOTA[[#This Row],[NB NOTA_C_QTY]]="","",ROW()-2)</f>
        <v>628</v>
      </c>
    </row>
    <row r="631" spans="1:48" ht="20.100000000000001" customHeight="1" x14ac:dyDescent="0.25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39" t="str">
        <f>IF(NOTA[[#This Row],[ID_P]]="","",MATCH(NOTA[[#This Row],[ID_P]],[1]!B_MSK[N_ID],0))</f>
        <v/>
      </c>
      <c r="D631" s="39">
        <f ca="1">IF(NOTA[[#This Row],[NAMA BARANG]]="","",INDEX(NOTA[ID],MATCH(,INDIRECT(ADDRESS(ROW(NOTA[ID]),COLUMN(NOTA[ID]))&amp;":"&amp;ADDRESS(ROW(),COLUMN(NOTA[ID]))),-1)))</f>
        <v>125</v>
      </c>
      <c r="E631" s="47"/>
      <c r="H631" s="48"/>
      <c r="K631" s="38">
        <v>1</v>
      </c>
      <c r="L631" s="38" t="s">
        <v>720</v>
      </c>
      <c r="M631" s="41">
        <v>1</v>
      </c>
      <c r="N631" s="39">
        <v>144</v>
      </c>
      <c r="O631" s="38" t="s">
        <v>152</v>
      </c>
      <c r="P631" s="42">
        <v>12600</v>
      </c>
      <c r="Q631" s="43"/>
      <c r="R631" s="49"/>
      <c r="S631" s="50">
        <v>0.125</v>
      </c>
      <c r="T631" s="45">
        <v>0.05</v>
      </c>
      <c r="U631" s="51"/>
      <c r="V631" s="46"/>
      <c r="W631" s="51">
        <f>IF(NOTA[[#This Row],[HARGA/ CTN]]="",NOTA[[#This Row],[JUMLAH_H]],NOTA[[#This Row],[HARGA/ CTN]]*IF(NOTA[[#This Row],[C]]="",0,NOTA[[#This Row],[C]]))</f>
        <v>1814400</v>
      </c>
      <c r="X631" s="51">
        <f>IF(NOTA[[#This Row],[JUMLAH]]="","",NOTA[[#This Row],[JUMLAH]]*NOTA[[#This Row],[DISC 1]])</f>
        <v>226800</v>
      </c>
      <c r="Y631" s="51">
        <f>IF(NOTA[[#This Row],[JUMLAH]]="","",(NOTA[[#This Row],[JUMLAH]]-NOTA[[#This Row],[DISC 1-]])*NOTA[[#This Row],[DISC 2]])</f>
        <v>79380</v>
      </c>
      <c r="Z631" s="51">
        <f>IF(NOTA[[#This Row],[JUMLAH]]="","",NOTA[[#This Row],[DISC 1-]]+NOTA[[#This Row],[DISC 2-]])</f>
        <v>306180</v>
      </c>
      <c r="AA631" s="51">
        <f>IF(NOTA[[#This Row],[JUMLAH]]="","",NOTA[[#This Row],[JUMLAH]]-NOTA[[#This Row],[DISC]])</f>
        <v>1508220</v>
      </c>
      <c r="AB631" s="51"/>
      <c r="AC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31" s="51">
        <f>IF(OR(NOTA[[#This Row],[QTY]]="",NOTA[[#This Row],[HARGA SATUAN]]="",),"",NOTA[[#This Row],[QTY]]*NOTA[[#This Row],[HARGA SATUAN]])</f>
        <v>1814400</v>
      </c>
      <c r="AG631" s="40">
        <f ca="1">IF(NOTA[ID_H]="","",INDEX(NOTA[TANGGAL],MATCH(,INDIRECT(ADDRESS(ROW(NOTA[TANGGAL]),COLUMN(NOTA[TANGGAL]))&amp;":"&amp;ADDRESS(ROW(),COLUMN(NOTA[TANGGAL]))),-1)))</f>
        <v>45131</v>
      </c>
      <c r="AH631" s="42" t="str">
        <f ca="1">IF(NOTA[[#This Row],[NAMA BARANG]]="","",INDEX(NOTA[SUPPLIER],MATCH(,INDIRECT(ADDRESS(ROW(NOTA[ID]),COLUMN(NOTA[ID]))&amp;":"&amp;ADDRESS(ROW(),COLUMN(NOTA[ID]))),-1)))</f>
        <v>ATALI MAKMUR</v>
      </c>
      <c r="AI631" s="42" t="str">
        <f ca="1">IF(NOTA[[#This Row],[ID_H]]="","",IF(NOTA[[#This Row],[FAKTUR]]="",INDIRECT(ADDRESS(ROW()-1,COLUMN())),NOTA[[#This Row],[FAKTUR]]))</f>
        <v>ARTO MORO</v>
      </c>
      <c r="AJ631" s="39" t="str">
        <f ca="1">IF(NOTA[[#This Row],[ID]]="","",COUNTIF(NOTA[ID_H],NOTA[[#This Row],[ID_H]]))</f>
        <v/>
      </c>
      <c r="AK631" s="39">
        <f ca="1">IF(NOTA[[#This Row],[TGL.NOTA]]="",IF(NOTA[[#This Row],[SUPPLIER_H]]="","",AK630),MONTH(NOTA[[#This Row],[TGL.NOTA]]))</f>
        <v>7</v>
      </c>
      <c r="AL63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6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6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6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39" t="str">
        <f>IF(NOTA[[#This Row],[CONCAT4]]="","",_xlfn.IFNA(MATCH(NOTA[[#This Row],[CONCAT4]],[2]!RAW[CONCAT_H],0),FALSE))</f>
        <v/>
      </c>
      <c r="AQ631" s="39">
        <f>IF(NOTA[[#This Row],[CONCAT1]]="","",MATCH(NOTA[[#This Row],[CONCAT1]],[3]!db[NB NOTA_C],0))</f>
        <v>632</v>
      </c>
      <c r="AR631" s="39" t="str">
        <f>IF(NOTA[[#This Row],[QTY/ CTN]]="","",TRUE)</f>
        <v/>
      </c>
      <c r="AS631" s="39" t="str">
        <f ca="1">IF(NOTA[[#This Row],[ID_H]]="","",IF(NOTA[[#This Row],[Column3]]=TRUE,NOTA[[#This Row],[QTY/ CTN]],INDEX([3]!db[QTY/ CTN],NOTA[[#This Row],[//DB]])))</f>
        <v>144 LSN</v>
      </c>
      <c r="AT6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631" s="39" t="e">
        <f ca="1">IF(NOTA[[#This Row],[ID_H]]="","",MATCH(NOTA[[#This Row],[NB NOTA_C_QTY]],[4]!db[NB NOTA_C_QTY+F],0))</f>
        <v>#REF!</v>
      </c>
      <c r="AV631" s="55">
        <f ca="1">IF(NOTA[[#This Row],[NB NOTA_C_QTY]]="","",ROW()-2)</f>
        <v>629</v>
      </c>
    </row>
    <row r="632" spans="1:48" ht="20.100000000000001" customHeight="1" x14ac:dyDescent="0.25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39" t="str">
        <f>IF(NOTA[[#This Row],[ID_P]]="","",MATCH(NOTA[[#This Row],[ID_P]],[1]!B_MSK[N_ID],0))</f>
        <v/>
      </c>
      <c r="D632" s="39">
        <f ca="1">IF(NOTA[[#This Row],[NAMA BARANG]]="","",INDEX(NOTA[ID],MATCH(,INDIRECT(ADDRESS(ROW(NOTA[ID]),COLUMN(NOTA[ID]))&amp;":"&amp;ADDRESS(ROW(),COLUMN(NOTA[ID]))),-1)))</f>
        <v>125</v>
      </c>
      <c r="E632" s="47"/>
      <c r="H632" s="48"/>
      <c r="L632" s="38" t="s">
        <v>803</v>
      </c>
      <c r="M632" s="41">
        <v>1</v>
      </c>
      <c r="N632" s="39">
        <v>144</v>
      </c>
      <c r="O632" s="38" t="s">
        <v>152</v>
      </c>
      <c r="P632" s="42">
        <v>13200</v>
      </c>
      <c r="Q632" s="43"/>
      <c r="R632" s="49" t="s">
        <v>538</v>
      </c>
      <c r="S632" s="50">
        <v>0.125</v>
      </c>
      <c r="T632" s="45">
        <v>0.05</v>
      </c>
      <c r="U632" s="51"/>
      <c r="V632" s="46"/>
      <c r="W632" s="51">
        <f>IF(NOTA[[#This Row],[HARGA/ CTN]]="",NOTA[[#This Row],[JUMLAH_H]],NOTA[[#This Row],[HARGA/ CTN]]*IF(NOTA[[#This Row],[C]]="",0,NOTA[[#This Row],[C]]))</f>
        <v>1900800</v>
      </c>
      <c r="X632" s="51">
        <f>IF(NOTA[[#This Row],[JUMLAH]]="","",NOTA[[#This Row],[JUMLAH]]*NOTA[[#This Row],[DISC 1]])</f>
        <v>237600</v>
      </c>
      <c r="Y632" s="51">
        <f>IF(NOTA[[#This Row],[JUMLAH]]="","",(NOTA[[#This Row],[JUMLAH]]-NOTA[[#This Row],[DISC 1-]])*NOTA[[#This Row],[DISC 2]])</f>
        <v>83160</v>
      </c>
      <c r="Z632" s="51">
        <f>IF(NOTA[[#This Row],[JUMLAH]]="","",NOTA[[#This Row],[DISC 1-]]+NOTA[[#This Row],[DISC 2-]])</f>
        <v>320760</v>
      </c>
      <c r="AA632" s="51">
        <f>IF(NOTA[[#This Row],[JUMLAH]]="","",NOTA[[#This Row],[JUMLAH]]-NOTA[[#This Row],[DISC]])</f>
        <v>1580040</v>
      </c>
      <c r="AB632" s="51"/>
      <c r="AC6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3935570.625</v>
      </c>
      <c r="AD6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19386329.375</v>
      </c>
      <c r="AE632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632" s="51">
        <f>IF(OR(NOTA[[#This Row],[QTY]]="",NOTA[[#This Row],[HARGA SATUAN]]="",),"",NOTA[[#This Row],[QTY]]*NOTA[[#This Row],[HARGA SATUAN]])</f>
        <v>1900800</v>
      </c>
      <c r="AG632" s="40">
        <f ca="1">IF(NOTA[ID_H]="","",INDEX(NOTA[TANGGAL],MATCH(,INDIRECT(ADDRESS(ROW(NOTA[TANGGAL]),COLUMN(NOTA[TANGGAL]))&amp;":"&amp;ADDRESS(ROW(),COLUMN(NOTA[TANGGAL]))),-1)))</f>
        <v>45131</v>
      </c>
      <c r="AH632" s="42" t="str">
        <f ca="1">IF(NOTA[[#This Row],[NAMA BARANG]]="","",INDEX(NOTA[SUPPLIER],MATCH(,INDIRECT(ADDRESS(ROW(NOTA[ID]),COLUMN(NOTA[ID]))&amp;":"&amp;ADDRESS(ROW(),COLUMN(NOTA[ID]))),-1)))</f>
        <v>ATALI MAKMUR</v>
      </c>
      <c r="AI632" s="42" t="str">
        <f ca="1">IF(NOTA[[#This Row],[ID_H]]="","",IF(NOTA[[#This Row],[FAKTUR]]="",INDIRECT(ADDRESS(ROW()-1,COLUMN())),NOTA[[#This Row],[FAKTUR]]))</f>
        <v>ARTO MORO</v>
      </c>
      <c r="AJ632" s="39" t="str">
        <f ca="1">IF(NOTA[[#This Row],[ID]]="","",COUNTIF(NOTA[ID_H],NOTA[[#This Row],[ID_H]]))</f>
        <v/>
      </c>
      <c r="AK632" s="39">
        <f ca="1">IF(NOTA[[#This Row],[TGL.NOTA]]="",IF(NOTA[[#This Row],[SUPPLIER_H]]="","",AK631),MONTH(NOTA[[#This Row],[TGL.NOTA]]))</f>
        <v>7</v>
      </c>
      <c r="AL632" s="39" t="str">
        <f>LOWER(SUBSTITUTE(SUBSTITUTE(SUBSTITUTE(SUBSTITUTE(SUBSTITUTE(SUBSTITUTE(SUBSTITUTE(SUBSTITUTE(SUBSTITUTE(NOTA[NAMA BARANG]," ",),".",""),"-",""),"(",""),")",""),",",""),"/",""),"""",""),"+",""))</f>
        <v>ballpenbp363vocustransptlblackjk</v>
      </c>
      <c r="AM6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ballpenbp363vocustransptlblackjk19008000.1250.05</v>
      </c>
      <c r="AN6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ballpenbp363vocustransptlblackjk19008000.1250.05</v>
      </c>
      <c r="AO6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39" t="str">
        <f>IF(NOTA[[#This Row],[CONCAT4]]="","",_xlfn.IFNA(MATCH(NOTA[[#This Row],[CONCAT4]],[2]!RAW[CONCAT_H],0),FALSE))</f>
        <v/>
      </c>
      <c r="AQ632" s="39">
        <f>IF(NOTA[[#This Row],[CONCAT1]]="","",MATCH(NOTA[[#This Row],[CONCAT1]],[3]!db[NB NOTA_C],0))</f>
        <v>631</v>
      </c>
      <c r="AR632" s="39" t="b">
        <f>IF(NOTA[[#This Row],[QTY/ CTN]]="","",TRUE)</f>
        <v>1</v>
      </c>
      <c r="AS632" s="39" t="str">
        <f ca="1">IF(NOTA[[#This Row],[ID_H]]="","",IF(NOTA[[#This Row],[Column3]]=TRUE,NOTA[[#This Row],[QTY/ CTN]],INDEX([3]!db[QTY/ CTN],NOTA[[#This Row],[//DB]])))</f>
        <v>144 LSN</v>
      </c>
      <c r="AT6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ballpenbp363vocustransptlblackjk144lsnartomoro</v>
      </c>
      <c r="AU632" s="39" t="e">
        <f ca="1">IF(NOTA[[#This Row],[ID_H]]="","",MATCH(NOTA[[#This Row],[NB NOTA_C_QTY]],[4]!db[NB NOTA_C_QTY+F],0))</f>
        <v>#REF!</v>
      </c>
      <c r="AV632" s="55">
        <f ca="1">IF(NOTA[[#This Row],[NB NOTA_C_QTY]]="","",ROW()-2)</f>
        <v>630</v>
      </c>
    </row>
    <row r="633" spans="1:48" ht="20.100000000000001" customHeight="1" x14ac:dyDescent="0.25">
      <c r="A6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39" t="str">
        <f>IF(NOTA[[#This Row],[ID_P]]="","",MATCH(NOTA[[#This Row],[ID_P]],[1]!B_MSK[N_ID],0))</f>
        <v/>
      </c>
      <c r="D633" s="39" t="str">
        <f ca="1">IF(NOTA[[#This Row],[NAMA BARANG]]="","",INDEX(NOTA[ID],MATCH(,INDIRECT(ADDRESS(ROW(NOTA[ID]),COLUMN(NOTA[ID]))&amp;":"&amp;ADDRESS(ROW(),COLUMN(NOTA[ID]))),-1)))</f>
        <v/>
      </c>
      <c r="E633" s="47"/>
      <c r="H633" s="48"/>
      <c r="N633" s="39"/>
      <c r="Q633" s="43"/>
      <c r="R633" s="49"/>
      <c r="S633" s="50"/>
      <c r="U633" s="51"/>
      <c r="V633" s="46"/>
      <c r="W633" s="51" t="str">
        <f>IF(NOTA[[#This Row],[HARGA/ CTN]]="",NOTA[[#This Row],[JUMLAH_H]],NOTA[[#This Row],[HARGA/ CTN]]*IF(NOTA[[#This Row],[C]]="",0,NOTA[[#This Row],[C]]))</f>
        <v/>
      </c>
      <c r="X633" s="51" t="str">
        <f>IF(NOTA[[#This Row],[JUMLAH]]="","",NOTA[[#This Row],[JUMLAH]]*NOTA[[#This Row],[DISC 1]])</f>
        <v/>
      </c>
      <c r="Y633" s="51" t="str">
        <f>IF(NOTA[[#This Row],[JUMLAH]]="","",(NOTA[[#This Row],[JUMLAH]]-NOTA[[#This Row],[DISC 1-]])*NOTA[[#This Row],[DISC 2]])</f>
        <v/>
      </c>
      <c r="Z633" s="51" t="str">
        <f>IF(NOTA[[#This Row],[JUMLAH]]="","",NOTA[[#This Row],[DISC 1-]]+NOTA[[#This Row],[DISC 2-]])</f>
        <v/>
      </c>
      <c r="AA633" s="51" t="str">
        <f>IF(NOTA[[#This Row],[JUMLAH]]="","",NOTA[[#This Row],[JUMLAH]]-NOTA[[#This Row],[DISC]])</f>
        <v/>
      </c>
      <c r="AB633" s="51"/>
      <c r="AC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51" t="str">
        <f>IF(OR(NOTA[[#This Row],[QTY]]="",NOTA[[#This Row],[HARGA SATUAN]]="",),"",NOTA[[#This Row],[QTY]]*NOTA[[#This Row],[HARGA SATUAN]])</f>
        <v/>
      </c>
      <c r="AG633" s="40" t="str">
        <f ca="1">IF(NOTA[ID_H]="","",INDEX(NOTA[TANGGAL],MATCH(,INDIRECT(ADDRESS(ROW(NOTA[TANGGAL]),COLUMN(NOTA[TANGGAL]))&amp;":"&amp;ADDRESS(ROW(),COLUMN(NOTA[TANGGAL]))),-1)))</f>
        <v/>
      </c>
      <c r="AH633" s="42" t="str">
        <f ca="1">IF(NOTA[[#This Row],[NAMA BARANG]]="","",INDEX(NOTA[SUPPLIER],MATCH(,INDIRECT(ADDRESS(ROW(NOTA[ID]),COLUMN(NOTA[ID]))&amp;":"&amp;ADDRESS(ROW(),COLUMN(NOTA[ID]))),-1)))</f>
        <v/>
      </c>
      <c r="AI633" s="42" t="str">
        <f ca="1">IF(NOTA[[#This Row],[ID_H]]="","",IF(NOTA[[#This Row],[FAKTUR]]="",INDIRECT(ADDRESS(ROW()-1,COLUMN())),NOTA[[#This Row],[FAKTUR]]))</f>
        <v/>
      </c>
      <c r="AJ633" s="39" t="str">
        <f ca="1">IF(NOTA[[#This Row],[ID]]="","",COUNTIF(NOTA[ID_H],NOTA[[#This Row],[ID_H]]))</f>
        <v/>
      </c>
      <c r="AK633" s="39" t="str">
        <f ca="1">IF(NOTA[[#This Row],[TGL.NOTA]]="",IF(NOTA[[#This Row],[SUPPLIER_H]]="","",AK632),MONTH(NOTA[[#This Row],[TGL.NOTA]]))</f>
        <v/>
      </c>
      <c r="AL633" s="39" t="str">
        <f>LOWER(SUBSTITUTE(SUBSTITUTE(SUBSTITUTE(SUBSTITUTE(SUBSTITUTE(SUBSTITUTE(SUBSTITUTE(SUBSTITUTE(SUBSTITUTE(NOTA[NAMA BARANG]," ",),".",""),"-",""),"(",""),")",""),",",""),"/",""),"""",""),"+",""))</f>
        <v/>
      </c>
      <c r="AM6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39" t="str">
        <f>IF(NOTA[[#This Row],[CONCAT4]]="","",_xlfn.IFNA(MATCH(NOTA[[#This Row],[CONCAT4]],[2]!RAW[CONCAT_H],0),FALSE))</f>
        <v/>
      </c>
      <c r="AQ633" s="39" t="str">
        <f>IF(NOTA[[#This Row],[CONCAT1]]="","",MATCH(NOTA[[#This Row],[CONCAT1]],[3]!db[NB NOTA_C],0))</f>
        <v/>
      </c>
      <c r="AR633" s="39" t="str">
        <f>IF(NOTA[[#This Row],[QTY/ CTN]]="","",TRUE)</f>
        <v/>
      </c>
      <c r="AS633" s="39" t="str">
        <f ca="1">IF(NOTA[[#This Row],[ID_H]]="","",IF(NOTA[[#This Row],[Column3]]=TRUE,NOTA[[#This Row],[QTY/ CTN]],INDEX([3]!db[QTY/ CTN],NOTA[[#This Row],[//DB]])))</f>
        <v/>
      </c>
      <c r="AT6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39" t="str">
        <f ca="1">IF(NOTA[[#This Row],[ID_H]]="","",MATCH(NOTA[[#This Row],[NB NOTA_C_QTY]],[4]!db[NB NOTA_C_QTY+F],0))</f>
        <v/>
      </c>
      <c r="AV633" s="55" t="str">
        <f ca="1">IF(NOTA[[#This Row],[NB NOTA_C_QTY]]="","",ROW()-2)</f>
        <v/>
      </c>
    </row>
    <row r="634" spans="1:48" ht="20.100000000000001" customHeight="1" x14ac:dyDescent="0.25">
      <c r="A634" s="4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ATA_2407_770-7</v>
      </c>
      <c r="C634" s="39" t="e">
        <f ca="1">IF(NOTA[[#This Row],[ID_P]]="","",MATCH(NOTA[[#This Row],[ID_P]],[1]!B_MSK[N_ID],0))</f>
        <v>#REF!</v>
      </c>
      <c r="D634" s="39">
        <f ca="1">IF(NOTA[[#This Row],[NAMA BARANG]]="","",INDEX(NOTA[ID],MATCH(,INDIRECT(ADDRESS(ROW(NOTA[ID]),COLUMN(NOTA[ID]))&amp;":"&amp;ADDRESS(ROW(),COLUMN(NOTA[ID]))),-1)))</f>
        <v>126</v>
      </c>
      <c r="E634" s="47"/>
      <c r="F634" s="38" t="s">
        <v>24</v>
      </c>
      <c r="G634" s="38" t="s">
        <v>23</v>
      </c>
      <c r="H634" s="48" t="s">
        <v>722</v>
      </c>
      <c r="J634" s="40">
        <v>45128</v>
      </c>
      <c r="K634" s="38">
        <v>10</v>
      </c>
      <c r="L634" s="38" t="s">
        <v>647</v>
      </c>
      <c r="M634" s="41">
        <v>10</v>
      </c>
      <c r="N634" s="39">
        <v>8640</v>
      </c>
      <c r="O634" s="38" t="s">
        <v>117</v>
      </c>
      <c r="P634" s="42">
        <v>2450</v>
      </c>
      <c r="Q634" s="43"/>
      <c r="R634" s="49"/>
      <c r="S634" s="50">
        <v>0.125</v>
      </c>
      <c r="T634" s="45">
        <v>0.05</v>
      </c>
      <c r="U634" s="51"/>
      <c r="V634" s="46"/>
      <c r="W634" s="51">
        <f>IF(NOTA[[#This Row],[HARGA/ CTN]]="",NOTA[[#This Row],[JUMLAH_H]],NOTA[[#This Row],[HARGA/ CTN]]*IF(NOTA[[#This Row],[C]]="",0,NOTA[[#This Row],[C]]))</f>
        <v>21168000</v>
      </c>
      <c r="X634" s="51">
        <f>IF(NOTA[[#This Row],[JUMLAH]]="","",NOTA[[#This Row],[JUMLAH]]*NOTA[[#This Row],[DISC 1]])</f>
        <v>2646000</v>
      </c>
      <c r="Y634" s="51">
        <f>IF(NOTA[[#This Row],[JUMLAH]]="","",(NOTA[[#This Row],[JUMLAH]]-NOTA[[#This Row],[DISC 1-]])*NOTA[[#This Row],[DISC 2]])</f>
        <v>926100</v>
      </c>
      <c r="Z634" s="51">
        <f>IF(NOTA[[#This Row],[JUMLAH]]="","",NOTA[[#This Row],[DISC 1-]]+NOTA[[#This Row],[DISC 2-]])</f>
        <v>3572100</v>
      </c>
      <c r="AA634" s="51">
        <f>IF(NOTA[[#This Row],[JUMLAH]]="","",NOTA[[#This Row],[JUMLAH]]-NOTA[[#This Row],[DISC]])</f>
        <v>17595900</v>
      </c>
      <c r="AB634" s="51"/>
      <c r="AC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34" s="51">
        <f>IF(OR(NOTA[[#This Row],[QTY]]="",NOTA[[#This Row],[HARGA SATUAN]]="",),"",NOTA[[#This Row],[QTY]]*NOTA[[#This Row],[HARGA SATUAN]])</f>
        <v>21168000</v>
      </c>
      <c r="AG634" s="40">
        <f ca="1">IF(NOTA[ID_H]="","",INDEX(NOTA[TANGGAL],MATCH(,INDIRECT(ADDRESS(ROW(NOTA[TANGGAL]),COLUMN(NOTA[TANGGAL]))&amp;":"&amp;ADDRESS(ROW(),COLUMN(NOTA[TANGGAL]))),-1)))</f>
        <v>45131</v>
      </c>
      <c r="AH634" s="42" t="str">
        <f ca="1">IF(NOTA[[#This Row],[NAMA BARANG]]="","",INDEX(NOTA[SUPPLIER],MATCH(,INDIRECT(ADDRESS(ROW(NOTA[ID]),COLUMN(NOTA[ID]))&amp;":"&amp;ADDRESS(ROW(),COLUMN(NOTA[ID]))),-1)))</f>
        <v>ATALI MAKMUR</v>
      </c>
      <c r="AI634" s="42" t="str">
        <f ca="1">IF(NOTA[[#This Row],[ID_H]]="","",IF(NOTA[[#This Row],[FAKTUR]]="",INDIRECT(ADDRESS(ROW()-1,COLUMN())),NOTA[[#This Row],[FAKTUR]]))</f>
        <v>ARTO MORO</v>
      </c>
      <c r="AJ634" s="39">
        <f ca="1">IF(NOTA[[#This Row],[ID]]="","",COUNTIF(NOTA[ID_H],NOTA[[#This Row],[ID_H]]))</f>
        <v>7</v>
      </c>
      <c r="AK634" s="39">
        <f>IF(NOTA[[#This Row],[TGL.NOTA]]="",IF(NOTA[[#This Row],[SUPPLIER_H]]="","",AK633),MONTH(NOTA[[#This Row],[TGL.NOTA]]))</f>
        <v>7</v>
      </c>
      <c r="AL634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6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6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63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MOROSA23071277045128gluestickgs104animalkingdomjk</v>
      </c>
      <c r="AP634" s="39" t="e">
        <f>IF(NOTA[[#This Row],[CONCAT4]]="","",_xlfn.IFNA(MATCH(NOTA[[#This Row],[CONCAT4]],[2]!RAW[CONCAT_H],0),FALSE))</f>
        <v>#REF!</v>
      </c>
      <c r="AQ634" s="39">
        <f>IF(NOTA[[#This Row],[CONCAT1]]="","",MATCH(NOTA[[#This Row],[CONCAT1]],[3]!db[NB NOTA_C],0))</f>
        <v>1502</v>
      </c>
      <c r="AR634" s="39" t="str">
        <f>IF(NOTA[[#This Row],[QTY/ CTN]]="","",TRUE)</f>
        <v/>
      </c>
      <c r="AS634" s="39" t="str">
        <f ca="1">IF(NOTA[[#This Row],[ID_H]]="","",IF(NOTA[[#This Row],[Column3]]=TRUE,NOTA[[#This Row],[QTY/ CTN]],INDEX([3]!db[QTY/ CTN],NOTA[[#This Row],[//DB]])))</f>
        <v>36 BOX (24 PCS)</v>
      </c>
      <c r="AT6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634" s="39" t="e">
        <f ca="1">IF(NOTA[[#This Row],[ID_H]]="","",MATCH(NOTA[[#This Row],[NB NOTA_C_QTY]],[4]!db[NB NOTA_C_QTY+F],0))</f>
        <v>#REF!</v>
      </c>
      <c r="AV634" s="55">
        <f ca="1">IF(NOTA[[#This Row],[NB NOTA_C_QTY]]="","",ROW()-2)</f>
        <v>632</v>
      </c>
    </row>
    <row r="635" spans="1:48" ht="20.100000000000001" customHeight="1" x14ac:dyDescent="0.25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39" t="str">
        <f>IF(NOTA[[#This Row],[ID_P]]="","",MATCH(NOTA[[#This Row],[ID_P]],[1]!B_MSK[N_ID],0))</f>
        <v/>
      </c>
      <c r="D635" s="39">
        <f ca="1">IF(NOTA[[#This Row],[NAMA BARANG]]="","",INDEX(NOTA[ID],MATCH(,INDIRECT(ADDRESS(ROW(NOTA[ID]),COLUMN(NOTA[ID]))&amp;":"&amp;ADDRESS(ROW(),COLUMN(NOTA[ID]))),-1)))</f>
        <v>126</v>
      </c>
      <c r="E635" s="47"/>
      <c r="H635" s="38"/>
      <c r="K635" s="38">
        <v>1</v>
      </c>
      <c r="L635" s="38" t="s">
        <v>723</v>
      </c>
      <c r="M635" s="41">
        <v>1</v>
      </c>
      <c r="N635" s="39">
        <v>1000</v>
      </c>
      <c r="O635" s="38" t="s">
        <v>308</v>
      </c>
      <c r="P635" s="42">
        <v>2050</v>
      </c>
      <c r="Q635" s="43"/>
      <c r="R635" s="49"/>
      <c r="S635" s="50">
        <v>0.125</v>
      </c>
      <c r="T635" s="45">
        <v>0.05</v>
      </c>
      <c r="U635" s="51"/>
      <c r="V635" s="46"/>
      <c r="W635" s="54">
        <f>IF(NOTA[[#This Row],[HARGA/ CTN]]="",NOTA[[#This Row],[JUMLAH_H]],NOTA[[#This Row],[HARGA/ CTN]]*IF(NOTA[[#This Row],[C]]="",0,NOTA[[#This Row],[C]]))</f>
        <v>2050000</v>
      </c>
      <c r="X635" s="51">
        <f>IF(NOTA[[#This Row],[JUMLAH]]="","",NOTA[[#This Row],[JUMLAH]]*NOTA[[#This Row],[DISC 1]])</f>
        <v>256250</v>
      </c>
      <c r="Y635" s="51">
        <f>IF(NOTA[[#This Row],[JUMLAH]]="","",(NOTA[[#This Row],[JUMLAH]]-NOTA[[#This Row],[DISC 1-]])*NOTA[[#This Row],[DISC 2]])</f>
        <v>89687.5</v>
      </c>
      <c r="Z635" s="51">
        <f>IF(NOTA[[#This Row],[JUMLAH]]="","",NOTA[[#This Row],[DISC 1-]]+NOTA[[#This Row],[DISC 2-]])</f>
        <v>345937.5</v>
      </c>
      <c r="AA635" s="51">
        <f>IF(NOTA[[#This Row],[JUMLAH]]="","",NOTA[[#This Row],[JUMLAH]]-NOTA[[#This Row],[DISC]])</f>
        <v>1704062.5</v>
      </c>
      <c r="AB635" s="51"/>
      <c r="AC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35" s="51">
        <f>IF(OR(NOTA[[#This Row],[QTY]]="",NOTA[[#This Row],[HARGA SATUAN]]="",),"",NOTA[[#This Row],[QTY]]*NOTA[[#This Row],[HARGA SATUAN]])</f>
        <v>2050000</v>
      </c>
      <c r="AG635" s="40">
        <f ca="1">IF(NOTA[ID_H]="","",INDEX(NOTA[TANGGAL],MATCH(,INDIRECT(ADDRESS(ROW(NOTA[TANGGAL]),COLUMN(NOTA[TANGGAL]))&amp;":"&amp;ADDRESS(ROW(),COLUMN(NOTA[TANGGAL]))),-1)))</f>
        <v>45131</v>
      </c>
      <c r="AH635" s="42" t="str">
        <f ca="1">IF(NOTA[[#This Row],[NAMA BARANG]]="","",INDEX(NOTA[SUPPLIER],MATCH(,INDIRECT(ADDRESS(ROW(NOTA[ID]),COLUMN(NOTA[ID]))&amp;":"&amp;ADDRESS(ROW(),COLUMN(NOTA[ID]))),-1)))</f>
        <v>ATALI MAKMUR</v>
      </c>
      <c r="AI635" s="42" t="str">
        <f ca="1">IF(NOTA[[#This Row],[ID_H]]="","",IF(NOTA[[#This Row],[FAKTUR]]="",INDIRECT(ADDRESS(ROW()-1,COLUMN())),NOTA[[#This Row],[FAKTUR]]))</f>
        <v>ARTO MORO</v>
      </c>
      <c r="AJ635" s="39" t="str">
        <f ca="1">IF(NOTA[[#This Row],[ID]]="","",COUNTIF(NOTA[ID_H],NOTA[[#This Row],[ID_H]]))</f>
        <v/>
      </c>
      <c r="AK635" s="39">
        <f ca="1">IF(NOTA[[#This Row],[TGL.NOTA]]="",IF(NOTA[[#This Row],[SUPPLIER_H]]="","",AK634),MONTH(NOTA[[#This Row],[TGL.NOTA]]))</f>
        <v>7</v>
      </c>
      <c r="AL63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39" t="str">
        <f>IF(NOTA[[#This Row],[CONCAT4]]="","",_xlfn.IFNA(MATCH(NOTA[[#This Row],[CONCAT4]],[2]!RAW[CONCAT_H],0),FALSE))</f>
        <v/>
      </c>
      <c r="AQ635" s="39">
        <f>IF(NOTA[[#This Row],[CONCAT1]]="","",MATCH(NOTA[[#This Row],[CONCAT1]],[3]!db[NB NOTA_C],0))</f>
        <v>1468</v>
      </c>
      <c r="AR635" s="39" t="str">
        <f>IF(NOTA[[#This Row],[QTY/ CTN]]="","",TRUE)</f>
        <v/>
      </c>
      <c r="AS635" s="39" t="str">
        <f ca="1">IF(NOTA[[#This Row],[ID_H]]="","",IF(NOTA[[#This Row],[Column3]]=TRUE,NOTA[[#This Row],[QTY/ CTN]],INDEX([3]!db[QTY/ CTN],NOTA[[#This Row],[//DB]])))</f>
        <v>100 PAK (10 ROL)</v>
      </c>
      <c r="AT6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635" s="39" t="e">
        <f ca="1">IF(NOTA[[#This Row],[ID_H]]="","",MATCH(NOTA[[#This Row],[NB NOTA_C_QTY]],[4]!db[NB NOTA_C_QTY+F],0))</f>
        <v>#REF!</v>
      </c>
      <c r="AV635" s="55">
        <f ca="1">IF(NOTA[[#This Row],[NB NOTA_C_QTY]]="","",ROW()-2)</f>
        <v>633</v>
      </c>
    </row>
    <row r="636" spans="1:48" ht="20.100000000000001" customHeight="1" x14ac:dyDescent="0.25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39" t="str">
        <f>IF(NOTA[[#This Row],[ID_P]]="","",MATCH(NOTA[[#This Row],[ID_P]],[1]!B_MSK[N_ID],0))</f>
        <v/>
      </c>
      <c r="D636" s="39">
        <f ca="1">IF(NOTA[[#This Row],[NAMA BARANG]]="","",INDEX(NOTA[ID],MATCH(,INDIRECT(ADDRESS(ROW(NOTA[ID]),COLUMN(NOTA[ID]))&amp;":"&amp;ADDRESS(ROW(),COLUMN(NOTA[ID]))),-1)))</f>
        <v>126</v>
      </c>
      <c r="E636" s="47"/>
      <c r="H636" s="48"/>
      <c r="K636" s="38">
        <v>2</v>
      </c>
      <c r="L636" s="38" t="s">
        <v>317</v>
      </c>
      <c r="M636" s="41">
        <v>2</v>
      </c>
      <c r="N636" s="39">
        <v>288</v>
      </c>
      <c r="O636" s="38" t="s">
        <v>263</v>
      </c>
      <c r="P636" s="42">
        <v>10600</v>
      </c>
      <c r="Q636" s="43"/>
      <c r="R636" s="49"/>
      <c r="S636" s="50">
        <v>0.125</v>
      </c>
      <c r="T636" s="45">
        <v>0.05</v>
      </c>
      <c r="U636" s="51"/>
      <c r="V636" s="46"/>
      <c r="W636" s="51">
        <f>IF(NOTA[[#This Row],[HARGA/ CTN]]="",NOTA[[#This Row],[JUMLAH_H]],NOTA[[#This Row],[HARGA/ CTN]]*IF(NOTA[[#This Row],[C]]="",0,NOTA[[#This Row],[C]]))</f>
        <v>3052800</v>
      </c>
      <c r="X636" s="51">
        <f>IF(NOTA[[#This Row],[JUMLAH]]="","",NOTA[[#This Row],[JUMLAH]]*NOTA[[#This Row],[DISC 1]])</f>
        <v>381600</v>
      </c>
      <c r="Y636" s="51">
        <f>IF(NOTA[[#This Row],[JUMLAH]]="","",(NOTA[[#This Row],[JUMLAH]]-NOTA[[#This Row],[DISC 1-]])*NOTA[[#This Row],[DISC 2]])</f>
        <v>133560</v>
      </c>
      <c r="Z636" s="51">
        <f>IF(NOTA[[#This Row],[JUMLAH]]="","",NOTA[[#This Row],[DISC 1-]]+NOTA[[#This Row],[DISC 2-]])</f>
        <v>515160</v>
      </c>
      <c r="AA636" s="51">
        <f>IF(NOTA[[#This Row],[JUMLAH]]="","",NOTA[[#This Row],[JUMLAH]]-NOTA[[#This Row],[DISC]])</f>
        <v>2537640</v>
      </c>
      <c r="AB636" s="51"/>
      <c r="AC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36" s="51">
        <f>IF(OR(NOTA[[#This Row],[QTY]]="",NOTA[[#This Row],[HARGA SATUAN]]="",),"",NOTA[[#This Row],[QTY]]*NOTA[[#This Row],[HARGA SATUAN]])</f>
        <v>3052800</v>
      </c>
      <c r="AG636" s="40">
        <f ca="1">IF(NOTA[ID_H]="","",INDEX(NOTA[TANGGAL],MATCH(,INDIRECT(ADDRESS(ROW(NOTA[TANGGAL]),COLUMN(NOTA[TANGGAL]))&amp;":"&amp;ADDRESS(ROW(),COLUMN(NOTA[TANGGAL]))),-1)))</f>
        <v>45131</v>
      </c>
      <c r="AH636" s="42" t="str">
        <f ca="1">IF(NOTA[[#This Row],[NAMA BARANG]]="","",INDEX(NOTA[SUPPLIER],MATCH(,INDIRECT(ADDRESS(ROW(NOTA[ID]),COLUMN(NOTA[ID]))&amp;":"&amp;ADDRESS(ROW(),COLUMN(NOTA[ID]))),-1)))</f>
        <v>ATALI MAKMUR</v>
      </c>
      <c r="AI636" s="42" t="str">
        <f ca="1">IF(NOTA[[#This Row],[ID_H]]="","",IF(NOTA[[#This Row],[FAKTUR]]="",INDIRECT(ADDRESS(ROW()-1,COLUMN())),NOTA[[#This Row],[FAKTUR]]))</f>
        <v>ARTO MORO</v>
      </c>
      <c r="AJ636" s="39" t="str">
        <f ca="1">IF(NOTA[[#This Row],[ID]]="","",COUNTIF(NOTA[ID_H],NOTA[[#This Row],[ID_H]]))</f>
        <v/>
      </c>
      <c r="AK636" s="39">
        <f ca="1">IF(NOTA[[#This Row],[TGL.NOTA]]="",IF(NOTA[[#This Row],[SUPPLIER_H]]="","",AK635),MONTH(NOTA[[#This Row],[TGL.NOTA]]))</f>
        <v>7</v>
      </c>
      <c r="AL636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39" t="str">
        <f>IF(NOTA[[#This Row],[CONCAT4]]="","",_xlfn.IFNA(MATCH(NOTA[[#This Row],[CONCAT4]],[2]!RAW[CONCAT_H],0),FALSE))</f>
        <v/>
      </c>
      <c r="AQ636" s="39">
        <f>IF(NOTA[[#This Row],[CONCAT1]]="","",MATCH(NOTA[[#This Row],[CONCAT1]],[3]!db[NB NOTA_C],0))</f>
        <v>2320</v>
      </c>
      <c r="AR636" s="39" t="str">
        <f>IF(NOTA[[#This Row],[QTY/ CTN]]="","",TRUE)</f>
        <v/>
      </c>
      <c r="AS636" s="39" t="str">
        <f ca="1">IF(NOTA[[#This Row],[ID_H]]="","",IF(NOTA[[#This Row],[Column3]]=TRUE,NOTA[[#This Row],[QTY/ CTN]],INDEX([3]!db[QTY/ CTN],NOTA[[#This Row],[//DB]])))</f>
        <v>12 LSN</v>
      </c>
      <c r="AT6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636" s="39" t="e">
        <f ca="1">IF(NOTA[[#This Row],[ID_H]]="","",MATCH(NOTA[[#This Row],[NB NOTA_C_QTY]],[4]!db[NB NOTA_C_QTY+F],0))</f>
        <v>#REF!</v>
      </c>
      <c r="AV636" s="55">
        <f ca="1">IF(NOTA[[#This Row],[NB NOTA_C_QTY]]="","",ROW()-2)</f>
        <v>634</v>
      </c>
    </row>
    <row r="637" spans="1:48" ht="20.100000000000001" customHeight="1" x14ac:dyDescent="0.25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>
        <f ca="1">IF(NOTA[[#This Row],[NAMA BARANG]]="","",INDEX(NOTA[ID],MATCH(,INDIRECT(ADDRESS(ROW(NOTA[ID]),COLUMN(NOTA[ID]))&amp;":"&amp;ADDRESS(ROW(),COLUMN(NOTA[ID]))),-1)))</f>
        <v>126</v>
      </c>
      <c r="E637" s="47"/>
      <c r="F637" s="42"/>
      <c r="G637" s="42"/>
      <c r="H637" s="45"/>
      <c r="L637" s="42" t="s">
        <v>446</v>
      </c>
      <c r="M637" s="41">
        <v>1</v>
      </c>
      <c r="N637" s="39">
        <v>288</v>
      </c>
      <c r="O637" s="38" t="s">
        <v>263</v>
      </c>
      <c r="P637" s="42">
        <v>6700</v>
      </c>
      <c r="Q637" s="43"/>
      <c r="R637" s="49"/>
      <c r="S637" s="50">
        <v>0.125</v>
      </c>
      <c r="T637" s="45">
        <v>0.05</v>
      </c>
      <c r="U637" s="51"/>
      <c r="V637" s="46"/>
      <c r="W637" s="51">
        <f>IF(NOTA[[#This Row],[HARGA/ CTN]]="",NOTA[[#This Row],[JUMLAH_H]],NOTA[[#This Row],[HARGA/ CTN]]*IF(NOTA[[#This Row],[C]]="",0,NOTA[[#This Row],[C]]))</f>
        <v>1929600</v>
      </c>
      <c r="X637" s="51">
        <f>IF(NOTA[[#This Row],[JUMLAH]]="","",NOTA[[#This Row],[JUMLAH]]*NOTA[[#This Row],[DISC 1]])</f>
        <v>241200</v>
      </c>
      <c r="Y637" s="51">
        <f>IF(NOTA[[#This Row],[JUMLAH]]="","",(NOTA[[#This Row],[JUMLAH]]-NOTA[[#This Row],[DISC 1-]])*NOTA[[#This Row],[DISC 2]])</f>
        <v>84420</v>
      </c>
      <c r="Z637" s="51">
        <f>IF(NOTA[[#This Row],[JUMLAH]]="","",NOTA[[#This Row],[DISC 1-]]+NOTA[[#This Row],[DISC 2-]])</f>
        <v>325620</v>
      </c>
      <c r="AA637" s="51">
        <f>IF(NOTA[[#This Row],[JUMLAH]]="","",NOTA[[#This Row],[JUMLAH]]-NOTA[[#This Row],[DISC]])</f>
        <v>1603980</v>
      </c>
      <c r="AB637" s="51"/>
      <c r="AC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37" s="51">
        <f>IF(OR(NOTA[[#This Row],[QTY]]="",NOTA[[#This Row],[HARGA SATUAN]]="",),"",NOTA[[#This Row],[QTY]]*NOTA[[#This Row],[HARGA SATUAN]])</f>
        <v>1929600</v>
      </c>
      <c r="AG637" s="40">
        <f ca="1">IF(NOTA[ID_H]="","",INDEX(NOTA[TANGGAL],MATCH(,INDIRECT(ADDRESS(ROW(NOTA[TANGGAL]),COLUMN(NOTA[TANGGAL]))&amp;":"&amp;ADDRESS(ROW(),COLUMN(NOTA[TANGGAL]))),-1)))</f>
        <v>45131</v>
      </c>
      <c r="AH637" s="42" t="str">
        <f ca="1">IF(NOTA[[#This Row],[NAMA BARANG]]="","",INDEX(NOTA[SUPPLIER],MATCH(,INDIRECT(ADDRESS(ROW(NOTA[ID]),COLUMN(NOTA[ID]))&amp;":"&amp;ADDRESS(ROW(),COLUMN(NOTA[ID]))),-1)))</f>
        <v>ATALI MAKMUR</v>
      </c>
      <c r="AI637" s="42" t="str">
        <f ca="1">IF(NOTA[[#This Row],[ID_H]]="","",IF(NOTA[[#This Row],[FAKTUR]]="",INDIRECT(ADDRESS(ROW()-1,COLUMN())),NOTA[[#This Row],[FAKTUR]]))</f>
        <v>ARTO MORO</v>
      </c>
      <c r="AJ637" s="39" t="str">
        <f ca="1">IF(NOTA[[#This Row],[ID]]="","",COUNTIF(NOTA[ID_H],NOTA[[#This Row],[ID_H]]))</f>
        <v/>
      </c>
      <c r="AK637" s="39">
        <f ca="1">IF(NOTA[[#This Row],[TGL.NOTA]]="",IF(NOTA[[#This Row],[SUPPLIER_H]]="","",AK636),MONTH(NOTA[[#This Row],[TGL.NOTA]]))</f>
        <v>7</v>
      </c>
      <c r="AL637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6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6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6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39" t="str">
        <f>IF(NOTA[[#This Row],[CONCAT4]]="","",_xlfn.IFNA(MATCH(NOTA[[#This Row],[CONCAT4]],[2]!RAW[CONCAT_H],0),FALSE))</f>
        <v/>
      </c>
      <c r="AQ637" s="39">
        <f>IF(NOTA[[#This Row],[CONCAT1]]="","",MATCH(NOTA[[#This Row],[CONCAT1]],[3]!db[NB NOTA_C],0))</f>
        <v>2323</v>
      </c>
      <c r="AR637" s="39" t="str">
        <f>IF(NOTA[[#This Row],[QTY/ CTN]]="","",TRUE)</f>
        <v/>
      </c>
      <c r="AS637" s="39" t="str">
        <f ca="1">IF(NOTA[[#This Row],[ID_H]]="","",IF(NOTA[[#This Row],[Column3]]=TRUE,NOTA[[#This Row],[QTY/ CTN]],INDEX([3]!db[QTY/ CTN],NOTA[[#This Row],[//DB]])))</f>
        <v>12 BOX (24 SET)</v>
      </c>
      <c r="AT6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637" s="39" t="e">
        <f ca="1">IF(NOTA[[#This Row],[ID_H]]="","",MATCH(NOTA[[#This Row],[NB NOTA_C_QTY]],[4]!db[NB NOTA_C_QTY+F],0))</f>
        <v>#REF!</v>
      </c>
      <c r="AV637" s="55">
        <f ca="1">IF(NOTA[[#This Row],[NB NOTA_C_QTY]]="","",ROW()-2)</f>
        <v>635</v>
      </c>
    </row>
    <row r="638" spans="1:48" ht="20.100000000000001" customHeight="1" x14ac:dyDescent="0.25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>
        <f ca="1">IF(NOTA[[#This Row],[NAMA BARANG]]="","",INDEX(NOTA[ID],MATCH(,INDIRECT(ADDRESS(ROW(NOTA[ID]),COLUMN(NOTA[ID]))&amp;":"&amp;ADDRESS(ROW(),COLUMN(NOTA[ID]))),-1)))</f>
        <v>126</v>
      </c>
      <c r="E638" s="47"/>
      <c r="H638" s="48"/>
      <c r="K638" s="38">
        <v>2</v>
      </c>
      <c r="L638" s="42" t="s">
        <v>724</v>
      </c>
      <c r="M638" s="41">
        <v>2</v>
      </c>
      <c r="N638" s="39">
        <v>120</v>
      </c>
      <c r="O638" s="38" t="s">
        <v>319</v>
      </c>
      <c r="P638" s="42">
        <v>22200</v>
      </c>
      <c r="Q638" s="43"/>
      <c r="R638" s="49"/>
      <c r="S638" s="50">
        <v>0.125</v>
      </c>
      <c r="T638" s="45">
        <v>0.05</v>
      </c>
      <c r="U638" s="51"/>
      <c r="V638" s="46"/>
      <c r="W638" s="51">
        <f>IF(NOTA[[#This Row],[HARGA/ CTN]]="",NOTA[[#This Row],[JUMLAH_H]],NOTA[[#This Row],[HARGA/ CTN]]*IF(NOTA[[#This Row],[C]]="",0,NOTA[[#This Row],[C]]))</f>
        <v>2664000</v>
      </c>
      <c r="X638" s="51">
        <f>IF(NOTA[[#This Row],[JUMLAH]]="","",NOTA[[#This Row],[JUMLAH]]*NOTA[[#This Row],[DISC 1]])</f>
        <v>333000</v>
      </c>
      <c r="Y638" s="51">
        <f>IF(NOTA[[#This Row],[JUMLAH]]="","",(NOTA[[#This Row],[JUMLAH]]-NOTA[[#This Row],[DISC 1-]])*NOTA[[#This Row],[DISC 2]])</f>
        <v>116550</v>
      </c>
      <c r="Z638" s="51">
        <f>IF(NOTA[[#This Row],[JUMLAH]]="","",NOTA[[#This Row],[DISC 1-]]+NOTA[[#This Row],[DISC 2-]])</f>
        <v>449550</v>
      </c>
      <c r="AA638" s="51">
        <f>IF(NOTA[[#This Row],[JUMLAH]]="","",NOTA[[#This Row],[JUMLAH]]-NOTA[[#This Row],[DISC]])</f>
        <v>2214450</v>
      </c>
      <c r="AB638" s="51"/>
      <c r="AC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638" s="51">
        <f>IF(OR(NOTA[[#This Row],[QTY]]="",NOTA[[#This Row],[HARGA SATUAN]]="",),"",NOTA[[#This Row],[QTY]]*NOTA[[#This Row],[HARGA SATUAN]])</f>
        <v>2664000</v>
      </c>
      <c r="AG638" s="40">
        <f ca="1">IF(NOTA[ID_H]="","",INDEX(NOTA[TANGGAL],MATCH(,INDIRECT(ADDRESS(ROW(NOTA[TANGGAL]),COLUMN(NOTA[TANGGAL]))&amp;":"&amp;ADDRESS(ROW(),COLUMN(NOTA[TANGGAL]))),-1)))</f>
        <v>45131</v>
      </c>
      <c r="AH638" s="42" t="str">
        <f ca="1">IF(NOTA[[#This Row],[NAMA BARANG]]="","",INDEX(NOTA[SUPPLIER],MATCH(,INDIRECT(ADDRESS(ROW(NOTA[ID]),COLUMN(NOTA[ID]))&amp;":"&amp;ADDRESS(ROW(),COLUMN(NOTA[ID]))),-1)))</f>
        <v>ATALI MAKMUR</v>
      </c>
      <c r="AI638" s="42" t="str">
        <f ca="1">IF(NOTA[[#This Row],[ID_H]]="","",IF(NOTA[[#This Row],[FAKTUR]]="",INDIRECT(ADDRESS(ROW()-1,COLUMN())),NOTA[[#This Row],[FAKTUR]]))</f>
        <v>ARTO MORO</v>
      </c>
      <c r="AJ638" s="39" t="str">
        <f ca="1">IF(NOTA[[#This Row],[ID]]="","",COUNTIF(NOTA[ID_H],NOTA[[#This Row],[ID_H]]))</f>
        <v/>
      </c>
      <c r="AK638" s="39">
        <f ca="1">IF(NOTA[[#This Row],[TGL.NOTA]]="",IF(NOTA[[#This Row],[SUPPLIER_H]]="","",AK637),MONTH(NOTA[[#This Row],[TGL.NOTA]]))</f>
        <v>7</v>
      </c>
      <c r="AL638" s="39" t="str">
        <f>LOWER(SUBSTITUTE(SUBSTITUTE(SUBSTITUTE(SUBSTITUTE(SUBSTITUTE(SUBSTITUTE(SUBSTITUTE(SUBSTITUTE(SUBSTITUTE(NOTA[NAMA BARANG]," ",),".",""),"-",""),"(",""),")",""),",",""),"/",""),"""",""),"+",""))</f>
        <v>sharpenerb23jk</v>
      </c>
      <c r="AM6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6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6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39" t="str">
        <f>IF(NOTA[[#This Row],[CONCAT4]]="","",_xlfn.IFNA(MATCH(NOTA[[#This Row],[CONCAT4]],[2]!RAW[CONCAT_H],0),FALSE))</f>
        <v/>
      </c>
      <c r="AQ638" s="39">
        <f>IF(NOTA[[#This Row],[CONCAT1]]="","",MATCH(NOTA[[#This Row],[CONCAT1]],[3]!db[NB NOTA_C],0))</f>
        <v>62</v>
      </c>
      <c r="AR638" s="39" t="str">
        <f>IF(NOTA[[#This Row],[QTY/ CTN]]="","",TRUE)</f>
        <v/>
      </c>
      <c r="AS638" s="39" t="str">
        <f ca="1">IF(NOTA[[#This Row],[ID_H]]="","",IF(NOTA[[#This Row],[Column3]]=TRUE,NOTA[[#This Row],[QTY/ CTN]],INDEX([3]!db[QTY/ CTN],NOTA[[#This Row],[//DB]])))</f>
        <v>60 LSN</v>
      </c>
      <c r="AT6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U638" s="39" t="e">
        <f ca="1">IF(NOTA[[#This Row],[ID_H]]="","",MATCH(NOTA[[#This Row],[NB NOTA_C_QTY]],[4]!db[NB NOTA_C_QTY+F],0))</f>
        <v>#REF!</v>
      </c>
      <c r="AV638" s="55">
        <f ca="1">IF(NOTA[[#This Row],[NB NOTA_C_QTY]]="","",ROW()-2)</f>
        <v>636</v>
      </c>
    </row>
    <row r="639" spans="1:48" ht="20.100000000000001" customHeight="1" x14ac:dyDescent="0.25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39" t="str">
        <f>IF(NOTA[[#This Row],[ID_P]]="","",MATCH(NOTA[[#This Row],[ID_P]],[1]!B_MSK[N_ID],0))</f>
        <v/>
      </c>
      <c r="D639" s="39">
        <f ca="1">IF(NOTA[[#This Row],[NAMA BARANG]]="","",INDEX(NOTA[ID],MATCH(,INDIRECT(ADDRESS(ROW(NOTA[ID]),COLUMN(NOTA[ID]))&amp;":"&amp;ADDRESS(ROW(),COLUMN(NOTA[ID]))),-1)))</f>
        <v>126</v>
      </c>
      <c r="E639" s="47"/>
      <c r="H639" s="48"/>
      <c r="K639" s="38">
        <v>1</v>
      </c>
      <c r="L639" s="42" t="s">
        <v>725</v>
      </c>
      <c r="M639" s="41">
        <v>1</v>
      </c>
      <c r="N639" s="39">
        <v>60</v>
      </c>
      <c r="O639" s="38" t="s">
        <v>319</v>
      </c>
      <c r="P639" s="42">
        <v>31500</v>
      </c>
      <c r="Q639" s="43"/>
      <c r="R639" s="49"/>
      <c r="S639" s="50">
        <v>0.125</v>
      </c>
      <c r="T639" s="45">
        <v>0.05</v>
      </c>
      <c r="U639" s="51"/>
      <c r="V639" s="46"/>
      <c r="W639" s="51">
        <f>IF(NOTA[[#This Row],[HARGA/ CTN]]="",NOTA[[#This Row],[JUMLAH_H]],NOTA[[#This Row],[HARGA/ CTN]]*IF(NOTA[[#This Row],[C]]="",0,NOTA[[#This Row],[C]]))</f>
        <v>1890000</v>
      </c>
      <c r="X639" s="51">
        <f>IF(NOTA[[#This Row],[JUMLAH]]="","",NOTA[[#This Row],[JUMLAH]]*NOTA[[#This Row],[DISC 1]])</f>
        <v>236250</v>
      </c>
      <c r="Y639" s="51">
        <f>IF(NOTA[[#This Row],[JUMLAH]]="","",(NOTA[[#This Row],[JUMLAH]]-NOTA[[#This Row],[DISC 1-]])*NOTA[[#This Row],[DISC 2]])</f>
        <v>82687.5</v>
      </c>
      <c r="Z639" s="51">
        <f>IF(NOTA[[#This Row],[JUMLAH]]="","",NOTA[[#This Row],[DISC 1-]]+NOTA[[#This Row],[DISC 2-]])</f>
        <v>318937.5</v>
      </c>
      <c r="AA639" s="51">
        <f>IF(NOTA[[#This Row],[JUMLAH]]="","",NOTA[[#This Row],[JUMLAH]]-NOTA[[#This Row],[DISC]])</f>
        <v>1571062.5</v>
      </c>
      <c r="AB639" s="51"/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639" s="51">
        <f>IF(OR(NOTA[[#This Row],[QTY]]="",NOTA[[#This Row],[HARGA SATUAN]]="",),"",NOTA[[#This Row],[QTY]]*NOTA[[#This Row],[HARGA SATUAN]])</f>
        <v>1890000</v>
      </c>
      <c r="AG639" s="40">
        <f ca="1">IF(NOTA[ID_H]="","",INDEX(NOTA[TANGGAL],MATCH(,INDIRECT(ADDRESS(ROW(NOTA[TANGGAL]),COLUMN(NOTA[TANGGAL]))&amp;":"&amp;ADDRESS(ROW(),COLUMN(NOTA[TANGGAL]))),-1)))</f>
        <v>45131</v>
      </c>
      <c r="AH639" s="42" t="str">
        <f ca="1">IF(NOTA[[#This Row],[NAMA BARANG]]="","",INDEX(NOTA[SUPPLIER],MATCH(,INDIRECT(ADDRESS(ROW(NOTA[ID]),COLUMN(NOTA[ID]))&amp;":"&amp;ADDRESS(ROW(),COLUMN(NOTA[ID]))),-1)))</f>
        <v>ATALI MAKMUR</v>
      </c>
      <c r="AI639" s="42" t="str">
        <f ca="1">IF(NOTA[[#This Row],[ID_H]]="","",IF(NOTA[[#This Row],[FAKTUR]]="",INDIRECT(ADDRESS(ROW()-1,COLUMN())),NOTA[[#This Row],[FAKTUR]]))</f>
        <v>ARTO MORO</v>
      </c>
      <c r="AJ639" s="39" t="str">
        <f ca="1">IF(NOTA[[#This Row],[ID]]="","",COUNTIF(NOTA[ID_H],NOTA[[#This Row],[ID_H]]))</f>
        <v/>
      </c>
      <c r="AK639" s="39">
        <f ca="1">IF(NOTA[[#This Row],[TGL.NOTA]]="",IF(NOTA[[#This Row],[SUPPLIER_H]]="","",AK638),MONTH(NOTA[[#This Row],[TGL.NOTA]]))</f>
        <v>7</v>
      </c>
      <c r="AL639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6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6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6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39" t="str">
        <f>IF(NOTA[[#This Row],[CONCAT4]]="","",_xlfn.IFNA(MATCH(NOTA[[#This Row],[CONCAT4]],[2]!RAW[CONCAT_H],0),FALSE))</f>
        <v/>
      </c>
      <c r="AQ639" s="39">
        <f>IF(NOTA[[#This Row],[CONCAT1]]="","",MATCH(NOTA[[#This Row],[CONCAT1]],[3]!db[NB NOTA_C],0))</f>
        <v>63</v>
      </c>
      <c r="AR639" s="39" t="str">
        <f>IF(NOTA[[#This Row],[QTY/ CTN]]="","",TRUE)</f>
        <v/>
      </c>
      <c r="AS639" s="39" t="str">
        <f ca="1">IF(NOTA[[#This Row],[ID_H]]="","",IF(NOTA[[#This Row],[Column3]]=TRUE,NOTA[[#This Row],[QTY/ CTN]],INDEX([3]!db[QTY/ CTN],NOTA[[#This Row],[//DB]])))</f>
        <v>60 LSN</v>
      </c>
      <c r="AT6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sharpenerb24jk60lsnartomoro</v>
      </c>
      <c r="AU639" s="39" t="e">
        <f ca="1">IF(NOTA[[#This Row],[ID_H]]="","",MATCH(NOTA[[#This Row],[NB NOTA_C_QTY]],[4]!db[NB NOTA_C_QTY+F],0))</f>
        <v>#REF!</v>
      </c>
      <c r="AV639" s="55">
        <f ca="1">IF(NOTA[[#This Row],[NB NOTA_C_QTY]]="","",ROW()-2)</f>
        <v>637</v>
      </c>
    </row>
    <row r="640" spans="1:48" ht="20.100000000000001" customHeight="1" x14ac:dyDescent="0.25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39" t="str">
        <f>IF(NOTA[[#This Row],[ID_P]]="","",MATCH(NOTA[[#This Row],[ID_P]],[1]!B_MSK[N_ID],0))</f>
        <v/>
      </c>
      <c r="D640" s="39">
        <f ca="1">IF(NOTA[[#This Row],[NAMA BARANG]]="","",INDEX(NOTA[ID],MATCH(,INDIRECT(ADDRESS(ROW(NOTA[ID]),COLUMN(NOTA[ID]))&amp;":"&amp;ADDRESS(ROW(),COLUMN(NOTA[ID]))),-1)))</f>
        <v>126</v>
      </c>
      <c r="E640" s="47"/>
      <c r="H640" s="48"/>
      <c r="K640" s="38">
        <v>1</v>
      </c>
      <c r="L640" s="42" t="s">
        <v>726</v>
      </c>
      <c r="M640" s="41">
        <v>1</v>
      </c>
      <c r="N640" s="39">
        <v>60</v>
      </c>
      <c r="O640" s="38" t="s">
        <v>319</v>
      </c>
      <c r="P640" s="42">
        <v>31500</v>
      </c>
      <c r="Q640" s="43"/>
      <c r="R640" s="49"/>
      <c r="S640" s="50">
        <v>0.125</v>
      </c>
      <c r="T640" s="45">
        <v>0.05</v>
      </c>
      <c r="U640" s="51"/>
      <c r="V640" s="46"/>
      <c r="W640" s="51">
        <f>IF(NOTA[[#This Row],[HARGA/ CTN]]="",NOTA[[#This Row],[JUMLAH_H]],NOTA[[#This Row],[HARGA/ CTN]]*IF(NOTA[[#This Row],[C]]="",0,NOTA[[#This Row],[C]]))</f>
        <v>1890000</v>
      </c>
      <c r="X640" s="51">
        <f>IF(NOTA[[#This Row],[JUMLAH]]="","",NOTA[[#This Row],[JUMLAH]]*NOTA[[#This Row],[DISC 1]])</f>
        <v>236250</v>
      </c>
      <c r="Y640" s="51">
        <f>IF(NOTA[[#This Row],[JUMLAH]]="","",(NOTA[[#This Row],[JUMLAH]]-NOTA[[#This Row],[DISC 1-]])*NOTA[[#This Row],[DISC 2]])</f>
        <v>82687.5</v>
      </c>
      <c r="Z640" s="51">
        <f>IF(NOTA[[#This Row],[JUMLAH]]="","",NOTA[[#This Row],[DISC 1-]]+NOTA[[#This Row],[DISC 2-]])</f>
        <v>318937.5</v>
      </c>
      <c r="AA640" s="51">
        <f>IF(NOTA[[#This Row],[JUMLAH]]="","",NOTA[[#This Row],[JUMLAH]]-NOTA[[#This Row],[DISC]])</f>
        <v>1571062.5</v>
      </c>
      <c r="AB640" s="51"/>
      <c r="AC64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5846242.5</v>
      </c>
      <c r="AD64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28798157.5</v>
      </c>
      <c r="AE640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640" s="51">
        <f>IF(OR(NOTA[[#This Row],[QTY]]="",NOTA[[#This Row],[HARGA SATUAN]]="",),"",NOTA[[#This Row],[QTY]]*NOTA[[#This Row],[HARGA SATUAN]])</f>
        <v>1890000</v>
      </c>
      <c r="AG640" s="40">
        <f ca="1">IF(NOTA[ID_H]="","",INDEX(NOTA[TANGGAL],MATCH(,INDIRECT(ADDRESS(ROW(NOTA[TANGGAL]),COLUMN(NOTA[TANGGAL]))&amp;":"&amp;ADDRESS(ROW(),COLUMN(NOTA[TANGGAL]))),-1)))</f>
        <v>45131</v>
      </c>
      <c r="AH640" s="42" t="str">
        <f ca="1">IF(NOTA[[#This Row],[NAMA BARANG]]="","",INDEX(NOTA[SUPPLIER],MATCH(,INDIRECT(ADDRESS(ROW(NOTA[ID]),COLUMN(NOTA[ID]))&amp;":"&amp;ADDRESS(ROW(),COLUMN(NOTA[ID]))),-1)))</f>
        <v>ATALI MAKMUR</v>
      </c>
      <c r="AI640" s="42" t="str">
        <f ca="1">IF(NOTA[[#This Row],[ID_H]]="","",IF(NOTA[[#This Row],[FAKTUR]]="",INDIRECT(ADDRESS(ROW()-1,COLUMN())),NOTA[[#This Row],[FAKTUR]]))</f>
        <v>ARTO MORO</v>
      </c>
      <c r="AJ640" s="39" t="str">
        <f ca="1">IF(NOTA[[#This Row],[ID]]="","",COUNTIF(NOTA[ID_H],NOTA[[#This Row],[ID_H]]))</f>
        <v/>
      </c>
      <c r="AK640" s="39">
        <f ca="1">IF(NOTA[[#This Row],[TGL.NOTA]]="",IF(NOTA[[#This Row],[SUPPLIER_H]]="","",AK639),MONTH(NOTA[[#This Row],[TGL.NOTA]]))</f>
        <v>7</v>
      </c>
      <c r="AL640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6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6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6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39" t="str">
        <f>IF(NOTA[[#This Row],[CONCAT4]]="","",_xlfn.IFNA(MATCH(NOTA[[#This Row],[CONCAT4]],[2]!RAW[CONCAT_H],0),FALSE))</f>
        <v/>
      </c>
      <c r="AQ640" s="39">
        <f>IF(NOTA[[#This Row],[CONCAT1]]="","",MATCH(NOTA[[#This Row],[CONCAT1]],[3]!db[NB NOTA_C],0))</f>
        <v>64</v>
      </c>
      <c r="AR640" s="39" t="str">
        <f>IF(NOTA[[#This Row],[QTY/ CTN]]="","",TRUE)</f>
        <v/>
      </c>
      <c r="AS640" s="39" t="str">
        <f ca="1">IF(NOTA[[#This Row],[ID_H]]="","",IF(NOTA[[#This Row],[Column3]]=TRUE,NOTA[[#This Row],[QTY/ CTN]],INDEX([3]!db[QTY/ CTN],NOTA[[#This Row],[//DB]])))</f>
        <v>60 LSN</v>
      </c>
      <c r="AT6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sharpenerb24ptljk60lsnartomoro</v>
      </c>
      <c r="AU640" s="39" t="e">
        <f ca="1">IF(NOTA[[#This Row],[ID_H]]="","",MATCH(NOTA[[#This Row],[NB NOTA_C_QTY]],[4]!db[NB NOTA_C_QTY+F],0))</f>
        <v>#REF!</v>
      </c>
      <c r="AV640" s="55">
        <f ca="1">IF(NOTA[[#This Row],[NB NOTA_C_QTY]]="","",ROW()-2)</f>
        <v>638</v>
      </c>
    </row>
    <row r="641" spans="1:48" ht="20.100000000000001" customHeight="1" x14ac:dyDescent="0.25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39" t="str">
        <f>IF(NOTA[[#This Row],[ID_P]]="","",MATCH(NOTA[[#This Row],[ID_P]],[1]!B_MSK[N_ID],0))</f>
        <v/>
      </c>
      <c r="D641" s="39" t="str">
        <f ca="1">IF(NOTA[[#This Row],[NAMA BARANG]]="","",INDEX(NOTA[ID],MATCH(,INDIRECT(ADDRESS(ROW(NOTA[ID]),COLUMN(NOTA[ID]))&amp;":"&amp;ADDRESS(ROW(),COLUMN(NOTA[ID]))),-1)))</f>
        <v/>
      </c>
      <c r="E641" s="47"/>
      <c r="H641" s="48"/>
      <c r="L641" s="42"/>
      <c r="N641" s="39"/>
      <c r="Q641" s="43"/>
      <c r="R641" s="49"/>
      <c r="S641" s="50"/>
      <c r="U641" s="51"/>
      <c r="V641" s="46"/>
      <c r="W641" s="51" t="str">
        <f>IF(NOTA[[#This Row],[HARGA/ CTN]]="",NOTA[[#This Row],[JUMLAH_H]],NOTA[[#This Row],[HARGA/ CTN]]*IF(NOTA[[#This Row],[C]]="",0,NOTA[[#This Row],[C]]))</f>
        <v/>
      </c>
      <c r="X641" s="51" t="str">
        <f>IF(NOTA[[#This Row],[JUMLAH]]="","",NOTA[[#This Row],[JUMLAH]]*NOTA[[#This Row],[DISC 1]])</f>
        <v/>
      </c>
      <c r="Y641" s="51" t="str">
        <f>IF(NOTA[[#This Row],[JUMLAH]]="","",(NOTA[[#This Row],[JUMLAH]]-NOTA[[#This Row],[DISC 1-]])*NOTA[[#This Row],[DISC 2]])</f>
        <v/>
      </c>
      <c r="Z641" s="51" t="str">
        <f>IF(NOTA[[#This Row],[JUMLAH]]="","",NOTA[[#This Row],[DISC 1-]]+NOTA[[#This Row],[DISC 2-]])</f>
        <v/>
      </c>
      <c r="AA641" s="51" t="str">
        <f>IF(NOTA[[#This Row],[JUMLAH]]="","",NOTA[[#This Row],[JUMLAH]]-NOTA[[#This Row],[DISC]])</f>
        <v/>
      </c>
      <c r="AB641" s="51"/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51" t="str">
        <f>IF(OR(NOTA[[#This Row],[QTY]]="",NOTA[[#This Row],[HARGA SATUAN]]="",),"",NOTA[[#This Row],[QTY]]*NOTA[[#This Row],[HARGA SATUAN]])</f>
        <v/>
      </c>
      <c r="AG641" s="40" t="str">
        <f ca="1">IF(NOTA[ID_H]="","",INDEX(NOTA[TANGGAL],MATCH(,INDIRECT(ADDRESS(ROW(NOTA[TANGGAL]),COLUMN(NOTA[TANGGAL]))&amp;":"&amp;ADDRESS(ROW(),COLUMN(NOTA[TANGGAL]))),-1)))</f>
        <v/>
      </c>
      <c r="AH641" s="42" t="str">
        <f ca="1">IF(NOTA[[#This Row],[NAMA BARANG]]="","",INDEX(NOTA[SUPPLIER],MATCH(,INDIRECT(ADDRESS(ROW(NOTA[ID]),COLUMN(NOTA[ID]))&amp;":"&amp;ADDRESS(ROW(),COLUMN(NOTA[ID]))),-1)))</f>
        <v/>
      </c>
      <c r="AI641" s="42" t="str">
        <f ca="1">IF(NOTA[[#This Row],[ID_H]]="","",IF(NOTA[[#This Row],[FAKTUR]]="",INDIRECT(ADDRESS(ROW()-1,COLUMN())),NOTA[[#This Row],[FAKTUR]]))</f>
        <v/>
      </c>
      <c r="AJ641" s="39" t="str">
        <f ca="1">IF(NOTA[[#This Row],[ID]]="","",COUNTIF(NOTA[ID_H],NOTA[[#This Row],[ID_H]]))</f>
        <v/>
      </c>
      <c r="AK641" s="39" t="str">
        <f ca="1">IF(NOTA[[#This Row],[TGL.NOTA]]="",IF(NOTA[[#This Row],[SUPPLIER_H]]="","",AK640),MONTH(NOTA[[#This Row],[TGL.NOTA]]))</f>
        <v/>
      </c>
      <c r="AL641" s="39" t="str">
        <f>LOWER(SUBSTITUTE(SUBSTITUTE(SUBSTITUTE(SUBSTITUTE(SUBSTITUTE(SUBSTITUTE(SUBSTITUTE(SUBSTITUTE(SUBSTITUTE(NOTA[NAMA BARANG]," ",),".",""),"-",""),"(",""),")",""),",",""),"/",""),"""",""),"+",""))</f>
        <v/>
      </c>
      <c r="AM6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39" t="str">
        <f>IF(NOTA[[#This Row],[CONCAT4]]="","",_xlfn.IFNA(MATCH(NOTA[[#This Row],[CONCAT4]],[2]!RAW[CONCAT_H],0),FALSE))</f>
        <v/>
      </c>
      <c r="AQ641" s="39" t="str">
        <f>IF(NOTA[[#This Row],[CONCAT1]]="","",MATCH(NOTA[[#This Row],[CONCAT1]],[3]!db[NB NOTA_C],0))</f>
        <v/>
      </c>
      <c r="AR641" s="39" t="str">
        <f>IF(NOTA[[#This Row],[QTY/ CTN]]="","",TRUE)</f>
        <v/>
      </c>
      <c r="AS641" s="39" t="str">
        <f ca="1">IF(NOTA[[#This Row],[ID_H]]="","",IF(NOTA[[#This Row],[Column3]]=TRUE,NOTA[[#This Row],[QTY/ CTN]],INDEX([3]!db[QTY/ CTN],NOTA[[#This Row],[//DB]])))</f>
        <v/>
      </c>
      <c r="AT6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39" t="str">
        <f ca="1">IF(NOTA[[#This Row],[ID_H]]="","",MATCH(NOTA[[#This Row],[NB NOTA_C_QTY]],[4]!db[NB NOTA_C_QTY+F],0))</f>
        <v/>
      </c>
      <c r="AV641" s="55" t="str">
        <f ca="1">IF(NOTA[[#This Row],[NB NOTA_C_QTY]]="","",ROW()-2)</f>
        <v/>
      </c>
    </row>
    <row r="642" spans="1:48" ht="20.100000000000001" customHeight="1" x14ac:dyDescent="0.25">
      <c r="A642" s="4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ATA_2407_848-5</v>
      </c>
      <c r="C642" s="39" t="e">
        <f ca="1">IF(NOTA[[#This Row],[ID_P]]="","",MATCH(NOTA[[#This Row],[ID_P]],[1]!B_MSK[N_ID],0))</f>
        <v>#REF!</v>
      </c>
      <c r="D642" s="39">
        <f ca="1">IF(NOTA[[#This Row],[NAMA BARANG]]="","",INDEX(NOTA[ID],MATCH(,INDIRECT(ADDRESS(ROW(NOTA[ID]),COLUMN(NOTA[ID]))&amp;":"&amp;ADDRESS(ROW(),COLUMN(NOTA[ID]))),-1)))</f>
        <v>127</v>
      </c>
      <c r="E642" s="47"/>
      <c r="F642" s="38" t="s">
        <v>24</v>
      </c>
      <c r="G642" s="38" t="s">
        <v>23</v>
      </c>
      <c r="H642" s="48" t="s">
        <v>727</v>
      </c>
      <c r="J642" s="40">
        <v>45128</v>
      </c>
      <c r="K642" s="38">
        <v>10</v>
      </c>
      <c r="L642" s="42" t="s">
        <v>728</v>
      </c>
      <c r="M642" s="41">
        <v>10</v>
      </c>
      <c r="N642" s="39">
        <v>200</v>
      </c>
      <c r="O642" s="38" t="s">
        <v>152</v>
      </c>
      <c r="P642" s="42">
        <v>85200</v>
      </c>
      <c r="Q642" s="43"/>
      <c r="R642" s="49"/>
      <c r="S642" s="50">
        <v>0.125</v>
      </c>
      <c r="T642" s="45">
        <v>0.05</v>
      </c>
      <c r="U642" s="51"/>
      <c r="V642" s="46"/>
      <c r="W642" s="51">
        <f>IF(NOTA[[#This Row],[HARGA/ CTN]]="",NOTA[[#This Row],[JUMLAH_H]],NOTA[[#This Row],[HARGA/ CTN]]*IF(NOTA[[#This Row],[C]]="",0,NOTA[[#This Row],[C]]))</f>
        <v>17040000</v>
      </c>
      <c r="X642" s="51">
        <f>IF(NOTA[[#This Row],[JUMLAH]]="","",NOTA[[#This Row],[JUMLAH]]*NOTA[[#This Row],[DISC 1]])</f>
        <v>2130000</v>
      </c>
      <c r="Y642" s="51">
        <f>IF(NOTA[[#This Row],[JUMLAH]]="","",(NOTA[[#This Row],[JUMLAH]]-NOTA[[#This Row],[DISC 1-]])*NOTA[[#This Row],[DISC 2]])</f>
        <v>745500</v>
      </c>
      <c r="Z642" s="51">
        <f>IF(NOTA[[#This Row],[JUMLAH]]="","",NOTA[[#This Row],[DISC 1-]]+NOTA[[#This Row],[DISC 2-]])</f>
        <v>2875500</v>
      </c>
      <c r="AA642" s="51">
        <f>IF(NOTA[[#This Row],[JUMLAH]]="","",NOTA[[#This Row],[JUMLAH]]-NOTA[[#This Row],[DISC]])</f>
        <v>14164500</v>
      </c>
      <c r="AB642" s="51"/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642" s="51">
        <f>IF(OR(NOTA[[#This Row],[QTY]]="",NOTA[[#This Row],[HARGA SATUAN]]="",),"",NOTA[[#This Row],[QTY]]*NOTA[[#This Row],[HARGA SATUAN]])</f>
        <v>17040000</v>
      </c>
      <c r="AG642" s="40">
        <f ca="1">IF(NOTA[ID_H]="","",INDEX(NOTA[TANGGAL],MATCH(,INDIRECT(ADDRESS(ROW(NOTA[TANGGAL]),COLUMN(NOTA[TANGGAL]))&amp;":"&amp;ADDRESS(ROW(),COLUMN(NOTA[TANGGAL]))),-1)))</f>
        <v>45131</v>
      </c>
      <c r="AH642" s="42" t="str">
        <f ca="1">IF(NOTA[[#This Row],[NAMA BARANG]]="","",INDEX(NOTA[SUPPLIER],MATCH(,INDIRECT(ADDRESS(ROW(NOTA[ID]),COLUMN(NOTA[ID]))&amp;":"&amp;ADDRESS(ROW(),COLUMN(NOTA[ID]))),-1)))</f>
        <v>ATALI MAKMUR</v>
      </c>
      <c r="AI642" s="42" t="str">
        <f ca="1">IF(NOTA[[#This Row],[ID_H]]="","",IF(NOTA[[#This Row],[FAKTUR]]="",INDIRECT(ADDRESS(ROW()-1,COLUMN())),NOTA[[#This Row],[FAKTUR]]))</f>
        <v>ARTO MORO</v>
      </c>
      <c r="AJ642" s="39">
        <f ca="1">IF(NOTA[[#This Row],[ID]]="","",COUNTIF(NOTA[ID_H],NOTA[[#This Row],[ID_H]]))</f>
        <v>5</v>
      </c>
      <c r="AK642" s="39">
        <f>IF(NOTA[[#This Row],[TGL.NOTA]]="",IF(NOTA[[#This Row],[SUPPLIER_H]]="","",AK641),MONTH(NOTA[[#This Row],[TGL.NOTA]]))</f>
        <v>7</v>
      </c>
      <c r="AL642" s="39" t="str">
        <f>LOWER(SUBSTITUTE(SUBSTITUTE(SUBSTITUTE(SUBSTITUTE(SUBSTITUTE(SUBSTITUTE(SUBSTITUTE(SUBSTITUTE(SUBSTITUTE(NOTA[NAMA BARANG]," ",),".",""),"-",""),"(",""),")",""),",",""),"/",""),"""",""),"+",""))</f>
        <v>staplerhd10jk</v>
      </c>
      <c r="AM6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N6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O64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MOROSA23071284845128staplerhd10jk</v>
      </c>
      <c r="AP642" s="39" t="e">
        <f>IF(NOTA[[#This Row],[CONCAT4]]="","",_xlfn.IFNA(MATCH(NOTA[[#This Row],[CONCAT4]],[2]!RAW[CONCAT_H],0),FALSE))</f>
        <v>#REF!</v>
      </c>
      <c r="AQ642" s="39">
        <f>IF(NOTA[[#This Row],[CONCAT1]]="","",MATCH(NOTA[[#This Row],[CONCAT1]],[3]!db[NB NOTA_C],0))</f>
        <v>2445</v>
      </c>
      <c r="AR642" s="39" t="str">
        <f>IF(NOTA[[#This Row],[QTY/ CTN]]="","",TRUE)</f>
        <v/>
      </c>
      <c r="AS642" s="39" t="str">
        <f ca="1">IF(NOTA[[#This Row],[ID_H]]="","",IF(NOTA[[#This Row],[Column3]]=TRUE,NOTA[[#This Row],[QTY/ CTN]],INDEX([3]!db[QTY/ CTN],NOTA[[#This Row],[//DB]])))</f>
        <v>20 LSN</v>
      </c>
      <c r="AT6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U642" s="39" t="e">
        <f ca="1">IF(NOTA[[#This Row],[ID_H]]="","",MATCH(NOTA[[#This Row],[NB NOTA_C_QTY]],[4]!db[NB NOTA_C_QTY+F],0))</f>
        <v>#REF!</v>
      </c>
      <c r="AV642" s="55">
        <f ca="1">IF(NOTA[[#This Row],[NB NOTA_C_QTY]]="","",ROW()-2)</f>
        <v>640</v>
      </c>
    </row>
    <row r="643" spans="1:48" ht="20.100000000000001" customHeight="1" x14ac:dyDescent="0.25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>
        <f ca="1">IF(NOTA[[#This Row],[NAMA BARANG]]="","",INDEX(NOTA[ID],MATCH(,INDIRECT(ADDRESS(ROW(NOTA[ID]),COLUMN(NOTA[ID]))&amp;":"&amp;ADDRESS(ROW(),COLUMN(NOTA[ID]))),-1)))</f>
        <v>127</v>
      </c>
      <c r="E643" s="47"/>
      <c r="H643" s="48"/>
      <c r="K643" s="38">
        <v>5</v>
      </c>
      <c r="L643" s="42" t="s">
        <v>729</v>
      </c>
      <c r="M643" s="41">
        <v>5</v>
      </c>
      <c r="N643" s="39">
        <v>360</v>
      </c>
      <c r="O643" s="42" t="s">
        <v>152</v>
      </c>
      <c r="P643" s="42">
        <v>37200</v>
      </c>
      <c r="Q643" s="43"/>
      <c r="R643" s="49"/>
      <c r="S643" s="50">
        <v>0.125</v>
      </c>
      <c r="T643" s="45">
        <v>0.05</v>
      </c>
      <c r="U643" s="51"/>
      <c r="V643" s="46"/>
      <c r="W643" s="51">
        <f>IF(NOTA[[#This Row],[HARGA/ CTN]]="",NOTA[[#This Row],[JUMLAH_H]],NOTA[[#This Row],[HARGA/ CTN]]*IF(NOTA[[#This Row],[C]]="",0,NOTA[[#This Row],[C]]))</f>
        <v>13392000</v>
      </c>
      <c r="X643" s="51">
        <f>IF(NOTA[[#This Row],[JUMLAH]]="","",NOTA[[#This Row],[JUMLAH]]*NOTA[[#This Row],[DISC 1]])</f>
        <v>1674000</v>
      </c>
      <c r="Y643" s="51">
        <f>IF(NOTA[[#This Row],[JUMLAH]]="","",(NOTA[[#This Row],[JUMLAH]]-NOTA[[#This Row],[DISC 1-]])*NOTA[[#This Row],[DISC 2]])</f>
        <v>585900</v>
      </c>
      <c r="Z643" s="51">
        <f>IF(NOTA[[#This Row],[JUMLAH]]="","",NOTA[[#This Row],[DISC 1-]]+NOTA[[#This Row],[DISC 2-]])</f>
        <v>2259900</v>
      </c>
      <c r="AA643" s="51">
        <f>IF(NOTA[[#This Row],[JUMLAH]]="","",NOTA[[#This Row],[JUMLAH]]-NOTA[[#This Row],[DISC]])</f>
        <v>11132100</v>
      </c>
      <c r="AB643" s="51"/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3" s="51">
        <f>IF(OR(NOTA[[#This Row],[QTY]]="",NOTA[[#This Row],[HARGA SATUAN]]="",),"",NOTA[[#This Row],[QTY]]*NOTA[[#This Row],[HARGA SATUAN]])</f>
        <v>13392000</v>
      </c>
      <c r="AG643" s="40">
        <f ca="1">IF(NOTA[ID_H]="","",INDEX(NOTA[TANGGAL],MATCH(,INDIRECT(ADDRESS(ROW(NOTA[TANGGAL]),COLUMN(NOTA[TANGGAL]))&amp;":"&amp;ADDRESS(ROW(),COLUMN(NOTA[TANGGAL]))),-1)))</f>
        <v>45131</v>
      </c>
      <c r="AH643" s="42" t="str">
        <f ca="1">IF(NOTA[[#This Row],[NAMA BARANG]]="","",INDEX(NOTA[SUPPLIER],MATCH(,INDIRECT(ADDRESS(ROW(NOTA[ID]),COLUMN(NOTA[ID]))&amp;":"&amp;ADDRESS(ROW(),COLUMN(NOTA[ID]))),-1)))</f>
        <v>ATALI MAKMUR</v>
      </c>
      <c r="AI643" s="42" t="str">
        <f ca="1">IF(NOTA[[#This Row],[ID_H]]="","",IF(NOTA[[#This Row],[FAKTUR]]="",INDIRECT(ADDRESS(ROW()-1,COLUMN())),NOTA[[#This Row],[FAKTUR]]))</f>
        <v>ARTO MORO</v>
      </c>
      <c r="AJ643" s="39" t="str">
        <f ca="1">IF(NOTA[[#This Row],[ID]]="","",COUNTIF(NOTA[ID_H],NOTA[[#This Row],[ID_H]]))</f>
        <v/>
      </c>
      <c r="AK643" s="39">
        <f ca="1">IF(NOTA[[#This Row],[TGL.NOTA]]="",IF(NOTA[[#This Row],[SUPPLIER_H]]="","",AK642),MONTH(NOTA[[#This Row],[TGL.NOTA]]))</f>
        <v>7</v>
      </c>
      <c r="AL643" s="39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39" t="str">
        <f>IF(NOTA[[#This Row],[CONCAT4]]="","",_xlfn.IFNA(MATCH(NOTA[[#This Row],[CONCAT4]],[2]!RAW[CONCAT_H],0),FALSE))</f>
        <v/>
      </c>
      <c r="AQ643" s="39">
        <f>IF(NOTA[[#This Row],[CONCAT1]]="","",MATCH(NOTA[[#This Row],[CONCAT1]],[3]!db[NB NOTA_C],0))</f>
        <v>1329</v>
      </c>
      <c r="AR643" s="39" t="str">
        <f>IF(NOTA[[#This Row],[QTY/ CTN]]="","",TRUE)</f>
        <v/>
      </c>
      <c r="AS643" s="39" t="str">
        <f ca="1">IF(NOTA[[#This Row],[ID_H]]="","",IF(NOTA[[#This Row],[Column3]]=TRUE,NOTA[[#This Row],[QTY/ CTN]],INDEX([3]!db[QTY/ CTN],NOTA[[#This Row],[//DB]])))</f>
        <v>12 BOX (72 PCS)</v>
      </c>
      <c r="AT6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643" s="39" t="e">
        <f ca="1">IF(NOTA[[#This Row],[ID_H]]="","",MATCH(NOTA[[#This Row],[NB NOTA_C_QTY]],[4]!db[NB NOTA_C_QTY+F],0))</f>
        <v>#REF!</v>
      </c>
      <c r="AV643" s="55">
        <f ca="1">IF(NOTA[[#This Row],[NB NOTA_C_QTY]]="","",ROW()-2)</f>
        <v>641</v>
      </c>
    </row>
    <row r="644" spans="1:48" ht="20.100000000000001" customHeight="1" x14ac:dyDescent="0.25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>
        <f ca="1">IF(NOTA[[#This Row],[NAMA BARANG]]="","",INDEX(NOTA[ID],MATCH(,INDIRECT(ADDRESS(ROW(NOTA[ID]),COLUMN(NOTA[ID]))&amp;":"&amp;ADDRESS(ROW(),COLUMN(NOTA[ID]))),-1)))</f>
        <v>127</v>
      </c>
      <c r="E644" s="47"/>
      <c r="H644" s="48"/>
      <c r="K644" s="38">
        <v>1</v>
      </c>
      <c r="L644" s="42" t="s">
        <v>737</v>
      </c>
      <c r="M644" s="41">
        <v>1</v>
      </c>
      <c r="N644" s="39">
        <v>144</v>
      </c>
      <c r="O644" s="42" t="s">
        <v>152</v>
      </c>
      <c r="P644" s="42">
        <v>19800</v>
      </c>
      <c r="Q644" s="43"/>
      <c r="R644" s="49"/>
      <c r="S644" s="50">
        <v>0.125</v>
      </c>
      <c r="T644" s="45">
        <v>0.05</v>
      </c>
      <c r="U644" s="51"/>
      <c r="V644" s="46"/>
      <c r="W644" s="51">
        <f>IF(NOTA[[#This Row],[HARGA/ CTN]]="",NOTA[[#This Row],[JUMLAH_H]],NOTA[[#This Row],[HARGA/ CTN]]*IF(NOTA[[#This Row],[C]]="",0,NOTA[[#This Row],[C]]))</f>
        <v>2851200</v>
      </c>
      <c r="X644" s="51">
        <f>IF(NOTA[[#This Row],[JUMLAH]]="","",NOTA[[#This Row],[JUMLAH]]*NOTA[[#This Row],[DISC 1]])</f>
        <v>356400</v>
      </c>
      <c r="Y644" s="51">
        <f>IF(NOTA[[#This Row],[JUMLAH]]="","",(NOTA[[#This Row],[JUMLAH]]-NOTA[[#This Row],[DISC 1-]])*NOTA[[#This Row],[DISC 2]])</f>
        <v>124740</v>
      </c>
      <c r="Z644" s="51">
        <f>IF(NOTA[[#This Row],[JUMLAH]]="","",NOTA[[#This Row],[DISC 1-]]+NOTA[[#This Row],[DISC 2-]])</f>
        <v>481140</v>
      </c>
      <c r="AA644" s="51">
        <f>IF(NOTA[[#This Row],[JUMLAH]]="","",NOTA[[#This Row],[JUMLAH]]-NOTA[[#This Row],[DISC]])</f>
        <v>2370060</v>
      </c>
      <c r="AB644" s="51"/>
      <c r="AC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4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44" s="51">
        <f>IF(OR(NOTA[[#This Row],[QTY]]="",NOTA[[#This Row],[HARGA SATUAN]]="",),"",NOTA[[#This Row],[QTY]]*NOTA[[#This Row],[HARGA SATUAN]])</f>
        <v>2851200</v>
      </c>
      <c r="AG644" s="40">
        <f ca="1">IF(NOTA[ID_H]="","",INDEX(NOTA[TANGGAL],MATCH(,INDIRECT(ADDRESS(ROW(NOTA[TANGGAL]),COLUMN(NOTA[TANGGAL]))&amp;":"&amp;ADDRESS(ROW(),COLUMN(NOTA[TANGGAL]))),-1)))</f>
        <v>45131</v>
      </c>
      <c r="AH644" s="42" t="str">
        <f ca="1">IF(NOTA[[#This Row],[NAMA BARANG]]="","",INDEX(NOTA[SUPPLIER],MATCH(,INDIRECT(ADDRESS(ROW(NOTA[ID]),COLUMN(NOTA[ID]))&amp;":"&amp;ADDRESS(ROW(),COLUMN(NOTA[ID]))),-1)))</f>
        <v>ATALI MAKMUR</v>
      </c>
      <c r="AI644" s="42" t="str">
        <f ca="1">IF(NOTA[[#This Row],[ID_H]]="","",IF(NOTA[[#This Row],[FAKTUR]]="",INDIRECT(ADDRESS(ROW()-1,COLUMN())),NOTA[[#This Row],[FAKTUR]]))</f>
        <v>ARTO MORO</v>
      </c>
      <c r="AJ644" s="39" t="str">
        <f ca="1">IF(NOTA[[#This Row],[ID]]="","",COUNTIF(NOTA[ID_H],NOTA[[#This Row],[ID_H]]))</f>
        <v/>
      </c>
      <c r="AK644" s="39">
        <f ca="1">IF(NOTA[[#This Row],[TGL.NOTA]]="",IF(NOTA[[#This Row],[SUPPLIER_H]]="","",AK643),MONTH(NOTA[[#This Row],[TGL.NOTA]]))</f>
        <v>7</v>
      </c>
      <c r="AL644" s="39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6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6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6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39" t="str">
        <f>IF(NOTA[[#This Row],[CONCAT4]]="","",_xlfn.IFNA(MATCH(NOTA[[#This Row],[CONCAT4]],[2]!RAW[CONCAT_H],0),FALSE))</f>
        <v/>
      </c>
      <c r="AQ644" s="39">
        <f>IF(NOTA[[#This Row],[CONCAT1]]="","",MATCH(NOTA[[#This Row],[CONCAT1]],[3]!db[NB NOTA_C],0))</f>
        <v>1328</v>
      </c>
      <c r="AR644" s="39" t="str">
        <f>IF(NOTA[[#This Row],[QTY/ CTN]]="","",TRUE)</f>
        <v/>
      </c>
      <c r="AS644" s="39" t="str">
        <f ca="1">IF(NOTA[[#This Row],[ID_H]]="","",IF(NOTA[[#This Row],[Column3]]=TRUE,NOTA[[#This Row],[QTY/ CTN]],INDEX([3]!db[QTY/ CTN],NOTA[[#This Row],[//DB]])))</f>
        <v>12 GRS</v>
      </c>
      <c r="AT6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U644" s="39" t="e">
        <f ca="1">IF(NOTA[[#This Row],[ID_H]]="","",MATCH(NOTA[[#This Row],[NB NOTA_C_QTY]],[4]!db[NB NOTA_C_QTY+F],0))</f>
        <v>#REF!</v>
      </c>
      <c r="AV644" s="55">
        <f ca="1">IF(NOTA[[#This Row],[NB NOTA_C_QTY]]="","",ROW()-2)</f>
        <v>642</v>
      </c>
    </row>
    <row r="645" spans="1:48" ht="20.100000000000001" customHeight="1" x14ac:dyDescent="0.25">
      <c r="A6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>
        <f ca="1">IF(NOTA[[#This Row],[NAMA BARANG]]="","",INDEX(NOTA[ID],MATCH(,INDIRECT(ADDRESS(ROW(NOTA[ID]),COLUMN(NOTA[ID]))&amp;":"&amp;ADDRESS(ROW(),COLUMN(NOTA[ID]))),-1)))</f>
        <v>127</v>
      </c>
      <c r="E645" s="47"/>
      <c r="H645" s="48"/>
      <c r="K645" s="38">
        <v>1</v>
      </c>
      <c r="L645" s="42" t="s">
        <v>730</v>
      </c>
      <c r="M645" s="41">
        <v>1</v>
      </c>
      <c r="N645" s="39">
        <v>12</v>
      </c>
      <c r="O645" s="42" t="s">
        <v>305</v>
      </c>
      <c r="P645" s="42">
        <v>198000</v>
      </c>
      <c r="Q645" s="43"/>
      <c r="R645" s="49"/>
      <c r="S645" s="50">
        <v>0.125</v>
      </c>
      <c r="T645" s="45">
        <v>0.05</v>
      </c>
      <c r="U645" s="51"/>
      <c r="V645" s="46"/>
      <c r="W645" s="51">
        <f>IF(NOTA[[#This Row],[HARGA/ CTN]]="",NOTA[[#This Row],[JUMLAH_H]],NOTA[[#This Row],[HARGA/ CTN]]*IF(NOTA[[#This Row],[C]]="",0,NOTA[[#This Row],[C]]))</f>
        <v>2376000</v>
      </c>
      <c r="X645" s="51">
        <f>IF(NOTA[[#This Row],[JUMLAH]]="","",NOTA[[#This Row],[JUMLAH]]*NOTA[[#This Row],[DISC 1]])</f>
        <v>297000</v>
      </c>
      <c r="Y645" s="51">
        <f>IF(NOTA[[#This Row],[JUMLAH]]="","",(NOTA[[#This Row],[JUMLAH]]-NOTA[[#This Row],[DISC 1-]])*NOTA[[#This Row],[DISC 2]])</f>
        <v>103950</v>
      </c>
      <c r="Z645" s="51">
        <f>IF(NOTA[[#This Row],[JUMLAH]]="","",NOTA[[#This Row],[DISC 1-]]+NOTA[[#This Row],[DISC 2-]])</f>
        <v>400950</v>
      </c>
      <c r="AA645" s="51">
        <f>IF(NOTA[[#This Row],[JUMLAH]]="","",NOTA[[#This Row],[JUMLAH]]-NOTA[[#This Row],[DISC]])</f>
        <v>1975050</v>
      </c>
      <c r="AB645" s="51"/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45" s="51">
        <f>IF(OR(NOTA[[#This Row],[QTY]]="",NOTA[[#This Row],[HARGA SATUAN]]="",),"",NOTA[[#This Row],[QTY]]*NOTA[[#This Row],[HARGA SATUAN]])</f>
        <v>2376000</v>
      </c>
      <c r="AG645" s="40">
        <f ca="1">IF(NOTA[ID_H]="","",INDEX(NOTA[TANGGAL],MATCH(,INDIRECT(ADDRESS(ROW(NOTA[TANGGAL]),COLUMN(NOTA[TANGGAL]))&amp;":"&amp;ADDRESS(ROW(),COLUMN(NOTA[TANGGAL]))),-1)))</f>
        <v>45131</v>
      </c>
      <c r="AH645" s="42" t="str">
        <f ca="1">IF(NOTA[[#This Row],[NAMA BARANG]]="","",INDEX(NOTA[SUPPLIER],MATCH(,INDIRECT(ADDRESS(ROW(NOTA[ID]),COLUMN(NOTA[ID]))&amp;":"&amp;ADDRESS(ROW(),COLUMN(NOTA[ID]))),-1)))</f>
        <v>ATALI MAKMUR</v>
      </c>
      <c r="AI645" s="42" t="str">
        <f ca="1">IF(NOTA[[#This Row],[ID_H]]="","",IF(NOTA[[#This Row],[FAKTUR]]="",INDIRECT(ADDRESS(ROW()-1,COLUMN())),NOTA[[#This Row],[FAKTUR]]))</f>
        <v>ARTO MORO</v>
      </c>
      <c r="AJ645" s="39" t="str">
        <f ca="1">IF(NOTA[[#This Row],[ID]]="","",COUNTIF(NOTA[ID_H],NOTA[[#This Row],[ID_H]]))</f>
        <v/>
      </c>
      <c r="AK645" s="39">
        <f ca="1">IF(NOTA[[#This Row],[TGL.NOTA]]="",IF(NOTA[[#This Row],[SUPPLIER_H]]="","",AK644),MONTH(NOTA[[#This Row],[TGL.NOTA]]))</f>
        <v>7</v>
      </c>
      <c r="AL645" s="39" t="str">
        <f>LOWER(SUBSTITUTE(SUBSTITUTE(SUBSTITUTE(SUBSTITUTE(SUBSTITUTE(SUBSTITUTE(SUBSTITUTE(SUBSTITUTE(SUBSTITUTE(NOTA[NAMA BARANG]," ",),".",""),"-",""),"(",""),")",""),",",""),"/",""),"""",""),"+",""))</f>
        <v>pencilleadpl1620jk</v>
      </c>
      <c r="AM6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N6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O6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39" t="str">
        <f>IF(NOTA[[#This Row],[CONCAT4]]="","",_xlfn.IFNA(MATCH(NOTA[[#This Row],[CONCAT4]],[2]!RAW[CONCAT_H],0),FALSE))</f>
        <v/>
      </c>
      <c r="AQ645" s="39">
        <f>IF(NOTA[[#This Row],[CONCAT1]]="","",MATCH(NOTA[[#This Row],[CONCAT1]],[3]!db[NB NOTA_C],0))</f>
        <v>1330</v>
      </c>
      <c r="AR645" s="39" t="str">
        <f>IF(NOTA[[#This Row],[QTY/ CTN]]="","",TRUE)</f>
        <v/>
      </c>
      <c r="AS645" s="39" t="str">
        <f ca="1">IF(NOTA[[#This Row],[ID_H]]="","",IF(NOTA[[#This Row],[Column3]]=TRUE,NOTA[[#This Row],[QTY/ CTN]],INDEX([3]!db[QTY/ CTN],NOTA[[#This Row],[//DB]])))</f>
        <v>12 GRS</v>
      </c>
      <c r="AT6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U645" s="39" t="e">
        <f ca="1">IF(NOTA[[#This Row],[ID_H]]="","",MATCH(NOTA[[#This Row],[NB NOTA_C_QTY]],[4]!db[NB NOTA_C_QTY+F],0))</f>
        <v>#REF!</v>
      </c>
      <c r="AV645" s="55">
        <f ca="1">IF(NOTA[[#This Row],[NB NOTA_C_QTY]]="","",ROW()-2)</f>
        <v>643</v>
      </c>
    </row>
    <row r="646" spans="1:48" ht="20.100000000000001" customHeight="1" x14ac:dyDescent="0.25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>
        <f ca="1">IF(NOTA[[#This Row],[NAMA BARANG]]="","",INDEX(NOTA[ID],MATCH(,INDIRECT(ADDRESS(ROW(NOTA[ID]),COLUMN(NOTA[ID]))&amp;":"&amp;ADDRESS(ROW(),COLUMN(NOTA[ID]))),-1)))</f>
        <v>127</v>
      </c>
      <c r="E646" s="47"/>
      <c r="H646" s="48"/>
      <c r="K646" s="38">
        <v>2</v>
      </c>
      <c r="L646" s="42" t="s">
        <v>731</v>
      </c>
      <c r="M646" s="41">
        <v>2</v>
      </c>
      <c r="N646" s="39">
        <v>24</v>
      </c>
      <c r="O646" s="42" t="s">
        <v>305</v>
      </c>
      <c r="P646" s="42">
        <v>176400</v>
      </c>
      <c r="Q646" s="43"/>
      <c r="R646" s="49"/>
      <c r="S646" s="50">
        <v>0.125</v>
      </c>
      <c r="T646" s="45">
        <v>0.05</v>
      </c>
      <c r="U646" s="51"/>
      <c r="V646" s="46"/>
      <c r="W646" s="51">
        <f>IF(NOTA[[#This Row],[HARGA/ CTN]]="",NOTA[[#This Row],[JUMLAH_H]],NOTA[[#This Row],[HARGA/ CTN]]*IF(NOTA[[#This Row],[C]]="",0,NOTA[[#This Row],[C]]))</f>
        <v>4233600</v>
      </c>
      <c r="X646" s="51">
        <f>IF(NOTA[[#This Row],[JUMLAH]]="","",NOTA[[#This Row],[JUMLAH]]*NOTA[[#This Row],[DISC 1]])</f>
        <v>529200</v>
      </c>
      <c r="Y646" s="51">
        <f>IF(NOTA[[#This Row],[JUMLAH]]="","",(NOTA[[#This Row],[JUMLAH]]-NOTA[[#This Row],[DISC 1-]])*NOTA[[#This Row],[DISC 2]])</f>
        <v>185220</v>
      </c>
      <c r="Z646" s="51">
        <f>IF(NOTA[[#This Row],[JUMLAH]]="","",NOTA[[#This Row],[DISC 1-]]+NOTA[[#This Row],[DISC 2-]])</f>
        <v>714420</v>
      </c>
      <c r="AA646" s="51">
        <f>IF(NOTA[[#This Row],[JUMLAH]]="","",NOTA[[#This Row],[JUMLAH]]-NOTA[[#This Row],[DISC]])</f>
        <v>3519180</v>
      </c>
      <c r="AB646" s="51"/>
      <c r="AC6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6731910</v>
      </c>
      <c r="AD6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33160890</v>
      </c>
      <c r="AE64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46" s="51">
        <f>IF(OR(NOTA[[#This Row],[QTY]]="",NOTA[[#This Row],[HARGA SATUAN]]="",),"",NOTA[[#This Row],[QTY]]*NOTA[[#This Row],[HARGA SATUAN]])</f>
        <v>4233600</v>
      </c>
      <c r="AG646" s="40">
        <f ca="1">IF(NOTA[ID_H]="","",INDEX(NOTA[TANGGAL],MATCH(,INDIRECT(ADDRESS(ROW(NOTA[TANGGAL]),COLUMN(NOTA[TANGGAL]))&amp;":"&amp;ADDRESS(ROW(),COLUMN(NOTA[TANGGAL]))),-1)))</f>
        <v>45131</v>
      </c>
      <c r="AH646" s="42" t="str">
        <f ca="1">IF(NOTA[[#This Row],[NAMA BARANG]]="","",INDEX(NOTA[SUPPLIER],MATCH(,INDIRECT(ADDRESS(ROW(NOTA[ID]),COLUMN(NOTA[ID]))&amp;":"&amp;ADDRESS(ROW(),COLUMN(NOTA[ID]))),-1)))</f>
        <v>ATALI MAKMUR</v>
      </c>
      <c r="AI646" s="42" t="str">
        <f ca="1">IF(NOTA[[#This Row],[ID_H]]="","",IF(NOTA[[#This Row],[FAKTUR]]="",INDIRECT(ADDRESS(ROW()-1,COLUMN())),NOTA[[#This Row],[FAKTUR]]))</f>
        <v>ARTO MORO</v>
      </c>
      <c r="AJ646" s="39" t="str">
        <f ca="1">IF(NOTA[[#This Row],[ID]]="","",COUNTIF(NOTA[ID_H],NOTA[[#This Row],[ID_H]]))</f>
        <v/>
      </c>
      <c r="AK646" s="39">
        <f ca="1">IF(NOTA[[#This Row],[TGL.NOTA]]="",IF(NOTA[[#This Row],[SUPPLIER_H]]="","",AK645),MONTH(NOTA[[#This Row],[TGL.NOTA]]))</f>
        <v>7</v>
      </c>
      <c r="AL646" s="39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6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6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6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39" t="str">
        <f>IF(NOTA[[#This Row],[CONCAT4]]="","",_xlfn.IFNA(MATCH(NOTA[[#This Row],[CONCAT4]],[2]!RAW[CONCAT_H],0),FALSE))</f>
        <v/>
      </c>
      <c r="AQ646" s="39">
        <f>IF(NOTA[[#This Row],[CONCAT1]]="","",MATCH(NOTA[[#This Row],[CONCAT1]],[3]!db[NB NOTA_C],0))</f>
        <v>1327</v>
      </c>
      <c r="AR646" s="39" t="str">
        <f>IF(NOTA[[#This Row],[QTY/ CTN]]="","",TRUE)</f>
        <v/>
      </c>
      <c r="AS646" s="39" t="str">
        <f ca="1">IF(NOTA[[#This Row],[ID_H]]="","",IF(NOTA[[#This Row],[Column3]]=TRUE,NOTA[[#This Row],[QTY/ CTN]],INDEX([3]!db[QTY/ CTN],NOTA[[#This Row],[//DB]])))</f>
        <v>12 GRS</v>
      </c>
      <c r="AT6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646" s="39" t="e">
        <f ca="1">IF(NOTA[[#This Row],[ID_H]]="","",MATCH(NOTA[[#This Row],[NB NOTA_C_QTY]],[4]!db[NB NOTA_C_QTY+F],0))</f>
        <v>#REF!</v>
      </c>
      <c r="AV646" s="55">
        <f ca="1">IF(NOTA[[#This Row],[NB NOTA_C_QTY]]="","",ROW()-2)</f>
        <v>644</v>
      </c>
    </row>
    <row r="647" spans="1:48" ht="20.100000000000001" customHeight="1" x14ac:dyDescent="0.25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47"/>
      <c r="H647" s="48"/>
      <c r="N647" s="39"/>
      <c r="Q647" s="43"/>
      <c r="R647" s="49"/>
      <c r="S647" s="50"/>
      <c r="U647" s="51"/>
      <c r="V647" s="46"/>
      <c r="W647" s="51" t="str">
        <f>IF(NOTA[[#This Row],[HARGA/ CTN]]="",NOTA[[#This Row],[JUMLAH_H]],NOTA[[#This Row],[HARGA/ CTN]]*IF(NOTA[[#This Row],[C]]="",0,NOTA[[#This Row],[C]]))</f>
        <v/>
      </c>
      <c r="X647" s="51" t="str">
        <f>IF(NOTA[[#This Row],[JUMLAH]]="","",NOTA[[#This Row],[JUMLAH]]*NOTA[[#This Row],[DISC 1]])</f>
        <v/>
      </c>
      <c r="Y647" s="51" t="str">
        <f>IF(NOTA[[#This Row],[JUMLAH]]="","",(NOTA[[#This Row],[JUMLAH]]-NOTA[[#This Row],[DISC 1-]])*NOTA[[#This Row],[DISC 2]])</f>
        <v/>
      </c>
      <c r="Z647" s="51" t="str">
        <f>IF(NOTA[[#This Row],[JUMLAH]]="","",NOTA[[#This Row],[DISC 1-]]+NOTA[[#This Row],[DISC 2-]])</f>
        <v/>
      </c>
      <c r="AA647" s="51" t="str">
        <f>IF(NOTA[[#This Row],[JUMLAH]]="","",NOTA[[#This Row],[JUMLAH]]-NOTA[[#This Row],[DISC]])</f>
        <v/>
      </c>
      <c r="AB647" s="51"/>
      <c r="AC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51" t="str">
        <f>IF(OR(NOTA[[#This Row],[QTY]]="",NOTA[[#This Row],[HARGA SATUAN]]="",),"",NOTA[[#This Row],[QTY]]*NOTA[[#This Row],[HARGA SATUAN]])</f>
        <v/>
      </c>
      <c r="AG647" s="40" t="str">
        <f ca="1">IF(NOTA[ID_H]="","",INDEX(NOTA[TANGGAL],MATCH(,INDIRECT(ADDRESS(ROW(NOTA[TANGGAL]),COLUMN(NOTA[TANGGAL]))&amp;":"&amp;ADDRESS(ROW(),COLUMN(NOTA[TANGGAL]))),-1)))</f>
        <v/>
      </c>
      <c r="AH647" s="42" t="str">
        <f ca="1">IF(NOTA[[#This Row],[NAMA BARANG]]="","",INDEX(NOTA[SUPPLIER],MATCH(,INDIRECT(ADDRESS(ROW(NOTA[ID]),COLUMN(NOTA[ID]))&amp;":"&amp;ADDRESS(ROW(),COLUMN(NOTA[ID]))),-1)))</f>
        <v/>
      </c>
      <c r="AI647" s="42" t="str">
        <f ca="1">IF(NOTA[[#This Row],[ID_H]]="","",IF(NOTA[[#This Row],[FAKTUR]]="",INDIRECT(ADDRESS(ROW()-1,COLUMN())),NOTA[[#This Row],[FAKTUR]]))</f>
        <v/>
      </c>
      <c r="AJ647" s="39" t="str">
        <f ca="1">IF(NOTA[[#This Row],[ID]]="","",COUNTIF(NOTA[ID_H],NOTA[[#This Row],[ID_H]]))</f>
        <v/>
      </c>
      <c r="AK647" s="39" t="str">
        <f ca="1">IF(NOTA[[#This Row],[TGL.NOTA]]="",IF(NOTA[[#This Row],[SUPPLIER_H]]="","",AK646),MONTH(NOTA[[#This Row],[TGL.NOTA]]))</f>
        <v/>
      </c>
      <c r="AL647" s="39" t="str">
        <f>LOWER(SUBSTITUTE(SUBSTITUTE(SUBSTITUTE(SUBSTITUTE(SUBSTITUTE(SUBSTITUTE(SUBSTITUTE(SUBSTITUTE(SUBSTITUTE(NOTA[NAMA BARANG]," ",),".",""),"-",""),"(",""),")",""),",",""),"/",""),"""",""),"+",""))</f>
        <v/>
      </c>
      <c r="AM6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39" t="str">
        <f>IF(NOTA[[#This Row],[CONCAT4]]="","",_xlfn.IFNA(MATCH(NOTA[[#This Row],[CONCAT4]],[2]!RAW[CONCAT_H],0),FALSE))</f>
        <v/>
      </c>
      <c r="AQ647" s="39" t="str">
        <f>IF(NOTA[[#This Row],[CONCAT1]]="","",MATCH(NOTA[[#This Row],[CONCAT1]],[3]!db[NB NOTA_C],0))</f>
        <v/>
      </c>
      <c r="AR647" s="39" t="str">
        <f>IF(NOTA[[#This Row],[QTY/ CTN]]="","",TRUE)</f>
        <v/>
      </c>
      <c r="AS647" s="39" t="str">
        <f ca="1">IF(NOTA[[#This Row],[ID_H]]="","",IF(NOTA[[#This Row],[Column3]]=TRUE,NOTA[[#This Row],[QTY/ CTN]],INDEX([3]!db[QTY/ CTN],NOTA[[#This Row],[//DB]])))</f>
        <v/>
      </c>
      <c r="AT6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39" t="str">
        <f ca="1">IF(NOTA[[#This Row],[ID_H]]="","",MATCH(NOTA[[#This Row],[NB NOTA_C_QTY]],[4]!db[NB NOTA_C_QTY+F],0))</f>
        <v/>
      </c>
      <c r="AV647" s="55" t="str">
        <f ca="1">IF(NOTA[[#This Row],[NB NOTA_C_QTY]]="","",ROW()-2)</f>
        <v/>
      </c>
    </row>
    <row r="648" spans="1:48" ht="20.100000000000001" customHeight="1" x14ac:dyDescent="0.25">
      <c r="A648" s="4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ATA_2407_676-1</v>
      </c>
      <c r="C648" s="39" t="e">
        <f ca="1">IF(NOTA[[#This Row],[ID_P]]="","",MATCH(NOTA[[#This Row],[ID_P]],[1]!B_MSK[N_ID],0))</f>
        <v>#REF!</v>
      </c>
      <c r="D648" s="39">
        <f ca="1">IF(NOTA[[#This Row],[NAMA BARANG]]="","",INDEX(NOTA[ID],MATCH(,INDIRECT(ADDRESS(ROW(NOTA[ID]),COLUMN(NOTA[ID]))&amp;":"&amp;ADDRESS(ROW(),COLUMN(NOTA[ID]))),-1)))</f>
        <v>128</v>
      </c>
      <c r="E648" s="47"/>
      <c r="F648" s="42" t="s">
        <v>24</v>
      </c>
      <c r="G648" s="42" t="s">
        <v>23</v>
      </c>
      <c r="H648" s="48" t="s">
        <v>732</v>
      </c>
      <c r="J648" s="47">
        <v>45127</v>
      </c>
      <c r="K648" s="38">
        <v>5</v>
      </c>
      <c r="L648" s="42" t="s">
        <v>317</v>
      </c>
      <c r="M648" s="41">
        <v>5</v>
      </c>
      <c r="N648" s="39">
        <v>720</v>
      </c>
      <c r="O648" s="42" t="s">
        <v>263</v>
      </c>
      <c r="P648" s="42">
        <v>10600</v>
      </c>
      <c r="Q648" s="43"/>
      <c r="R648" s="49"/>
      <c r="S648" s="50">
        <v>0.125</v>
      </c>
      <c r="T648" s="45">
        <v>0.05</v>
      </c>
      <c r="U648" s="51"/>
      <c r="V648" s="46"/>
      <c r="W648" s="51">
        <f>IF(NOTA[[#This Row],[HARGA/ CTN]]="",NOTA[[#This Row],[JUMLAH_H]],NOTA[[#This Row],[HARGA/ CTN]]*IF(NOTA[[#This Row],[C]]="",0,NOTA[[#This Row],[C]]))</f>
        <v>7632000</v>
      </c>
      <c r="X648" s="51">
        <f>IF(NOTA[[#This Row],[JUMLAH]]="","",NOTA[[#This Row],[JUMLAH]]*NOTA[[#This Row],[DISC 1]])</f>
        <v>954000</v>
      </c>
      <c r="Y648" s="51">
        <f>IF(NOTA[[#This Row],[JUMLAH]]="","",(NOTA[[#This Row],[JUMLAH]]-NOTA[[#This Row],[DISC 1-]])*NOTA[[#This Row],[DISC 2]])</f>
        <v>333900</v>
      </c>
      <c r="Z648" s="51">
        <f>IF(NOTA[[#This Row],[JUMLAH]]="","",NOTA[[#This Row],[DISC 1-]]+NOTA[[#This Row],[DISC 2-]])</f>
        <v>1287900</v>
      </c>
      <c r="AA648" s="51">
        <f>IF(NOTA[[#This Row],[JUMLAH]]="","",NOTA[[#This Row],[JUMLAH]]-NOTA[[#This Row],[DISC]])</f>
        <v>6344100</v>
      </c>
      <c r="AB648" s="51"/>
      <c r="AC6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1287900</v>
      </c>
      <c r="AD6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6344100</v>
      </c>
      <c r="AE648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48" s="51">
        <f>IF(OR(NOTA[[#This Row],[QTY]]="",NOTA[[#This Row],[HARGA SATUAN]]="",),"",NOTA[[#This Row],[QTY]]*NOTA[[#This Row],[HARGA SATUAN]])</f>
        <v>7632000</v>
      </c>
      <c r="AG648" s="40">
        <f ca="1">IF(NOTA[ID_H]="","",INDEX(NOTA[TANGGAL],MATCH(,INDIRECT(ADDRESS(ROW(NOTA[TANGGAL]),COLUMN(NOTA[TANGGAL]))&amp;":"&amp;ADDRESS(ROW(),COLUMN(NOTA[TANGGAL]))),-1)))</f>
        <v>45131</v>
      </c>
      <c r="AH648" s="42" t="str">
        <f ca="1">IF(NOTA[[#This Row],[NAMA BARANG]]="","",INDEX(NOTA[SUPPLIER],MATCH(,INDIRECT(ADDRESS(ROW(NOTA[ID]),COLUMN(NOTA[ID]))&amp;":"&amp;ADDRESS(ROW(),COLUMN(NOTA[ID]))),-1)))</f>
        <v>ATALI MAKMUR</v>
      </c>
      <c r="AI648" s="42" t="str">
        <f ca="1">IF(NOTA[[#This Row],[ID_H]]="","",IF(NOTA[[#This Row],[FAKTUR]]="",INDIRECT(ADDRESS(ROW()-1,COLUMN())),NOTA[[#This Row],[FAKTUR]]))</f>
        <v>ARTO MORO</v>
      </c>
      <c r="AJ648" s="39">
        <f ca="1">IF(NOTA[[#This Row],[ID]]="","",COUNTIF(NOTA[ID_H],NOTA[[#This Row],[ID_H]]))</f>
        <v>1</v>
      </c>
      <c r="AK648" s="39">
        <f>IF(NOTA[[#This Row],[TGL.NOTA]]="",IF(NOTA[[#This Row],[SUPPLIER_H]]="","",AK647),MONTH(NOTA[[#This Row],[TGL.NOTA]]))</f>
        <v>7</v>
      </c>
      <c r="AL648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4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MOROSA23071267645127colorpencilcp12pbjk</v>
      </c>
      <c r="AP648" s="39" t="e">
        <f>IF(NOTA[[#This Row],[CONCAT4]]="","",_xlfn.IFNA(MATCH(NOTA[[#This Row],[CONCAT4]],[2]!RAW[CONCAT_H],0),FALSE))</f>
        <v>#REF!</v>
      </c>
      <c r="AQ648" s="39">
        <f>IF(NOTA[[#This Row],[CONCAT1]]="","",MATCH(NOTA[[#This Row],[CONCAT1]],[3]!db[NB NOTA_C],0))</f>
        <v>2320</v>
      </c>
      <c r="AR648" s="39" t="str">
        <f>IF(NOTA[[#This Row],[QTY/ CTN]]="","",TRUE)</f>
        <v/>
      </c>
      <c r="AS648" s="39" t="str">
        <f ca="1">IF(NOTA[[#This Row],[ID_H]]="","",IF(NOTA[[#This Row],[Column3]]=TRUE,NOTA[[#This Row],[QTY/ CTN]],INDEX([3]!db[QTY/ CTN],NOTA[[#This Row],[//DB]])))</f>
        <v>12 LSN</v>
      </c>
      <c r="AT6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648" s="39" t="e">
        <f ca="1">IF(NOTA[[#This Row],[ID_H]]="","",MATCH(NOTA[[#This Row],[NB NOTA_C_QTY]],[4]!db[NB NOTA_C_QTY+F],0))</f>
        <v>#REF!</v>
      </c>
      <c r="AV648" s="55">
        <f ca="1">IF(NOTA[[#This Row],[NB NOTA_C_QTY]]="","",ROW()-2)</f>
        <v>646</v>
      </c>
    </row>
    <row r="649" spans="1:48" ht="20.100000000000001" customHeight="1" x14ac:dyDescent="0.25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 t="str">
        <f ca="1">IF(NOTA[[#This Row],[NAMA BARANG]]="","",INDEX(NOTA[ID],MATCH(,INDIRECT(ADDRESS(ROW(NOTA[ID]),COLUMN(NOTA[ID]))&amp;":"&amp;ADDRESS(ROW(),COLUMN(NOTA[ID]))),-1)))</f>
        <v/>
      </c>
      <c r="E649" s="47"/>
      <c r="H649" s="48"/>
      <c r="L649" s="42"/>
      <c r="N649" s="39"/>
      <c r="O649" s="42"/>
      <c r="Q649" s="43"/>
      <c r="R649" s="49"/>
      <c r="S649" s="50"/>
      <c r="U649" s="51"/>
      <c r="V649" s="46"/>
      <c r="W649" s="51" t="str">
        <f>IF(NOTA[[#This Row],[HARGA/ CTN]]="",NOTA[[#This Row],[JUMLAH_H]],NOTA[[#This Row],[HARGA/ CTN]]*IF(NOTA[[#This Row],[C]]="",0,NOTA[[#This Row],[C]]))</f>
        <v/>
      </c>
      <c r="X649" s="51" t="str">
        <f>IF(NOTA[[#This Row],[JUMLAH]]="","",NOTA[[#This Row],[JUMLAH]]*NOTA[[#This Row],[DISC 1]])</f>
        <v/>
      </c>
      <c r="Y649" s="51" t="str">
        <f>IF(NOTA[[#This Row],[JUMLAH]]="","",(NOTA[[#This Row],[JUMLAH]]-NOTA[[#This Row],[DISC 1-]])*NOTA[[#This Row],[DISC 2]])</f>
        <v/>
      </c>
      <c r="Z649" s="51" t="str">
        <f>IF(NOTA[[#This Row],[JUMLAH]]="","",NOTA[[#This Row],[DISC 1-]]+NOTA[[#This Row],[DISC 2-]])</f>
        <v/>
      </c>
      <c r="AA649" s="51" t="str">
        <f>IF(NOTA[[#This Row],[JUMLAH]]="","",NOTA[[#This Row],[JUMLAH]]-NOTA[[#This Row],[DISC]])</f>
        <v/>
      </c>
      <c r="AB649" s="51"/>
      <c r="AC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51" t="str">
        <f>IF(OR(NOTA[[#This Row],[QTY]]="",NOTA[[#This Row],[HARGA SATUAN]]="",),"",NOTA[[#This Row],[QTY]]*NOTA[[#This Row],[HARGA SATUAN]])</f>
        <v/>
      </c>
      <c r="AG649" s="40" t="str">
        <f ca="1">IF(NOTA[ID_H]="","",INDEX(NOTA[TANGGAL],MATCH(,INDIRECT(ADDRESS(ROW(NOTA[TANGGAL]),COLUMN(NOTA[TANGGAL]))&amp;":"&amp;ADDRESS(ROW(),COLUMN(NOTA[TANGGAL]))),-1)))</f>
        <v/>
      </c>
      <c r="AH649" s="42" t="str">
        <f ca="1">IF(NOTA[[#This Row],[NAMA BARANG]]="","",INDEX(NOTA[SUPPLIER],MATCH(,INDIRECT(ADDRESS(ROW(NOTA[ID]),COLUMN(NOTA[ID]))&amp;":"&amp;ADDRESS(ROW(),COLUMN(NOTA[ID]))),-1)))</f>
        <v/>
      </c>
      <c r="AI649" s="42" t="str">
        <f ca="1">IF(NOTA[[#This Row],[ID_H]]="","",IF(NOTA[[#This Row],[FAKTUR]]="",INDIRECT(ADDRESS(ROW()-1,COLUMN())),NOTA[[#This Row],[FAKTUR]]))</f>
        <v/>
      </c>
      <c r="AJ649" s="39" t="str">
        <f ca="1">IF(NOTA[[#This Row],[ID]]="","",COUNTIF(NOTA[ID_H],NOTA[[#This Row],[ID_H]]))</f>
        <v/>
      </c>
      <c r="AK649" s="39" t="str">
        <f ca="1">IF(NOTA[[#This Row],[TGL.NOTA]]="",IF(NOTA[[#This Row],[SUPPLIER_H]]="","",AK648),MONTH(NOTA[[#This Row],[TGL.NOTA]]))</f>
        <v/>
      </c>
      <c r="AL649" s="39" t="str">
        <f>LOWER(SUBSTITUTE(SUBSTITUTE(SUBSTITUTE(SUBSTITUTE(SUBSTITUTE(SUBSTITUTE(SUBSTITUTE(SUBSTITUTE(SUBSTITUTE(NOTA[NAMA BARANG]," ",),".",""),"-",""),"(",""),")",""),",",""),"/",""),"""",""),"+",""))</f>
        <v/>
      </c>
      <c r="AM6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39" t="str">
        <f>IF(NOTA[[#This Row],[CONCAT4]]="","",_xlfn.IFNA(MATCH(NOTA[[#This Row],[CONCAT4]],[2]!RAW[CONCAT_H],0),FALSE))</f>
        <v/>
      </c>
      <c r="AQ649" s="39" t="str">
        <f>IF(NOTA[[#This Row],[CONCAT1]]="","",MATCH(NOTA[[#This Row],[CONCAT1]],[3]!db[NB NOTA_C],0))</f>
        <v/>
      </c>
      <c r="AR649" s="39" t="str">
        <f>IF(NOTA[[#This Row],[QTY/ CTN]]="","",TRUE)</f>
        <v/>
      </c>
      <c r="AS649" s="39" t="str">
        <f ca="1">IF(NOTA[[#This Row],[ID_H]]="","",IF(NOTA[[#This Row],[Column3]]=TRUE,NOTA[[#This Row],[QTY/ CTN]],INDEX([3]!db[QTY/ CTN],NOTA[[#This Row],[//DB]])))</f>
        <v/>
      </c>
      <c r="AT6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39" t="str">
        <f ca="1">IF(NOTA[[#This Row],[ID_H]]="","",MATCH(NOTA[[#This Row],[NB NOTA_C_QTY]],[4]!db[NB NOTA_C_QTY+F],0))</f>
        <v/>
      </c>
      <c r="AV649" s="55" t="str">
        <f ca="1">IF(NOTA[[#This Row],[NB NOTA_C_QTY]]="","",ROW()-2)</f>
        <v/>
      </c>
    </row>
    <row r="650" spans="1:48" ht="20.100000000000001" customHeight="1" x14ac:dyDescent="0.25">
      <c r="A650" s="4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ATA_2407_604-9</v>
      </c>
      <c r="C650" s="39" t="e">
        <f ca="1">IF(NOTA[[#This Row],[ID_P]]="","",MATCH(NOTA[[#This Row],[ID_P]],[1]!B_MSK[N_ID],0))</f>
        <v>#REF!</v>
      </c>
      <c r="D650" s="39">
        <f ca="1">IF(NOTA[[#This Row],[NAMA BARANG]]="","",INDEX(NOTA[ID],MATCH(,INDIRECT(ADDRESS(ROW(NOTA[ID]),COLUMN(NOTA[ID]))&amp;":"&amp;ADDRESS(ROW(),COLUMN(NOTA[ID]))),-1)))</f>
        <v>129</v>
      </c>
      <c r="E650" s="47"/>
      <c r="F650" s="38" t="s">
        <v>24</v>
      </c>
      <c r="G650" s="38" t="s">
        <v>23</v>
      </c>
      <c r="H650" s="48" t="s">
        <v>733</v>
      </c>
      <c r="J650" s="40">
        <v>45127</v>
      </c>
      <c r="K650" s="38">
        <v>2</v>
      </c>
      <c r="L650" s="38" t="s">
        <v>317</v>
      </c>
      <c r="M650" s="41">
        <v>9</v>
      </c>
      <c r="N650" s="39">
        <v>1296</v>
      </c>
      <c r="O650" s="38" t="s">
        <v>263</v>
      </c>
      <c r="P650" s="42">
        <v>10600</v>
      </c>
      <c r="Q650" s="43"/>
      <c r="R650" s="49"/>
      <c r="S650" s="50">
        <v>0.125</v>
      </c>
      <c r="T650" s="45">
        <v>0.05</v>
      </c>
      <c r="U650" s="51"/>
      <c r="V650" s="46"/>
      <c r="W650" s="51">
        <f>IF(NOTA[[#This Row],[HARGA/ CTN]]="",NOTA[[#This Row],[JUMLAH_H]],NOTA[[#This Row],[HARGA/ CTN]]*IF(NOTA[[#This Row],[C]]="",0,NOTA[[#This Row],[C]]))</f>
        <v>13737600</v>
      </c>
      <c r="X650" s="51">
        <f>IF(NOTA[[#This Row],[JUMLAH]]="","",NOTA[[#This Row],[JUMLAH]]*NOTA[[#This Row],[DISC 1]])</f>
        <v>1717200</v>
      </c>
      <c r="Y650" s="51">
        <f>IF(NOTA[[#This Row],[JUMLAH]]="","",(NOTA[[#This Row],[JUMLAH]]-NOTA[[#This Row],[DISC 1-]])*NOTA[[#This Row],[DISC 2]])</f>
        <v>601020</v>
      </c>
      <c r="Z650" s="51">
        <f>IF(NOTA[[#This Row],[JUMLAH]]="","",NOTA[[#This Row],[DISC 1-]]+NOTA[[#This Row],[DISC 2-]])</f>
        <v>2318220</v>
      </c>
      <c r="AA650" s="51">
        <f>IF(NOTA[[#This Row],[JUMLAH]]="","",NOTA[[#This Row],[JUMLAH]]-NOTA[[#This Row],[DISC]])</f>
        <v>11419380</v>
      </c>
      <c r="AB650" s="51"/>
      <c r="AC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50" s="51">
        <f>IF(OR(NOTA[[#This Row],[QTY]]="",NOTA[[#This Row],[HARGA SATUAN]]="",),"",NOTA[[#This Row],[QTY]]*NOTA[[#This Row],[HARGA SATUAN]])</f>
        <v>13737600</v>
      </c>
      <c r="AG650" s="40">
        <f ca="1">IF(NOTA[ID_H]="","",INDEX(NOTA[TANGGAL],MATCH(,INDIRECT(ADDRESS(ROW(NOTA[TANGGAL]),COLUMN(NOTA[TANGGAL]))&amp;":"&amp;ADDRESS(ROW(),COLUMN(NOTA[TANGGAL]))),-1)))</f>
        <v>45131</v>
      </c>
      <c r="AH650" s="42" t="str">
        <f ca="1">IF(NOTA[[#This Row],[NAMA BARANG]]="","",INDEX(NOTA[SUPPLIER],MATCH(,INDIRECT(ADDRESS(ROW(NOTA[ID]),COLUMN(NOTA[ID]))&amp;":"&amp;ADDRESS(ROW(),COLUMN(NOTA[ID]))),-1)))</f>
        <v>ATALI MAKMUR</v>
      </c>
      <c r="AI650" s="42" t="str">
        <f ca="1">IF(NOTA[[#This Row],[ID_H]]="","",IF(NOTA[[#This Row],[FAKTUR]]="",INDIRECT(ADDRESS(ROW()-1,COLUMN())),NOTA[[#This Row],[FAKTUR]]))</f>
        <v>ARTO MORO</v>
      </c>
      <c r="AJ650" s="39">
        <f ca="1">IF(NOTA[[#This Row],[ID]]="","",COUNTIF(NOTA[ID_H],NOTA[[#This Row],[ID_H]]))</f>
        <v>9</v>
      </c>
      <c r="AK650" s="39">
        <f>IF(NOTA[[#This Row],[TGL.NOTA]]="",IF(NOTA[[#This Row],[SUPPLIER_H]]="","",AK649),MONTH(NOTA[[#This Row],[TGL.NOTA]]))</f>
        <v>7</v>
      </c>
      <c r="AL650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MOROSA23071260445127colorpencilcp12pbjk</v>
      </c>
      <c r="AP650" s="39" t="e">
        <f>IF(NOTA[[#This Row],[CONCAT4]]="","",_xlfn.IFNA(MATCH(NOTA[[#This Row],[CONCAT4]],[2]!RAW[CONCAT_H],0),FALSE))</f>
        <v>#REF!</v>
      </c>
      <c r="AQ650" s="39">
        <f>IF(NOTA[[#This Row],[CONCAT1]]="","",MATCH(NOTA[[#This Row],[CONCAT1]],[3]!db[NB NOTA_C],0))</f>
        <v>2320</v>
      </c>
      <c r="AR650" s="39" t="str">
        <f>IF(NOTA[[#This Row],[QTY/ CTN]]="","",TRUE)</f>
        <v/>
      </c>
      <c r="AS650" s="39" t="str">
        <f ca="1">IF(NOTA[[#This Row],[ID_H]]="","",IF(NOTA[[#This Row],[Column3]]=TRUE,NOTA[[#This Row],[QTY/ CTN]],INDEX([3]!db[QTY/ CTN],NOTA[[#This Row],[//DB]])))</f>
        <v>12 LSN</v>
      </c>
      <c r="AT6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650" s="39" t="e">
        <f ca="1">IF(NOTA[[#This Row],[ID_H]]="","",MATCH(NOTA[[#This Row],[NB NOTA_C_QTY]],[4]!db[NB NOTA_C_QTY+F],0))</f>
        <v>#REF!</v>
      </c>
      <c r="AV650" s="55">
        <f ca="1">IF(NOTA[[#This Row],[NB NOTA_C_QTY]]="","",ROW()-2)</f>
        <v>648</v>
      </c>
    </row>
    <row r="651" spans="1:48" ht="20.100000000000001" customHeight="1" x14ac:dyDescent="0.25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>
        <f ca="1">IF(NOTA[[#This Row],[NAMA BARANG]]="","",INDEX(NOTA[ID],MATCH(,INDIRECT(ADDRESS(ROW(NOTA[ID]),COLUMN(NOTA[ID]))&amp;":"&amp;ADDRESS(ROW(),COLUMN(NOTA[ID]))),-1)))</f>
        <v>129</v>
      </c>
      <c r="E651" s="47"/>
      <c r="F651" s="42"/>
      <c r="G651" s="42"/>
      <c r="H651" s="39"/>
      <c r="K651" s="38">
        <v>2</v>
      </c>
      <c r="L651" s="42" t="s">
        <v>734</v>
      </c>
      <c r="M651" s="41">
        <v>2</v>
      </c>
      <c r="N651" s="39">
        <v>144</v>
      </c>
      <c r="O651" s="42" t="s">
        <v>263</v>
      </c>
      <c r="P651" s="42">
        <v>21200</v>
      </c>
      <c r="Q651" s="43"/>
      <c r="R651" s="49"/>
      <c r="S651" s="50">
        <v>0.125</v>
      </c>
      <c r="T651" s="45">
        <v>0.05</v>
      </c>
      <c r="U651" s="51"/>
      <c r="V651" s="46"/>
      <c r="W651" s="51">
        <f>IF(NOTA[[#This Row],[HARGA/ CTN]]="",NOTA[[#This Row],[JUMLAH_H]],NOTA[[#This Row],[HARGA/ CTN]]*IF(NOTA[[#This Row],[C]]="",0,NOTA[[#This Row],[C]]))</f>
        <v>3052800</v>
      </c>
      <c r="X651" s="51">
        <f>IF(NOTA[[#This Row],[JUMLAH]]="","",NOTA[[#This Row],[JUMLAH]]*NOTA[[#This Row],[DISC 1]])</f>
        <v>381600</v>
      </c>
      <c r="Y651" s="51">
        <f>IF(NOTA[[#This Row],[JUMLAH]]="","",(NOTA[[#This Row],[JUMLAH]]-NOTA[[#This Row],[DISC 1-]])*NOTA[[#This Row],[DISC 2]])</f>
        <v>133560</v>
      </c>
      <c r="Z651" s="51">
        <f>IF(NOTA[[#This Row],[JUMLAH]]="","",NOTA[[#This Row],[DISC 1-]]+NOTA[[#This Row],[DISC 2-]])</f>
        <v>515160</v>
      </c>
      <c r="AA651" s="51">
        <f>IF(NOTA[[#This Row],[JUMLAH]]="","",NOTA[[#This Row],[JUMLAH]]-NOTA[[#This Row],[DISC]])</f>
        <v>2537640</v>
      </c>
      <c r="AB651" s="51"/>
      <c r="AC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51" s="51">
        <f>IF(OR(NOTA[[#This Row],[QTY]]="",NOTA[[#This Row],[HARGA SATUAN]]="",),"",NOTA[[#This Row],[QTY]]*NOTA[[#This Row],[HARGA SATUAN]])</f>
        <v>3052800</v>
      </c>
      <c r="AG651" s="40">
        <f ca="1">IF(NOTA[ID_H]="","",INDEX(NOTA[TANGGAL],MATCH(,INDIRECT(ADDRESS(ROW(NOTA[TANGGAL]),COLUMN(NOTA[TANGGAL]))&amp;":"&amp;ADDRESS(ROW(),COLUMN(NOTA[TANGGAL]))),-1)))</f>
        <v>45131</v>
      </c>
      <c r="AH651" s="42" t="str">
        <f ca="1">IF(NOTA[[#This Row],[NAMA BARANG]]="","",INDEX(NOTA[SUPPLIER],MATCH(,INDIRECT(ADDRESS(ROW(NOTA[ID]),COLUMN(NOTA[ID]))&amp;":"&amp;ADDRESS(ROW(),COLUMN(NOTA[ID]))),-1)))</f>
        <v>ATALI MAKMUR</v>
      </c>
      <c r="AI651" s="42" t="str">
        <f ca="1">IF(NOTA[[#This Row],[ID_H]]="","",IF(NOTA[[#This Row],[FAKTUR]]="",INDIRECT(ADDRESS(ROW()-1,COLUMN())),NOTA[[#This Row],[FAKTUR]]))</f>
        <v>ARTO MORO</v>
      </c>
      <c r="AJ651" s="39" t="str">
        <f ca="1">IF(NOTA[[#This Row],[ID]]="","",COUNTIF(NOTA[ID_H],NOTA[[#This Row],[ID_H]]))</f>
        <v/>
      </c>
      <c r="AK651" s="39">
        <f ca="1">IF(NOTA[[#This Row],[TGL.NOTA]]="",IF(NOTA[[#This Row],[SUPPLIER_H]]="","",AK650),MONTH(NOTA[[#This Row],[TGL.NOTA]]))</f>
        <v>7</v>
      </c>
      <c r="AL651" s="39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6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6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6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39" t="str">
        <f>IF(NOTA[[#This Row],[CONCAT4]]="","",_xlfn.IFNA(MATCH(NOTA[[#This Row],[CONCAT4]],[2]!RAW[CONCAT_H],0),FALSE))</f>
        <v/>
      </c>
      <c r="AQ651" s="39">
        <f>IF(NOTA[[#This Row],[CONCAT1]]="","",MATCH(NOTA[[#This Row],[CONCAT1]],[3]!db[NB NOTA_C],0))</f>
        <v>2325</v>
      </c>
      <c r="AR651" s="39" t="str">
        <f>IF(NOTA[[#This Row],[QTY/ CTN]]="","",TRUE)</f>
        <v/>
      </c>
      <c r="AS651" s="39" t="str">
        <f ca="1">IF(NOTA[[#This Row],[ID_H]]="","",IF(NOTA[[#This Row],[Column3]]=TRUE,NOTA[[#This Row],[QTY/ CTN]],INDEX([3]!db[QTY/ CTN],NOTA[[#This Row],[//DB]])))</f>
        <v>12 BOX (6 SET)</v>
      </c>
      <c r="AT6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U651" s="39" t="e">
        <f ca="1">IF(NOTA[[#This Row],[ID_H]]="","",MATCH(NOTA[[#This Row],[NB NOTA_C_QTY]],[4]!db[NB NOTA_C_QTY+F],0))</f>
        <v>#REF!</v>
      </c>
      <c r="AV651" s="55">
        <f ca="1">IF(NOTA[[#This Row],[NB NOTA_C_QTY]]="","",ROW()-2)</f>
        <v>649</v>
      </c>
    </row>
    <row r="652" spans="1:48" ht="20.100000000000001" customHeight="1" x14ac:dyDescent="0.25">
      <c r="A6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>
        <f ca="1">IF(NOTA[[#This Row],[NAMA BARANG]]="","",INDEX(NOTA[ID],MATCH(,INDIRECT(ADDRESS(ROW(NOTA[ID]),COLUMN(NOTA[ID]))&amp;":"&amp;ADDRESS(ROW(),COLUMN(NOTA[ID]))),-1)))</f>
        <v>129</v>
      </c>
      <c r="E652" s="47"/>
      <c r="H652" s="48"/>
      <c r="K652" s="38">
        <v>1</v>
      </c>
      <c r="L652" s="42" t="s">
        <v>735</v>
      </c>
      <c r="M652" s="41">
        <v>1</v>
      </c>
      <c r="N652" s="39">
        <v>48</v>
      </c>
      <c r="O652" s="42" t="s">
        <v>152</v>
      </c>
      <c r="P652" s="42">
        <v>39000</v>
      </c>
      <c r="Q652" s="43"/>
      <c r="R652" s="49"/>
      <c r="S652" s="50">
        <v>0.125</v>
      </c>
      <c r="T652" s="45">
        <v>0.05</v>
      </c>
      <c r="U652" s="51"/>
      <c r="V652" s="46"/>
      <c r="W652" s="51">
        <f>IF(NOTA[[#This Row],[HARGA/ CTN]]="",NOTA[[#This Row],[JUMLAH_H]],NOTA[[#This Row],[HARGA/ CTN]]*IF(NOTA[[#This Row],[C]]="",0,NOTA[[#This Row],[C]]))</f>
        <v>1872000</v>
      </c>
      <c r="X652" s="51">
        <f>IF(NOTA[[#This Row],[JUMLAH]]="","",NOTA[[#This Row],[JUMLAH]]*NOTA[[#This Row],[DISC 1]])</f>
        <v>234000</v>
      </c>
      <c r="Y652" s="51">
        <f>IF(NOTA[[#This Row],[JUMLAH]]="","",(NOTA[[#This Row],[JUMLAH]]-NOTA[[#This Row],[DISC 1-]])*NOTA[[#This Row],[DISC 2]])</f>
        <v>81900</v>
      </c>
      <c r="Z652" s="51">
        <f>IF(NOTA[[#This Row],[JUMLAH]]="","",NOTA[[#This Row],[DISC 1-]]+NOTA[[#This Row],[DISC 2-]])</f>
        <v>315900</v>
      </c>
      <c r="AA652" s="51">
        <f>IF(NOTA[[#This Row],[JUMLAH]]="","",NOTA[[#This Row],[JUMLAH]]-NOTA[[#This Row],[DISC]])</f>
        <v>1556100</v>
      </c>
      <c r="AB652" s="51"/>
      <c r="AC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4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652" s="51">
        <f>IF(OR(NOTA[[#This Row],[QTY]]="",NOTA[[#This Row],[HARGA SATUAN]]="",),"",NOTA[[#This Row],[QTY]]*NOTA[[#This Row],[HARGA SATUAN]])</f>
        <v>1872000</v>
      </c>
      <c r="AG652" s="40">
        <f ca="1">IF(NOTA[ID_H]="","",INDEX(NOTA[TANGGAL],MATCH(,INDIRECT(ADDRESS(ROW(NOTA[TANGGAL]),COLUMN(NOTA[TANGGAL]))&amp;":"&amp;ADDRESS(ROW(),COLUMN(NOTA[TANGGAL]))),-1)))</f>
        <v>45131</v>
      </c>
      <c r="AH652" s="42" t="str">
        <f ca="1">IF(NOTA[[#This Row],[NAMA BARANG]]="","",INDEX(NOTA[SUPPLIER],MATCH(,INDIRECT(ADDRESS(ROW(NOTA[ID]),COLUMN(NOTA[ID]))&amp;":"&amp;ADDRESS(ROW(),COLUMN(NOTA[ID]))),-1)))</f>
        <v>ATALI MAKMUR</v>
      </c>
      <c r="AI652" s="42" t="str">
        <f ca="1">IF(NOTA[[#This Row],[ID_H]]="","",IF(NOTA[[#This Row],[FAKTUR]]="",INDIRECT(ADDRESS(ROW()-1,COLUMN())),NOTA[[#This Row],[FAKTUR]]))</f>
        <v>ARTO MORO</v>
      </c>
      <c r="AJ652" s="39" t="str">
        <f ca="1">IF(NOTA[[#This Row],[ID]]="","",COUNTIF(NOTA[ID_H],NOTA[[#This Row],[ID_H]]))</f>
        <v/>
      </c>
      <c r="AK652" s="39">
        <f ca="1">IF(NOTA[[#This Row],[TGL.NOTA]]="",IF(NOTA[[#This Row],[SUPPLIER_H]]="","",AK651),MONTH(NOTA[[#This Row],[TGL.NOTA]]))</f>
        <v>7</v>
      </c>
      <c r="AL652" s="39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M6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N6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O6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39" t="str">
        <f>IF(NOTA[[#This Row],[CONCAT4]]="","",_xlfn.IFNA(MATCH(NOTA[[#This Row],[CONCAT4]],[2]!RAW[CONCAT_H],0),FALSE))</f>
        <v/>
      </c>
      <c r="AQ652" s="39">
        <f>IF(NOTA[[#This Row],[CONCAT1]]="","",MATCH(NOTA[[#This Row],[CONCAT1]],[3]!db[NB NOTA_C],0))</f>
        <v>2611</v>
      </c>
      <c r="AR652" s="39" t="str">
        <f>IF(NOTA[[#This Row],[QTY/ CTN]]="","",TRUE)</f>
        <v/>
      </c>
      <c r="AS652" s="39" t="str">
        <f ca="1">IF(NOTA[[#This Row],[ID_H]]="","",IF(NOTA[[#This Row],[Column3]]=TRUE,NOTA[[#This Row],[QTY/ CTN]],INDEX([3]!db[QTY/ CTN],NOTA[[#This Row],[//DB]])))</f>
        <v>48 LSN</v>
      </c>
      <c r="AT6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correctionfluidcfp231jk48lsnartomoro</v>
      </c>
      <c r="AU652" s="39" t="e">
        <f ca="1">IF(NOTA[[#This Row],[ID_H]]="","",MATCH(NOTA[[#This Row],[NB NOTA_C_QTY]],[4]!db[NB NOTA_C_QTY+F],0))</f>
        <v>#REF!</v>
      </c>
      <c r="AV652" s="55">
        <f ca="1">IF(NOTA[[#This Row],[NB NOTA_C_QTY]]="","",ROW()-2)</f>
        <v>650</v>
      </c>
    </row>
    <row r="653" spans="1:48" ht="20.100000000000001" customHeight="1" x14ac:dyDescent="0.25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>
        <f ca="1">IF(NOTA[[#This Row],[NAMA BARANG]]="","",INDEX(NOTA[ID],MATCH(,INDIRECT(ADDRESS(ROW(NOTA[ID]),COLUMN(NOTA[ID]))&amp;":"&amp;ADDRESS(ROW(),COLUMN(NOTA[ID]))),-1)))</f>
        <v>129</v>
      </c>
      <c r="E653" s="47"/>
      <c r="H653" s="48"/>
      <c r="K653" s="38">
        <v>2</v>
      </c>
      <c r="L653" s="38" t="s">
        <v>118</v>
      </c>
      <c r="M653" s="41">
        <v>2</v>
      </c>
      <c r="N653" s="39">
        <v>80</v>
      </c>
      <c r="O653" s="38" t="s">
        <v>152</v>
      </c>
      <c r="P653" s="42">
        <v>49200</v>
      </c>
      <c r="Q653" s="43"/>
      <c r="R653" s="49"/>
      <c r="S653" s="50">
        <v>0.125</v>
      </c>
      <c r="T653" s="45">
        <v>0.05</v>
      </c>
      <c r="U653" s="51"/>
      <c r="V653" s="46"/>
      <c r="W653" s="51">
        <f>IF(NOTA[[#This Row],[HARGA/ CTN]]="",NOTA[[#This Row],[JUMLAH_H]],NOTA[[#This Row],[HARGA/ CTN]]*IF(NOTA[[#This Row],[C]]="",0,NOTA[[#This Row],[C]]))</f>
        <v>3936000</v>
      </c>
      <c r="X653" s="51">
        <f>IF(NOTA[[#This Row],[JUMLAH]]="","",NOTA[[#This Row],[JUMLAH]]*NOTA[[#This Row],[DISC 1]])</f>
        <v>492000</v>
      </c>
      <c r="Y653" s="51">
        <f>IF(NOTA[[#This Row],[JUMLAH]]="","",(NOTA[[#This Row],[JUMLAH]]-NOTA[[#This Row],[DISC 1-]])*NOTA[[#This Row],[DISC 2]])</f>
        <v>172200</v>
      </c>
      <c r="Z653" s="51">
        <f>IF(NOTA[[#This Row],[JUMLAH]]="","",NOTA[[#This Row],[DISC 1-]]+NOTA[[#This Row],[DISC 2-]])</f>
        <v>664200</v>
      </c>
      <c r="AA653" s="51">
        <f>IF(NOTA[[#This Row],[JUMLAH]]="","",NOTA[[#This Row],[JUMLAH]]-NOTA[[#This Row],[DISC]])</f>
        <v>3271800</v>
      </c>
      <c r="AB653" s="51"/>
      <c r="AC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653" s="51">
        <f>IF(OR(NOTA[[#This Row],[QTY]]="",NOTA[[#This Row],[HARGA SATUAN]]="",),"",NOTA[[#This Row],[QTY]]*NOTA[[#This Row],[HARGA SATUAN]])</f>
        <v>3936000</v>
      </c>
      <c r="AG653" s="40">
        <f ca="1">IF(NOTA[ID_H]="","",INDEX(NOTA[TANGGAL],MATCH(,INDIRECT(ADDRESS(ROW(NOTA[TANGGAL]),COLUMN(NOTA[TANGGAL]))&amp;":"&amp;ADDRESS(ROW(),COLUMN(NOTA[TANGGAL]))),-1)))</f>
        <v>45131</v>
      </c>
      <c r="AH653" s="42" t="str">
        <f ca="1">IF(NOTA[[#This Row],[NAMA BARANG]]="","",INDEX(NOTA[SUPPLIER],MATCH(,INDIRECT(ADDRESS(ROW(NOTA[ID]),COLUMN(NOTA[ID]))&amp;":"&amp;ADDRESS(ROW(),COLUMN(NOTA[ID]))),-1)))</f>
        <v>ATALI MAKMUR</v>
      </c>
      <c r="AI653" s="42" t="str">
        <f ca="1">IF(NOTA[[#This Row],[ID_H]]="","",IF(NOTA[[#This Row],[FAKTUR]]="",INDIRECT(ADDRESS(ROW()-1,COLUMN())),NOTA[[#This Row],[FAKTUR]]))</f>
        <v>ARTO MORO</v>
      </c>
      <c r="AJ653" s="39" t="str">
        <f ca="1">IF(NOTA[[#This Row],[ID]]="","",COUNTIF(NOTA[ID_H],NOTA[[#This Row],[ID_H]]))</f>
        <v/>
      </c>
      <c r="AK653" s="39">
        <f ca="1">IF(NOTA[[#This Row],[TGL.NOTA]]="",IF(NOTA[[#This Row],[SUPPLIER_H]]="","",AK652),MONTH(NOTA[[#This Row],[TGL.NOTA]]))</f>
        <v>7</v>
      </c>
      <c r="AL6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6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6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6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39" t="str">
        <f>IF(NOTA[[#This Row],[CONCAT4]]="","",_xlfn.IFNA(MATCH(NOTA[[#This Row],[CONCAT4]],[2]!RAW[CONCAT_H],0),FALSE))</f>
        <v/>
      </c>
      <c r="AQ653" s="39">
        <f>IF(NOTA[[#This Row],[CONCAT1]]="","",MATCH(NOTA[[#This Row],[CONCAT1]],[3]!db[NB NOTA_C],0))</f>
        <v>1300</v>
      </c>
      <c r="AR653" s="39" t="str">
        <f>IF(NOTA[[#This Row],[QTY/ CTN]]="","",TRUE)</f>
        <v/>
      </c>
      <c r="AS653" s="39" t="str">
        <f ca="1">IF(NOTA[[#This Row],[ID_H]]="","",IF(NOTA[[#This Row],[Column3]]=TRUE,NOTA[[#This Row],[QTY/ CTN]],INDEX([3]!db[QTY/ CTN],NOTA[[#This Row],[//DB]])))</f>
        <v>40 LSN</v>
      </c>
      <c r="AT6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653" s="39" t="e">
        <f ca="1">IF(NOTA[[#This Row],[ID_H]]="","",MATCH(NOTA[[#This Row],[NB NOTA_C_QTY]],[4]!db[NB NOTA_C_QTY+F],0))</f>
        <v>#REF!</v>
      </c>
      <c r="AV653" s="55">
        <f ca="1">IF(NOTA[[#This Row],[NB NOTA_C_QTY]]="","",ROW()-2)</f>
        <v>651</v>
      </c>
    </row>
    <row r="654" spans="1:48" ht="20.100000000000001" customHeight="1" x14ac:dyDescent="0.25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>
        <f ca="1">IF(NOTA[[#This Row],[NAMA BARANG]]="","",INDEX(NOTA[ID],MATCH(,INDIRECT(ADDRESS(ROW(NOTA[ID]),COLUMN(NOTA[ID]))&amp;":"&amp;ADDRESS(ROW(),COLUMN(NOTA[ID]))),-1)))</f>
        <v>129</v>
      </c>
      <c r="E654" s="47"/>
      <c r="F654" s="42"/>
      <c r="G654" s="42"/>
      <c r="H654" s="39"/>
      <c r="L654" s="56" t="s">
        <v>262</v>
      </c>
      <c r="M654" s="41">
        <v>7</v>
      </c>
      <c r="N654" s="39">
        <v>1008</v>
      </c>
      <c r="O654" s="42" t="s">
        <v>263</v>
      </c>
      <c r="P654" s="42">
        <v>11900</v>
      </c>
      <c r="Q654" s="43"/>
      <c r="R654" s="40"/>
      <c r="S654" s="50">
        <v>0.125</v>
      </c>
      <c r="T654" s="45">
        <v>0.05</v>
      </c>
      <c r="U654" s="51"/>
      <c r="V654" s="46"/>
      <c r="W654" s="51">
        <f>IF(NOTA[[#This Row],[HARGA/ CTN]]="",NOTA[[#This Row],[JUMLAH_H]],NOTA[[#This Row],[HARGA/ CTN]]*IF(NOTA[[#This Row],[C]]="",0,NOTA[[#This Row],[C]]))</f>
        <v>11995200</v>
      </c>
      <c r="X654" s="51">
        <f>IF(NOTA[[#This Row],[JUMLAH]]="","",NOTA[[#This Row],[JUMLAH]]*NOTA[[#This Row],[DISC 1]])</f>
        <v>1499400</v>
      </c>
      <c r="Y654" s="51">
        <f>IF(NOTA[[#This Row],[JUMLAH]]="","",(NOTA[[#This Row],[JUMLAH]]-NOTA[[#This Row],[DISC 1-]])*NOTA[[#This Row],[DISC 2]])</f>
        <v>524790</v>
      </c>
      <c r="Z654" s="51">
        <f>IF(NOTA[[#This Row],[JUMLAH]]="","",NOTA[[#This Row],[DISC 1-]]+NOTA[[#This Row],[DISC 2-]])</f>
        <v>2024190</v>
      </c>
      <c r="AA654" s="51">
        <f>IF(NOTA[[#This Row],[JUMLAH]]="","",NOTA[[#This Row],[JUMLAH]]-NOTA[[#This Row],[DISC]])</f>
        <v>9971010</v>
      </c>
      <c r="AB654" s="51"/>
      <c r="AC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54" s="51">
        <f>IF(OR(NOTA[[#This Row],[QTY]]="",NOTA[[#This Row],[HARGA SATUAN]]="",),"",NOTA[[#This Row],[QTY]]*NOTA[[#This Row],[HARGA SATUAN]])</f>
        <v>11995200</v>
      </c>
      <c r="AG654" s="40">
        <f ca="1">IF(NOTA[ID_H]="","",INDEX(NOTA[TANGGAL],MATCH(,INDIRECT(ADDRESS(ROW(NOTA[TANGGAL]),COLUMN(NOTA[TANGGAL]))&amp;":"&amp;ADDRESS(ROW(),COLUMN(NOTA[TANGGAL]))),-1)))</f>
        <v>45131</v>
      </c>
      <c r="AH654" s="42" t="str">
        <f ca="1">IF(NOTA[[#This Row],[NAMA BARANG]]="","",INDEX(NOTA[SUPPLIER],MATCH(,INDIRECT(ADDRESS(ROW(NOTA[ID]),COLUMN(NOTA[ID]))&amp;":"&amp;ADDRESS(ROW(),COLUMN(NOTA[ID]))),-1)))</f>
        <v>ATALI MAKMUR</v>
      </c>
      <c r="AI654" s="42" t="str">
        <f ca="1">IF(NOTA[[#This Row],[ID_H]]="","",IF(NOTA[[#This Row],[FAKTUR]]="",INDIRECT(ADDRESS(ROW()-1,COLUMN())),NOTA[[#This Row],[FAKTUR]]))</f>
        <v>ARTO MORO</v>
      </c>
      <c r="AJ654" s="39" t="str">
        <f ca="1">IF(NOTA[[#This Row],[ID]]="","",COUNTIF(NOTA[ID_H],NOTA[[#This Row],[ID_H]]))</f>
        <v/>
      </c>
      <c r="AK654" s="39">
        <f ca="1">IF(NOTA[[#This Row],[TGL.NOTA]]="",IF(NOTA[[#This Row],[SUPPLIER_H]]="","",AK653),MONTH(NOTA[[#This Row],[TGL.NOTA]]))</f>
        <v>7</v>
      </c>
      <c r="AL65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39" t="str">
        <f>IF(NOTA[[#This Row],[CONCAT4]]="","",_xlfn.IFNA(MATCH(NOTA[[#This Row],[CONCAT4]],[2]!RAW[CONCAT_H],0),FALSE))</f>
        <v/>
      </c>
      <c r="AQ654" s="39">
        <f>IF(NOTA[[#This Row],[CONCAT1]]="","",MATCH(NOTA[[#This Row],[CONCAT1]],[3]!db[NB NOTA_C],0))</f>
        <v>1775</v>
      </c>
      <c r="AR654" s="39" t="str">
        <f>IF(NOTA[[#This Row],[QTY/ CTN]]="","",TRUE)</f>
        <v/>
      </c>
      <c r="AS654" s="39" t="str">
        <f ca="1">IF(NOTA[[#This Row],[ID_H]]="","",IF(NOTA[[#This Row],[Column3]]=TRUE,NOTA[[#This Row],[QTY/ CTN]],INDEX([3]!db[QTY/ CTN],NOTA[[#This Row],[//DB]])))</f>
        <v>12 LSN</v>
      </c>
      <c r="AT6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654" s="39" t="e">
        <f ca="1">IF(NOTA[[#This Row],[ID_H]]="","",MATCH(NOTA[[#This Row],[NB NOTA_C_QTY]],[4]!db[NB NOTA_C_QTY+F],0))</f>
        <v>#REF!</v>
      </c>
      <c r="AV654" s="55">
        <f ca="1">IF(NOTA[[#This Row],[NB NOTA_C_QTY]]="","",ROW()-2)</f>
        <v>652</v>
      </c>
    </row>
    <row r="655" spans="1:48" ht="20.100000000000001" customHeight="1" x14ac:dyDescent="0.25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39" t="str">
        <f>IF(NOTA[[#This Row],[ID_P]]="","",MATCH(NOTA[[#This Row],[ID_P]],[1]!B_MSK[N_ID],0))</f>
        <v/>
      </c>
      <c r="D655" s="39">
        <f ca="1">IF(NOTA[[#This Row],[NAMA BARANG]]="","",INDEX(NOTA[ID],MATCH(,INDIRECT(ADDRESS(ROW(NOTA[ID]),COLUMN(NOTA[ID]))&amp;":"&amp;ADDRESS(ROW(),COLUMN(NOTA[ID]))),-1)))</f>
        <v>129</v>
      </c>
      <c r="E655" s="47"/>
      <c r="H655" s="48"/>
      <c r="L655" s="38" t="s">
        <v>266</v>
      </c>
      <c r="M655" s="41">
        <v>1</v>
      </c>
      <c r="N655" s="39">
        <v>36</v>
      </c>
      <c r="O655" s="38" t="s">
        <v>263</v>
      </c>
      <c r="P655" s="42">
        <v>41500</v>
      </c>
      <c r="Q655" s="43"/>
      <c r="R655" s="49"/>
      <c r="S655" s="50">
        <v>0.125</v>
      </c>
      <c r="T655" s="45">
        <v>0.05</v>
      </c>
      <c r="U655" s="51"/>
      <c r="V655" s="46"/>
      <c r="W655" s="51">
        <f>IF(NOTA[[#This Row],[HARGA/ CTN]]="",NOTA[[#This Row],[JUMLAH_H]],NOTA[[#This Row],[HARGA/ CTN]]*IF(NOTA[[#This Row],[C]]="",0,NOTA[[#This Row],[C]]))</f>
        <v>1494000</v>
      </c>
      <c r="X655" s="51">
        <f>IF(NOTA[[#This Row],[JUMLAH]]="","",NOTA[[#This Row],[JUMLAH]]*NOTA[[#This Row],[DISC 1]])</f>
        <v>186750</v>
      </c>
      <c r="Y655" s="51">
        <f>IF(NOTA[[#This Row],[JUMLAH]]="","",(NOTA[[#This Row],[JUMLAH]]-NOTA[[#This Row],[DISC 1-]])*NOTA[[#This Row],[DISC 2]])</f>
        <v>65362.5</v>
      </c>
      <c r="Z655" s="51">
        <f>IF(NOTA[[#This Row],[JUMLAH]]="","",NOTA[[#This Row],[DISC 1-]]+NOTA[[#This Row],[DISC 2-]])</f>
        <v>252112.5</v>
      </c>
      <c r="AA655" s="51">
        <f>IF(NOTA[[#This Row],[JUMLAH]]="","",NOTA[[#This Row],[JUMLAH]]-NOTA[[#This Row],[DISC]])</f>
        <v>1241887.5</v>
      </c>
      <c r="AB655" s="51"/>
      <c r="AC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55" s="51">
        <f>IF(OR(NOTA[[#This Row],[QTY]]="",NOTA[[#This Row],[HARGA SATUAN]]="",),"",NOTA[[#This Row],[QTY]]*NOTA[[#This Row],[HARGA SATUAN]])</f>
        <v>1494000</v>
      </c>
      <c r="AG655" s="40">
        <f ca="1">IF(NOTA[ID_H]="","",INDEX(NOTA[TANGGAL],MATCH(,INDIRECT(ADDRESS(ROW(NOTA[TANGGAL]),COLUMN(NOTA[TANGGAL]))&amp;":"&amp;ADDRESS(ROW(),COLUMN(NOTA[TANGGAL]))),-1)))</f>
        <v>45131</v>
      </c>
      <c r="AH655" s="42" t="str">
        <f ca="1">IF(NOTA[[#This Row],[NAMA BARANG]]="","",INDEX(NOTA[SUPPLIER],MATCH(,INDIRECT(ADDRESS(ROW(NOTA[ID]),COLUMN(NOTA[ID]))&amp;":"&amp;ADDRESS(ROW(),COLUMN(NOTA[ID]))),-1)))</f>
        <v>ATALI MAKMUR</v>
      </c>
      <c r="AI655" s="42" t="str">
        <f ca="1">IF(NOTA[[#This Row],[ID_H]]="","",IF(NOTA[[#This Row],[FAKTUR]]="",INDIRECT(ADDRESS(ROW()-1,COLUMN())),NOTA[[#This Row],[FAKTUR]]))</f>
        <v>ARTO MORO</v>
      </c>
      <c r="AJ655" s="39" t="str">
        <f ca="1">IF(NOTA[[#This Row],[ID]]="","",COUNTIF(NOTA[ID_H],NOTA[[#This Row],[ID_H]]))</f>
        <v/>
      </c>
      <c r="AK655" s="39">
        <f ca="1">IF(NOTA[[#This Row],[TGL.NOTA]]="",IF(NOTA[[#This Row],[SUPPLIER_H]]="","",AK654),MONTH(NOTA[[#This Row],[TGL.NOTA]]))</f>
        <v>7</v>
      </c>
      <c r="AL65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6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6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39" t="str">
        <f>IF(NOTA[[#This Row],[CONCAT4]]="","",_xlfn.IFNA(MATCH(NOTA[[#This Row],[CONCAT4]],[2]!RAW[CONCAT_H],0),FALSE))</f>
        <v/>
      </c>
      <c r="AQ655" s="39">
        <f>IF(NOTA[[#This Row],[CONCAT1]]="","",MATCH(NOTA[[#This Row],[CONCAT1]],[3]!db[NB NOTA_C],0))</f>
        <v>1779</v>
      </c>
      <c r="AR655" s="39" t="str">
        <f>IF(NOTA[[#This Row],[QTY/ CTN]]="","",TRUE)</f>
        <v/>
      </c>
      <c r="AS655" s="39" t="str">
        <f ca="1">IF(NOTA[[#This Row],[ID_H]]="","",IF(NOTA[[#This Row],[Column3]]=TRUE,NOTA[[#This Row],[QTY/ CTN]],INDEX([3]!db[QTY/ CTN],NOTA[[#This Row],[//DB]])))</f>
        <v>6 BOX (6 SET)</v>
      </c>
      <c r="AT6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655" s="39" t="e">
        <f ca="1">IF(NOTA[[#This Row],[ID_H]]="","",MATCH(NOTA[[#This Row],[NB NOTA_C_QTY]],[4]!db[NB NOTA_C_QTY+F],0))</f>
        <v>#REF!</v>
      </c>
      <c r="AV655" s="55">
        <f ca="1">IF(NOTA[[#This Row],[NB NOTA_C_QTY]]="","",ROW()-2)</f>
        <v>653</v>
      </c>
    </row>
    <row r="656" spans="1:48" ht="20.100000000000001" customHeight="1" x14ac:dyDescent="0.25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>
        <f ca="1">IF(NOTA[[#This Row],[NAMA BARANG]]="","",INDEX(NOTA[ID],MATCH(,INDIRECT(ADDRESS(ROW(NOTA[ID]),COLUMN(NOTA[ID]))&amp;":"&amp;ADDRESS(ROW(),COLUMN(NOTA[ID]))),-1)))</f>
        <v>129</v>
      </c>
      <c r="E656" s="47"/>
      <c r="H656" s="48"/>
      <c r="K656" s="38">
        <v>1</v>
      </c>
      <c r="L656" s="38" t="s">
        <v>385</v>
      </c>
      <c r="M656" s="41">
        <v>1</v>
      </c>
      <c r="N656" s="39">
        <v>144</v>
      </c>
      <c r="O656" s="38" t="s">
        <v>263</v>
      </c>
      <c r="P656" s="42">
        <v>18600</v>
      </c>
      <c r="Q656" s="43"/>
      <c r="R656" s="49"/>
      <c r="S656" s="50">
        <v>0.125</v>
      </c>
      <c r="T656" s="45">
        <v>0.05</v>
      </c>
      <c r="U656" s="51"/>
      <c r="V656" s="46"/>
      <c r="W656" s="51">
        <f>IF(NOTA[[#This Row],[HARGA/ CTN]]="",NOTA[[#This Row],[JUMLAH_H]],NOTA[[#This Row],[HARGA/ CTN]]*IF(NOTA[[#This Row],[C]]="",0,NOTA[[#This Row],[C]]))</f>
        <v>2678400</v>
      </c>
      <c r="X656" s="51">
        <f>IF(NOTA[[#This Row],[JUMLAH]]="","",NOTA[[#This Row],[JUMLAH]]*NOTA[[#This Row],[DISC 1]])</f>
        <v>334800</v>
      </c>
      <c r="Y656" s="51">
        <f>IF(NOTA[[#This Row],[JUMLAH]]="","",(NOTA[[#This Row],[JUMLAH]]-NOTA[[#This Row],[DISC 1-]])*NOTA[[#This Row],[DISC 2]])</f>
        <v>117180</v>
      </c>
      <c r="Z656" s="51">
        <f>IF(NOTA[[#This Row],[JUMLAH]]="","",NOTA[[#This Row],[DISC 1-]]+NOTA[[#This Row],[DISC 2-]])</f>
        <v>451980</v>
      </c>
      <c r="AA656" s="51">
        <f>IF(NOTA[[#This Row],[JUMLAH]]="","",NOTA[[#This Row],[JUMLAH]]-NOTA[[#This Row],[DISC]])</f>
        <v>2226420</v>
      </c>
      <c r="AB656" s="51"/>
      <c r="AC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56" s="51">
        <f>IF(OR(NOTA[[#This Row],[QTY]]="",NOTA[[#This Row],[HARGA SATUAN]]="",),"",NOTA[[#This Row],[QTY]]*NOTA[[#This Row],[HARGA SATUAN]])</f>
        <v>2678400</v>
      </c>
      <c r="AG656" s="40">
        <f ca="1">IF(NOTA[ID_H]="","",INDEX(NOTA[TANGGAL],MATCH(,INDIRECT(ADDRESS(ROW(NOTA[TANGGAL]),COLUMN(NOTA[TANGGAL]))&amp;":"&amp;ADDRESS(ROW(),COLUMN(NOTA[TANGGAL]))),-1)))</f>
        <v>45131</v>
      </c>
      <c r="AH656" s="42" t="str">
        <f ca="1">IF(NOTA[[#This Row],[NAMA BARANG]]="","",INDEX(NOTA[SUPPLIER],MATCH(,INDIRECT(ADDRESS(ROW(NOTA[ID]),COLUMN(NOTA[ID]))&amp;":"&amp;ADDRESS(ROW(),COLUMN(NOTA[ID]))),-1)))</f>
        <v>ATALI MAKMUR</v>
      </c>
      <c r="AI656" s="42" t="str">
        <f ca="1">IF(NOTA[[#This Row],[ID_H]]="","",IF(NOTA[[#This Row],[FAKTUR]]="",INDIRECT(ADDRESS(ROW()-1,COLUMN())),NOTA[[#This Row],[FAKTUR]]))</f>
        <v>ARTO MORO</v>
      </c>
      <c r="AJ656" s="39" t="str">
        <f ca="1">IF(NOTA[[#This Row],[ID]]="","",COUNTIF(NOTA[ID_H],NOTA[[#This Row],[ID_H]]))</f>
        <v/>
      </c>
      <c r="AK656" s="39">
        <f ca="1">IF(NOTA[[#This Row],[TGL.NOTA]]="",IF(NOTA[[#This Row],[SUPPLIER_H]]="","",AK655),MONTH(NOTA[[#This Row],[TGL.NOTA]]))</f>
        <v>7</v>
      </c>
      <c r="AL656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39" t="str">
        <f>IF(NOTA[[#This Row],[CONCAT4]]="","",_xlfn.IFNA(MATCH(NOTA[[#This Row],[CONCAT4]],[2]!RAW[CONCAT_H],0),FALSE))</f>
        <v/>
      </c>
      <c r="AQ656" s="39">
        <f>IF(NOTA[[#This Row],[CONCAT1]]="","",MATCH(NOTA[[#This Row],[CONCAT1]],[3]!db[NB NOTA_C],0))</f>
        <v>921</v>
      </c>
      <c r="AR656" s="39" t="str">
        <f>IF(NOTA[[#This Row],[QTY/ CTN]]="","",TRUE)</f>
        <v/>
      </c>
      <c r="AS656" s="39" t="str">
        <f ca="1">IF(NOTA[[#This Row],[ID_H]]="","",IF(NOTA[[#This Row],[Column3]]=TRUE,NOTA[[#This Row],[QTY/ CTN]],INDEX([3]!db[QTY/ CTN],NOTA[[#This Row],[//DB]])))</f>
        <v>12 LSN</v>
      </c>
      <c r="AT6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656" s="39" t="e">
        <f ca="1">IF(NOTA[[#This Row],[ID_H]]="","",MATCH(NOTA[[#This Row],[NB NOTA_C_QTY]],[4]!db[NB NOTA_C_QTY+F],0))</f>
        <v>#REF!</v>
      </c>
      <c r="AV656" s="55">
        <f ca="1">IF(NOTA[[#This Row],[NB NOTA_C_QTY]]="","",ROW()-2)</f>
        <v>654</v>
      </c>
    </row>
    <row r="657" spans="1:48" ht="20.100000000000001" customHeight="1" x14ac:dyDescent="0.25">
      <c r="A6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39" t="str">
        <f>IF(NOTA[[#This Row],[ID_P]]="","",MATCH(NOTA[[#This Row],[ID_P]],[1]!B_MSK[N_ID],0))</f>
        <v/>
      </c>
      <c r="D657" s="39">
        <f ca="1">IF(NOTA[[#This Row],[NAMA BARANG]]="","",INDEX(NOTA[ID],MATCH(,INDIRECT(ADDRESS(ROW(NOTA[ID]),COLUMN(NOTA[ID]))&amp;":"&amp;ADDRESS(ROW(),COLUMN(NOTA[ID]))),-1)))</f>
        <v>129</v>
      </c>
      <c r="E657" s="47"/>
      <c r="H657" s="48"/>
      <c r="K657" s="38">
        <v>1</v>
      </c>
      <c r="L657" s="38" t="s">
        <v>736</v>
      </c>
      <c r="M657" s="41">
        <v>1</v>
      </c>
      <c r="N657" s="39">
        <v>24</v>
      </c>
      <c r="O657" s="38" t="s">
        <v>152</v>
      </c>
      <c r="P657" s="42">
        <v>162000</v>
      </c>
      <c r="Q657" s="43"/>
      <c r="R657" s="49"/>
      <c r="S657" s="50">
        <v>0.125</v>
      </c>
      <c r="T657" s="45">
        <v>0.05</v>
      </c>
      <c r="U657" s="51"/>
      <c r="V657" s="46"/>
      <c r="W657" s="51">
        <f>IF(NOTA[[#This Row],[HARGA/ CTN]]="",NOTA[[#This Row],[JUMLAH_H]],NOTA[[#This Row],[HARGA/ CTN]]*IF(NOTA[[#This Row],[C]]="",0,NOTA[[#This Row],[C]]))</f>
        <v>3888000</v>
      </c>
      <c r="X657" s="51">
        <f>IF(NOTA[[#This Row],[JUMLAH]]="","",NOTA[[#This Row],[JUMLAH]]*NOTA[[#This Row],[DISC 1]])</f>
        <v>486000</v>
      </c>
      <c r="Y657" s="51">
        <f>IF(NOTA[[#This Row],[JUMLAH]]="","",(NOTA[[#This Row],[JUMLAH]]-NOTA[[#This Row],[DISC 1-]])*NOTA[[#This Row],[DISC 2]])</f>
        <v>170100</v>
      </c>
      <c r="Z657" s="51">
        <f>IF(NOTA[[#This Row],[JUMLAH]]="","",NOTA[[#This Row],[DISC 1-]]+NOTA[[#This Row],[DISC 2-]])</f>
        <v>656100</v>
      </c>
      <c r="AA657" s="51">
        <f>IF(NOTA[[#This Row],[JUMLAH]]="","",NOTA[[#This Row],[JUMLAH]]-NOTA[[#This Row],[DISC]])</f>
        <v>3231900</v>
      </c>
      <c r="AB657" s="51"/>
      <c r="AC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57" s="51">
        <f>IF(OR(NOTA[[#This Row],[QTY]]="",NOTA[[#This Row],[HARGA SATUAN]]="",),"",NOTA[[#This Row],[QTY]]*NOTA[[#This Row],[HARGA SATUAN]])</f>
        <v>3888000</v>
      </c>
      <c r="AG657" s="40">
        <f ca="1">IF(NOTA[ID_H]="","",INDEX(NOTA[TANGGAL],MATCH(,INDIRECT(ADDRESS(ROW(NOTA[TANGGAL]),COLUMN(NOTA[TANGGAL]))&amp;":"&amp;ADDRESS(ROW(),COLUMN(NOTA[TANGGAL]))),-1)))</f>
        <v>45131</v>
      </c>
      <c r="AH657" s="42" t="str">
        <f ca="1">IF(NOTA[[#This Row],[NAMA BARANG]]="","",INDEX(NOTA[SUPPLIER],MATCH(,INDIRECT(ADDRESS(ROW(NOTA[ID]),COLUMN(NOTA[ID]))&amp;":"&amp;ADDRESS(ROW(),COLUMN(NOTA[ID]))),-1)))</f>
        <v>ATALI MAKMUR</v>
      </c>
      <c r="AI657" s="42" t="str">
        <f ca="1">IF(NOTA[[#This Row],[ID_H]]="","",IF(NOTA[[#This Row],[FAKTUR]]="",INDIRECT(ADDRESS(ROW()-1,COLUMN())),NOTA[[#This Row],[FAKTUR]]))</f>
        <v>ARTO MORO</v>
      </c>
      <c r="AJ657" s="39" t="str">
        <f ca="1">IF(NOTA[[#This Row],[ID]]="","",COUNTIF(NOTA[ID_H],NOTA[[#This Row],[ID_H]]))</f>
        <v/>
      </c>
      <c r="AK657" s="39">
        <f ca="1">IF(NOTA[[#This Row],[TGL.NOTA]]="",IF(NOTA[[#This Row],[SUPPLIER_H]]="","",AK656),MONTH(NOTA[[#This Row],[TGL.NOTA]]))</f>
        <v>7</v>
      </c>
      <c r="AL657" s="39" t="str">
        <f>LOWER(SUBSTITUTE(SUBSTITUTE(SUBSTITUTE(SUBSTITUTE(SUBSTITUTE(SUBSTITUTE(SUBSTITUTE(SUBSTITUTE(SUBSTITUTE(NOTA[NAMA BARANG]," ",),".",""),"-",""),"(",""),")",""),",",""),"/",""),"""",""),"+",""))</f>
        <v>cutterl500jk</v>
      </c>
      <c r="AM6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6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6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39" t="str">
        <f>IF(NOTA[[#This Row],[CONCAT4]]="","",_xlfn.IFNA(MATCH(NOTA[[#This Row],[CONCAT4]],[2]!RAW[CONCAT_H],0),FALSE))</f>
        <v/>
      </c>
      <c r="AQ657" s="39">
        <f>IF(NOTA[[#This Row],[CONCAT1]]="","",MATCH(NOTA[[#This Row],[CONCAT1]],[3]!db[NB NOTA_C],0))</f>
        <v>945</v>
      </c>
      <c r="AR657" s="39" t="str">
        <f>IF(NOTA[[#This Row],[QTY/ CTN]]="","",TRUE)</f>
        <v/>
      </c>
      <c r="AS657" s="39" t="str">
        <f ca="1">IF(NOTA[[#This Row],[ID_H]]="","",IF(NOTA[[#This Row],[Column3]]=TRUE,NOTA[[#This Row],[QTY/ CTN]],INDEX([3]!db[QTY/ CTN],NOTA[[#This Row],[//DB]])))</f>
        <v>24 LSN</v>
      </c>
      <c r="AT6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U657" s="39" t="e">
        <f ca="1">IF(NOTA[[#This Row],[ID_H]]="","",MATCH(NOTA[[#This Row],[NB NOTA_C_QTY]],[4]!db[NB NOTA_C_QTY+F],0))</f>
        <v>#REF!</v>
      </c>
      <c r="AV657" s="55">
        <f ca="1">IF(NOTA[[#This Row],[NB NOTA_C_QTY]]="","",ROW()-2)</f>
        <v>655</v>
      </c>
    </row>
    <row r="658" spans="1:48" ht="20.100000000000001" customHeight="1" x14ac:dyDescent="0.25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39" t="str">
        <f>IF(NOTA[[#This Row],[ID_P]]="","",MATCH(NOTA[[#This Row],[ID_P]],[1]!B_MSK[N_ID],0))</f>
        <v/>
      </c>
      <c r="D658" s="39">
        <f ca="1">IF(NOTA[[#This Row],[NAMA BARANG]]="","",INDEX(NOTA[ID],MATCH(,INDIRECT(ADDRESS(ROW(NOTA[ID]),COLUMN(NOTA[ID]))&amp;":"&amp;ADDRESS(ROW(),COLUMN(NOTA[ID]))),-1)))</f>
        <v>129</v>
      </c>
      <c r="E658" s="47"/>
      <c r="H658" s="48"/>
      <c r="L658" s="38" t="s">
        <v>860</v>
      </c>
      <c r="N658" s="39">
        <v>24</v>
      </c>
      <c r="O658" s="38" t="s">
        <v>152</v>
      </c>
      <c r="Q658" s="43"/>
      <c r="R658" s="49"/>
      <c r="S658" s="50"/>
      <c r="U658" s="51"/>
      <c r="V658" s="46"/>
      <c r="W658" s="51" t="str">
        <f>IF(NOTA[[#This Row],[HARGA/ CTN]]="",NOTA[[#This Row],[JUMLAH_H]],NOTA[[#This Row],[HARGA/ CTN]]*IF(NOTA[[#This Row],[C]]="",0,NOTA[[#This Row],[C]]))</f>
        <v/>
      </c>
      <c r="X658" s="51" t="str">
        <f>IF(NOTA[[#This Row],[JUMLAH]]="","",NOTA[[#This Row],[JUMLAH]]*NOTA[[#This Row],[DISC 1]])</f>
        <v/>
      </c>
      <c r="Y658" s="51" t="str">
        <f>IF(NOTA[[#This Row],[JUMLAH]]="","",(NOTA[[#This Row],[JUMLAH]]-NOTA[[#This Row],[DISC 1-]])*NOTA[[#This Row],[DISC 2]])</f>
        <v/>
      </c>
      <c r="Z658" s="51" t="str">
        <f>IF(NOTA[[#This Row],[JUMLAH]]="","",NOTA[[#This Row],[DISC 1-]]+NOTA[[#This Row],[DISC 2-]])</f>
        <v/>
      </c>
      <c r="AA658" s="51" t="str">
        <f>IF(NOTA[[#This Row],[JUMLAH]]="","",NOTA[[#This Row],[JUMLAH]]-NOTA[[#This Row],[DISC]])</f>
        <v/>
      </c>
      <c r="AB658" s="51"/>
      <c r="AC6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7197862.5</v>
      </c>
      <c r="AD6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35456137.5</v>
      </c>
      <c r="AE65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58" s="51" t="str">
        <f>IF(OR(NOTA[[#This Row],[QTY]]="",NOTA[[#This Row],[HARGA SATUAN]]="",),"",NOTA[[#This Row],[QTY]]*NOTA[[#This Row],[HARGA SATUAN]])</f>
        <v/>
      </c>
      <c r="AG658" s="40">
        <f ca="1">IF(NOTA[ID_H]="","",INDEX(NOTA[TANGGAL],MATCH(,INDIRECT(ADDRESS(ROW(NOTA[TANGGAL]),COLUMN(NOTA[TANGGAL]))&amp;":"&amp;ADDRESS(ROW(),COLUMN(NOTA[TANGGAL]))),-1)))</f>
        <v>45131</v>
      </c>
      <c r="AH658" s="42" t="str">
        <f ca="1">IF(NOTA[[#This Row],[NAMA BARANG]]="","",INDEX(NOTA[SUPPLIER],MATCH(,INDIRECT(ADDRESS(ROW(NOTA[ID]),COLUMN(NOTA[ID]))&amp;":"&amp;ADDRESS(ROW(),COLUMN(NOTA[ID]))),-1)))</f>
        <v>ATALI MAKMUR</v>
      </c>
      <c r="AI658" s="42" t="str">
        <f ca="1">IF(NOTA[[#This Row],[ID_H]]="","",IF(NOTA[[#This Row],[FAKTUR]]="",INDIRECT(ADDRESS(ROW()-1,COLUMN())),NOTA[[#This Row],[FAKTUR]]))</f>
        <v>ARTO MORO</v>
      </c>
      <c r="AJ658" s="39" t="str">
        <f ca="1">IF(NOTA[[#This Row],[ID]]="","",COUNTIF(NOTA[ID_H],NOTA[[#This Row],[ID_H]]))</f>
        <v/>
      </c>
      <c r="AK658" s="39">
        <f ca="1">IF(NOTA[[#This Row],[TGL.NOTA]]="",IF(NOTA[[#This Row],[SUPPLIER_H]]="","",AK657),MONTH(NOTA[[#This Row],[TGL.NOTA]]))</f>
        <v>7</v>
      </c>
      <c r="AL658" s="39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M6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N6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O6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39" t="str">
        <f>IF(NOTA[[#This Row],[CONCAT4]]="","",_xlfn.IFNA(MATCH(NOTA[[#This Row],[CONCAT4]],[2]!RAW[CONCAT_H],0),FALSE))</f>
        <v/>
      </c>
      <c r="AQ658" s="39">
        <f>IF(NOTA[[#This Row],[CONCAT1]]="","",MATCH(NOTA[[#This Row],[CONCAT1]],[3]!db[NB NOTA_C],0))</f>
        <v>1301</v>
      </c>
      <c r="AR658" s="39" t="str">
        <f>IF(NOTA[[#This Row],[QTY/ CTN]]="","",TRUE)</f>
        <v/>
      </c>
      <c r="AS658" s="39" t="str">
        <f ca="1">IF(NOTA[[#This Row],[ID_H]]="","",IF(NOTA[[#This Row],[Column3]]=TRUE,NOTA[[#This Row],[QTY/ CTN]],INDEX([3]!db[QTY/ CTN],NOTA[[#This Row],[//DB]])))</f>
        <v>40 LSN</v>
      </c>
      <c r="AT6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U658" s="39" t="e">
        <f ca="1">IF(NOTA[[#This Row],[ID_H]]="","",MATCH(NOTA[[#This Row],[NB NOTA_C_QTY]],[4]!db[NB NOTA_C_QTY+F],0))</f>
        <v>#REF!</v>
      </c>
      <c r="AV658" s="55">
        <f ca="1">IF(NOTA[[#This Row],[NB NOTA_C_QTY]]="","",ROW()-2)</f>
        <v>656</v>
      </c>
    </row>
    <row r="659" spans="1:48" ht="20.100000000000001" customHeight="1" x14ac:dyDescent="0.25">
      <c r="A6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39" t="str">
        <f>IF(NOTA[[#This Row],[ID_P]]="","",MATCH(NOTA[[#This Row],[ID_P]],[1]!B_MSK[N_ID],0))</f>
        <v/>
      </c>
      <c r="D659" s="39" t="str">
        <f ca="1">IF(NOTA[[#This Row],[NAMA BARANG]]="","",INDEX(NOTA[ID],MATCH(,INDIRECT(ADDRESS(ROW(NOTA[ID]),COLUMN(NOTA[ID]))&amp;":"&amp;ADDRESS(ROW(),COLUMN(NOTA[ID]))),-1)))</f>
        <v/>
      </c>
      <c r="E659" s="47"/>
      <c r="H659" s="48"/>
      <c r="N659" s="39"/>
      <c r="Q659" s="43"/>
      <c r="R659" s="49"/>
      <c r="S659" s="50"/>
      <c r="U659" s="51"/>
      <c r="V659" s="46"/>
      <c r="W659" s="51" t="str">
        <f>IF(NOTA[[#This Row],[HARGA/ CTN]]="",NOTA[[#This Row],[JUMLAH_H]],NOTA[[#This Row],[HARGA/ CTN]]*IF(NOTA[[#This Row],[C]]="",0,NOTA[[#This Row],[C]]))</f>
        <v/>
      </c>
      <c r="X659" s="51" t="str">
        <f>IF(NOTA[[#This Row],[JUMLAH]]="","",NOTA[[#This Row],[JUMLAH]]*NOTA[[#This Row],[DISC 1]])</f>
        <v/>
      </c>
      <c r="Y659" s="51" t="str">
        <f>IF(NOTA[[#This Row],[JUMLAH]]="","",(NOTA[[#This Row],[JUMLAH]]-NOTA[[#This Row],[DISC 1-]])*NOTA[[#This Row],[DISC 2]])</f>
        <v/>
      </c>
      <c r="Z659" s="51" t="str">
        <f>IF(NOTA[[#This Row],[JUMLAH]]="","",NOTA[[#This Row],[DISC 1-]]+NOTA[[#This Row],[DISC 2-]])</f>
        <v/>
      </c>
      <c r="AA659" s="51" t="str">
        <f>IF(NOTA[[#This Row],[JUMLAH]]="","",NOTA[[#This Row],[JUMLAH]]-NOTA[[#This Row],[DISC]])</f>
        <v/>
      </c>
      <c r="AB659" s="51"/>
      <c r="AC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51" t="str">
        <f>IF(OR(NOTA[[#This Row],[QTY]]="",NOTA[[#This Row],[HARGA SATUAN]]="",),"",NOTA[[#This Row],[QTY]]*NOTA[[#This Row],[HARGA SATUAN]])</f>
        <v/>
      </c>
      <c r="AG659" s="40" t="str">
        <f ca="1">IF(NOTA[ID_H]="","",INDEX(NOTA[TANGGAL],MATCH(,INDIRECT(ADDRESS(ROW(NOTA[TANGGAL]),COLUMN(NOTA[TANGGAL]))&amp;":"&amp;ADDRESS(ROW(),COLUMN(NOTA[TANGGAL]))),-1)))</f>
        <v/>
      </c>
      <c r="AH659" s="42" t="str">
        <f ca="1">IF(NOTA[[#This Row],[NAMA BARANG]]="","",INDEX(NOTA[SUPPLIER],MATCH(,INDIRECT(ADDRESS(ROW(NOTA[ID]),COLUMN(NOTA[ID]))&amp;":"&amp;ADDRESS(ROW(),COLUMN(NOTA[ID]))),-1)))</f>
        <v/>
      </c>
      <c r="AI659" s="42" t="str">
        <f ca="1">IF(NOTA[[#This Row],[ID_H]]="","",IF(NOTA[[#This Row],[FAKTUR]]="",INDIRECT(ADDRESS(ROW()-1,COLUMN())),NOTA[[#This Row],[FAKTUR]]))</f>
        <v/>
      </c>
      <c r="AJ659" s="39" t="str">
        <f ca="1">IF(NOTA[[#This Row],[ID]]="","",COUNTIF(NOTA[ID_H],NOTA[[#This Row],[ID_H]]))</f>
        <v/>
      </c>
      <c r="AK659" s="39" t="str">
        <f ca="1">IF(NOTA[[#This Row],[TGL.NOTA]]="",IF(NOTA[[#This Row],[SUPPLIER_H]]="","",AK658),MONTH(NOTA[[#This Row],[TGL.NOTA]]))</f>
        <v/>
      </c>
      <c r="AL659" s="39" t="str">
        <f>LOWER(SUBSTITUTE(SUBSTITUTE(SUBSTITUTE(SUBSTITUTE(SUBSTITUTE(SUBSTITUTE(SUBSTITUTE(SUBSTITUTE(SUBSTITUTE(NOTA[NAMA BARANG]," ",),".",""),"-",""),"(",""),")",""),",",""),"/",""),"""",""),"+",""))</f>
        <v/>
      </c>
      <c r="AM6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39" t="str">
        <f>IF(NOTA[[#This Row],[CONCAT4]]="","",_xlfn.IFNA(MATCH(NOTA[[#This Row],[CONCAT4]],[2]!RAW[CONCAT_H],0),FALSE))</f>
        <v/>
      </c>
      <c r="AQ659" s="39" t="str">
        <f>IF(NOTA[[#This Row],[CONCAT1]]="","",MATCH(NOTA[[#This Row],[CONCAT1]],[3]!db[NB NOTA_C],0))</f>
        <v/>
      </c>
      <c r="AR659" s="39" t="str">
        <f>IF(NOTA[[#This Row],[QTY/ CTN]]="","",TRUE)</f>
        <v/>
      </c>
      <c r="AS659" s="39" t="str">
        <f ca="1">IF(NOTA[[#This Row],[ID_H]]="","",IF(NOTA[[#This Row],[Column3]]=TRUE,NOTA[[#This Row],[QTY/ CTN]],INDEX([3]!db[QTY/ CTN],NOTA[[#This Row],[//DB]])))</f>
        <v/>
      </c>
      <c r="AT6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39" t="str">
        <f ca="1">IF(NOTA[[#This Row],[ID_H]]="","",MATCH(NOTA[[#This Row],[NB NOTA_C_QTY]],[4]!db[NB NOTA_C_QTY+F],0))</f>
        <v/>
      </c>
      <c r="AV659" s="55" t="str">
        <f ca="1">IF(NOTA[[#This Row],[NB NOTA_C_QTY]]="","",ROW()-2)</f>
        <v/>
      </c>
    </row>
    <row r="660" spans="1:48" ht="20.100000000000001" customHeight="1" x14ac:dyDescent="0.25">
      <c r="A660" s="4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KEN_2407_827-11</v>
      </c>
      <c r="C660" s="39" t="e">
        <f ca="1">IF(NOTA[[#This Row],[ID_P]]="","",MATCH(NOTA[[#This Row],[ID_P]],[1]!B_MSK[N_ID],0))</f>
        <v>#REF!</v>
      </c>
      <c r="D660" s="39">
        <f ca="1">IF(NOTA[[#This Row],[NAMA BARANG]]="","",INDEX(NOTA[ID],MATCH(,INDIRECT(ADDRESS(ROW(NOTA[ID]),COLUMN(NOTA[ID]))&amp;":"&amp;ADDRESS(ROW(),COLUMN(NOTA[ID]))),-1)))</f>
        <v>130</v>
      </c>
      <c r="E660" s="47">
        <v>45131</v>
      </c>
      <c r="F660" s="38" t="s">
        <v>22</v>
      </c>
      <c r="G660" s="38" t="s">
        <v>23</v>
      </c>
      <c r="H660" s="48" t="s">
        <v>739</v>
      </c>
      <c r="J660" s="40">
        <v>45128</v>
      </c>
      <c r="L660" s="38" t="s">
        <v>740</v>
      </c>
      <c r="M660" s="41">
        <v>5</v>
      </c>
      <c r="N660" s="39"/>
      <c r="Q660" s="43">
        <v>2250000</v>
      </c>
      <c r="R660" s="49"/>
      <c r="S660" s="50">
        <v>0.17</v>
      </c>
      <c r="U660" s="51"/>
      <c r="V660" s="46"/>
      <c r="W660" s="51">
        <f>IF(NOTA[[#This Row],[HARGA/ CTN]]="",NOTA[[#This Row],[JUMLAH_H]],NOTA[[#This Row],[HARGA/ CTN]]*IF(NOTA[[#This Row],[C]]="",0,NOTA[[#This Row],[C]]))</f>
        <v>11250000</v>
      </c>
      <c r="X660" s="51">
        <f>IF(NOTA[[#This Row],[JUMLAH]]="","",NOTA[[#This Row],[JUMLAH]]*NOTA[[#This Row],[DISC 1]])</f>
        <v>1912500.0000000002</v>
      </c>
      <c r="Y660" s="51">
        <f>IF(NOTA[[#This Row],[JUMLAH]]="","",(NOTA[[#This Row],[JUMLAH]]-NOTA[[#This Row],[DISC 1-]])*NOTA[[#This Row],[DISC 2]])</f>
        <v>0</v>
      </c>
      <c r="Z660" s="51">
        <f>IF(NOTA[[#This Row],[JUMLAH]]="","",NOTA[[#This Row],[DISC 1-]]+NOTA[[#This Row],[DISC 2-]])</f>
        <v>1912500.0000000002</v>
      </c>
      <c r="AA660" s="51">
        <f>IF(NOTA[[#This Row],[JUMLAH]]="","",NOTA[[#This Row],[JUMLAH]]-NOTA[[#This Row],[DISC]])</f>
        <v>9337500</v>
      </c>
      <c r="AB660" s="51"/>
      <c r="AC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42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660" s="51" t="str">
        <f>IF(OR(NOTA[[#This Row],[QTY]]="",NOTA[[#This Row],[HARGA SATUAN]]="",),"",NOTA[[#This Row],[QTY]]*NOTA[[#This Row],[HARGA SATUAN]])</f>
        <v/>
      </c>
      <c r="AG660" s="40">
        <f ca="1">IF(NOTA[ID_H]="","",INDEX(NOTA[TANGGAL],MATCH(,INDIRECT(ADDRESS(ROW(NOTA[TANGGAL]),COLUMN(NOTA[TANGGAL]))&amp;":"&amp;ADDRESS(ROW(),COLUMN(NOTA[TANGGAL]))),-1)))</f>
        <v>45131</v>
      </c>
      <c r="AH660" s="42" t="str">
        <f ca="1">IF(NOTA[[#This Row],[NAMA BARANG]]="","",INDEX(NOTA[SUPPLIER],MATCH(,INDIRECT(ADDRESS(ROW(NOTA[ID]),COLUMN(NOTA[ID]))&amp;":"&amp;ADDRESS(ROW(),COLUMN(NOTA[ID]))),-1)))</f>
        <v>KENKO SINAR INDONESIA</v>
      </c>
      <c r="AI660" s="42" t="str">
        <f ca="1">IF(NOTA[[#This Row],[ID_H]]="","",IF(NOTA[[#This Row],[FAKTUR]]="",INDIRECT(ADDRESS(ROW()-1,COLUMN())),NOTA[[#This Row],[FAKTUR]]))</f>
        <v>ARTO MORO</v>
      </c>
      <c r="AJ660" s="39">
        <f ca="1">IF(NOTA[[#This Row],[ID]]="","",COUNTIF(NOTA[ID_H],NOTA[[#This Row],[ID_H]]))</f>
        <v>11</v>
      </c>
      <c r="AK660" s="39">
        <f>IF(NOTA[[#This Row],[TGL.NOTA]]="",IF(NOTA[[#This Row],[SUPPLIER_H]]="","",AK659),MONTH(NOTA[[#This Row],[TGL.NOTA]]))</f>
        <v>7</v>
      </c>
      <c r="AL660" s="39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M6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N6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66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MORO2307182745128kenkopricelabellermx55008digits1line</v>
      </c>
      <c r="AP660" s="39" t="e">
        <f>IF(NOTA[[#This Row],[CONCAT4]]="","",_xlfn.IFNA(MATCH(NOTA[[#This Row],[CONCAT4]],[2]!RAW[CONCAT_H],0),FALSE))</f>
        <v>#REF!</v>
      </c>
      <c r="AQ660" s="39">
        <f>IF(NOTA[[#This Row],[CONCAT1]]="","",MATCH(NOTA[[#This Row],[CONCAT1]],[3]!db[NB NOTA_C],0))</f>
        <v>1727</v>
      </c>
      <c r="AR660" s="39" t="str">
        <f>IF(NOTA[[#This Row],[QTY/ CTN]]="","",TRUE)</f>
        <v/>
      </c>
      <c r="AS660" s="39" t="str">
        <f ca="1">IF(NOTA[[#This Row],[ID_H]]="","",IF(NOTA[[#This Row],[Column3]]=TRUE,NOTA[[#This Row],[QTY/ CTN]],INDEX([3]!db[QTY/ CTN],NOTA[[#This Row],[//DB]])))</f>
        <v>50 PCS</v>
      </c>
      <c r="AT6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U660" s="39" t="e">
        <f ca="1">IF(NOTA[[#This Row],[ID_H]]="","",MATCH(NOTA[[#This Row],[NB NOTA_C_QTY]],[4]!db[NB NOTA_C_QTY+F],0))</f>
        <v>#REF!</v>
      </c>
      <c r="AV660" s="55">
        <f ca="1">IF(NOTA[[#This Row],[NB NOTA_C_QTY]]="","",ROW()-2)</f>
        <v>658</v>
      </c>
    </row>
    <row r="661" spans="1:48" ht="20.100000000000001" customHeight="1" x14ac:dyDescent="0.25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39" t="str">
        <f>IF(NOTA[[#This Row],[ID_P]]="","",MATCH(NOTA[[#This Row],[ID_P]],[1]!B_MSK[N_ID],0))</f>
        <v/>
      </c>
      <c r="D661" s="39">
        <f ca="1">IF(NOTA[[#This Row],[NAMA BARANG]]="","",INDEX(NOTA[ID],MATCH(,INDIRECT(ADDRESS(ROW(NOTA[ID]),COLUMN(NOTA[ID]))&amp;":"&amp;ADDRESS(ROW(),COLUMN(NOTA[ID]))),-1)))</f>
        <v>130</v>
      </c>
      <c r="E661" s="47"/>
      <c r="H661" s="48"/>
      <c r="L661" s="38" t="s">
        <v>745</v>
      </c>
      <c r="M661" s="41">
        <v>3</v>
      </c>
      <c r="N661" s="39"/>
      <c r="Q661" s="43">
        <v>1050000</v>
      </c>
      <c r="R661" s="49"/>
      <c r="S661" s="50">
        <v>0.17</v>
      </c>
      <c r="U661" s="51"/>
      <c r="V661" s="46"/>
      <c r="W661" s="51">
        <f>IF(NOTA[[#This Row],[HARGA/ CTN]]="",NOTA[[#This Row],[JUMLAH_H]],NOTA[[#This Row],[HARGA/ CTN]]*IF(NOTA[[#This Row],[C]]="",0,NOTA[[#This Row],[C]]))</f>
        <v>3150000</v>
      </c>
      <c r="X661" s="51">
        <f>IF(NOTA[[#This Row],[JUMLAH]]="","",NOTA[[#This Row],[JUMLAH]]*NOTA[[#This Row],[DISC 1]])</f>
        <v>535500</v>
      </c>
      <c r="Y661" s="51">
        <f>IF(NOTA[[#This Row],[JUMLAH]]="","",(NOTA[[#This Row],[JUMLAH]]-NOTA[[#This Row],[DISC 1-]])*NOTA[[#This Row],[DISC 2]])</f>
        <v>0</v>
      </c>
      <c r="Z661" s="51">
        <f>IF(NOTA[[#This Row],[JUMLAH]]="","",NOTA[[#This Row],[DISC 1-]]+NOTA[[#This Row],[DISC 2-]])</f>
        <v>535500</v>
      </c>
      <c r="AA661" s="51">
        <f>IF(NOTA[[#This Row],[JUMLAH]]="","",NOTA[[#This Row],[JUMLAH]]-NOTA[[#This Row],[DISC]])</f>
        <v>2614500</v>
      </c>
      <c r="AB661" s="51"/>
      <c r="AC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661" s="51" t="str">
        <f>IF(OR(NOTA[[#This Row],[QTY]]="",NOTA[[#This Row],[HARGA SATUAN]]="",),"",NOTA[[#This Row],[QTY]]*NOTA[[#This Row],[HARGA SATUAN]])</f>
        <v/>
      </c>
      <c r="AG661" s="40">
        <f ca="1">IF(NOTA[ID_H]="","",INDEX(NOTA[TANGGAL],MATCH(,INDIRECT(ADDRESS(ROW(NOTA[TANGGAL]),COLUMN(NOTA[TANGGAL]))&amp;":"&amp;ADDRESS(ROW(),COLUMN(NOTA[TANGGAL]))),-1)))</f>
        <v>45131</v>
      </c>
      <c r="AH661" s="42" t="str">
        <f ca="1">IF(NOTA[[#This Row],[NAMA BARANG]]="","",INDEX(NOTA[SUPPLIER],MATCH(,INDIRECT(ADDRESS(ROW(NOTA[ID]),COLUMN(NOTA[ID]))&amp;":"&amp;ADDRESS(ROW(),COLUMN(NOTA[ID]))),-1)))</f>
        <v>KENKO SINAR INDONESIA</v>
      </c>
      <c r="AI661" s="42" t="str">
        <f ca="1">IF(NOTA[[#This Row],[ID_H]]="","",IF(NOTA[[#This Row],[FAKTUR]]="",INDIRECT(ADDRESS(ROW()-1,COLUMN())),NOTA[[#This Row],[FAKTUR]]))</f>
        <v>ARTO MORO</v>
      </c>
      <c r="AJ661" s="39" t="str">
        <f ca="1">IF(NOTA[[#This Row],[ID]]="","",COUNTIF(NOTA[ID_H],NOTA[[#This Row],[ID_H]]))</f>
        <v/>
      </c>
      <c r="AK661" s="39">
        <f ca="1">IF(NOTA[[#This Row],[TGL.NOTA]]="",IF(NOTA[[#This Row],[SUPPLIER_H]]="","",AK660),MONTH(NOTA[[#This Row],[TGL.NOTA]]))</f>
        <v>7</v>
      </c>
      <c r="AL661" s="39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6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N6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6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39" t="str">
        <f>IF(NOTA[[#This Row],[CONCAT4]]="","",_xlfn.IFNA(MATCH(NOTA[[#This Row],[CONCAT4]],[2]!RAW[CONCAT_H],0),FALSE))</f>
        <v/>
      </c>
      <c r="AQ661" s="39">
        <f>IF(NOTA[[#This Row],[CONCAT1]]="","",MATCH(NOTA[[#This Row],[CONCAT1]],[3]!db[NB NOTA_C],0))</f>
        <v>1465</v>
      </c>
      <c r="AR661" s="39" t="str">
        <f>IF(NOTA[[#This Row],[QTY/ CTN]]="","",TRUE)</f>
        <v/>
      </c>
      <c r="AS661" s="39" t="str">
        <f ca="1">IF(NOTA[[#This Row],[ID_H]]="","",IF(NOTA[[#This Row],[Column3]]=TRUE,NOTA[[#This Row],[QTY/ CTN]],INDEX([3]!db[QTY/ CTN],NOTA[[#This Row],[//DB]])))</f>
        <v>50 TUB</v>
      </c>
      <c r="AT6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661" s="39" t="e">
        <f ca="1">IF(NOTA[[#This Row],[ID_H]]="","",MATCH(NOTA[[#This Row],[NB NOTA_C_QTY]],[4]!db[NB NOTA_C_QTY+F],0))</f>
        <v>#REF!</v>
      </c>
      <c r="AV661" s="55">
        <f ca="1">IF(NOTA[[#This Row],[NB NOTA_C_QTY]]="","",ROW()-2)</f>
        <v>659</v>
      </c>
    </row>
    <row r="662" spans="1:48" ht="20.100000000000001" customHeight="1" x14ac:dyDescent="0.25">
      <c r="A6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39" t="str">
        <f>IF(NOTA[[#This Row],[ID_P]]="","",MATCH(NOTA[[#This Row],[ID_P]],[1]!B_MSK[N_ID],0))</f>
        <v/>
      </c>
      <c r="D662" s="39">
        <f ca="1">IF(NOTA[[#This Row],[NAMA BARANG]]="","",INDEX(NOTA[ID],MATCH(,INDIRECT(ADDRESS(ROW(NOTA[ID]),COLUMN(NOTA[ID]))&amp;":"&amp;ADDRESS(ROW(),COLUMN(NOTA[ID]))),-1)))</f>
        <v>130</v>
      </c>
      <c r="E662" s="47"/>
      <c r="H662" s="48"/>
      <c r="L662" s="38" t="s">
        <v>746</v>
      </c>
      <c r="M662" s="41">
        <v>2</v>
      </c>
      <c r="N662" s="39"/>
      <c r="Q662" s="43">
        <v>1350000</v>
      </c>
      <c r="R662" s="49"/>
      <c r="S662" s="50">
        <v>0.17</v>
      </c>
      <c r="U662" s="51"/>
      <c r="V662" s="46"/>
      <c r="W662" s="51">
        <f>IF(NOTA[[#This Row],[HARGA/ CTN]]="",NOTA[[#This Row],[JUMLAH_H]],NOTA[[#This Row],[HARGA/ CTN]]*IF(NOTA[[#This Row],[C]]="",0,NOTA[[#This Row],[C]]))</f>
        <v>2700000</v>
      </c>
      <c r="X662" s="51">
        <f>IF(NOTA[[#This Row],[JUMLAH]]="","",NOTA[[#This Row],[JUMLAH]]*NOTA[[#This Row],[DISC 1]])</f>
        <v>459000.00000000006</v>
      </c>
      <c r="Y662" s="51">
        <f>IF(NOTA[[#This Row],[JUMLAH]]="","",(NOTA[[#This Row],[JUMLAH]]-NOTA[[#This Row],[DISC 1-]])*NOTA[[#This Row],[DISC 2]])</f>
        <v>0</v>
      </c>
      <c r="Z662" s="51">
        <f>IF(NOTA[[#This Row],[JUMLAH]]="","",NOTA[[#This Row],[DISC 1-]]+NOTA[[#This Row],[DISC 2-]])</f>
        <v>459000.00000000006</v>
      </c>
      <c r="AA662" s="51">
        <f>IF(NOTA[[#This Row],[JUMLAH]]="","",NOTA[[#This Row],[JUMLAH]]-NOTA[[#This Row],[DISC]])</f>
        <v>2241000</v>
      </c>
      <c r="AB662" s="51"/>
      <c r="AC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62" s="51" t="str">
        <f>IF(OR(NOTA[[#This Row],[QTY]]="",NOTA[[#This Row],[HARGA SATUAN]]="",),"",NOTA[[#This Row],[QTY]]*NOTA[[#This Row],[HARGA SATUAN]])</f>
        <v/>
      </c>
      <c r="AG662" s="40">
        <f ca="1">IF(NOTA[ID_H]="","",INDEX(NOTA[TANGGAL],MATCH(,INDIRECT(ADDRESS(ROW(NOTA[TANGGAL]),COLUMN(NOTA[TANGGAL]))&amp;":"&amp;ADDRESS(ROW(),COLUMN(NOTA[TANGGAL]))),-1)))</f>
        <v>45131</v>
      </c>
      <c r="AH662" s="42" t="str">
        <f ca="1">IF(NOTA[[#This Row],[NAMA BARANG]]="","",INDEX(NOTA[SUPPLIER],MATCH(,INDIRECT(ADDRESS(ROW(NOTA[ID]),COLUMN(NOTA[ID]))&amp;":"&amp;ADDRESS(ROW(),COLUMN(NOTA[ID]))),-1)))</f>
        <v>KENKO SINAR INDONESIA</v>
      </c>
      <c r="AI662" s="42" t="str">
        <f ca="1">IF(NOTA[[#This Row],[ID_H]]="","",IF(NOTA[[#This Row],[FAKTUR]]="",INDIRECT(ADDRESS(ROW()-1,COLUMN())),NOTA[[#This Row],[FAKTUR]]))</f>
        <v>ARTO MORO</v>
      </c>
      <c r="AJ662" s="39" t="str">
        <f ca="1">IF(NOTA[[#This Row],[ID]]="","",COUNTIF(NOTA[ID_H],NOTA[[#This Row],[ID_H]]))</f>
        <v/>
      </c>
      <c r="AK662" s="39">
        <f ca="1">IF(NOTA[[#This Row],[TGL.NOTA]]="",IF(NOTA[[#This Row],[SUPPLIER_H]]="","",AK661),MONTH(NOTA[[#This Row],[TGL.NOTA]]))</f>
        <v>7</v>
      </c>
      <c r="AL662" s="39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M6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N6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O6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39" t="str">
        <f>IF(NOTA[[#This Row],[CONCAT4]]="","",_xlfn.IFNA(MATCH(NOTA[[#This Row],[CONCAT4]],[2]!RAW[CONCAT_H],0),FALSE))</f>
        <v/>
      </c>
      <c r="AQ662" s="39">
        <f>IF(NOTA[[#This Row],[CONCAT1]]="","",MATCH(NOTA[[#This Row],[CONCAT1]],[3]!db[NB NOTA_C],0))</f>
        <v>1464</v>
      </c>
      <c r="AR662" s="39" t="str">
        <f>IF(NOTA[[#This Row],[QTY/ CTN]]="","",TRUE)</f>
        <v/>
      </c>
      <c r="AS662" s="39" t="str">
        <f ca="1">IF(NOTA[[#This Row],[ID_H]]="","",IF(NOTA[[#This Row],[Column3]]=TRUE,NOTA[[#This Row],[QTY/ CTN]],INDEX([3]!db[QTY/ CTN],NOTA[[#This Row],[//DB]])))</f>
        <v>50 TUB</v>
      </c>
      <c r="AT6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kenkopricelabel50022line@10rol50tubartomoro</v>
      </c>
      <c r="AU662" s="39" t="e">
        <f ca="1">IF(NOTA[[#This Row],[ID_H]]="","",MATCH(NOTA[[#This Row],[NB NOTA_C_QTY]],[4]!db[NB NOTA_C_QTY+F],0))</f>
        <v>#REF!</v>
      </c>
      <c r="AV662" s="55">
        <f ca="1">IF(NOTA[[#This Row],[NB NOTA_C_QTY]]="","",ROW()-2)</f>
        <v>660</v>
      </c>
    </row>
    <row r="663" spans="1:48" ht="20.100000000000001" customHeight="1" x14ac:dyDescent="0.25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39" t="str">
        <f>IF(NOTA[[#This Row],[ID_P]]="","",MATCH(NOTA[[#This Row],[ID_P]],[1]!B_MSK[N_ID],0))</f>
        <v/>
      </c>
      <c r="D663" s="39">
        <f ca="1">IF(NOTA[[#This Row],[NAMA BARANG]]="","",INDEX(NOTA[ID],MATCH(,INDIRECT(ADDRESS(ROW(NOTA[ID]),COLUMN(NOTA[ID]))&amp;":"&amp;ADDRESS(ROW(),COLUMN(NOTA[ID]))),-1)))</f>
        <v>130</v>
      </c>
      <c r="E663" s="47"/>
      <c r="H663" s="48"/>
      <c r="K663" s="38">
        <v>1</v>
      </c>
      <c r="L663" s="38" t="s">
        <v>747</v>
      </c>
      <c r="M663" s="41">
        <v>1</v>
      </c>
      <c r="N663" s="39"/>
      <c r="Q663" s="43">
        <v>1497600</v>
      </c>
      <c r="R663" s="49"/>
      <c r="S663" s="50">
        <v>0.17</v>
      </c>
      <c r="U663" s="51"/>
      <c r="V663" s="46"/>
      <c r="W663" s="51">
        <f>IF(NOTA[[#This Row],[HARGA/ CTN]]="",NOTA[[#This Row],[JUMLAH_H]],NOTA[[#This Row],[HARGA/ CTN]]*IF(NOTA[[#This Row],[C]]="",0,NOTA[[#This Row],[C]]))</f>
        <v>1497600</v>
      </c>
      <c r="X663" s="51">
        <f>IF(NOTA[[#This Row],[JUMLAH]]="","",NOTA[[#This Row],[JUMLAH]]*NOTA[[#This Row],[DISC 1]])</f>
        <v>254592.00000000003</v>
      </c>
      <c r="Y663" s="51">
        <f>IF(NOTA[[#This Row],[JUMLAH]]="","",(NOTA[[#This Row],[JUMLAH]]-NOTA[[#This Row],[DISC 1-]])*NOTA[[#This Row],[DISC 2]])</f>
        <v>0</v>
      </c>
      <c r="Z663" s="51">
        <f>IF(NOTA[[#This Row],[JUMLAH]]="","",NOTA[[#This Row],[DISC 1-]]+NOTA[[#This Row],[DISC 2-]])</f>
        <v>254592.00000000003</v>
      </c>
      <c r="AA663" s="51">
        <f>IF(NOTA[[#This Row],[JUMLAH]]="","",NOTA[[#This Row],[JUMLAH]]-NOTA[[#This Row],[DISC]])</f>
        <v>1243008</v>
      </c>
      <c r="AB663" s="51"/>
      <c r="AC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3" s="51" t="str">
        <f>IF(OR(NOTA[[#This Row],[QTY]]="",NOTA[[#This Row],[HARGA SATUAN]]="",),"",NOTA[[#This Row],[QTY]]*NOTA[[#This Row],[HARGA SATUAN]])</f>
        <v/>
      </c>
      <c r="AG663" s="40">
        <f ca="1">IF(NOTA[ID_H]="","",INDEX(NOTA[TANGGAL],MATCH(,INDIRECT(ADDRESS(ROW(NOTA[TANGGAL]),COLUMN(NOTA[TANGGAL]))&amp;":"&amp;ADDRESS(ROW(),COLUMN(NOTA[TANGGAL]))),-1)))</f>
        <v>45131</v>
      </c>
      <c r="AH663" s="42" t="str">
        <f ca="1">IF(NOTA[[#This Row],[NAMA BARANG]]="","",INDEX(NOTA[SUPPLIER],MATCH(,INDIRECT(ADDRESS(ROW(NOTA[ID]),COLUMN(NOTA[ID]))&amp;":"&amp;ADDRESS(ROW(),COLUMN(NOTA[ID]))),-1)))</f>
        <v>KENKO SINAR INDONESIA</v>
      </c>
      <c r="AI663" s="42" t="str">
        <f ca="1">IF(NOTA[[#This Row],[ID_H]]="","",IF(NOTA[[#This Row],[FAKTUR]]="",INDIRECT(ADDRESS(ROW()-1,COLUMN())),NOTA[[#This Row],[FAKTUR]]))</f>
        <v>ARTO MORO</v>
      </c>
      <c r="AJ663" s="39" t="str">
        <f ca="1">IF(NOTA[[#This Row],[ID]]="","",COUNTIF(NOTA[ID_H],NOTA[[#This Row],[ID_H]]))</f>
        <v/>
      </c>
      <c r="AK663" s="39">
        <f ca="1">IF(NOTA[[#This Row],[TGL.NOTA]]="",IF(NOTA[[#This Row],[SUPPLIER_H]]="","",AK662),MONTH(NOTA[[#This Row],[TGL.NOTA]]))</f>
        <v>7</v>
      </c>
      <c r="AL663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6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6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6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39" t="str">
        <f>IF(NOTA[[#This Row],[CONCAT4]]="","",_xlfn.IFNA(MATCH(NOTA[[#This Row],[CONCAT4]],[2]!RAW[CONCAT_H],0),FALSE))</f>
        <v/>
      </c>
      <c r="AQ663" s="39">
        <f>IF(NOTA[[#This Row],[CONCAT1]]="","",MATCH(NOTA[[#This Row],[CONCAT1]],[3]!db[NB NOTA_C],0))</f>
        <v>1916</v>
      </c>
      <c r="AR663" s="39" t="str">
        <f>IF(NOTA[[#This Row],[QTY/ CTN]]="","",TRUE)</f>
        <v/>
      </c>
      <c r="AS663" s="39" t="str">
        <f ca="1">IF(NOTA[[#This Row],[ID_H]]="","",IF(NOTA[[#This Row],[Column3]]=TRUE,NOTA[[#This Row],[QTY/ CTN]],INDEX([3]!db[QTY/ CTN],NOTA[[#This Row],[//DB]])))</f>
        <v>24 LSN</v>
      </c>
      <c r="AT6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663" s="39" t="e">
        <f ca="1">IF(NOTA[[#This Row],[ID_H]]="","",MATCH(NOTA[[#This Row],[NB NOTA_C_QTY]],[4]!db[NB NOTA_C_QTY+F],0))</f>
        <v>#REF!</v>
      </c>
      <c r="AV663" s="55">
        <f ca="1">IF(NOTA[[#This Row],[NB NOTA_C_QTY]]="","",ROW()-2)</f>
        <v>661</v>
      </c>
    </row>
    <row r="664" spans="1:48" ht="20.100000000000001" customHeight="1" x14ac:dyDescent="0.25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39" t="str">
        <f>IF(NOTA[[#This Row],[ID_P]]="","",MATCH(NOTA[[#This Row],[ID_P]],[1]!B_MSK[N_ID],0))</f>
        <v/>
      </c>
      <c r="D664" s="39">
        <f ca="1">IF(NOTA[[#This Row],[NAMA BARANG]]="","",INDEX(NOTA[ID],MATCH(,INDIRECT(ADDRESS(ROW(NOTA[ID]),COLUMN(NOTA[ID]))&amp;":"&amp;ADDRESS(ROW(),COLUMN(NOTA[ID]))),-1)))</f>
        <v>130</v>
      </c>
      <c r="E664" s="47"/>
      <c r="H664" s="48"/>
      <c r="K664" s="38">
        <v>2</v>
      </c>
      <c r="L664" s="38" t="s">
        <v>741</v>
      </c>
      <c r="M664" s="41">
        <v>4</v>
      </c>
      <c r="N664" s="39"/>
      <c r="Q664" s="43">
        <v>3110400</v>
      </c>
      <c r="R664" s="49"/>
      <c r="S664" s="50">
        <v>0.17</v>
      </c>
      <c r="U664" s="51"/>
      <c r="V664" s="46"/>
      <c r="W664" s="51">
        <f>IF(NOTA[[#This Row],[HARGA/ CTN]]="",NOTA[[#This Row],[JUMLAH_H]],NOTA[[#This Row],[HARGA/ CTN]]*IF(NOTA[[#This Row],[C]]="",0,NOTA[[#This Row],[C]]))</f>
        <v>12441600</v>
      </c>
      <c r="X664" s="51">
        <f>IF(NOTA[[#This Row],[JUMLAH]]="","",NOTA[[#This Row],[JUMLAH]]*NOTA[[#This Row],[DISC 1]])</f>
        <v>2115072</v>
      </c>
      <c r="Y664" s="51">
        <f>IF(NOTA[[#This Row],[JUMLAH]]="","",(NOTA[[#This Row],[JUMLAH]]-NOTA[[#This Row],[DISC 1-]])*NOTA[[#This Row],[DISC 2]])</f>
        <v>0</v>
      </c>
      <c r="Z664" s="51">
        <f>IF(NOTA[[#This Row],[JUMLAH]]="","",NOTA[[#This Row],[DISC 1-]]+NOTA[[#This Row],[DISC 2-]])</f>
        <v>2115072</v>
      </c>
      <c r="AA664" s="51">
        <f>IF(NOTA[[#This Row],[JUMLAH]]="","",NOTA[[#This Row],[JUMLAH]]-NOTA[[#This Row],[DISC]])</f>
        <v>10326528</v>
      </c>
      <c r="AB664" s="51"/>
      <c r="AC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64" s="51" t="str">
        <f>IF(OR(NOTA[[#This Row],[QTY]]="",NOTA[[#This Row],[HARGA SATUAN]]="",),"",NOTA[[#This Row],[QTY]]*NOTA[[#This Row],[HARGA SATUAN]])</f>
        <v/>
      </c>
      <c r="AG664" s="40">
        <f ca="1">IF(NOTA[ID_H]="","",INDEX(NOTA[TANGGAL],MATCH(,INDIRECT(ADDRESS(ROW(NOTA[TANGGAL]),COLUMN(NOTA[TANGGAL]))&amp;":"&amp;ADDRESS(ROW(),COLUMN(NOTA[TANGGAL]))),-1)))</f>
        <v>45131</v>
      </c>
      <c r="AH664" s="42" t="str">
        <f ca="1">IF(NOTA[[#This Row],[NAMA BARANG]]="","",INDEX(NOTA[SUPPLIER],MATCH(,INDIRECT(ADDRESS(ROW(NOTA[ID]),COLUMN(NOTA[ID]))&amp;":"&amp;ADDRESS(ROW(),COLUMN(NOTA[ID]))),-1)))</f>
        <v>KENKO SINAR INDONESIA</v>
      </c>
      <c r="AI664" s="42" t="str">
        <f ca="1">IF(NOTA[[#This Row],[ID_H]]="","",IF(NOTA[[#This Row],[FAKTUR]]="",INDIRECT(ADDRESS(ROW()-1,COLUMN())),NOTA[[#This Row],[FAKTUR]]))</f>
        <v>ARTO MORO</v>
      </c>
      <c r="AJ664" s="39" t="str">
        <f ca="1">IF(NOTA[[#This Row],[ID]]="","",COUNTIF(NOTA[ID_H],NOTA[[#This Row],[ID_H]]))</f>
        <v/>
      </c>
      <c r="AK664" s="39">
        <f ca="1">IF(NOTA[[#This Row],[TGL.NOTA]]="",IF(NOTA[[#This Row],[SUPPLIER_H]]="","",AK663),MONTH(NOTA[[#This Row],[TGL.NOTA]]))</f>
        <v>7</v>
      </c>
      <c r="AL664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39" t="str">
        <f>IF(NOTA[[#This Row],[CONCAT4]]="","",_xlfn.IFNA(MATCH(NOTA[[#This Row],[CONCAT4]],[2]!RAW[CONCAT_H],0),FALSE))</f>
        <v/>
      </c>
      <c r="AQ664" s="39">
        <f>IF(NOTA[[#This Row],[CONCAT1]]="","",MATCH(NOTA[[#This Row],[CONCAT1]],[3]!db[NB NOTA_C],0))</f>
        <v>670</v>
      </c>
      <c r="AR664" s="39" t="str">
        <f>IF(NOTA[[#This Row],[QTY/ CTN]]="","",TRUE)</f>
        <v/>
      </c>
      <c r="AS664" s="39" t="str">
        <f ca="1">IF(NOTA[[#This Row],[ID_H]]="","",IF(NOTA[[#This Row],[Column3]]=TRUE,NOTA[[#This Row],[QTY/ CTN]],INDEX([3]!db[QTY/ CTN],NOTA[[#This Row],[//DB]])))</f>
        <v>144 LSN</v>
      </c>
      <c r="AT6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U664" s="39" t="e">
        <f ca="1">IF(NOTA[[#This Row],[ID_H]]="","",MATCH(NOTA[[#This Row],[NB NOTA_C_QTY]],[4]!db[NB NOTA_C_QTY+F],0))</f>
        <v>#REF!</v>
      </c>
      <c r="AV664" s="55">
        <f ca="1">IF(NOTA[[#This Row],[NB NOTA_C_QTY]]="","",ROW()-2)</f>
        <v>662</v>
      </c>
    </row>
    <row r="665" spans="1:48" ht="20.100000000000001" customHeight="1" x14ac:dyDescent="0.25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39" t="str">
        <f>IF(NOTA[[#This Row],[ID_P]]="","",MATCH(NOTA[[#This Row],[ID_P]],[1]!B_MSK[N_ID],0))</f>
        <v/>
      </c>
      <c r="D665" s="39">
        <f ca="1">IF(NOTA[[#This Row],[NAMA BARANG]]="","",INDEX(NOTA[ID],MATCH(,INDIRECT(ADDRESS(ROW(NOTA[ID]),COLUMN(NOTA[ID]))&amp;":"&amp;ADDRESS(ROW(),COLUMN(NOTA[ID]))),-1)))</f>
        <v>130</v>
      </c>
      <c r="E665" s="47"/>
      <c r="H665" s="48"/>
      <c r="K665" s="38">
        <v>9</v>
      </c>
      <c r="L665" s="38" t="s">
        <v>107</v>
      </c>
      <c r="M665" s="41">
        <v>10</v>
      </c>
      <c r="N665" s="39"/>
      <c r="Q665" s="43">
        <v>1695600</v>
      </c>
      <c r="R665" s="49"/>
      <c r="S665" s="50">
        <v>0.17</v>
      </c>
      <c r="U665" s="51"/>
      <c r="V665" s="46"/>
      <c r="W665" s="51">
        <f>IF(NOTA[[#This Row],[HARGA/ CTN]]="",NOTA[[#This Row],[JUMLAH_H]],NOTA[[#This Row],[HARGA/ CTN]]*IF(NOTA[[#This Row],[C]]="",0,NOTA[[#This Row],[C]]))</f>
        <v>16956000</v>
      </c>
      <c r="X665" s="51">
        <f>IF(NOTA[[#This Row],[JUMLAH]]="","",NOTA[[#This Row],[JUMLAH]]*NOTA[[#This Row],[DISC 1]])</f>
        <v>2882520</v>
      </c>
      <c r="Y665" s="51">
        <f>IF(NOTA[[#This Row],[JUMLAH]]="","",(NOTA[[#This Row],[JUMLAH]]-NOTA[[#This Row],[DISC 1-]])*NOTA[[#This Row],[DISC 2]])</f>
        <v>0</v>
      </c>
      <c r="Z665" s="51">
        <f>IF(NOTA[[#This Row],[JUMLAH]]="","",NOTA[[#This Row],[DISC 1-]]+NOTA[[#This Row],[DISC 2-]])</f>
        <v>2882520</v>
      </c>
      <c r="AA665" s="51">
        <f>IF(NOTA[[#This Row],[JUMLAH]]="","",NOTA[[#This Row],[JUMLAH]]-NOTA[[#This Row],[DISC]])</f>
        <v>14073480</v>
      </c>
      <c r="AB665" s="51"/>
      <c r="AC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665" s="51" t="str">
        <f>IF(OR(NOTA[[#This Row],[QTY]]="",NOTA[[#This Row],[HARGA SATUAN]]="",),"",NOTA[[#This Row],[QTY]]*NOTA[[#This Row],[HARGA SATUAN]])</f>
        <v/>
      </c>
      <c r="AG665" s="40">
        <f ca="1">IF(NOTA[ID_H]="","",INDEX(NOTA[TANGGAL],MATCH(,INDIRECT(ADDRESS(ROW(NOTA[TANGGAL]),COLUMN(NOTA[TANGGAL]))&amp;":"&amp;ADDRESS(ROW(),COLUMN(NOTA[TANGGAL]))),-1)))</f>
        <v>45131</v>
      </c>
      <c r="AH665" s="42" t="str">
        <f ca="1">IF(NOTA[[#This Row],[NAMA BARANG]]="","",INDEX(NOTA[SUPPLIER],MATCH(,INDIRECT(ADDRESS(ROW(NOTA[ID]),COLUMN(NOTA[ID]))&amp;":"&amp;ADDRESS(ROW(),COLUMN(NOTA[ID]))),-1)))</f>
        <v>KENKO SINAR INDONESIA</v>
      </c>
      <c r="AI665" s="42" t="str">
        <f ca="1">IF(NOTA[[#This Row],[ID_H]]="","",IF(NOTA[[#This Row],[FAKTUR]]="",INDIRECT(ADDRESS(ROW()-1,COLUMN())),NOTA[[#This Row],[FAKTUR]]))</f>
        <v>ARTO MORO</v>
      </c>
      <c r="AJ665" s="39" t="str">
        <f ca="1">IF(NOTA[[#This Row],[ID]]="","",COUNTIF(NOTA[ID_H],NOTA[[#This Row],[ID_H]]))</f>
        <v/>
      </c>
      <c r="AK665" s="39">
        <f ca="1">IF(NOTA[[#This Row],[TGL.NOTA]]="",IF(NOTA[[#This Row],[SUPPLIER_H]]="","",AK664),MONTH(NOTA[[#This Row],[TGL.NOTA]]))</f>
        <v>7</v>
      </c>
      <c r="AL665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6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6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6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39" t="str">
        <f>IF(NOTA[[#This Row],[CONCAT4]]="","",_xlfn.IFNA(MATCH(NOTA[[#This Row],[CONCAT4]],[2]!RAW[CONCAT_H],0),FALSE))</f>
        <v/>
      </c>
      <c r="AQ665" s="39">
        <f>IF(NOTA[[#This Row],[CONCAT1]]="","",MATCH(NOTA[[#This Row],[CONCAT1]],[3]!db[NB NOTA_C],0))</f>
        <v>2680</v>
      </c>
      <c r="AR665" s="39" t="str">
        <f>IF(NOTA[[#This Row],[QTY/ CTN]]="","",TRUE)</f>
        <v/>
      </c>
      <c r="AS665" s="39" t="str">
        <f ca="1">IF(NOTA[[#This Row],[ID_H]]="","",IF(NOTA[[#This Row],[Column3]]=TRUE,NOTA[[#This Row],[QTY/ CTN]],INDEX([3]!db[QTY/ CTN],NOTA[[#This Row],[//DB]])))</f>
        <v>36 LSN</v>
      </c>
      <c r="AT6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665" s="39" t="e">
        <f ca="1">IF(NOTA[[#This Row],[ID_H]]="","",MATCH(NOTA[[#This Row],[NB NOTA_C_QTY]],[4]!db[NB NOTA_C_QTY+F],0))</f>
        <v>#REF!</v>
      </c>
      <c r="AV665" s="55">
        <f ca="1">IF(NOTA[[#This Row],[NB NOTA_C_QTY]]="","",ROW()-2)</f>
        <v>663</v>
      </c>
    </row>
    <row r="666" spans="1:48" ht="20.100000000000001" customHeight="1" x14ac:dyDescent="0.25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39" t="str">
        <f>IF(NOTA[[#This Row],[ID_P]]="","",MATCH(NOTA[[#This Row],[ID_P]],[1]!B_MSK[N_ID],0))</f>
        <v/>
      </c>
      <c r="D666" s="39">
        <f ca="1">IF(NOTA[[#This Row],[NAMA BARANG]]="","",INDEX(NOTA[ID],MATCH(,INDIRECT(ADDRESS(ROW(NOTA[ID]),COLUMN(NOTA[ID]))&amp;":"&amp;ADDRESS(ROW(),COLUMN(NOTA[ID]))),-1)))</f>
        <v>130</v>
      </c>
      <c r="E666" s="47"/>
      <c r="H666" s="48"/>
      <c r="K666" s="38">
        <v>2</v>
      </c>
      <c r="L666" s="38" t="s">
        <v>377</v>
      </c>
      <c r="M666" s="41">
        <v>5</v>
      </c>
      <c r="N666" s="39"/>
      <c r="Q666" s="43">
        <v>3888000</v>
      </c>
      <c r="R666" s="49"/>
      <c r="S666" s="50">
        <v>0.17</v>
      </c>
      <c r="U666" s="51"/>
      <c r="V666" s="46"/>
      <c r="W666" s="51">
        <f>IF(NOTA[[#This Row],[HARGA/ CTN]]="",NOTA[[#This Row],[JUMLAH_H]],NOTA[[#This Row],[HARGA/ CTN]]*IF(NOTA[[#This Row],[C]]="",0,NOTA[[#This Row],[C]]))</f>
        <v>19440000</v>
      </c>
      <c r="X666" s="51">
        <f>IF(NOTA[[#This Row],[JUMLAH]]="","",NOTA[[#This Row],[JUMLAH]]*NOTA[[#This Row],[DISC 1]])</f>
        <v>3304800.0000000005</v>
      </c>
      <c r="Y666" s="51">
        <f>IF(NOTA[[#This Row],[JUMLAH]]="","",(NOTA[[#This Row],[JUMLAH]]-NOTA[[#This Row],[DISC 1-]])*NOTA[[#This Row],[DISC 2]])</f>
        <v>0</v>
      </c>
      <c r="Z666" s="51">
        <f>IF(NOTA[[#This Row],[JUMLAH]]="","",NOTA[[#This Row],[DISC 1-]]+NOTA[[#This Row],[DISC 2-]])</f>
        <v>3304800.0000000005</v>
      </c>
      <c r="AA666" s="51">
        <f>IF(NOTA[[#This Row],[JUMLAH]]="","",NOTA[[#This Row],[JUMLAH]]-NOTA[[#This Row],[DISC]])</f>
        <v>16135200</v>
      </c>
      <c r="AB666" s="51"/>
      <c r="AC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66" s="51" t="str">
        <f>IF(OR(NOTA[[#This Row],[QTY]]="",NOTA[[#This Row],[HARGA SATUAN]]="",),"",NOTA[[#This Row],[QTY]]*NOTA[[#This Row],[HARGA SATUAN]])</f>
        <v/>
      </c>
      <c r="AG666" s="40">
        <f ca="1">IF(NOTA[ID_H]="","",INDEX(NOTA[TANGGAL],MATCH(,INDIRECT(ADDRESS(ROW(NOTA[TANGGAL]),COLUMN(NOTA[TANGGAL]))&amp;":"&amp;ADDRESS(ROW(),COLUMN(NOTA[TANGGAL]))),-1)))</f>
        <v>45131</v>
      </c>
      <c r="AH666" s="42" t="str">
        <f ca="1">IF(NOTA[[#This Row],[NAMA BARANG]]="","",INDEX(NOTA[SUPPLIER],MATCH(,INDIRECT(ADDRESS(ROW(NOTA[ID]),COLUMN(NOTA[ID]))&amp;":"&amp;ADDRESS(ROW(),COLUMN(NOTA[ID]))),-1)))</f>
        <v>KENKO SINAR INDONESIA</v>
      </c>
      <c r="AI666" s="42" t="str">
        <f ca="1">IF(NOTA[[#This Row],[ID_H]]="","",IF(NOTA[[#This Row],[FAKTUR]]="",INDIRECT(ADDRESS(ROW()-1,COLUMN())),NOTA[[#This Row],[FAKTUR]]))</f>
        <v>ARTO MORO</v>
      </c>
      <c r="AJ666" s="39" t="str">
        <f ca="1">IF(NOTA[[#This Row],[ID]]="","",COUNTIF(NOTA[ID_H],NOTA[[#This Row],[ID_H]]))</f>
        <v/>
      </c>
      <c r="AK666" s="39">
        <f ca="1">IF(NOTA[[#This Row],[TGL.NOTA]]="",IF(NOTA[[#This Row],[SUPPLIER_H]]="","",AK665),MONTH(NOTA[[#This Row],[TGL.NOTA]]))</f>
        <v>7</v>
      </c>
      <c r="AL666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39" t="str">
        <f>IF(NOTA[[#This Row],[CONCAT4]]="","",_xlfn.IFNA(MATCH(NOTA[[#This Row],[CONCAT4]],[2]!RAW[CONCAT_H],0),FALSE))</f>
        <v/>
      </c>
      <c r="AQ666" s="39">
        <f>IF(NOTA[[#This Row],[CONCAT1]]="","",MATCH(NOTA[[#This Row],[CONCAT1]],[3]!db[NB NOTA_C],0))</f>
        <v>1303</v>
      </c>
      <c r="AR666" s="39" t="str">
        <f>IF(NOTA[[#This Row],[QTY/ CTN]]="","",TRUE)</f>
        <v/>
      </c>
      <c r="AS666" s="39" t="str">
        <f ca="1">IF(NOTA[[#This Row],[ID_H]]="","",IF(NOTA[[#This Row],[Column3]]=TRUE,NOTA[[#This Row],[QTY/ CTN]],INDEX([3]!db[QTY/ CTN],NOTA[[#This Row],[//DB]])))</f>
        <v>60 LSN</v>
      </c>
      <c r="AT6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666" s="39" t="e">
        <f ca="1">IF(NOTA[[#This Row],[ID_H]]="","",MATCH(NOTA[[#This Row],[NB NOTA_C_QTY]],[4]!db[NB NOTA_C_QTY+F],0))</f>
        <v>#REF!</v>
      </c>
      <c r="AV666" s="55">
        <f ca="1">IF(NOTA[[#This Row],[NB NOTA_C_QTY]]="","",ROW()-2)</f>
        <v>664</v>
      </c>
    </row>
    <row r="667" spans="1:48" ht="20.100000000000001" customHeight="1" x14ac:dyDescent="0.25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39" t="str">
        <f>IF(NOTA[[#This Row],[ID_P]]="","",MATCH(NOTA[[#This Row],[ID_P]],[1]!B_MSK[N_ID],0))</f>
        <v/>
      </c>
      <c r="D667" s="39">
        <f ca="1">IF(NOTA[[#This Row],[NAMA BARANG]]="","",INDEX(NOTA[ID],MATCH(,INDIRECT(ADDRESS(ROW(NOTA[ID]),COLUMN(NOTA[ID]))&amp;":"&amp;ADDRESS(ROW(),COLUMN(NOTA[ID]))),-1)))</f>
        <v>130</v>
      </c>
      <c r="E667" s="47"/>
      <c r="H667" s="48"/>
      <c r="K667" s="38">
        <v>5</v>
      </c>
      <c r="L667" s="38" t="s">
        <v>742</v>
      </c>
      <c r="M667" s="41">
        <v>5</v>
      </c>
      <c r="N667" s="39"/>
      <c r="Q667" s="43">
        <v>1860000</v>
      </c>
      <c r="R667" s="49"/>
      <c r="S667" s="50">
        <v>0.17</v>
      </c>
      <c r="U667" s="51"/>
      <c r="V667" s="46"/>
      <c r="W667" s="51">
        <f>IF(NOTA[[#This Row],[HARGA/ CTN]]="",NOTA[[#This Row],[JUMLAH_H]],NOTA[[#This Row],[HARGA/ CTN]]*IF(NOTA[[#This Row],[C]]="",0,NOTA[[#This Row],[C]]))</f>
        <v>9300000</v>
      </c>
      <c r="X667" s="51">
        <f>IF(NOTA[[#This Row],[JUMLAH]]="","",NOTA[[#This Row],[JUMLAH]]*NOTA[[#This Row],[DISC 1]])</f>
        <v>1581000</v>
      </c>
      <c r="Y667" s="51">
        <f>IF(NOTA[[#This Row],[JUMLAH]]="","",(NOTA[[#This Row],[JUMLAH]]-NOTA[[#This Row],[DISC 1-]])*NOTA[[#This Row],[DISC 2]])</f>
        <v>0</v>
      </c>
      <c r="Z667" s="51">
        <f>IF(NOTA[[#This Row],[JUMLAH]]="","",NOTA[[#This Row],[DISC 1-]]+NOTA[[#This Row],[DISC 2-]])</f>
        <v>1581000</v>
      </c>
      <c r="AA667" s="51">
        <f>IF(NOTA[[#This Row],[JUMLAH]]="","",NOTA[[#This Row],[JUMLAH]]-NOTA[[#This Row],[DISC]])</f>
        <v>7719000</v>
      </c>
      <c r="AB667" s="51"/>
      <c r="AC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667" s="51" t="str">
        <f>IF(OR(NOTA[[#This Row],[QTY]]="",NOTA[[#This Row],[HARGA SATUAN]]="",),"",NOTA[[#This Row],[QTY]]*NOTA[[#This Row],[HARGA SATUAN]])</f>
        <v/>
      </c>
      <c r="AG667" s="40">
        <f ca="1">IF(NOTA[ID_H]="","",INDEX(NOTA[TANGGAL],MATCH(,INDIRECT(ADDRESS(ROW(NOTA[TANGGAL]),COLUMN(NOTA[TANGGAL]))&amp;":"&amp;ADDRESS(ROW(),COLUMN(NOTA[TANGGAL]))),-1)))</f>
        <v>45131</v>
      </c>
      <c r="AH667" s="42" t="str">
        <f ca="1">IF(NOTA[[#This Row],[NAMA BARANG]]="","",INDEX(NOTA[SUPPLIER],MATCH(,INDIRECT(ADDRESS(ROW(NOTA[ID]),COLUMN(NOTA[ID]))&amp;":"&amp;ADDRESS(ROW(),COLUMN(NOTA[ID]))),-1)))</f>
        <v>KENKO SINAR INDONESIA</v>
      </c>
      <c r="AI667" s="42" t="str">
        <f ca="1">IF(NOTA[[#This Row],[ID_H]]="","",IF(NOTA[[#This Row],[FAKTUR]]="",INDIRECT(ADDRESS(ROW()-1,COLUMN())),NOTA[[#This Row],[FAKTUR]]))</f>
        <v>ARTO MORO</v>
      </c>
      <c r="AJ667" s="39" t="str">
        <f ca="1">IF(NOTA[[#This Row],[ID]]="","",COUNTIF(NOTA[ID_H],NOTA[[#This Row],[ID_H]]))</f>
        <v/>
      </c>
      <c r="AK667" s="39">
        <f ca="1">IF(NOTA[[#This Row],[TGL.NOTA]]="",IF(NOTA[[#This Row],[SUPPLIER_H]]="","",AK666),MONTH(NOTA[[#This Row],[TGL.NOTA]]))</f>
        <v>7</v>
      </c>
      <c r="AL667" s="39" t="str">
        <f>LOWER(SUBSTITUTE(SUBSTITUTE(SUBSTITUTE(SUBSTITUTE(SUBSTITUTE(SUBSTITUTE(SUBSTITUTE(SUBSTITUTE(SUBSTITUTE(NOTA[NAMA BARANG]," ",),".",""),"-",""),"(",""),")",""),",",""),"/",""),"""",""),"+",""))</f>
        <v>kenkostaplerhd10</v>
      </c>
      <c r="AM6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6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6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39" t="str">
        <f>IF(NOTA[[#This Row],[CONCAT4]]="","",_xlfn.IFNA(MATCH(NOTA[[#This Row],[CONCAT4]],[2]!RAW[CONCAT_H],0),FALSE))</f>
        <v/>
      </c>
      <c r="AQ667" s="39">
        <f>IF(NOTA[[#This Row],[CONCAT1]]="","",MATCH(NOTA[[#This Row],[CONCAT1]],[3]!db[NB NOTA_C],0))</f>
        <v>2460</v>
      </c>
      <c r="AR667" s="39" t="str">
        <f>IF(NOTA[[#This Row],[QTY/ CTN]]="","",TRUE)</f>
        <v/>
      </c>
      <c r="AS667" s="39" t="str">
        <f ca="1">IF(NOTA[[#This Row],[ID_H]]="","",IF(NOTA[[#This Row],[Column3]]=TRUE,NOTA[[#This Row],[QTY/ CTN]],INDEX([3]!db[QTY/ CTN],NOTA[[#This Row],[//DB]])))</f>
        <v>20 LSN</v>
      </c>
      <c r="AT6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667" s="39" t="e">
        <f ca="1">IF(NOTA[[#This Row],[ID_H]]="","",MATCH(NOTA[[#This Row],[NB NOTA_C_QTY]],[4]!db[NB NOTA_C_QTY+F],0))</f>
        <v>#REF!</v>
      </c>
      <c r="AV667" s="55">
        <f ca="1">IF(NOTA[[#This Row],[NB NOTA_C_QTY]]="","",ROW()-2)</f>
        <v>665</v>
      </c>
    </row>
    <row r="668" spans="1:48" ht="20.100000000000001" customHeight="1" x14ac:dyDescent="0.25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39" t="str">
        <f>IF(NOTA[[#This Row],[ID_P]]="","",MATCH(NOTA[[#This Row],[ID_P]],[1]!B_MSK[N_ID],0))</f>
        <v/>
      </c>
      <c r="D668" s="39">
        <f ca="1">IF(NOTA[[#This Row],[NAMA BARANG]]="","",INDEX(NOTA[ID],MATCH(,INDIRECT(ADDRESS(ROW(NOTA[ID]),COLUMN(NOTA[ID]))&amp;":"&amp;ADDRESS(ROW(),COLUMN(NOTA[ID]))),-1)))</f>
        <v>130</v>
      </c>
      <c r="E668" s="47"/>
      <c r="H668" s="48"/>
      <c r="K668" s="38">
        <v>1</v>
      </c>
      <c r="L668" s="38" t="s">
        <v>743</v>
      </c>
      <c r="M668" s="41">
        <v>1</v>
      </c>
      <c r="N668" s="39"/>
      <c r="Q668" s="43">
        <v>3240000</v>
      </c>
      <c r="R668" s="49"/>
      <c r="S668" s="50">
        <v>0.17</v>
      </c>
      <c r="U668" s="51"/>
      <c r="V668" s="46"/>
      <c r="W668" s="51">
        <f>IF(NOTA[[#This Row],[HARGA/ CTN]]="",NOTA[[#This Row],[JUMLAH_H]],NOTA[[#This Row],[HARGA/ CTN]]*IF(NOTA[[#This Row],[C]]="",0,NOTA[[#This Row],[C]]))</f>
        <v>3240000</v>
      </c>
      <c r="X668" s="51">
        <f>IF(NOTA[[#This Row],[JUMLAH]]="","",NOTA[[#This Row],[JUMLAH]]*NOTA[[#This Row],[DISC 1]])</f>
        <v>550800</v>
      </c>
      <c r="Y668" s="51">
        <f>IF(NOTA[[#This Row],[JUMLAH]]="","",(NOTA[[#This Row],[JUMLAH]]-NOTA[[#This Row],[DISC 1-]])*NOTA[[#This Row],[DISC 2]])</f>
        <v>0</v>
      </c>
      <c r="Z668" s="51">
        <f>IF(NOTA[[#This Row],[JUMLAH]]="","",NOTA[[#This Row],[DISC 1-]]+NOTA[[#This Row],[DISC 2-]])</f>
        <v>550800</v>
      </c>
      <c r="AA668" s="51">
        <f>IF(NOTA[[#This Row],[JUMLAH]]="","",NOTA[[#This Row],[JUMLAH]]-NOTA[[#This Row],[DISC]])</f>
        <v>2689200</v>
      </c>
      <c r="AB668" s="51"/>
      <c r="AC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668" s="51" t="str">
        <f>IF(OR(NOTA[[#This Row],[QTY]]="",NOTA[[#This Row],[HARGA SATUAN]]="",),"",NOTA[[#This Row],[QTY]]*NOTA[[#This Row],[HARGA SATUAN]])</f>
        <v/>
      </c>
      <c r="AG668" s="40">
        <f ca="1">IF(NOTA[ID_H]="","",INDEX(NOTA[TANGGAL],MATCH(,INDIRECT(ADDRESS(ROW(NOTA[TANGGAL]),COLUMN(NOTA[TANGGAL]))&amp;":"&amp;ADDRESS(ROW(),COLUMN(NOTA[TANGGAL]))),-1)))</f>
        <v>45131</v>
      </c>
      <c r="AH668" s="42" t="str">
        <f ca="1">IF(NOTA[[#This Row],[NAMA BARANG]]="","",INDEX(NOTA[SUPPLIER],MATCH(,INDIRECT(ADDRESS(ROW(NOTA[ID]),COLUMN(NOTA[ID]))&amp;":"&amp;ADDRESS(ROW(),COLUMN(NOTA[ID]))),-1)))</f>
        <v>KENKO SINAR INDONESIA</v>
      </c>
      <c r="AI668" s="42" t="str">
        <f ca="1">IF(NOTA[[#This Row],[ID_H]]="","",IF(NOTA[[#This Row],[FAKTUR]]="",INDIRECT(ADDRESS(ROW()-1,COLUMN())),NOTA[[#This Row],[FAKTUR]]))</f>
        <v>ARTO MORO</v>
      </c>
      <c r="AJ668" s="39" t="str">
        <f ca="1">IF(NOTA[[#This Row],[ID]]="","",COUNTIF(NOTA[ID_H],NOTA[[#This Row],[ID_H]]))</f>
        <v/>
      </c>
      <c r="AK668" s="39">
        <f ca="1">IF(NOTA[[#This Row],[TGL.NOTA]]="",IF(NOTA[[#This Row],[SUPPLIER_H]]="","",AK667),MONTH(NOTA[[#This Row],[TGL.NOTA]]))</f>
        <v>7</v>
      </c>
      <c r="AL668" s="39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6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6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6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39" t="str">
        <f>IF(NOTA[[#This Row],[CONCAT4]]="","",_xlfn.IFNA(MATCH(NOTA[[#This Row],[CONCAT4]],[2]!RAW[CONCAT_H],0),FALSE))</f>
        <v/>
      </c>
      <c r="AQ668" s="39">
        <f>IF(NOTA[[#This Row],[CONCAT1]]="","",MATCH(NOTA[[#This Row],[CONCAT1]],[3]!db[NB NOTA_C],0))</f>
        <v>1331</v>
      </c>
      <c r="AR668" s="39" t="str">
        <f>IF(NOTA[[#This Row],[QTY/ CTN]]="","",TRUE)</f>
        <v/>
      </c>
      <c r="AS668" s="39" t="str">
        <f ca="1">IF(NOTA[[#This Row],[ID_H]]="","",IF(NOTA[[#This Row],[Column3]]=TRUE,NOTA[[#This Row],[QTY/ CTN]],INDEX([3]!db[QTY/ CTN],NOTA[[#This Row],[//DB]])))</f>
        <v>18 GRS</v>
      </c>
      <c r="AT6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668" s="39" t="e">
        <f ca="1">IF(NOTA[[#This Row],[ID_H]]="","",MATCH(NOTA[[#This Row],[NB NOTA_C_QTY]],[4]!db[NB NOTA_C_QTY+F],0))</f>
        <v>#REF!</v>
      </c>
      <c r="AV668" s="55">
        <f ca="1">IF(NOTA[[#This Row],[NB NOTA_C_QTY]]="","",ROW()-2)</f>
        <v>666</v>
      </c>
    </row>
    <row r="669" spans="1:48" ht="20.100000000000001" customHeight="1" x14ac:dyDescent="0.25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>
        <f ca="1">IF(NOTA[[#This Row],[NAMA BARANG]]="","",INDEX(NOTA[ID],MATCH(,INDIRECT(ADDRESS(ROW(NOTA[ID]),COLUMN(NOTA[ID]))&amp;":"&amp;ADDRESS(ROW(),COLUMN(NOTA[ID]))),-1)))</f>
        <v>130</v>
      </c>
      <c r="E669" s="47"/>
      <c r="H669" s="48"/>
      <c r="K669" s="38">
        <v>5</v>
      </c>
      <c r="L669" s="38" t="s">
        <v>290</v>
      </c>
      <c r="M669" s="41">
        <v>5</v>
      </c>
      <c r="N669" s="39"/>
      <c r="Q669" s="43">
        <v>1954800</v>
      </c>
      <c r="R669" s="49"/>
      <c r="S669" s="50">
        <v>0.17</v>
      </c>
      <c r="U669" s="51"/>
      <c r="V669" s="46"/>
      <c r="W669" s="51">
        <f>IF(NOTA[[#This Row],[HARGA/ CTN]]="",NOTA[[#This Row],[JUMLAH_H]],NOTA[[#This Row],[HARGA/ CTN]]*IF(NOTA[[#This Row],[C]]="",0,NOTA[[#This Row],[C]]))</f>
        <v>9774000</v>
      </c>
      <c r="X669" s="51">
        <f>IF(NOTA[[#This Row],[JUMLAH]]="","",NOTA[[#This Row],[JUMLAH]]*NOTA[[#This Row],[DISC 1]])</f>
        <v>1661580.0000000002</v>
      </c>
      <c r="Y669" s="51">
        <f>IF(NOTA[[#This Row],[JUMLAH]]="","",(NOTA[[#This Row],[JUMLAH]]-NOTA[[#This Row],[DISC 1-]])*NOTA[[#This Row],[DISC 2]])</f>
        <v>0</v>
      </c>
      <c r="Z669" s="51">
        <f>IF(NOTA[[#This Row],[JUMLAH]]="","",NOTA[[#This Row],[DISC 1-]]+NOTA[[#This Row],[DISC 2-]])</f>
        <v>1661580.0000000002</v>
      </c>
      <c r="AA669" s="51">
        <f>IF(NOTA[[#This Row],[JUMLAH]]="","",NOTA[[#This Row],[JUMLAH]]-NOTA[[#This Row],[DISC]])</f>
        <v>8112420</v>
      </c>
      <c r="AB669" s="51"/>
      <c r="AC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69" s="51" t="str">
        <f>IF(OR(NOTA[[#This Row],[QTY]]="",NOTA[[#This Row],[HARGA SATUAN]]="",),"",NOTA[[#This Row],[QTY]]*NOTA[[#This Row],[HARGA SATUAN]])</f>
        <v/>
      </c>
      <c r="AG669" s="40">
        <f ca="1">IF(NOTA[ID_H]="","",INDEX(NOTA[TANGGAL],MATCH(,INDIRECT(ADDRESS(ROW(NOTA[TANGGAL]),COLUMN(NOTA[TANGGAL]))&amp;":"&amp;ADDRESS(ROW(),COLUMN(NOTA[TANGGAL]))),-1)))</f>
        <v>45131</v>
      </c>
      <c r="AH669" s="42" t="str">
        <f ca="1">IF(NOTA[[#This Row],[NAMA BARANG]]="","",INDEX(NOTA[SUPPLIER],MATCH(,INDIRECT(ADDRESS(ROW(NOTA[ID]),COLUMN(NOTA[ID]))&amp;":"&amp;ADDRESS(ROW(),COLUMN(NOTA[ID]))),-1)))</f>
        <v>KENKO SINAR INDONESIA</v>
      </c>
      <c r="AI669" s="42" t="str">
        <f ca="1">IF(NOTA[[#This Row],[ID_H]]="","",IF(NOTA[[#This Row],[FAKTUR]]="",INDIRECT(ADDRESS(ROW()-1,COLUMN())),NOTA[[#This Row],[FAKTUR]]))</f>
        <v>ARTO MORO</v>
      </c>
      <c r="AJ669" s="39" t="str">
        <f ca="1">IF(NOTA[[#This Row],[ID]]="","",COUNTIF(NOTA[ID_H],NOTA[[#This Row],[ID_H]]))</f>
        <v/>
      </c>
      <c r="AK669" s="39">
        <f ca="1">IF(NOTA[[#This Row],[TGL.NOTA]]="",IF(NOTA[[#This Row],[SUPPLIER_H]]="","",AK668),MONTH(NOTA[[#This Row],[TGL.NOTA]]))</f>
        <v>7</v>
      </c>
      <c r="AL669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39" t="str">
        <f>IF(NOTA[[#This Row],[CONCAT4]]="","",_xlfn.IFNA(MATCH(NOTA[[#This Row],[CONCAT4]],[2]!RAW[CONCAT_H],0),FALSE))</f>
        <v/>
      </c>
      <c r="AQ669" s="39">
        <f>IF(NOTA[[#This Row],[CONCAT1]]="","",MATCH(NOTA[[#This Row],[CONCAT1]],[3]!db[NB NOTA_C],0))</f>
        <v>2678</v>
      </c>
      <c r="AR669" s="39" t="str">
        <f>IF(NOTA[[#This Row],[QTY/ CTN]]="","",TRUE)</f>
        <v/>
      </c>
      <c r="AS669" s="39" t="str">
        <f ca="1">IF(NOTA[[#This Row],[ID_H]]="","",IF(NOTA[[#This Row],[Column3]]=TRUE,NOTA[[#This Row],[QTY/ CTN]],INDEX([3]!db[QTY/ CTN],NOTA[[#This Row],[//DB]])))</f>
        <v>36 LSN</v>
      </c>
      <c r="AT6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69" s="39" t="e">
        <f ca="1">IF(NOTA[[#This Row],[ID_H]]="","",MATCH(NOTA[[#This Row],[NB NOTA_C_QTY]],[4]!db[NB NOTA_C_QTY+F],0))</f>
        <v>#REF!</v>
      </c>
      <c r="AV669" s="55">
        <f ca="1">IF(NOTA[[#This Row],[NB NOTA_C_QTY]]="","",ROW()-2)</f>
        <v>667</v>
      </c>
    </row>
    <row r="670" spans="1:48" ht="20.100000000000001" customHeight="1" x14ac:dyDescent="0.25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>
        <f ca="1">IF(NOTA[[#This Row],[NAMA BARANG]]="","",INDEX(NOTA[ID],MATCH(,INDIRECT(ADDRESS(ROW(NOTA[ID]),COLUMN(NOTA[ID]))&amp;":"&amp;ADDRESS(ROW(),COLUMN(NOTA[ID]))),-1)))</f>
        <v>130</v>
      </c>
      <c r="E670" s="47"/>
      <c r="H670" s="48"/>
      <c r="K670" s="38">
        <v>2</v>
      </c>
      <c r="L670" s="38" t="s">
        <v>744</v>
      </c>
      <c r="M670" s="41">
        <v>3</v>
      </c>
      <c r="N670" s="39"/>
      <c r="Q670" s="43">
        <v>3758400</v>
      </c>
      <c r="R670" s="49"/>
      <c r="S670" s="50">
        <v>0.17</v>
      </c>
      <c r="U670" s="51"/>
      <c r="V670" s="46"/>
      <c r="W670" s="51">
        <f>IF(NOTA[[#This Row],[HARGA/ CTN]]="",NOTA[[#This Row],[JUMLAH_H]],NOTA[[#This Row],[HARGA/ CTN]]*IF(NOTA[[#This Row],[C]]="",0,NOTA[[#This Row],[C]]))</f>
        <v>11275200</v>
      </c>
      <c r="X670" s="51">
        <f>IF(NOTA[[#This Row],[JUMLAH]]="","",NOTA[[#This Row],[JUMLAH]]*NOTA[[#This Row],[DISC 1]])</f>
        <v>1916784.0000000002</v>
      </c>
      <c r="Y670" s="51">
        <f>IF(NOTA[[#This Row],[JUMLAH]]="","",(NOTA[[#This Row],[JUMLAH]]-NOTA[[#This Row],[DISC 1-]])*NOTA[[#This Row],[DISC 2]])</f>
        <v>0</v>
      </c>
      <c r="Z670" s="51">
        <f>IF(NOTA[[#This Row],[JUMLAH]]="","",NOTA[[#This Row],[DISC 1-]]+NOTA[[#This Row],[DISC 2-]])</f>
        <v>1916784.0000000002</v>
      </c>
      <c r="AA670" s="51">
        <f>IF(NOTA[[#This Row],[JUMLAH]]="","",NOTA[[#This Row],[JUMLAH]]-NOTA[[#This Row],[DISC]])</f>
        <v>9358416</v>
      </c>
      <c r="AB670" s="51"/>
      <c r="AC67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17174148</v>
      </c>
      <c r="AD67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83850252</v>
      </c>
      <c r="AE67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70" s="51" t="str">
        <f>IF(OR(NOTA[[#This Row],[QTY]]="",NOTA[[#This Row],[HARGA SATUAN]]="",),"",NOTA[[#This Row],[QTY]]*NOTA[[#This Row],[HARGA SATUAN]])</f>
        <v/>
      </c>
      <c r="AG670" s="40">
        <f ca="1">IF(NOTA[ID_H]="","",INDEX(NOTA[TANGGAL],MATCH(,INDIRECT(ADDRESS(ROW(NOTA[TANGGAL]),COLUMN(NOTA[TANGGAL]))&amp;":"&amp;ADDRESS(ROW(),COLUMN(NOTA[TANGGAL]))),-1)))</f>
        <v>45131</v>
      </c>
      <c r="AH670" s="42" t="str">
        <f ca="1">IF(NOTA[[#This Row],[NAMA BARANG]]="","",INDEX(NOTA[SUPPLIER],MATCH(,INDIRECT(ADDRESS(ROW(NOTA[ID]),COLUMN(NOTA[ID]))&amp;":"&amp;ADDRESS(ROW(),COLUMN(NOTA[ID]))),-1)))</f>
        <v>KENKO SINAR INDONESIA</v>
      </c>
      <c r="AI670" s="42" t="str">
        <f ca="1">IF(NOTA[[#This Row],[ID_H]]="","",IF(NOTA[[#This Row],[FAKTUR]]="",INDIRECT(ADDRESS(ROW()-1,COLUMN())),NOTA[[#This Row],[FAKTUR]]))</f>
        <v>ARTO MORO</v>
      </c>
      <c r="AJ670" s="39" t="str">
        <f ca="1">IF(NOTA[[#This Row],[ID]]="","",COUNTIF(NOTA[ID_H],NOTA[[#This Row],[ID_H]]))</f>
        <v/>
      </c>
      <c r="AK670" s="39">
        <f ca="1">IF(NOTA[[#This Row],[TGL.NOTA]]="",IF(NOTA[[#This Row],[SUPPLIER_H]]="","",AK669),MONTH(NOTA[[#This Row],[TGL.NOTA]]))</f>
        <v>7</v>
      </c>
      <c r="AL670" s="39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6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6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6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39" t="str">
        <f>IF(NOTA[[#This Row],[CONCAT4]]="","",_xlfn.IFNA(MATCH(NOTA[[#This Row],[CONCAT4]],[2]!RAW[CONCAT_H],0),FALSE))</f>
        <v/>
      </c>
      <c r="AQ670" s="39">
        <f>IF(NOTA[[#This Row],[CONCAT1]]="","",MATCH(NOTA[[#This Row],[CONCAT1]],[3]!db[NB NOTA_C],0))</f>
        <v>645</v>
      </c>
      <c r="AR670" s="39" t="str">
        <f>IF(NOTA[[#This Row],[QTY/ CTN]]="","",TRUE)</f>
        <v/>
      </c>
      <c r="AS670" s="39" t="str">
        <f ca="1">IF(NOTA[[#This Row],[ID_H]]="","",IF(NOTA[[#This Row],[Column3]]=TRUE,NOTA[[#This Row],[QTY/ CTN]],INDEX([3]!db[QTY/ CTN],NOTA[[#This Row],[//DB]])))</f>
        <v>144 LSN</v>
      </c>
      <c r="AT6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670" s="39" t="e">
        <f ca="1">IF(NOTA[[#This Row],[ID_H]]="","",MATCH(NOTA[[#This Row],[NB NOTA_C_QTY]],[4]!db[NB NOTA_C_QTY+F],0))</f>
        <v>#REF!</v>
      </c>
      <c r="AV670" s="55">
        <f ca="1">IF(NOTA[[#This Row],[NB NOTA_C_QTY]]="","",ROW()-2)</f>
        <v>668</v>
      </c>
    </row>
    <row r="671" spans="1:48" ht="20.100000000000001" customHeight="1" x14ac:dyDescent="0.25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47"/>
      <c r="H671" s="48"/>
      <c r="N671" s="39"/>
      <c r="Q671" s="43"/>
      <c r="R671" s="49"/>
      <c r="S671" s="50"/>
      <c r="U671" s="51"/>
      <c r="V671" s="46"/>
      <c r="W671" s="51" t="str">
        <f>IF(NOTA[[#This Row],[HARGA/ CTN]]="",NOTA[[#This Row],[JUMLAH_H]],NOTA[[#This Row],[HARGA/ CTN]]*IF(NOTA[[#This Row],[C]]="",0,NOTA[[#This Row],[C]]))</f>
        <v/>
      </c>
      <c r="X671" s="51" t="str">
        <f>IF(NOTA[[#This Row],[JUMLAH]]="","",NOTA[[#This Row],[JUMLAH]]*NOTA[[#This Row],[DISC 1]])</f>
        <v/>
      </c>
      <c r="Y671" s="51" t="str">
        <f>IF(NOTA[[#This Row],[JUMLAH]]="","",(NOTA[[#This Row],[JUMLAH]]-NOTA[[#This Row],[DISC 1-]])*NOTA[[#This Row],[DISC 2]])</f>
        <v/>
      </c>
      <c r="Z671" s="51" t="str">
        <f>IF(NOTA[[#This Row],[JUMLAH]]="","",NOTA[[#This Row],[DISC 1-]]+NOTA[[#This Row],[DISC 2-]])</f>
        <v/>
      </c>
      <c r="AA671" s="51" t="str">
        <f>IF(NOTA[[#This Row],[JUMLAH]]="","",NOTA[[#This Row],[JUMLAH]]-NOTA[[#This Row],[DISC]])</f>
        <v/>
      </c>
      <c r="AB671" s="51"/>
      <c r="AC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51" t="str">
        <f>IF(OR(NOTA[[#This Row],[QTY]]="",NOTA[[#This Row],[HARGA SATUAN]]="",),"",NOTA[[#This Row],[QTY]]*NOTA[[#This Row],[HARGA SATUAN]])</f>
        <v/>
      </c>
      <c r="AG671" s="40" t="str">
        <f ca="1">IF(NOTA[ID_H]="","",INDEX(NOTA[TANGGAL],MATCH(,INDIRECT(ADDRESS(ROW(NOTA[TANGGAL]),COLUMN(NOTA[TANGGAL]))&amp;":"&amp;ADDRESS(ROW(),COLUMN(NOTA[TANGGAL]))),-1)))</f>
        <v/>
      </c>
      <c r="AH671" s="42" t="str">
        <f ca="1">IF(NOTA[[#This Row],[NAMA BARANG]]="","",INDEX(NOTA[SUPPLIER],MATCH(,INDIRECT(ADDRESS(ROW(NOTA[ID]),COLUMN(NOTA[ID]))&amp;":"&amp;ADDRESS(ROW(),COLUMN(NOTA[ID]))),-1)))</f>
        <v/>
      </c>
      <c r="AI671" s="42" t="str">
        <f ca="1">IF(NOTA[[#This Row],[ID_H]]="","",IF(NOTA[[#This Row],[FAKTUR]]="",INDIRECT(ADDRESS(ROW()-1,COLUMN())),NOTA[[#This Row],[FAKTUR]]))</f>
        <v/>
      </c>
      <c r="AJ671" s="39" t="str">
        <f ca="1">IF(NOTA[[#This Row],[ID]]="","",COUNTIF(NOTA[ID_H],NOTA[[#This Row],[ID_H]]))</f>
        <v/>
      </c>
      <c r="AK671" s="39" t="str">
        <f ca="1">IF(NOTA[[#This Row],[TGL.NOTA]]="",IF(NOTA[[#This Row],[SUPPLIER_H]]="","",AK670),MONTH(NOTA[[#This Row],[TGL.NOTA]]))</f>
        <v/>
      </c>
      <c r="AL671" s="39" t="str">
        <f>LOWER(SUBSTITUTE(SUBSTITUTE(SUBSTITUTE(SUBSTITUTE(SUBSTITUTE(SUBSTITUTE(SUBSTITUTE(SUBSTITUTE(SUBSTITUTE(NOTA[NAMA BARANG]," ",),".",""),"-",""),"(",""),")",""),",",""),"/",""),"""",""),"+",""))</f>
        <v/>
      </c>
      <c r="AM6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39" t="str">
        <f>IF(NOTA[[#This Row],[CONCAT4]]="","",_xlfn.IFNA(MATCH(NOTA[[#This Row],[CONCAT4]],[2]!RAW[CONCAT_H],0),FALSE))</f>
        <v/>
      </c>
      <c r="AQ671" s="39" t="str">
        <f>IF(NOTA[[#This Row],[CONCAT1]]="","",MATCH(NOTA[[#This Row],[CONCAT1]],[3]!db[NB NOTA_C],0))</f>
        <v/>
      </c>
      <c r="AR671" s="39" t="str">
        <f>IF(NOTA[[#This Row],[QTY/ CTN]]="","",TRUE)</f>
        <v/>
      </c>
      <c r="AS671" s="39" t="str">
        <f ca="1">IF(NOTA[[#This Row],[ID_H]]="","",IF(NOTA[[#This Row],[Column3]]=TRUE,NOTA[[#This Row],[QTY/ CTN]],INDEX([3]!db[QTY/ CTN],NOTA[[#This Row],[//DB]])))</f>
        <v/>
      </c>
      <c r="AT6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39" t="str">
        <f ca="1">IF(NOTA[[#This Row],[ID_H]]="","",MATCH(NOTA[[#This Row],[NB NOTA_C_QTY]],[4]!db[NB NOTA_C_QTY+F],0))</f>
        <v/>
      </c>
      <c r="AV671" s="55" t="str">
        <f ca="1">IF(NOTA[[#This Row],[NB NOTA_C_QTY]]="","",ROW()-2)</f>
        <v/>
      </c>
    </row>
    <row r="672" spans="1:48" ht="20.100000000000001" customHeight="1" x14ac:dyDescent="0.25">
      <c r="A672" s="4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KEN_2407_987-10</v>
      </c>
      <c r="C672" s="39" t="e">
        <f ca="1">IF(NOTA[[#This Row],[ID_P]]="","",MATCH(NOTA[[#This Row],[ID_P]],[1]!B_MSK[N_ID],0))</f>
        <v>#REF!</v>
      </c>
      <c r="D672" s="39">
        <f ca="1">IF(NOTA[[#This Row],[NAMA BARANG]]="","",INDEX(NOTA[ID],MATCH(,INDIRECT(ADDRESS(ROW(NOTA[ID]),COLUMN(NOTA[ID]))&amp;":"&amp;ADDRESS(ROW(),COLUMN(NOTA[ID]))),-1)))</f>
        <v>131</v>
      </c>
      <c r="E672" s="47"/>
      <c r="F672" s="38" t="s">
        <v>22</v>
      </c>
      <c r="G672" s="38" t="s">
        <v>23</v>
      </c>
      <c r="H672" s="48" t="s">
        <v>748</v>
      </c>
      <c r="J672" s="40">
        <v>45129</v>
      </c>
      <c r="L672" s="38" t="s">
        <v>685</v>
      </c>
      <c r="M672" s="41">
        <v>2</v>
      </c>
      <c r="N672" s="39"/>
      <c r="Q672" s="43">
        <v>3110400</v>
      </c>
      <c r="R672" s="49"/>
      <c r="S672" s="50">
        <v>0.17</v>
      </c>
      <c r="U672" s="51"/>
      <c r="V672" s="46"/>
      <c r="W672" s="51">
        <f>IF(NOTA[[#This Row],[HARGA/ CTN]]="",NOTA[[#This Row],[JUMLAH_H]],NOTA[[#This Row],[HARGA/ CTN]]*IF(NOTA[[#This Row],[C]]="",0,NOTA[[#This Row],[C]]))</f>
        <v>6220800</v>
      </c>
      <c r="X672" s="51">
        <f>IF(NOTA[[#This Row],[JUMLAH]]="","",NOTA[[#This Row],[JUMLAH]]*NOTA[[#This Row],[DISC 1]])</f>
        <v>1057536</v>
      </c>
      <c r="Y672" s="51">
        <f>IF(NOTA[[#This Row],[JUMLAH]]="","",(NOTA[[#This Row],[JUMLAH]]-NOTA[[#This Row],[DISC 1-]])*NOTA[[#This Row],[DISC 2]])</f>
        <v>0</v>
      </c>
      <c r="Z672" s="51">
        <f>IF(NOTA[[#This Row],[JUMLAH]]="","",NOTA[[#This Row],[DISC 1-]]+NOTA[[#This Row],[DISC 2-]])</f>
        <v>1057536</v>
      </c>
      <c r="AA672" s="51">
        <f>IF(NOTA[[#This Row],[JUMLAH]]="","",NOTA[[#This Row],[JUMLAH]]-NOTA[[#This Row],[DISC]])</f>
        <v>5163264</v>
      </c>
      <c r="AB672" s="51"/>
      <c r="AC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72" s="51" t="str">
        <f>IF(OR(NOTA[[#This Row],[QTY]]="",NOTA[[#This Row],[HARGA SATUAN]]="",),"",NOTA[[#This Row],[QTY]]*NOTA[[#This Row],[HARGA SATUAN]])</f>
        <v/>
      </c>
      <c r="AG672" s="40">
        <f ca="1">IF(NOTA[ID_H]="","",INDEX(NOTA[TANGGAL],MATCH(,INDIRECT(ADDRESS(ROW(NOTA[TANGGAL]),COLUMN(NOTA[TANGGAL]))&amp;":"&amp;ADDRESS(ROW(),COLUMN(NOTA[TANGGAL]))),-1)))</f>
        <v>45131</v>
      </c>
      <c r="AH672" s="42" t="str">
        <f ca="1">IF(NOTA[[#This Row],[NAMA BARANG]]="","",INDEX(NOTA[SUPPLIER],MATCH(,INDIRECT(ADDRESS(ROW(NOTA[ID]),COLUMN(NOTA[ID]))&amp;":"&amp;ADDRESS(ROW(),COLUMN(NOTA[ID]))),-1)))</f>
        <v>KENKO SINAR INDONESIA</v>
      </c>
      <c r="AI672" s="42" t="str">
        <f ca="1">IF(NOTA[[#This Row],[ID_H]]="","",IF(NOTA[[#This Row],[FAKTUR]]="",INDIRECT(ADDRESS(ROW()-1,COLUMN())),NOTA[[#This Row],[FAKTUR]]))</f>
        <v>ARTO MORO</v>
      </c>
      <c r="AJ672" s="39">
        <f ca="1">IF(NOTA[[#This Row],[ID]]="","",COUNTIF(NOTA[ID_H],NOTA[[#This Row],[ID_H]]))</f>
        <v>10</v>
      </c>
      <c r="AK672" s="39">
        <f>IF(NOTA[[#This Row],[TGL.NOTA]]="",IF(NOTA[[#This Row],[SUPPLIER_H]]="","",AK671),MONTH(NOTA[[#This Row],[TGL.NOTA]]))</f>
        <v>7</v>
      </c>
      <c r="AL672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7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MORO2307198745129kenkogelpenke303tgeltriangularblack</v>
      </c>
      <c r="AP672" s="39" t="e">
        <f>IF(NOTA[[#This Row],[CONCAT4]]="","",_xlfn.IFNA(MATCH(NOTA[[#This Row],[CONCAT4]],[2]!RAW[CONCAT_H],0),FALSE))</f>
        <v>#REF!</v>
      </c>
      <c r="AQ672" s="39">
        <f>IF(NOTA[[#This Row],[CONCAT1]]="","",MATCH(NOTA[[#This Row],[CONCAT1]],[3]!db[NB NOTA_C],0))</f>
        <v>670</v>
      </c>
      <c r="AR672" s="39" t="str">
        <f>IF(NOTA[[#This Row],[QTY/ CTN]]="","",TRUE)</f>
        <v/>
      </c>
      <c r="AS672" s="39" t="str">
        <f ca="1">IF(NOTA[[#This Row],[ID_H]]="","",IF(NOTA[[#This Row],[Column3]]=TRUE,NOTA[[#This Row],[QTY/ CTN]],INDEX([3]!db[QTY/ CTN],NOTA[[#This Row],[//DB]])))</f>
        <v>144 LSN</v>
      </c>
      <c r="AT6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U672" s="39" t="e">
        <f ca="1">IF(NOTA[[#This Row],[ID_H]]="","",MATCH(NOTA[[#This Row],[NB NOTA_C_QTY]],[4]!db[NB NOTA_C_QTY+F],0))</f>
        <v>#REF!</v>
      </c>
      <c r="AV672" s="55">
        <f ca="1">IF(NOTA[[#This Row],[NB NOTA_C_QTY]]="","",ROW()-2)</f>
        <v>670</v>
      </c>
    </row>
    <row r="673" spans="1:48" ht="20.100000000000001" customHeight="1" x14ac:dyDescent="0.25">
      <c r="A6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>
        <f ca="1">IF(NOTA[[#This Row],[NAMA BARANG]]="","",INDEX(NOTA[ID],MATCH(,INDIRECT(ADDRESS(ROW(NOTA[ID]),COLUMN(NOTA[ID]))&amp;":"&amp;ADDRESS(ROW(),COLUMN(NOTA[ID]))),-1)))</f>
        <v>131</v>
      </c>
      <c r="E673" s="47"/>
      <c r="H673" s="48"/>
      <c r="K673" s="38">
        <v>2</v>
      </c>
      <c r="L673" s="38" t="s">
        <v>749</v>
      </c>
      <c r="M673" s="41">
        <v>2</v>
      </c>
      <c r="N673" s="39"/>
      <c r="Q673" s="43">
        <v>1500000</v>
      </c>
      <c r="R673" s="49"/>
      <c r="S673" s="50">
        <v>0.17</v>
      </c>
      <c r="U673" s="51"/>
      <c r="V673" s="46"/>
      <c r="W673" s="51">
        <f>IF(NOTA[[#This Row],[HARGA/ CTN]]="",NOTA[[#This Row],[JUMLAH_H]],NOTA[[#This Row],[HARGA/ CTN]]*IF(NOTA[[#This Row],[C]]="",0,NOTA[[#This Row],[C]]))</f>
        <v>3000000</v>
      </c>
      <c r="X673" s="51">
        <f>IF(NOTA[[#This Row],[JUMLAH]]="","",NOTA[[#This Row],[JUMLAH]]*NOTA[[#This Row],[DISC 1]])</f>
        <v>510000.00000000006</v>
      </c>
      <c r="Y673" s="51">
        <f>IF(NOTA[[#This Row],[JUMLAH]]="","",(NOTA[[#This Row],[JUMLAH]]-NOTA[[#This Row],[DISC 1-]])*NOTA[[#This Row],[DISC 2]])</f>
        <v>0</v>
      </c>
      <c r="Z673" s="51">
        <f>IF(NOTA[[#This Row],[JUMLAH]]="","",NOTA[[#This Row],[DISC 1-]]+NOTA[[#This Row],[DISC 2-]])</f>
        <v>510000.00000000006</v>
      </c>
      <c r="AA673" s="51">
        <f>IF(NOTA[[#This Row],[JUMLAH]]="","",NOTA[[#This Row],[JUMLAH]]-NOTA[[#This Row],[DISC]])</f>
        <v>2490000</v>
      </c>
      <c r="AB673" s="51"/>
      <c r="AC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73" s="51" t="str">
        <f>IF(OR(NOTA[[#This Row],[QTY]]="",NOTA[[#This Row],[HARGA SATUAN]]="",),"",NOTA[[#This Row],[QTY]]*NOTA[[#This Row],[HARGA SATUAN]])</f>
        <v/>
      </c>
      <c r="AG673" s="40">
        <f ca="1">IF(NOTA[ID_H]="","",INDEX(NOTA[TANGGAL],MATCH(,INDIRECT(ADDRESS(ROW(NOTA[TANGGAL]),COLUMN(NOTA[TANGGAL]))&amp;":"&amp;ADDRESS(ROW(),COLUMN(NOTA[TANGGAL]))),-1)))</f>
        <v>45131</v>
      </c>
      <c r="AH673" s="42" t="str">
        <f ca="1">IF(NOTA[[#This Row],[NAMA BARANG]]="","",INDEX(NOTA[SUPPLIER],MATCH(,INDIRECT(ADDRESS(ROW(NOTA[ID]),COLUMN(NOTA[ID]))&amp;":"&amp;ADDRESS(ROW(),COLUMN(NOTA[ID]))),-1)))</f>
        <v>KENKO SINAR INDONESIA</v>
      </c>
      <c r="AI673" s="42" t="str">
        <f ca="1">IF(NOTA[[#This Row],[ID_H]]="","",IF(NOTA[[#This Row],[FAKTUR]]="",INDIRECT(ADDRESS(ROW()-1,COLUMN())),NOTA[[#This Row],[FAKTUR]]))</f>
        <v>ARTO MORO</v>
      </c>
      <c r="AJ673" s="39" t="str">
        <f ca="1">IF(NOTA[[#This Row],[ID]]="","",COUNTIF(NOTA[ID_H],NOTA[[#This Row],[ID_H]]))</f>
        <v/>
      </c>
      <c r="AK673" s="39">
        <f ca="1">IF(NOTA[[#This Row],[TGL.NOTA]]="",IF(NOTA[[#This Row],[SUPPLIER_H]]="","",AK672),MONTH(NOTA[[#This Row],[TGL.NOTA]]))</f>
        <v>7</v>
      </c>
      <c r="AL673" s="39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6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6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6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39" t="str">
        <f>IF(NOTA[[#This Row],[CONCAT4]]="","",_xlfn.IFNA(MATCH(NOTA[[#This Row],[CONCAT4]],[2]!RAW[CONCAT_H],0),FALSE))</f>
        <v/>
      </c>
      <c r="AQ673" s="39">
        <f>IF(NOTA[[#This Row],[CONCAT1]]="","",MATCH(NOTA[[#This Row],[CONCAT1]],[3]!db[NB NOTA_C],0))</f>
        <v>2508</v>
      </c>
      <c r="AR673" s="39" t="str">
        <f>IF(NOTA[[#This Row],[QTY/ CTN]]="","",TRUE)</f>
        <v/>
      </c>
      <c r="AS673" s="39" t="str">
        <f ca="1">IF(NOTA[[#This Row],[ID_H]]="","",IF(NOTA[[#This Row],[Column3]]=TRUE,NOTA[[#This Row],[QTY/ CTN]],INDEX([3]!db[QTY/ CTN],NOTA[[#This Row],[//DB]])))</f>
        <v>50 BOX</v>
      </c>
      <c r="AT6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U673" s="39" t="e">
        <f ca="1">IF(NOTA[[#This Row],[ID_H]]="","",MATCH(NOTA[[#This Row],[NB NOTA_C_QTY]],[4]!db[NB NOTA_C_QTY+F],0))</f>
        <v>#REF!</v>
      </c>
      <c r="AV673" s="55">
        <f ca="1">IF(NOTA[[#This Row],[NB NOTA_C_QTY]]="","",ROW()-2)</f>
        <v>671</v>
      </c>
    </row>
    <row r="674" spans="1:48" ht="20.100000000000001" customHeight="1" x14ac:dyDescent="0.25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>
        <f ca="1">IF(NOTA[[#This Row],[NAMA BARANG]]="","",INDEX(NOTA[ID],MATCH(,INDIRECT(ADDRESS(ROW(NOTA[ID]),COLUMN(NOTA[ID]))&amp;":"&amp;ADDRESS(ROW(),COLUMN(NOTA[ID]))),-1)))</f>
        <v>131</v>
      </c>
      <c r="E674" s="47"/>
      <c r="H674" s="48"/>
      <c r="K674" s="38">
        <v>1</v>
      </c>
      <c r="L674" s="38" t="s">
        <v>752</v>
      </c>
      <c r="M674" s="41">
        <v>1</v>
      </c>
      <c r="N674" s="39"/>
      <c r="Q674" s="43">
        <v>1150000</v>
      </c>
      <c r="R674" s="49"/>
      <c r="S674" s="50">
        <v>0.17</v>
      </c>
      <c r="U674" s="51"/>
      <c r="V674" s="46"/>
      <c r="W674" s="51">
        <f>IF(NOTA[[#This Row],[HARGA/ CTN]]="",NOTA[[#This Row],[JUMLAH_H]],NOTA[[#This Row],[HARGA/ CTN]]*IF(NOTA[[#This Row],[C]]="",0,NOTA[[#This Row],[C]]))</f>
        <v>1150000</v>
      </c>
      <c r="X674" s="51">
        <f>IF(NOTA[[#This Row],[JUMLAH]]="","",NOTA[[#This Row],[JUMLAH]]*NOTA[[#This Row],[DISC 1]])</f>
        <v>195500</v>
      </c>
      <c r="Y674" s="51">
        <f>IF(NOTA[[#This Row],[JUMLAH]]="","",(NOTA[[#This Row],[JUMLAH]]-NOTA[[#This Row],[DISC 1-]])*NOTA[[#This Row],[DISC 2]])</f>
        <v>0</v>
      </c>
      <c r="Z674" s="51">
        <f>IF(NOTA[[#This Row],[JUMLAH]]="","",NOTA[[#This Row],[DISC 1-]]+NOTA[[#This Row],[DISC 2-]])</f>
        <v>195500</v>
      </c>
      <c r="AA674" s="51">
        <f>IF(NOTA[[#This Row],[JUMLAH]]="","",NOTA[[#This Row],[JUMLAH]]-NOTA[[#This Row],[DISC]])</f>
        <v>954500</v>
      </c>
      <c r="AB674" s="51"/>
      <c r="AC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42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674" s="51" t="str">
        <f>IF(OR(NOTA[[#This Row],[QTY]]="",NOTA[[#This Row],[HARGA SATUAN]]="",),"",NOTA[[#This Row],[QTY]]*NOTA[[#This Row],[HARGA SATUAN]])</f>
        <v/>
      </c>
      <c r="AG674" s="40">
        <f ca="1">IF(NOTA[ID_H]="","",INDEX(NOTA[TANGGAL],MATCH(,INDIRECT(ADDRESS(ROW(NOTA[TANGGAL]),COLUMN(NOTA[TANGGAL]))&amp;":"&amp;ADDRESS(ROW(),COLUMN(NOTA[TANGGAL]))),-1)))</f>
        <v>45131</v>
      </c>
      <c r="AH674" s="42" t="str">
        <f ca="1">IF(NOTA[[#This Row],[NAMA BARANG]]="","",INDEX(NOTA[SUPPLIER],MATCH(,INDIRECT(ADDRESS(ROW(NOTA[ID]),COLUMN(NOTA[ID]))&amp;":"&amp;ADDRESS(ROW(),COLUMN(NOTA[ID]))),-1)))</f>
        <v>KENKO SINAR INDONESIA</v>
      </c>
      <c r="AI674" s="42" t="str">
        <f ca="1">IF(NOTA[[#This Row],[ID_H]]="","",IF(NOTA[[#This Row],[FAKTUR]]="",INDIRECT(ADDRESS(ROW()-1,COLUMN())),NOTA[[#This Row],[FAKTUR]]))</f>
        <v>ARTO MORO</v>
      </c>
      <c r="AJ674" s="39" t="str">
        <f ca="1">IF(NOTA[[#This Row],[ID]]="","",COUNTIF(NOTA[ID_H],NOTA[[#This Row],[ID_H]]))</f>
        <v/>
      </c>
      <c r="AK674" s="39">
        <f ca="1">IF(NOTA[[#This Row],[TGL.NOTA]]="",IF(NOTA[[#This Row],[SUPPLIER_H]]="","",AK673),MONTH(NOTA[[#This Row],[TGL.NOTA]]))</f>
        <v>7</v>
      </c>
      <c r="AL674" s="39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6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6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6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39" t="str">
        <f>IF(NOTA[[#This Row],[CONCAT4]]="","",_xlfn.IFNA(MATCH(NOTA[[#This Row],[CONCAT4]],[2]!RAW[CONCAT_H],0),FALSE))</f>
        <v/>
      </c>
      <c r="AQ674" s="39">
        <f>IF(NOTA[[#This Row],[CONCAT1]]="","",MATCH(NOTA[[#This Row],[CONCAT1]],[3]!db[NB NOTA_C],0))</f>
        <v>1479</v>
      </c>
      <c r="AR674" s="39" t="str">
        <f>IF(NOTA[[#This Row],[QTY/ CTN]]="","",TRUE)</f>
        <v/>
      </c>
      <c r="AS674" s="39" t="str">
        <f ca="1">IF(NOTA[[#This Row],[ID_H]]="","",IF(NOTA[[#This Row],[Column3]]=TRUE,NOTA[[#This Row],[QTY/ CTN]],INDEX([3]!db[QTY/ CTN],NOTA[[#This Row],[//DB]])))</f>
        <v>10 BOX</v>
      </c>
      <c r="AT6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U674" s="39" t="e">
        <f ca="1">IF(NOTA[[#This Row],[ID_H]]="","",MATCH(NOTA[[#This Row],[NB NOTA_C_QTY]],[4]!db[NB NOTA_C_QTY+F],0))</f>
        <v>#REF!</v>
      </c>
      <c r="AV674" s="55">
        <f ca="1">IF(NOTA[[#This Row],[NB NOTA_C_QTY]]="","",ROW()-2)</f>
        <v>672</v>
      </c>
    </row>
    <row r="675" spans="1:48" ht="20.100000000000001" customHeight="1" x14ac:dyDescent="0.25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>
        <f ca="1">IF(NOTA[[#This Row],[NAMA BARANG]]="","",INDEX(NOTA[ID],MATCH(,INDIRECT(ADDRESS(ROW(NOTA[ID]),COLUMN(NOTA[ID]))&amp;":"&amp;ADDRESS(ROW(),COLUMN(NOTA[ID]))),-1)))</f>
        <v>131</v>
      </c>
      <c r="E675" s="47"/>
      <c r="H675" s="48"/>
      <c r="L675" s="38" t="s">
        <v>107</v>
      </c>
      <c r="M675" s="41">
        <v>2</v>
      </c>
      <c r="N675" s="39"/>
      <c r="Q675" s="43">
        <v>1695600</v>
      </c>
      <c r="R675" s="49"/>
      <c r="S675" s="50">
        <v>0.17</v>
      </c>
      <c r="U675" s="51"/>
      <c r="V675" s="46"/>
      <c r="W675" s="51">
        <f>IF(NOTA[[#This Row],[HARGA/ CTN]]="",NOTA[[#This Row],[JUMLAH_H]],NOTA[[#This Row],[HARGA/ CTN]]*IF(NOTA[[#This Row],[C]]="",0,NOTA[[#This Row],[C]]))</f>
        <v>3391200</v>
      </c>
      <c r="X675" s="51">
        <f>IF(NOTA[[#This Row],[JUMLAH]]="","",NOTA[[#This Row],[JUMLAH]]*NOTA[[#This Row],[DISC 1]])</f>
        <v>576504</v>
      </c>
      <c r="Y675" s="51">
        <f>IF(NOTA[[#This Row],[JUMLAH]]="","",(NOTA[[#This Row],[JUMLAH]]-NOTA[[#This Row],[DISC 1-]])*NOTA[[#This Row],[DISC 2]])</f>
        <v>0</v>
      </c>
      <c r="Z675" s="51">
        <f>IF(NOTA[[#This Row],[JUMLAH]]="","",NOTA[[#This Row],[DISC 1-]]+NOTA[[#This Row],[DISC 2-]])</f>
        <v>576504</v>
      </c>
      <c r="AA675" s="51">
        <f>IF(NOTA[[#This Row],[JUMLAH]]="","",NOTA[[#This Row],[JUMLAH]]-NOTA[[#This Row],[DISC]])</f>
        <v>2814696</v>
      </c>
      <c r="AB675" s="51"/>
      <c r="AC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675" s="51" t="str">
        <f>IF(OR(NOTA[[#This Row],[QTY]]="",NOTA[[#This Row],[HARGA SATUAN]]="",),"",NOTA[[#This Row],[QTY]]*NOTA[[#This Row],[HARGA SATUAN]])</f>
        <v/>
      </c>
      <c r="AG675" s="40">
        <f ca="1">IF(NOTA[ID_H]="","",INDEX(NOTA[TANGGAL],MATCH(,INDIRECT(ADDRESS(ROW(NOTA[TANGGAL]),COLUMN(NOTA[TANGGAL]))&amp;":"&amp;ADDRESS(ROW(),COLUMN(NOTA[TANGGAL]))),-1)))</f>
        <v>45131</v>
      </c>
      <c r="AH675" s="42" t="str">
        <f ca="1">IF(NOTA[[#This Row],[NAMA BARANG]]="","",INDEX(NOTA[SUPPLIER],MATCH(,INDIRECT(ADDRESS(ROW(NOTA[ID]),COLUMN(NOTA[ID]))&amp;":"&amp;ADDRESS(ROW(),COLUMN(NOTA[ID]))),-1)))</f>
        <v>KENKO SINAR INDONESIA</v>
      </c>
      <c r="AI675" s="42" t="str">
        <f ca="1">IF(NOTA[[#This Row],[ID_H]]="","",IF(NOTA[[#This Row],[FAKTUR]]="",INDIRECT(ADDRESS(ROW()-1,COLUMN())),NOTA[[#This Row],[FAKTUR]]))</f>
        <v>ARTO MORO</v>
      </c>
      <c r="AJ675" s="39" t="str">
        <f ca="1">IF(NOTA[[#This Row],[ID]]="","",COUNTIF(NOTA[ID_H],NOTA[[#This Row],[ID_H]]))</f>
        <v/>
      </c>
      <c r="AK675" s="39">
        <f ca="1">IF(NOTA[[#This Row],[TGL.NOTA]]="",IF(NOTA[[#This Row],[SUPPLIER_H]]="","",AK674),MONTH(NOTA[[#This Row],[TGL.NOTA]]))</f>
        <v>7</v>
      </c>
      <c r="AL675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6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6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6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39" t="str">
        <f>IF(NOTA[[#This Row],[CONCAT4]]="","",_xlfn.IFNA(MATCH(NOTA[[#This Row],[CONCAT4]],[2]!RAW[CONCAT_H],0),FALSE))</f>
        <v/>
      </c>
      <c r="AQ675" s="39">
        <f>IF(NOTA[[#This Row],[CONCAT1]]="","",MATCH(NOTA[[#This Row],[CONCAT1]],[3]!db[NB NOTA_C],0))</f>
        <v>2680</v>
      </c>
      <c r="AR675" s="39" t="str">
        <f>IF(NOTA[[#This Row],[QTY/ CTN]]="","",TRUE)</f>
        <v/>
      </c>
      <c r="AS675" s="39" t="str">
        <f ca="1">IF(NOTA[[#This Row],[ID_H]]="","",IF(NOTA[[#This Row],[Column3]]=TRUE,NOTA[[#This Row],[QTY/ CTN]],INDEX([3]!db[QTY/ CTN],NOTA[[#This Row],[//DB]])))</f>
        <v>36 LSN</v>
      </c>
      <c r="AT6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675" s="39" t="e">
        <f ca="1">IF(NOTA[[#This Row],[ID_H]]="","",MATCH(NOTA[[#This Row],[NB NOTA_C_QTY]],[4]!db[NB NOTA_C_QTY+F],0))</f>
        <v>#REF!</v>
      </c>
      <c r="AV675" s="55">
        <f ca="1">IF(NOTA[[#This Row],[NB NOTA_C_QTY]]="","",ROW()-2)</f>
        <v>673</v>
      </c>
    </row>
    <row r="676" spans="1:48" ht="20.100000000000001" customHeight="1" x14ac:dyDescent="0.25">
      <c r="A6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>
        <f ca="1">IF(NOTA[[#This Row],[NAMA BARANG]]="","",INDEX(NOTA[ID],MATCH(,INDIRECT(ADDRESS(ROW(NOTA[ID]),COLUMN(NOTA[ID]))&amp;":"&amp;ADDRESS(ROW(),COLUMN(NOTA[ID]))),-1)))</f>
        <v>131</v>
      </c>
      <c r="E676" s="47"/>
      <c r="H676" s="48"/>
      <c r="K676" s="38">
        <v>1</v>
      </c>
      <c r="L676" s="38" t="s">
        <v>753</v>
      </c>
      <c r="M676" s="41">
        <v>2</v>
      </c>
      <c r="N676" s="39"/>
      <c r="Q676" s="43">
        <v>504000</v>
      </c>
      <c r="R676" s="49"/>
      <c r="S676" s="50">
        <v>0.17</v>
      </c>
      <c r="U676" s="51"/>
      <c r="V676" s="46"/>
      <c r="W676" s="51">
        <f>IF(NOTA[[#This Row],[HARGA/ CTN]]="",NOTA[[#This Row],[JUMLAH_H]],NOTA[[#This Row],[HARGA/ CTN]]*IF(NOTA[[#This Row],[C]]="",0,NOTA[[#This Row],[C]]))</f>
        <v>1008000</v>
      </c>
      <c r="X676" s="51">
        <f>IF(NOTA[[#This Row],[JUMLAH]]="","",NOTA[[#This Row],[JUMLAH]]*NOTA[[#This Row],[DISC 1]])</f>
        <v>171360</v>
      </c>
      <c r="Y676" s="51">
        <f>IF(NOTA[[#This Row],[JUMLAH]]="","",(NOTA[[#This Row],[JUMLAH]]-NOTA[[#This Row],[DISC 1-]])*NOTA[[#This Row],[DISC 2]])</f>
        <v>0</v>
      </c>
      <c r="Z676" s="51">
        <f>IF(NOTA[[#This Row],[JUMLAH]]="","",NOTA[[#This Row],[DISC 1-]]+NOTA[[#This Row],[DISC 2-]])</f>
        <v>171360</v>
      </c>
      <c r="AA676" s="51">
        <f>IF(NOTA[[#This Row],[JUMLAH]]="","",NOTA[[#This Row],[JUMLAH]]-NOTA[[#This Row],[DISC]])</f>
        <v>836640</v>
      </c>
      <c r="AB676" s="51"/>
      <c r="AC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76" s="51" t="str">
        <f>IF(OR(NOTA[[#This Row],[QTY]]="",NOTA[[#This Row],[HARGA SATUAN]]="",),"",NOTA[[#This Row],[QTY]]*NOTA[[#This Row],[HARGA SATUAN]])</f>
        <v/>
      </c>
      <c r="AG676" s="40">
        <f ca="1">IF(NOTA[ID_H]="","",INDEX(NOTA[TANGGAL],MATCH(,INDIRECT(ADDRESS(ROW(NOTA[TANGGAL]),COLUMN(NOTA[TANGGAL]))&amp;":"&amp;ADDRESS(ROW(),COLUMN(NOTA[TANGGAL]))),-1)))</f>
        <v>45131</v>
      </c>
      <c r="AH676" s="42" t="str">
        <f ca="1">IF(NOTA[[#This Row],[NAMA BARANG]]="","",INDEX(NOTA[SUPPLIER],MATCH(,INDIRECT(ADDRESS(ROW(NOTA[ID]),COLUMN(NOTA[ID]))&amp;":"&amp;ADDRESS(ROW(),COLUMN(NOTA[ID]))),-1)))</f>
        <v>KENKO SINAR INDONESIA</v>
      </c>
      <c r="AI676" s="42" t="str">
        <f ca="1">IF(NOTA[[#This Row],[ID_H]]="","",IF(NOTA[[#This Row],[FAKTUR]]="",INDIRECT(ADDRESS(ROW()-1,COLUMN())),NOTA[[#This Row],[FAKTUR]]))</f>
        <v>ARTO MORO</v>
      </c>
      <c r="AJ676" s="39" t="str">
        <f ca="1">IF(NOTA[[#This Row],[ID]]="","",COUNTIF(NOTA[ID_H],NOTA[[#This Row],[ID_H]]))</f>
        <v/>
      </c>
      <c r="AK676" s="39">
        <f ca="1">IF(NOTA[[#This Row],[TGL.NOTA]]="",IF(NOTA[[#This Row],[SUPPLIER_H]]="","",AK675),MONTH(NOTA[[#This Row],[TGL.NOTA]]))</f>
        <v>7</v>
      </c>
      <c r="AL676" s="39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6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6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6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39" t="str">
        <f>IF(NOTA[[#This Row],[CONCAT4]]="","",_xlfn.IFNA(MATCH(NOTA[[#This Row],[CONCAT4]],[2]!RAW[CONCAT_H],0),FALSE))</f>
        <v/>
      </c>
      <c r="AQ676" s="39">
        <f>IF(NOTA[[#This Row],[CONCAT1]]="","",MATCH(NOTA[[#This Row],[CONCAT1]],[3]!db[NB NOTA_C],0))</f>
        <v>2470</v>
      </c>
      <c r="AR676" s="39" t="str">
        <f>IF(NOTA[[#This Row],[QTY/ CTN]]="","",TRUE)</f>
        <v/>
      </c>
      <c r="AS676" s="39" t="str">
        <f ca="1">IF(NOTA[[#This Row],[ID_H]]="","",IF(NOTA[[#This Row],[Column3]]=TRUE,NOTA[[#This Row],[QTY/ CTN]],INDEX([3]!db[QTY/ CTN],NOTA[[#This Row],[//DB]])))</f>
        <v>6 PCS</v>
      </c>
      <c r="AT6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676" s="39" t="e">
        <f ca="1">IF(NOTA[[#This Row],[ID_H]]="","",MATCH(NOTA[[#This Row],[NB NOTA_C_QTY]],[4]!db[NB NOTA_C_QTY+F],0))</f>
        <v>#REF!</v>
      </c>
      <c r="AV676" s="55">
        <f ca="1">IF(NOTA[[#This Row],[NB NOTA_C_QTY]]="","",ROW()-2)</f>
        <v>674</v>
      </c>
    </row>
    <row r="677" spans="1:48" ht="20.100000000000001" customHeight="1" x14ac:dyDescent="0.25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>
        <f ca="1">IF(NOTA[[#This Row],[NAMA BARANG]]="","",INDEX(NOTA[ID],MATCH(,INDIRECT(ADDRESS(ROW(NOTA[ID]),COLUMN(NOTA[ID]))&amp;":"&amp;ADDRESS(ROW(),COLUMN(NOTA[ID]))),-1)))</f>
        <v>131</v>
      </c>
      <c r="E677" s="47"/>
      <c r="H677" s="48"/>
      <c r="K677" s="38">
        <v>1</v>
      </c>
      <c r="L677" s="38" t="s">
        <v>754</v>
      </c>
      <c r="M677" s="41">
        <v>1</v>
      </c>
      <c r="N677" s="39"/>
      <c r="Q677" s="43">
        <v>930000</v>
      </c>
      <c r="R677" s="49"/>
      <c r="S677" s="50">
        <v>0.17</v>
      </c>
      <c r="U677" s="51"/>
      <c r="V677" s="46"/>
      <c r="W677" s="51">
        <f>IF(NOTA[[#This Row],[HARGA/ CTN]]="",NOTA[[#This Row],[JUMLAH_H]],NOTA[[#This Row],[HARGA/ CTN]]*IF(NOTA[[#This Row],[C]]="",0,NOTA[[#This Row],[C]]))</f>
        <v>930000</v>
      </c>
      <c r="X677" s="51">
        <f>IF(NOTA[[#This Row],[JUMLAH]]="","",NOTA[[#This Row],[JUMLAH]]*NOTA[[#This Row],[DISC 1]])</f>
        <v>158100</v>
      </c>
      <c r="Y677" s="51">
        <f>IF(NOTA[[#This Row],[JUMLAH]]="","",(NOTA[[#This Row],[JUMLAH]]-NOTA[[#This Row],[DISC 1-]])*NOTA[[#This Row],[DISC 2]])</f>
        <v>0</v>
      </c>
      <c r="Z677" s="51">
        <f>IF(NOTA[[#This Row],[JUMLAH]]="","",NOTA[[#This Row],[DISC 1-]]+NOTA[[#This Row],[DISC 2-]])</f>
        <v>158100</v>
      </c>
      <c r="AA677" s="51">
        <f>IF(NOTA[[#This Row],[JUMLAH]]="","",NOTA[[#This Row],[JUMLAH]]-NOTA[[#This Row],[DISC]])</f>
        <v>771900</v>
      </c>
      <c r="AB677" s="51"/>
      <c r="AC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42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677" s="51" t="str">
        <f>IF(OR(NOTA[[#This Row],[QTY]]="",NOTA[[#This Row],[HARGA SATUAN]]="",),"",NOTA[[#This Row],[QTY]]*NOTA[[#This Row],[HARGA SATUAN]])</f>
        <v/>
      </c>
      <c r="AG677" s="40">
        <f ca="1">IF(NOTA[ID_H]="","",INDEX(NOTA[TANGGAL],MATCH(,INDIRECT(ADDRESS(ROW(NOTA[TANGGAL]),COLUMN(NOTA[TANGGAL]))&amp;":"&amp;ADDRESS(ROW(),COLUMN(NOTA[TANGGAL]))),-1)))</f>
        <v>45131</v>
      </c>
      <c r="AH677" s="42" t="str">
        <f ca="1">IF(NOTA[[#This Row],[NAMA BARANG]]="","",INDEX(NOTA[SUPPLIER],MATCH(,INDIRECT(ADDRESS(ROW(NOTA[ID]),COLUMN(NOTA[ID]))&amp;":"&amp;ADDRESS(ROW(),COLUMN(NOTA[ID]))),-1)))</f>
        <v>KENKO SINAR INDONESIA</v>
      </c>
      <c r="AI677" s="42" t="str">
        <f ca="1">IF(NOTA[[#This Row],[ID_H]]="","",IF(NOTA[[#This Row],[FAKTUR]]="",INDIRECT(ADDRESS(ROW()-1,COLUMN())),NOTA[[#This Row],[FAKTUR]]))</f>
        <v>ARTO MORO</v>
      </c>
      <c r="AJ677" s="39" t="str">
        <f ca="1">IF(NOTA[[#This Row],[ID]]="","",COUNTIF(NOTA[ID_H],NOTA[[#This Row],[ID_H]]))</f>
        <v/>
      </c>
      <c r="AK677" s="39">
        <f ca="1">IF(NOTA[[#This Row],[TGL.NOTA]]="",IF(NOTA[[#This Row],[SUPPLIER_H]]="","",AK676),MONTH(NOTA[[#This Row],[TGL.NOTA]]))</f>
        <v>7</v>
      </c>
      <c r="AL677" s="39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6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6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6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39" t="str">
        <f>IF(NOTA[[#This Row],[CONCAT4]]="","",_xlfn.IFNA(MATCH(NOTA[[#This Row],[CONCAT4]],[2]!RAW[CONCAT_H],0),FALSE))</f>
        <v/>
      </c>
      <c r="AQ677" s="39">
        <f>IF(NOTA[[#This Row],[CONCAT1]]="","",MATCH(NOTA[[#This Row],[CONCAT1]],[3]!db[NB NOTA_C],0))</f>
        <v>2471</v>
      </c>
      <c r="AR677" s="39" t="str">
        <f>IF(NOTA[[#This Row],[QTY/ CTN]]="","",TRUE)</f>
        <v/>
      </c>
      <c r="AS677" s="39" t="str">
        <f ca="1">IF(NOTA[[#This Row],[ID_H]]="","",IF(NOTA[[#This Row],[Column3]]=TRUE,NOTA[[#This Row],[QTY/ CTN]],INDEX([3]!db[QTY/ CTN],NOTA[[#This Row],[//DB]])))</f>
        <v>6 PCS</v>
      </c>
      <c r="AT6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677" s="39" t="e">
        <f ca="1">IF(NOTA[[#This Row],[ID_H]]="","",MATCH(NOTA[[#This Row],[NB NOTA_C_QTY]],[4]!db[NB NOTA_C_QTY+F],0))</f>
        <v>#REF!</v>
      </c>
      <c r="AV677" s="55">
        <f ca="1">IF(NOTA[[#This Row],[NB NOTA_C_QTY]]="","",ROW()-2)</f>
        <v>675</v>
      </c>
    </row>
    <row r="678" spans="1:48" ht="20.100000000000001" customHeight="1" x14ac:dyDescent="0.25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>
        <f ca="1">IF(NOTA[[#This Row],[NAMA BARANG]]="","",INDEX(NOTA[ID],MATCH(,INDIRECT(ADDRESS(ROW(NOTA[ID]),COLUMN(NOTA[ID]))&amp;":"&amp;ADDRESS(ROW(),COLUMN(NOTA[ID]))),-1)))</f>
        <v>131</v>
      </c>
      <c r="E678" s="47"/>
      <c r="H678" s="48"/>
      <c r="L678" s="38" t="s">
        <v>330</v>
      </c>
      <c r="M678" s="41">
        <v>1</v>
      </c>
      <c r="N678" s="39"/>
      <c r="Q678" s="43">
        <v>1590000</v>
      </c>
      <c r="R678" s="49"/>
      <c r="S678" s="50">
        <v>0.17</v>
      </c>
      <c r="U678" s="51"/>
      <c r="V678" s="46"/>
      <c r="W678" s="51">
        <f>IF(NOTA[[#This Row],[HARGA/ CTN]]="",NOTA[[#This Row],[JUMLAH_H]],NOTA[[#This Row],[HARGA/ CTN]]*IF(NOTA[[#This Row],[C]]="",0,NOTA[[#This Row],[C]]))</f>
        <v>1590000</v>
      </c>
      <c r="X678" s="51">
        <f>IF(NOTA[[#This Row],[JUMLAH]]="","",NOTA[[#This Row],[JUMLAH]]*NOTA[[#This Row],[DISC 1]])</f>
        <v>270300</v>
      </c>
      <c r="Y678" s="51">
        <f>IF(NOTA[[#This Row],[JUMLAH]]="","",(NOTA[[#This Row],[JUMLAH]]-NOTA[[#This Row],[DISC 1-]])*NOTA[[#This Row],[DISC 2]])</f>
        <v>0</v>
      </c>
      <c r="Z678" s="51">
        <f>IF(NOTA[[#This Row],[JUMLAH]]="","",NOTA[[#This Row],[DISC 1-]]+NOTA[[#This Row],[DISC 2-]])</f>
        <v>270300</v>
      </c>
      <c r="AA678" s="51">
        <f>IF(NOTA[[#This Row],[JUMLAH]]="","",NOTA[[#This Row],[JUMLAH]]-NOTA[[#This Row],[DISC]])</f>
        <v>1319700</v>
      </c>
      <c r="AB678" s="51"/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78" s="51" t="str">
        <f>IF(OR(NOTA[[#This Row],[QTY]]="",NOTA[[#This Row],[HARGA SATUAN]]="",),"",NOTA[[#This Row],[QTY]]*NOTA[[#This Row],[HARGA SATUAN]])</f>
        <v/>
      </c>
      <c r="AG678" s="40">
        <f ca="1">IF(NOTA[ID_H]="","",INDEX(NOTA[TANGGAL],MATCH(,INDIRECT(ADDRESS(ROW(NOTA[TANGGAL]),COLUMN(NOTA[TANGGAL]))&amp;":"&amp;ADDRESS(ROW(),COLUMN(NOTA[TANGGAL]))),-1)))</f>
        <v>45131</v>
      </c>
      <c r="AH678" s="42" t="str">
        <f ca="1">IF(NOTA[[#This Row],[NAMA BARANG]]="","",INDEX(NOTA[SUPPLIER],MATCH(,INDIRECT(ADDRESS(ROW(NOTA[ID]),COLUMN(NOTA[ID]))&amp;":"&amp;ADDRESS(ROW(),COLUMN(NOTA[ID]))),-1)))</f>
        <v>KENKO SINAR INDONESIA</v>
      </c>
      <c r="AI678" s="42" t="str">
        <f ca="1">IF(NOTA[[#This Row],[ID_H]]="","",IF(NOTA[[#This Row],[FAKTUR]]="",INDIRECT(ADDRESS(ROW()-1,COLUMN())),NOTA[[#This Row],[FAKTUR]]))</f>
        <v>ARTO MORO</v>
      </c>
      <c r="AJ678" s="39" t="str">
        <f ca="1">IF(NOTA[[#This Row],[ID]]="","",COUNTIF(NOTA[ID_H],NOTA[[#This Row],[ID_H]]))</f>
        <v/>
      </c>
      <c r="AK678" s="39">
        <f ca="1">IF(NOTA[[#This Row],[TGL.NOTA]]="",IF(NOTA[[#This Row],[SUPPLIER_H]]="","",AK677),MONTH(NOTA[[#This Row],[TGL.NOTA]]))</f>
        <v>7</v>
      </c>
      <c r="AL67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39" t="str">
        <f>IF(NOTA[[#This Row],[CONCAT4]]="","",_xlfn.IFNA(MATCH(NOTA[[#This Row],[CONCAT4]],[2]!RAW[CONCAT_H],0),FALSE))</f>
        <v/>
      </c>
      <c r="AQ678" s="39">
        <f>IF(NOTA[[#This Row],[CONCAT1]]="","",MATCH(NOTA[[#This Row],[CONCAT1]],[3]!db[NB NOTA_C],0))</f>
        <v>227</v>
      </c>
      <c r="AR678" s="39" t="str">
        <f>IF(NOTA[[#This Row],[QTY/ CTN]]="","",TRUE)</f>
        <v/>
      </c>
      <c r="AS678" s="39" t="str">
        <f ca="1">IF(NOTA[[#This Row],[ID_H]]="","",IF(NOTA[[#This Row],[Column3]]=TRUE,NOTA[[#This Row],[QTY/ CTN]],INDEX([3]!db[QTY/ CTN],NOTA[[#This Row],[//DB]])))</f>
        <v>50 GRS</v>
      </c>
      <c r="AT6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678" s="39" t="e">
        <f ca="1">IF(NOTA[[#This Row],[ID_H]]="","",MATCH(NOTA[[#This Row],[NB NOTA_C_QTY]],[4]!db[NB NOTA_C_QTY+F],0))</f>
        <v>#REF!</v>
      </c>
      <c r="AV678" s="55">
        <f ca="1">IF(NOTA[[#This Row],[NB NOTA_C_QTY]]="","",ROW()-2)</f>
        <v>676</v>
      </c>
    </row>
    <row r="679" spans="1:48" ht="20.100000000000001" customHeight="1" x14ac:dyDescent="0.25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>
        <f ca="1">IF(NOTA[[#This Row],[NAMA BARANG]]="","",INDEX(NOTA[ID],MATCH(,INDIRECT(ADDRESS(ROW(NOTA[ID]),COLUMN(NOTA[ID]))&amp;":"&amp;ADDRESS(ROW(),COLUMN(NOTA[ID]))),-1)))</f>
        <v>131</v>
      </c>
      <c r="E679" s="47"/>
      <c r="H679" s="48"/>
      <c r="K679" s="38">
        <v>3</v>
      </c>
      <c r="L679" s="38" t="s">
        <v>750</v>
      </c>
      <c r="M679" s="41">
        <v>3</v>
      </c>
      <c r="N679" s="39"/>
      <c r="Q679" s="43">
        <v>3801600</v>
      </c>
      <c r="R679" s="49"/>
      <c r="S679" s="50">
        <v>0.17</v>
      </c>
      <c r="U679" s="51"/>
      <c r="V679" s="46"/>
      <c r="W679" s="51">
        <f>IF(NOTA[[#This Row],[HARGA/ CTN]]="",NOTA[[#This Row],[JUMLAH_H]],NOTA[[#This Row],[HARGA/ CTN]]*IF(NOTA[[#This Row],[C]]="",0,NOTA[[#This Row],[C]]))</f>
        <v>11404800</v>
      </c>
      <c r="X679" s="51">
        <f>IF(NOTA[[#This Row],[JUMLAH]]="","",NOTA[[#This Row],[JUMLAH]]*NOTA[[#This Row],[DISC 1]])</f>
        <v>1938816.0000000002</v>
      </c>
      <c r="Y679" s="51">
        <f>IF(NOTA[[#This Row],[JUMLAH]]="","",(NOTA[[#This Row],[JUMLAH]]-NOTA[[#This Row],[DISC 1-]])*NOTA[[#This Row],[DISC 2]])</f>
        <v>0</v>
      </c>
      <c r="Z679" s="51">
        <f>IF(NOTA[[#This Row],[JUMLAH]]="","",NOTA[[#This Row],[DISC 1-]]+NOTA[[#This Row],[DISC 2-]])</f>
        <v>1938816.0000000002</v>
      </c>
      <c r="AA679" s="51">
        <f>IF(NOTA[[#This Row],[JUMLAH]]="","",NOTA[[#This Row],[JUMLAH]]-NOTA[[#This Row],[DISC]])</f>
        <v>9465984</v>
      </c>
      <c r="AB679" s="51"/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42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679" s="51" t="str">
        <f>IF(OR(NOTA[[#This Row],[QTY]]="",NOTA[[#This Row],[HARGA SATUAN]]="",),"",NOTA[[#This Row],[QTY]]*NOTA[[#This Row],[HARGA SATUAN]])</f>
        <v/>
      </c>
      <c r="AG679" s="40">
        <f ca="1">IF(NOTA[ID_H]="","",INDEX(NOTA[TANGGAL],MATCH(,INDIRECT(ADDRESS(ROW(NOTA[TANGGAL]),COLUMN(NOTA[TANGGAL]))&amp;":"&amp;ADDRESS(ROW(),COLUMN(NOTA[TANGGAL]))),-1)))</f>
        <v>45131</v>
      </c>
      <c r="AH679" s="42" t="str">
        <f ca="1">IF(NOTA[[#This Row],[NAMA BARANG]]="","",INDEX(NOTA[SUPPLIER],MATCH(,INDIRECT(ADDRESS(ROW(NOTA[ID]),COLUMN(NOTA[ID]))&amp;":"&amp;ADDRESS(ROW(),COLUMN(NOTA[ID]))),-1)))</f>
        <v>KENKO SINAR INDONESIA</v>
      </c>
      <c r="AI679" s="42" t="str">
        <f ca="1">IF(NOTA[[#This Row],[ID_H]]="","",IF(NOTA[[#This Row],[FAKTUR]]="",INDIRECT(ADDRESS(ROW()-1,COLUMN())),NOTA[[#This Row],[FAKTUR]]))</f>
        <v>ARTO MORO</v>
      </c>
      <c r="AJ679" s="39" t="str">
        <f ca="1">IF(NOTA[[#This Row],[ID]]="","",COUNTIF(NOTA[ID_H],NOTA[[#This Row],[ID_H]]))</f>
        <v/>
      </c>
      <c r="AK679" s="39">
        <f ca="1">IF(NOTA[[#This Row],[TGL.NOTA]]="",IF(NOTA[[#This Row],[SUPPLIER_H]]="","",AK678),MONTH(NOTA[[#This Row],[TGL.NOTA]]))</f>
        <v>7</v>
      </c>
      <c r="AL679" s="39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6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6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6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39" t="str">
        <f>IF(NOTA[[#This Row],[CONCAT4]]="","",_xlfn.IFNA(MATCH(NOTA[[#This Row],[CONCAT4]],[2]!RAW[CONCAT_H],0),FALSE))</f>
        <v/>
      </c>
      <c r="AQ679" s="39">
        <f>IF(NOTA[[#This Row],[CONCAT1]]="","",MATCH(NOTA[[#This Row],[CONCAT1]],[3]!db[NB NOTA_C],0))</f>
        <v>2341</v>
      </c>
      <c r="AR679" s="39" t="str">
        <f>IF(NOTA[[#This Row],[QTY/ CTN]]="","",TRUE)</f>
        <v/>
      </c>
      <c r="AS679" s="39" t="str">
        <f ca="1">IF(NOTA[[#This Row],[ID_H]]="","",IF(NOTA[[#This Row],[Column3]]=TRUE,NOTA[[#This Row],[QTY/ CTN]],INDEX([3]!db[QTY/ CTN],NOTA[[#This Row],[//DB]])))</f>
        <v>24 BOX (24 SET)</v>
      </c>
      <c r="AT6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679" s="39" t="e">
        <f ca="1">IF(NOTA[[#This Row],[ID_H]]="","",MATCH(NOTA[[#This Row],[NB NOTA_C_QTY]],[4]!db[NB NOTA_C_QTY+F],0))</f>
        <v>#REF!</v>
      </c>
      <c r="AV679" s="55">
        <f ca="1">IF(NOTA[[#This Row],[NB NOTA_C_QTY]]="","",ROW()-2)</f>
        <v>677</v>
      </c>
    </row>
    <row r="680" spans="1:48" ht="20.100000000000001" customHeight="1" x14ac:dyDescent="0.25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>
        <f ca="1">IF(NOTA[[#This Row],[NAMA BARANG]]="","",INDEX(NOTA[ID],MATCH(,INDIRECT(ADDRESS(ROW(NOTA[ID]),COLUMN(NOTA[ID]))&amp;":"&amp;ADDRESS(ROW(),COLUMN(NOTA[ID]))),-1)))</f>
        <v>131</v>
      </c>
      <c r="E680" s="47"/>
      <c r="H680" s="48"/>
      <c r="K680" s="38">
        <v>8</v>
      </c>
      <c r="L680" s="38" t="s">
        <v>755</v>
      </c>
      <c r="M680" s="41">
        <v>8</v>
      </c>
      <c r="N680" s="39"/>
      <c r="Q680" s="57">
        <v>2980800</v>
      </c>
      <c r="R680" s="49"/>
      <c r="S680" s="50">
        <v>0.17</v>
      </c>
      <c r="U680" s="51"/>
      <c r="V680" s="46"/>
      <c r="W680" s="51">
        <f>IF(NOTA[[#This Row],[HARGA/ CTN]]="",NOTA[[#This Row],[JUMLAH_H]],NOTA[[#This Row],[HARGA/ CTN]]*IF(NOTA[[#This Row],[C]]="",0,NOTA[[#This Row],[C]]))</f>
        <v>23846400</v>
      </c>
      <c r="X680" s="51">
        <f>IF(NOTA[[#This Row],[JUMLAH]]="","",NOTA[[#This Row],[JUMLAH]]*NOTA[[#This Row],[DISC 1]])</f>
        <v>4053888.0000000005</v>
      </c>
      <c r="Y680" s="51">
        <f>IF(NOTA[[#This Row],[JUMLAH]]="","",(NOTA[[#This Row],[JUMLAH]]-NOTA[[#This Row],[DISC 1-]])*NOTA[[#This Row],[DISC 2]])</f>
        <v>0</v>
      </c>
      <c r="Z680" s="51">
        <f>IF(NOTA[[#This Row],[JUMLAH]]="","",NOTA[[#This Row],[DISC 1-]]+NOTA[[#This Row],[DISC 2-]])</f>
        <v>4053888.0000000005</v>
      </c>
      <c r="AA680" s="51">
        <f>IF(NOTA[[#This Row],[JUMLAH]]="","",NOTA[[#This Row],[JUMLAH]]-NOTA[[#This Row],[DISC]])</f>
        <v>19792512</v>
      </c>
      <c r="AB680" s="51"/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680" s="51" t="str">
        <f>IF(OR(NOTA[[#This Row],[QTY]]="",NOTA[[#This Row],[HARGA SATUAN]]="",),"",NOTA[[#This Row],[QTY]]*NOTA[[#This Row],[HARGA SATUAN]])</f>
        <v/>
      </c>
      <c r="AG680" s="40">
        <f ca="1">IF(NOTA[ID_H]="","",INDEX(NOTA[TANGGAL],MATCH(,INDIRECT(ADDRESS(ROW(NOTA[TANGGAL]),COLUMN(NOTA[TANGGAL]))&amp;":"&amp;ADDRESS(ROW(),COLUMN(NOTA[TANGGAL]))),-1)))</f>
        <v>45131</v>
      </c>
      <c r="AH680" s="42" t="str">
        <f ca="1">IF(NOTA[[#This Row],[NAMA BARANG]]="","",INDEX(NOTA[SUPPLIER],MATCH(,INDIRECT(ADDRESS(ROW(NOTA[ID]),COLUMN(NOTA[ID]))&amp;":"&amp;ADDRESS(ROW(),COLUMN(NOTA[ID]))),-1)))</f>
        <v>KENKO SINAR INDONESIA</v>
      </c>
      <c r="AI680" s="42" t="str">
        <f ca="1">IF(NOTA[[#This Row],[ID_H]]="","",IF(NOTA[[#This Row],[FAKTUR]]="",INDIRECT(ADDRESS(ROW()-1,COLUMN())),NOTA[[#This Row],[FAKTUR]]))</f>
        <v>ARTO MORO</v>
      </c>
      <c r="AJ680" s="39" t="str">
        <f ca="1">IF(NOTA[[#This Row],[ID]]="","",COUNTIF(NOTA[ID_H],NOTA[[#This Row],[ID_H]]))</f>
        <v/>
      </c>
      <c r="AK680" s="39">
        <f ca="1">IF(NOTA[[#This Row],[TGL.NOTA]]="",IF(NOTA[[#This Row],[SUPPLIER_H]]="","",AK679),MONTH(NOTA[[#This Row],[TGL.NOTA]]))</f>
        <v>7</v>
      </c>
      <c r="AL680" s="39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6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6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6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39" t="str">
        <f>IF(NOTA[[#This Row],[CONCAT4]]="","",_xlfn.IFNA(MATCH(NOTA[[#This Row],[CONCAT4]],[2]!RAW[CONCAT_H],0),FALSE))</f>
        <v/>
      </c>
      <c r="AQ680" s="39">
        <f>IF(NOTA[[#This Row],[CONCAT1]]="","",MATCH(NOTA[[#This Row],[CONCAT1]],[3]!db[NB NOTA_C],0))</f>
        <v>2333</v>
      </c>
      <c r="AR680" s="39" t="str">
        <f>IF(NOTA[[#This Row],[QTY/ CTN]]="","",TRUE)</f>
        <v/>
      </c>
      <c r="AS680" s="39" t="str">
        <f ca="1">IF(NOTA[[#This Row],[ID_H]]="","",IF(NOTA[[#This Row],[Column3]]=TRUE,NOTA[[#This Row],[QTY/ CTN]],INDEX([3]!db[QTY/ CTN],NOTA[[#This Row],[//DB]])))</f>
        <v>24 LSN</v>
      </c>
      <c r="AT6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680" s="39" t="e">
        <f ca="1">IF(NOTA[[#This Row],[ID_H]]="","",MATCH(NOTA[[#This Row],[NB NOTA_C_QTY]],[4]!db[NB NOTA_C_QTY+F],0))</f>
        <v>#REF!</v>
      </c>
      <c r="AV680" s="55">
        <f ca="1">IF(NOTA[[#This Row],[NB NOTA_C_QTY]]="","",ROW()-2)</f>
        <v>678</v>
      </c>
    </row>
    <row r="681" spans="1:48" ht="20.100000000000001" customHeight="1" x14ac:dyDescent="0.25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>
        <f ca="1">IF(NOTA[[#This Row],[NAMA BARANG]]="","",INDEX(NOTA[ID],MATCH(,INDIRECT(ADDRESS(ROW(NOTA[ID]),COLUMN(NOTA[ID]))&amp;":"&amp;ADDRESS(ROW(),COLUMN(NOTA[ID]))),-1)))</f>
        <v>131</v>
      </c>
      <c r="E681" s="47"/>
      <c r="H681" s="48"/>
      <c r="K681" s="38">
        <v>2</v>
      </c>
      <c r="L681" s="38" t="s">
        <v>751</v>
      </c>
      <c r="M681" s="41">
        <v>2</v>
      </c>
      <c r="N681" s="39"/>
      <c r="Q681" s="43">
        <v>2980800</v>
      </c>
      <c r="R681" s="49"/>
      <c r="S681" s="50">
        <v>0.17</v>
      </c>
      <c r="U681" s="51"/>
      <c r="V681" s="46"/>
      <c r="W681" s="51">
        <f>IF(NOTA[[#This Row],[HARGA/ CTN]]="",NOTA[[#This Row],[JUMLAH_H]],NOTA[[#This Row],[HARGA/ CTN]]*IF(NOTA[[#This Row],[C]]="",0,NOTA[[#This Row],[C]]))</f>
        <v>5961600</v>
      </c>
      <c r="X681" s="51">
        <f>IF(NOTA[[#This Row],[JUMLAH]]="","",NOTA[[#This Row],[JUMLAH]]*NOTA[[#This Row],[DISC 1]])</f>
        <v>1013472.0000000001</v>
      </c>
      <c r="Y681" s="51">
        <f>IF(NOTA[[#This Row],[JUMLAH]]="","",(NOTA[[#This Row],[JUMLAH]]-NOTA[[#This Row],[DISC 1-]])*NOTA[[#This Row],[DISC 2]])</f>
        <v>0</v>
      </c>
      <c r="Z681" s="51">
        <f>IF(NOTA[[#This Row],[JUMLAH]]="","",NOTA[[#This Row],[DISC 1-]]+NOTA[[#This Row],[DISC 2-]])</f>
        <v>1013472.0000000001</v>
      </c>
      <c r="AA681" s="51">
        <f>IF(NOTA[[#This Row],[JUMLAH]]="","",NOTA[[#This Row],[JUMLAH]]-NOTA[[#This Row],[DISC]])</f>
        <v>4948128</v>
      </c>
      <c r="AB681" s="51"/>
      <c r="AC6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9945476</v>
      </c>
      <c r="AD6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48557324</v>
      </c>
      <c r="AE681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681" s="51" t="str">
        <f>IF(OR(NOTA[[#This Row],[QTY]]="",NOTA[[#This Row],[HARGA SATUAN]]="",),"",NOTA[[#This Row],[QTY]]*NOTA[[#This Row],[HARGA SATUAN]])</f>
        <v/>
      </c>
      <c r="AG681" s="40">
        <f ca="1">IF(NOTA[ID_H]="","",INDEX(NOTA[TANGGAL],MATCH(,INDIRECT(ADDRESS(ROW(NOTA[TANGGAL]),COLUMN(NOTA[TANGGAL]))&amp;":"&amp;ADDRESS(ROW(),COLUMN(NOTA[TANGGAL]))),-1)))</f>
        <v>45131</v>
      </c>
      <c r="AH681" s="42" t="str">
        <f ca="1">IF(NOTA[[#This Row],[NAMA BARANG]]="","",INDEX(NOTA[SUPPLIER],MATCH(,INDIRECT(ADDRESS(ROW(NOTA[ID]),COLUMN(NOTA[ID]))&amp;":"&amp;ADDRESS(ROW(),COLUMN(NOTA[ID]))),-1)))</f>
        <v>KENKO SINAR INDONESIA</v>
      </c>
      <c r="AI681" s="42" t="str">
        <f ca="1">IF(NOTA[[#This Row],[ID_H]]="","",IF(NOTA[[#This Row],[FAKTUR]]="",INDIRECT(ADDRESS(ROW()-1,COLUMN())),NOTA[[#This Row],[FAKTUR]]))</f>
        <v>ARTO MORO</v>
      </c>
      <c r="AJ681" s="39" t="str">
        <f ca="1">IF(NOTA[[#This Row],[ID]]="","",COUNTIF(NOTA[ID_H],NOTA[[#This Row],[ID_H]]))</f>
        <v/>
      </c>
      <c r="AK681" s="39">
        <f ca="1">IF(NOTA[[#This Row],[TGL.NOTA]]="",IF(NOTA[[#This Row],[SUPPLIER_H]]="","",AK680),MONTH(NOTA[[#This Row],[TGL.NOTA]]))</f>
        <v>7</v>
      </c>
      <c r="AL681" s="39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6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6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6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39" t="str">
        <f>IF(NOTA[[#This Row],[CONCAT4]]="","",_xlfn.IFNA(MATCH(NOTA[[#This Row],[CONCAT4]],[2]!RAW[CONCAT_H],0),FALSE))</f>
        <v/>
      </c>
      <c r="AQ681" s="39">
        <f>IF(NOTA[[#This Row],[CONCAT1]]="","",MATCH(NOTA[[#This Row],[CONCAT1]],[3]!db[NB NOTA_C],0))</f>
        <v>2344</v>
      </c>
      <c r="AR681" s="39" t="str">
        <f>IF(NOTA[[#This Row],[QTY/ CTN]]="","",TRUE)</f>
        <v/>
      </c>
      <c r="AS681" s="39" t="str">
        <f ca="1">IF(NOTA[[#This Row],[ID_H]]="","",IF(NOTA[[#This Row],[Column3]]=TRUE,NOTA[[#This Row],[QTY/ CTN]],INDEX([3]!db[QTY/ CTN],NOTA[[#This Row],[//DB]])))</f>
        <v>24 BOX (6 SET)</v>
      </c>
      <c r="AT6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U681" s="39" t="e">
        <f ca="1">IF(NOTA[[#This Row],[ID_H]]="","",MATCH(NOTA[[#This Row],[NB NOTA_C_QTY]],[4]!db[NB NOTA_C_QTY+F],0))</f>
        <v>#REF!</v>
      </c>
      <c r="AV681" s="55">
        <f ca="1">IF(NOTA[[#This Row],[NB NOTA_C_QTY]]="","",ROW()-2)</f>
        <v>679</v>
      </c>
    </row>
    <row r="682" spans="1:48" ht="20.100000000000001" customHeight="1" x14ac:dyDescent="0.25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47"/>
      <c r="H682" s="48"/>
      <c r="N682" s="39"/>
      <c r="Q682" s="43"/>
      <c r="R682" s="49"/>
      <c r="S682" s="50"/>
      <c r="U682" s="51"/>
      <c r="V682" s="46"/>
      <c r="W682" s="51" t="str">
        <f>IF(NOTA[[#This Row],[HARGA/ CTN]]="",NOTA[[#This Row],[JUMLAH_H]],NOTA[[#This Row],[HARGA/ CTN]]*IF(NOTA[[#This Row],[C]]="",0,NOTA[[#This Row],[C]]))</f>
        <v/>
      </c>
      <c r="X682" s="51" t="str">
        <f>IF(NOTA[[#This Row],[JUMLAH]]="","",NOTA[[#This Row],[JUMLAH]]*NOTA[[#This Row],[DISC 1]])</f>
        <v/>
      </c>
      <c r="Y682" s="51" t="str">
        <f>IF(NOTA[[#This Row],[JUMLAH]]="","",(NOTA[[#This Row],[JUMLAH]]-NOTA[[#This Row],[DISC 1-]])*NOTA[[#This Row],[DISC 2]])</f>
        <v/>
      </c>
      <c r="Z682" s="51" t="str">
        <f>IF(NOTA[[#This Row],[JUMLAH]]="","",NOTA[[#This Row],[DISC 1-]]+NOTA[[#This Row],[DISC 2-]])</f>
        <v/>
      </c>
      <c r="AA682" s="51" t="str">
        <f>IF(NOTA[[#This Row],[JUMLAH]]="","",NOTA[[#This Row],[JUMLAH]]-NOTA[[#This Row],[DISC]])</f>
        <v/>
      </c>
      <c r="AB682" s="51"/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51" t="str">
        <f>IF(OR(NOTA[[#This Row],[QTY]]="",NOTA[[#This Row],[HARGA SATUAN]]="",),"",NOTA[[#This Row],[QTY]]*NOTA[[#This Row],[HARGA SATUAN]])</f>
        <v/>
      </c>
      <c r="AG682" s="40" t="str">
        <f ca="1">IF(NOTA[ID_H]="","",INDEX(NOTA[TANGGAL],MATCH(,INDIRECT(ADDRESS(ROW(NOTA[TANGGAL]),COLUMN(NOTA[TANGGAL]))&amp;":"&amp;ADDRESS(ROW(),COLUMN(NOTA[TANGGAL]))),-1)))</f>
        <v/>
      </c>
      <c r="AH682" s="42" t="str">
        <f ca="1">IF(NOTA[[#This Row],[NAMA BARANG]]="","",INDEX(NOTA[SUPPLIER],MATCH(,INDIRECT(ADDRESS(ROW(NOTA[ID]),COLUMN(NOTA[ID]))&amp;":"&amp;ADDRESS(ROW(),COLUMN(NOTA[ID]))),-1)))</f>
        <v/>
      </c>
      <c r="AI682" s="42" t="str">
        <f ca="1">IF(NOTA[[#This Row],[ID_H]]="","",IF(NOTA[[#This Row],[FAKTUR]]="",INDIRECT(ADDRESS(ROW()-1,COLUMN())),NOTA[[#This Row],[FAKTUR]]))</f>
        <v/>
      </c>
      <c r="AJ682" s="39" t="str">
        <f ca="1">IF(NOTA[[#This Row],[ID]]="","",COUNTIF(NOTA[ID_H],NOTA[[#This Row],[ID_H]]))</f>
        <v/>
      </c>
      <c r="AK682" s="39" t="str">
        <f ca="1">IF(NOTA[[#This Row],[TGL.NOTA]]="",IF(NOTA[[#This Row],[SUPPLIER_H]]="","",AK681),MONTH(NOTA[[#This Row],[TGL.NOTA]]))</f>
        <v/>
      </c>
      <c r="AL682" s="39" t="str">
        <f>LOWER(SUBSTITUTE(SUBSTITUTE(SUBSTITUTE(SUBSTITUTE(SUBSTITUTE(SUBSTITUTE(SUBSTITUTE(SUBSTITUTE(SUBSTITUTE(NOTA[NAMA BARANG]," ",),".",""),"-",""),"(",""),")",""),",",""),"/",""),"""",""),"+",""))</f>
        <v/>
      </c>
      <c r="AM6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39" t="str">
        <f>IF(NOTA[[#This Row],[CONCAT4]]="","",_xlfn.IFNA(MATCH(NOTA[[#This Row],[CONCAT4]],[2]!RAW[CONCAT_H],0),FALSE))</f>
        <v/>
      </c>
      <c r="AQ682" s="39" t="str">
        <f>IF(NOTA[[#This Row],[CONCAT1]]="","",MATCH(NOTA[[#This Row],[CONCAT1]],[3]!db[NB NOTA_C],0))</f>
        <v/>
      </c>
      <c r="AR682" s="39" t="str">
        <f>IF(NOTA[[#This Row],[QTY/ CTN]]="","",TRUE)</f>
        <v/>
      </c>
      <c r="AS682" s="39" t="str">
        <f ca="1">IF(NOTA[[#This Row],[ID_H]]="","",IF(NOTA[[#This Row],[Column3]]=TRUE,NOTA[[#This Row],[QTY/ CTN]],INDEX([3]!db[QTY/ CTN],NOTA[[#This Row],[//DB]])))</f>
        <v/>
      </c>
      <c r="AT6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39" t="str">
        <f ca="1">IF(NOTA[[#This Row],[ID_H]]="","",MATCH(NOTA[[#This Row],[NB NOTA_C_QTY]],[4]!db[NB NOTA_C_QTY+F],0))</f>
        <v/>
      </c>
      <c r="AV682" s="55" t="str">
        <f ca="1">IF(NOTA[[#This Row],[NB NOTA_C_QTY]]="","",ROW()-2)</f>
        <v/>
      </c>
    </row>
    <row r="683" spans="1:48" ht="20.100000000000001" customHeight="1" x14ac:dyDescent="0.25">
      <c r="A683" s="42">
        <f ca="1">IF(INDIRECT(ADDRESS(ROW()-1,COLUMN(NOTA[[#Headers],[ID]])))="ID",1,IF(NOTA[[#This Row],[FAKTUR]]="","",COUNT(INDIRECT(ADDRESS(ROW(NOTA[ID]),COLUMN(NOTA[ID]))&amp;":"&amp;ADDRESS(ROW()-1,COLUMN(NOTA[ID]))))+1))</f>
        <v>132</v>
      </c>
      <c r="B6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KEN_2407_020-8</v>
      </c>
      <c r="C683" s="39" t="e">
        <f ca="1">IF(NOTA[[#This Row],[ID_P]]="","",MATCH(NOTA[[#This Row],[ID_P]],[1]!B_MSK[N_ID],0))</f>
        <v>#REF!</v>
      </c>
      <c r="D683" s="39">
        <f ca="1">IF(NOTA[[#This Row],[NAMA BARANG]]="","",INDEX(NOTA[ID],MATCH(,INDIRECT(ADDRESS(ROW(NOTA[ID]),COLUMN(NOTA[ID]))&amp;":"&amp;ADDRESS(ROW(),COLUMN(NOTA[ID]))),-1)))</f>
        <v>132</v>
      </c>
      <c r="E683" s="47"/>
      <c r="F683" s="38" t="s">
        <v>22</v>
      </c>
      <c r="G683" s="38" t="s">
        <v>23</v>
      </c>
      <c r="H683" s="48" t="s">
        <v>756</v>
      </c>
      <c r="J683" s="40">
        <v>45129</v>
      </c>
      <c r="K683" s="38">
        <v>3</v>
      </c>
      <c r="L683" s="38" t="s">
        <v>290</v>
      </c>
      <c r="M683" s="41">
        <v>5</v>
      </c>
      <c r="N683" s="39"/>
      <c r="Q683" s="43">
        <v>1954800</v>
      </c>
      <c r="R683" s="49"/>
      <c r="S683" s="50">
        <v>0.17</v>
      </c>
      <c r="U683" s="51"/>
      <c r="V683" s="46"/>
      <c r="W683" s="51">
        <f>IF(NOTA[[#This Row],[HARGA/ CTN]]="",NOTA[[#This Row],[JUMLAH_H]],NOTA[[#This Row],[HARGA/ CTN]]*IF(NOTA[[#This Row],[C]]="",0,NOTA[[#This Row],[C]]))</f>
        <v>9774000</v>
      </c>
      <c r="X683" s="51">
        <f>IF(NOTA[[#This Row],[JUMLAH]]="","",NOTA[[#This Row],[JUMLAH]]*NOTA[[#This Row],[DISC 1]])</f>
        <v>1661580.0000000002</v>
      </c>
      <c r="Y683" s="51">
        <f>IF(NOTA[[#This Row],[JUMLAH]]="","",(NOTA[[#This Row],[JUMLAH]]-NOTA[[#This Row],[DISC 1-]])*NOTA[[#This Row],[DISC 2]])</f>
        <v>0</v>
      </c>
      <c r="Z683" s="51">
        <f>IF(NOTA[[#This Row],[JUMLAH]]="","",NOTA[[#This Row],[DISC 1-]]+NOTA[[#This Row],[DISC 2-]])</f>
        <v>1661580.0000000002</v>
      </c>
      <c r="AA683" s="51">
        <f>IF(NOTA[[#This Row],[JUMLAH]]="","",NOTA[[#This Row],[JUMLAH]]-NOTA[[#This Row],[DISC]])</f>
        <v>8112420</v>
      </c>
      <c r="AB683" s="51"/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83" s="51" t="str">
        <f>IF(OR(NOTA[[#This Row],[QTY]]="",NOTA[[#This Row],[HARGA SATUAN]]="",),"",NOTA[[#This Row],[QTY]]*NOTA[[#This Row],[HARGA SATUAN]])</f>
        <v/>
      </c>
      <c r="AG683" s="40">
        <f ca="1">IF(NOTA[ID_H]="","",INDEX(NOTA[TANGGAL],MATCH(,INDIRECT(ADDRESS(ROW(NOTA[TANGGAL]),COLUMN(NOTA[TANGGAL]))&amp;":"&amp;ADDRESS(ROW(),COLUMN(NOTA[TANGGAL]))),-1)))</f>
        <v>45131</v>
      </c>
      <c r="AH683" s="42" t="str">
        <f ca="1">IF(NOTA[[#This Row],[NAMA BARANG]]="","",INDEX(NOTA[SUPPLIER],MATCH(,INDIRECT(ADDRESS(ROW(NOTA[ID]),COLUMN(NOTA[ID]))&amp;":"&amp;ADDRESS(ROW(),COLUMN(NOTA[ID]))),-1)))</f>
        <v>KENKO SINAR INDONESIA</v>
      </c>
      <c r="AI683" s="42" t="str">
        <f ca="1">IF(NOTA[[#This Row],[ID_H]]="","",IF(NOTA[[#This Row],[FAKTUR]]="",INDIRECT(ADDRESS(ROW()-1,COLUMN())),NOTA[[#This Row],[FAKTUR]]))</f>
        <v>ARTO MORO</v>
      </c>
      <c r="AJ683" s="39">
        <f ca="1">IF(NOTA[[#This Row],[ID]]="","",COUNTIF(NOTA[ID_H],NOTA[[#This Row],[ID_H]]))</f>
        <v>8</v>
      </c>
      <c r="AK683" s="39">
        <f>IF(NOTA[[#This Row],[TGL.NOTA]]="",IF(NOTA[[#This Row],[SUPPLIER_H]]="","",AK682),MONTH(NOTA[[#This Row],[TGL.NOTA]]))</f>
        <v>7</v>
      </c>
      <c r="AL683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8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MORO2307202045129kenkocorrectionfluidke01</v>
      </c>
      <c r="AP683" s="39" t="e">
        <f>IF(NOTA[[#This Row],[CONCAT4]]="","",_xlfn.IFNA(MATCH(NOTA[[#This Row],[CONCAT4]],[2]!RAW[CONCAT_H],0),FALSE))</f>
        <v>#REF!</v>
      </c>
      <c r="AQ683" s="39">
        <f>IF(NOTA[[#This Row],[CONCAT1]]="","",MATCH(NOTA[[#This Row],[CONCAT1]],[3]!db[NB NOTA_C],0))</f>
        <v>2678</v>
      </c>
      <c r="AR683" s="39" t="str">
        <f>IF(NOTA[[#This Row],[QTY/ CTN]]="","",TRUE)</f>
        <v/>
      </c>
      <c r="AS683" s="39" t="str">
        <f ca="1">IF(NOTA[[#This Row],[ID_H]]="","",IF(NOTA[[#This Row],[Column3]]=TRUE,NOTA[[#This Row],[QTY/ CTN]],INDEX([3]!db[QTY/ CTN],NOTA[[#This Row],[//DB]])))</f>
        <v>36 LSN</v>
      </c>
      <c r="AT6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83" s="39" t="e">
        <f ca="1">IF(NOTA[[#This Row],[ID_H]]="","",MATCH(NOTA[[#This Row],[NB NOTA_C_QTY]],[4]!db[NB NOTA_C_QTY+F],0))</f>
        <v>#REF!</v>
      </c>
      <c r="AV683" s="55">
        <f ca="1">IF(NOTA[[#This Row],[NB NOTA_C_QTY]]="","",ROW()-2)</f>
        <v>681</v>
      </c>
    </row>
    <row r="684" spans="1:48" ht="20.100000000000001" customHeight="1" x14ac:dyDescent="0.25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>
        <f ca="1">IF(NOTA[[#This Row],[NAMA BARANG]]="","",INDEX(NOTA[ID],MATCH(,INDIRECT(ADDRESS(ROW(NOTA[ID]),COLUMN(NOTA[ID]))&amp;":"&amp;ADDRESS(ROW(),COLUMN(NOTA[ID]))),-1)))</f>
        <v>132</v>
      </c>
      <c r="E684" s="47"/>
      <c r="H684" s="48"/>
      <c r="K684" s="38">
        <v>1</v>
      </c>
      <c r="L684" s="38" t="s">
        <v>744</v>
      </c>
      <c r="M684" s="41">
        <v>1</v>
      </c>
      <c r="N684" s="39"/>
      <c r="Q684" s="43">
        <v>3758400</v>
      </c>
      <c r="R684" s="49"/>
      <c r="S684" s="50">
        <v>0.17</v>
      </c>
      <c r="U684" s="51"/>
      <c r="V684" s="46"/>
      <c r="W684" s="51">
        <f>IF(NOTA[[#This Row],[HARGA/ CTN]]="",NOTA[[#This Row],[JUMLAH_H]],NOTA[[#This Row],[HARGA/ CTN]]*IF(NOTA[[#This Row],[C]]="",0,NOTA[[#This Row],[C]]))</f>
        <v>3758400</v>
      </c>
      <c r="X684" s="51">
        <f>IF(NOTA[[#This Row],[JUMLAH]]="","",NOTA[[#This Row],[JUMLAH]]*NOTA[[#This Row],[DISC 1]])</f>
        <v>638928</v>
      </c>
      <c r="Y684" s="51">
        <f>IF(NOTA[[#This Row],[JUMLAH]]="","",(NOTA[[#This Row],[JUMLAH]]-NOTA[[#This Row],[DISC 1-]])*NOTA[[#This Row],[DISC 2]])</f>
        <v>0</v>
      </c>
      <c r="Z684" s="51">
        <f>IF(NOTA[[#This Row],[JUMLAH]]="","",NOTA[[#This Row],[DISC 1-]]+NOTA[[#This Row],[DISC 2-]])</f>
        <v>638928</v>
      </c>
      <c r="AA684" s="51">
        <f>IF(NOTA[[#This Row],[JUMLAH]]="","",NOTA[[#This Row],[JUMLAH]]-NOTA[[#This Row],[DISC]])</f>
        <v>3119472</v>
      </c>
      <c r="AB684" s="51"/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84" s="51" t="str">
        <f>IF(OR(NOTA[[#This Row],[QTY]]="",NOTA[[#This Row],[HARGA SATUAN]]="",),"",NOTA[[#This Row],[QTY]]*NOTA[[#This Row],[HARGA SATUAN]])</f>
        <v/>
      </c>
      <c r="AG684" s="40">
        <f ca="1">IF(NOTA[ID_H]="","",INDEX(NOTA[TANGGAL],MATCH(,INDIRECT(ADDRESS(ROW(NOTA[TANGGAL]),COLUMN(NOTA[TANGGAL]))&amp;":"&amp;ADDRESS(ROW(),COLUMN(NOTA[TANGGAL]))),-1)))</f>
        <v>45131</v>
      </c>
      <c r="AH684" s="42" t="str">
        <f ca="1">IF(NOTA[[#This Row],[NAMA BARANG]]="","",INDEX(NOTA[SUPPLIER],MATCH(,INDIRECT(ADDRESS(ROW(NOTA[ID]),COLUMN(NOTA[ID]))&amp;":"&amp;ADDRESS(ROW(),COLUMN(NOTA[ID]))),-1)))</f>
        <v>KENKO SINAR INDONESIA</v>
      </c>
      <c r="AI684" s="42" t="str">
        <f ca="1">IF(NOTA[[#This Row],[ID_H]]="","",IF(NOTA[[#This Row],[FAKTUR]]="",INDIRECT(ADDRESS(ROW()-1,COLUMN())),NOTA[[#This Row],[FAKTUR]]))</f>
        <v>ARTO MORO</v>
      </c>
      <c r="AJ684" s="39" t="str">
        <f ca="1">IF(NOTA[[#This Row],[ID]]="","",COUNTIF(NOTA[ID_H],NOTA[[#This Row],[ID_H]]))</f>
        <v/>
      </c>
      <c r="AK684" s="39">
        <f ca="1">IF(NOTA[[#This Row],[TGL.NOTA]]="",IF(NOTA[[#This Row],[SUPPLIER_H]]="","",AK683),MONTH(NOTA[[#This Row],[TGL.NOTA]]))</f>
        <v>7</v>
      </c>
      <c r="AL684" s="39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6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6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6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39" t="str">
        <f>IF(NOTA[[#This Row],[CONCAT4]]="","",_xlfn.IFNA(MATCH(NOTA[[#This Row],[CONCAT4]],[2]!RAW[CONCAT_H],0),FALSE))</f>
        <v/>
      </c>
      <c r="AQ684" s="39">
        <f>IF(NOTA[[#This Row],[CONCAT1]]="","",MATCH(NOTA[[#This Row],[CONCAT1]],[3]!db[NB NOTA_C],0))</f>
        <v>645</v>
      </c>
      <c r="AR684" s="39" t="str">
        <f>IF(NOTA[[#This Row],[QTY/ CTN]]="","",TRUE)</f>
        <v/>
      </c>
      <c r="AS684" s="39" t="str">
        <f ca="1">IF(NOTA[[#This Row],[ID_H]]="","",IF(NOTA[[#This Row],[Column3]]=TRUE,NOTA[[#This Row],[QTY/ CTN]],INDEX([3]!db[QTY/ CTN],NOTA[[#This Row],[//DB]])))</f>
        <v>144 LSN</v>
      </c>
      <c r="AT6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684" s="39" t="e">
        <f ca="1">IF(NOTA[[#This Row],[ID_H]]="","",MATCH(NOTA[[#This Row],[NB NOTA_C_QTY]],[4]!db[NB NOTA_C_QTY+F],0))</f>
        <v>#REF!</v>
      </c>
      <c r="AV684" s="55">
        <f ca="1">IF(NOTA[[#This Row],[NB NOTA_C_QTY]]="","",ROW()-2)</f>
        <v>682</v>
      </c>
    </row>
    <row r="685" spans="1:48" ht="20.100000000000001" customHeight="1" x14ac:dyDescent="0.25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>
        <f ca="1">IF(NOTA[[#This Row],[NAMA BARANG]]="","",INDEX(NOTA[ID],MATCH(,INDIRECT(ADDRESS(ROW(NOTA[ID]),COLUMN(NOTA[ID]))&amp;":"&amp;ADDRESS(ROW(),COLUMN(NOTA[ID]))),-1)))</f>
        <v>132</v>
      </c>
      <c r="E685" s="47"/>
      <c r="H685" s="48"/>
      <c r="L685" s="38" t="s">
        <v>757</v>
      </c>
      <c r="M685" s="41">
        <v>2</v>
      </c>
      <c r="N685" s="39"/>
      <c r="Q685" s="43">
        <v>2448000</v>
      </c>
      <c r="R685" s="49"/>
      <c r="S685" s="50">
        <v>0.17</v>
      </c>
      <c r="U685" s="51"/>
      <c r="V685" s="46"/>
      <c r="W685" s="51">
        <f>IF(NOTA[[#This Row],[HARGA/ CTN]]="",NOTA[[#This Row],[JUMLAH_H]],NOTA[[#This Row],[HARGA/ CTN]]*IF(NOTA[[#This Row],[C]]="",0,NOTA[[#This Row],[C]]))</f>
        <v>4896000</v>
      </c>
      <c r="X685" s="51">
        <f>IF(NOTA[[#This Row],[JUMLAH]]="","",NOTA[[#This Row],[JUMLAH]]*NOTA[[#This Row],[DISC 1]])</f>
        <v>832320.00000000012</v>
      </c>
      <c r="Y685" s="51">
        <f>IF(NOTA[[#This Row],[JUMLAH]]="","",(NOTA[[#This Row],[JUMLAH]]-NOTA[[#This Row],[DISC 1-]])*NOTA[[#This Row],[DISC 2]])</f>
        <v>0</v>
      </c>
      <c r="Z685" s="51">
        <f>IF(NOTA[[#This Row],[JUMLAH]]="","",NOTA[[#This Row],[DISC 1-]]+NOTA[[#This Row],[DISC 2-]])</f>
        <v>832320.00000000012</v>
      </c>
      <c r="AA685" s="51">
        <f>IF(NOTA[[#This Row],[JUMLAH]]="","",NOTA[[#This Row],[JUMLAH]]-NOTA[[#This Row],[DISC]])</f>
        <v>4063680</v>
      </c>
      <c r="AB685" s="51"/>
      <c r="AC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685" s="51" t="str">
        <f>IF(OR(NOTA[[#This Row],[QTY]]="",NOTA[[#This Row],[HARGA SATUAN]]="",),"",NOTA[[#This Row],[QTY]]*NOTA[[#This Row],[HARGA SATUAN]])</f>
        <v/>
      </c>
      <c r="AG685" s="40">
        <f ca="1">IF(NOTA[ID_H]="","",INDEX(NOTA[TANGGAL],MATCH(,INDIRECT(ADDRESS(ROW(NOTA[TANGGAL]),COLUMN(NOTA[TANGGAL]))&amp;":"&amp;ADDRESS(ROW(),COLUMN(NOTA[TANGGAL]))),-1)))</f>
        <v>45131</v>
      </c>
      <c r="AH685" s="42" t="str">
        <f ca="1">IF(NOTA[[#This Row],[NAMA BARANG]]="","",INDEX(NOTA[SUPPLIER],MATCH(,INDIRECT(ADDRESS(ROW(NOTA[ID]),COLUMN(NOTA[ID]))&amp;":"&amp;ADDRESS(ROW(),COLUMN(NOTA[ID]))),-1)))</f>
        <v>KENKO SINAR INDONESIA</v>
      </c>
      <c r="AI685" s="42" t="str">
        <f ca="1">IF(NOTA[[#This Row],[ID_H]]="","",IF(NOTA[[#This Row],[FAKTUR]]="",INDIRECT(ADDRESS(ROW()-1,COLUMN())),NOTA[[#This Row],[FAKTUR]]))</f>
        <v>ARTO MORO</v>
      </c>
      <c r="AJ685" s="39" t="str">
        <f ca="1">IF(NOTA[[#This Row],[ID]]="","",COUNTIF(NOTA[ID_H],NOTA[[#This Row],[ID_H]]))</f>
        <v/>
      </c>
      <c r="AK685" s="39">
        <f ca="1">IF(NOTA[[#This Row],[TGL.NOTA]]="",IF(NOTA[[#This Row],[SUPPLIER_H]]="","",AK684),MONTH(NOTA[[#This Row],[TGL.NOTA]]))</f>
        <v>7</v>
      </c>
      <c r="AL685" s="39" t="str">
        <f>LOWER(SUBSTITUTE(SUBSTITUTE(SUBSTITUTE(SUBSTITUTE(SUBSTITUTE(SUBSTITUTE(SUBSTITUTE(SUBSTITUTE(SUBSTITUTE(NOTA[NAMA BARANG]," ",),".",""),"-",""),"(",""),")",""),",",""),"/",""),"""",""),"+",""))</f>
        <v>kenkopencil2b3030</v>
      </c>
      <c r="AM6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kenkopencil2b303024480000.17</v>
      </c>
      <c r="AN6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kenkopencil2b303024480000.17</v>
      </c>
      <c r="AO6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39" t="str">
        <f>IF(NOTA[[#This Row],[CONCAT4]]="","",_xlfn.IFNA(MATCH(NOTA[[#This Row],[CONCAT4]],[2]!RAW[CONCAT_H],0),FALSE))</f>
        <v/>
      </c>
      <c r="AQ685" s="39">
        <f>IF(NOTA[[#This Row],[CONCAT1]]="","",MATCH(NOTA[[#This Row],[CONCAT1]],[3]!db[NB NOTA_C],0))</f>
        <v>2204</v>
      </c>
      <c r="AR685" s="39" t="str">
        <f>IF(NOTA[[#This Row],[QTY/ CTN]]="","",TRUE)</f>
        <v/>
      </c>
      <c r="AS685" s="39" t="str">
        <f ca="1">IF(NOTA[[#This Row],[ID_H]]="","",IF(NOTA[[#This Row],[Column3]]=TRUE,NOTA[[#This Row],[QTY/ CTN]],INDEX([3]!db[QTY/ CTN],NOTA[[#This Row],[//DB]])))</f>
        <v>20 GRS</v>
      </c>
      <c r="AT6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kenkopencil2b303020grsartomoro</v>
      </c>
      <c r="AU685" s="39" t="e">
        <f ca="1">IF(NOTA[[#This Row],[ID_H]]="","",MATCH(NOTA[[#This Row],[NB NOTA_C_QTY]],[4]!db[NB NOTA_C_QTY+F],0))</f>
        <v>#REF!</v>
      </c>
      <c r="AV685" s="55">
        <f ca="1">IF(NOTA[[#This Row],[NB NOTA_C_QTY]]="","",ROW()-2)</f>
        <v>683</v>
      </c>
    </row>
    <row r="686" spans="1:48" ht="20.100000000000001" customHeight="1" x14ac:dyDescent="0.25">
      <c r="A6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>
        <f ca="1">IF(NOTA[[#This Row],[NAMA BARANG]]="","",INDEX(NOTA[ID],MATCH(,INDIRECT(ADDRESS(ROW(NOTA[ID]),COLUMN(NOTA[ID]))&amp;":"&amp;ADDRESS(ROW(),COLUMN(NOTA[ID]))),-1)))</f>
        <v>132</v>
      </c>
      <c r="E686" s="47"/>
      <c r="H686" s="48"/>
      <c r="K686" s="38">
        <v>2</v>
      </c>
      <c r="L686" s="38" t="s">
        <v>758</v>
      </c>
      <c r="M686" s="41">
        <v>3</v>
      </c>
      <c r="N686" s="39"/>
      <c r="Q686" s="43">
        <v>2112000</v>
      </c>
      <c r="R686" s="49"/>
      <c r="S686" s="50">
        <v>0.17</v>
      </c>
      <c r="U686" s="51"/>
      <c r="V686" s="46"/>
      <c r="W686" s="51">
        <f>IF(NOTA[[#This Row],[HARGA/ CTN]]="",NOTA[[#This Row],[JUMLAH_H]],NOTA[[#This Row],[HARGA/ CTN]]*IF(NOTA[[#This Row],[C]]="",0,NOTA[[#This Row],[C]]))</f>
        <v>6336000</v>
      </c>
      <c r="X686" s="51">
        <f>IF(NOTA[[#This Row],[JUMLAH]]="","",NOTA[[#This Row],[JUMLAH]]*NOTA[[#This Row],[DISC 1]])</f>
        <v>1077120</v>
      </c>
      <c r="Y686" s="51">
        <f>IF(NOTA[[#This Row],[JUMLAH]]="","",(NOTA[[#This Row],[JUMLAH]]-NOTA[[#This Row],[DISC 1-]])*NOTA[[#This Row],[DISC 2]])</f>
        <v>0</v>
      </c>
      <c r="Z686" s="51">
        <f>IF(NOTA[[#This Row],[JUMLAH]]="","",NOTA[[#This Row],[DISC 1-]]+NOTA[[#This Row],[DISC 2-]])</f>
        <v>1077120</v>
      </c>
      <c r="AA686" s="51">
        <f>IF(NOTA[[#This Row],[JUMLAH]]="","",NOTA[[#This Row],[JUMLAH]]-NOTA[[#This Row],[DISC]])</f>
        <v>5258880</v>
      </c>
      <c r="AB686" s="51"/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686" s="51" t="str">
        <f>IF(OR(NOTA[[#This Row],[QTY]]="",NOTA[[#This Row],[HARGA SATUAN]]="",),"",NOTA[[#This Row],[QTY]]*NOTA[[#This Row],[HARGA SATUAN]])</f>
        <v/>
      </c>
      <c r="AG686" s="40">
        <f ca="1">IF(NOTA[ID_H]="","",INDEX(NOTA[TANGGAL],MATCH(,INDIRECT(ADDRESS(ROW(NOTA[TANGGAL]),COLUMN(NOTA[TANGGAL]))&amp;":"&amp;ADDRESS(ROW(),COLUMN(NOTA[TANGGAL]))),-1)))</f>
        <v>45131</v>
      </c>
      <c r="AH686" s="42" t="str">
        <f ca="1">IF(NOTA[[#This Row],[NAMA BARANG]]="","",INDEX(NOTA[SUPPLIER],MATCH(,INDIRECT(ADDRESS(ROW(NOTA[ID]),COLUMN(NOTA[ID]))&amp;":"&amp;ADDRESS(ROW(),COLUMN(NOTA[ID]))),-1)))</f>
        <v>KENKO SINAR INDONESIA</v>
      </c>
      <c r="AI686" s="42" t="str">
        <f ca="1">IF(NOTA[[#This Row],[ID_H]]="","",IF(NOTA[[#This Row],[FAKTUR]]="",INDIRECT(ADDRESS(ROW()-1,COLUMN())),NOTA[[#This Row],[FAKTUR]]))</f>
        <v>ARTO MORO</v>
      </c>
      <c r="AJ686" s="39" t="str">
        <f ca="1">IF(NOTA[[#This Row],[ID]]="","",COUNTIF(NOTA[ID_H],NOTA[[#This Row],[ID_H]]))</f>
        <v/>
      </c>
      <c r="AK686" s="39">
        <f ca="1">IF(NOTA[[#This Row],[TGL.NOTA]]="",IF(NOTA[[#This Row],[SUPPLIER_H]]="","",AK685),MONTH(NOTA[[#This Row],[TGL.NOTA]]))</f>
        <v>7</v>
      </c>
      <c r="AL686" s="39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6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6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6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39" t="str">
        <f>IF(NOTA[[#This Row],[CONCAT4]]="","",_xlfn.IFNA(MATCH(NOTA[[#This Row],[CONCAT4]],[2]!RAW[CONCAT_H],0),FALSE))</f>
        <v/>
      </c>
      <c r="AQ686" s="39">
        <f>IF(NOTA[[#This Row],[CONCAT1]]="","",MATCH(NOTA[[#This Row],[CONCAT1]],[3]!db[NB NOTA_C],0))</f>
        <v>2205</v>
      </c>
      <c r="AR686" s="39" t="str">
        <f>IF(NOTA[[#This Row],[QTY/ CTN]]="","",TRUE)</f>
        <v/>
      </c>
      <c r="AS686" s="39" t="str">
        <f ca="1">IF(NOTA[[#This Row],[ID_H]]="","",IF(NOTA[[#This Row],[Column3]]=TRUE,NOTA[[#This Row],[QTY/ CTN]],INDEX([3]!db[QTY/ CTN],NOTA[[#This Row],[//DB]])))</f>
        <v>20 GRS</v>
      </c>
      <c r="AT6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U686" s="39" t="e">
        <f ca="1">IF(NOTA[[#This Row],[ID_H]]="","",MATCH(NOTA[[#This Row],[NB NOTA_C_QTY]],[4]!db[NB NOTA_C_QTY+F],0))</f>
        <v>#REF!</v>
      </c>
      <c r="AV686" s="55">
        <f ca="1">IF(NOTA[[#This Row],[NB NOTA_C_QTY]]="","",ROW()-2)</f>
        <v>684</v>
      </c>
    </row>
    <row r="687" spans="1:48" ht="20.100000000000001" customHeight="1" x14ac:dyDescent="0.25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>
        <f ca="1">IF(NOTA[[#This Row],[NAMA BARANG]]="","",INDEX(NOTA[ID],MATCH(,INDIRECT(ADDRESS(ROW(NOTA[ID]),COLUMN(NOTA[ID]))&amp;":"&amp;ADDRESS(ROW(),COLUMN(NOTA[ID]))),-1)))</f>
        <v>132</v>
      </c>
      <c r="E687" s="47"/>
      <c r="H687" s="48"/>
      <c r="K687" s="38">
        <v>1</v>
      </c>
      <c r="L687" s="38" t="s">
        <v>759</v>
      </c>
      <c r="M687" s="41">
        <v>1</v>
      </c>
      <c r="N687" s="39"/>
      <c r="Q687" s="43">
        <v>2160000</v>
      </c>
      <c r="R687" s="49"/>
      <c r="S687" s="50">
        <v>0.17</v>
      </c>
      <c r="U687" s="51"/>
      <c r="V687" s="46"/>
      <c r="W687" s="51">
        <f>IF(NOTA[[#This Row],[HARGA/ CTN]]="",NOTA[[#This Row],[JUMLAH_H]],NOTA[[#This Row],[HARGA/ CTN]]*IF(NOTA[[#This Row],[C]]="",0,NOTA[[#This Row],[C]]))</f>
        <v>2160000</v>
      </c>
      <c r="X687" s="51">
        <f>IF(NOTA[[#This Row],[JUMLAH]]="","",NOTA[[#This Row],[JUMLAH]]*NOTA[[#This Row],[DISC 1]])</f>
        <v>367200</v>
      </c>
      <c r="Y687" s="51">
        <f>IF(NOTA[[#This Row],[JUMLAH]]="","",(NOTA[[#This Row],[JUMLAH]]-NOTA[[#This Row],[DISC 1-]])*NOTA[[#This Row],[DISC 2]])</f>
        <v>0</v>
      </c>
      <c r="Z687" s="51">
        <f>IF(NOTA[[#This Row],[JUMLAH]]="","",NOTA[[#This Row],[DISC 1-]]+NOTA[[#This Row],[DISC 2-]])</f>
        <v>367200</v>
      </c>
      <c r="AA687" s="51">
        <f>IF(NOTA[[#This Row],[JUMLAH]]="","",NOTA[[#This Row],[JUMLAH]]-NOTA[[#This Row],[DISC]])</f>
        <v>1792800</v>
      </c>
      <c r="AB687" s="51"/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87" s="51" t="str">
        <f>IF(OR(NOTA[[#This Row],[QTY]]="",NOTA[[#This Row],[HARGA SATUAN]]="",),"",NOTA[[#This Row],[QTY]]*NOTA[[#This Row],[HARGA SATUAN]])</f>
        <v/>
      </c>
      <c r="AG687" s="40">
        <f ca="1">IF(NOTA[ID_H]="","",INDEX(NOTA[TANGGAL],MATCH(,INDIRECT(ADDRESS(ROW(NOTA[TANGGAL]),COLUMN(NOTA[TANGGAL]))&amp;":"&amp;ADDRESS(ROW(),COLUMN(NOTA[TANGGAL]))),-1)))</f>
        <v>45131</v>
      </c>
      <c r="AH687" s="42" t="str">
        <f ca="1">IF(NOTA[[#This Row],[NAMA BARANG]]="","",INDEX(NOTA[SUPPLIER],MATCH(,INDIRECT(ADDRESS(ROW(NOTA[ID]),COLUMN(NOTA[ID]))&amp;":"&amp;ADDRESS(ROW(),COLUMN(NOTA[ID]))),-1)))</f>
        <v>KENKO SINAR INDONESIA</v>
      </c>
      <c r="AI687" s="42" t="str">
        <f ca="1">IF(NOTA[[#This Row],[ID_H]]="","",IF(NOTA[[#This Row],[FAKTUR]]="",INDIRECT(ADDRESS(ROW()-1,COLUMN())),NOTA[[#This Row],[FAKTUR]]))</f>
        <v>ARTO MORO</v>
      </c>
      <c r="AJ687" s="39" t="str">
        <f ca="1">IF(NOTA[[#This Row],[ID]]="","",COUNTIF(NOTA[ID_H],NOTA[[#This Row],[ID_H]]))</f>
        <v/>
      </c>
      <c r="AK687" s="39">
        <f ca="1">IF(NOTA[[#This Row],[TGL.NOTA]]="",IF(NOTA[[#This Row],[SUPPLIER_H]]="","",AK686),MONTH(NOTA[[#This Row],[TGL.NOTA]]))</f>
        <v>7</v>
      </c>
      <c r="AL687" s="39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M6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N6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O6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39" t="str">
        <f>IF(NOTA[[#This Row],[CONCAT4]]="","",_xlfn.IFNA(MATCH(NOTA[[#This Row],[CONCAT4]],[2]!RAW[CONCAT_H],0),FALSE))</f>
        <v/>
      </c>
      <c r="AQ687" s="39">
        <f>IF(NOTA[[#This Row],[CONCAT1]]="","",MATCH(NOTA[[#This Row],[CONCAT1]],[3]!db[NB NOTA_C],0))</f>
        <v>2213</v>
      </c>
      <c r="AR687" s="39" t="str">
        <f>IF(NOTA[[#This Row],[QTY/ CTN]]="","",TRUE)</f>
        <v/>
      </c>
      <c r="AS687" s="39" t="str">
        <f ca="1">IF(NOTA[[#This Row],[ID_H]]="","",IF(NOTA[[#This Row],[Column3]]=TRUE,NOTA[[#This Row],[QTY/ CTN]],INDEX([3]!db[QTY/ CTN],NOTA[[#This Row],[//DB]])))</f>
        <v>20 GRS</v>
      </c>
      <c r="AT6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U687" s="39" t="e">
        <f ca="1">IF(NOTA[[#This Row],[ID_H]]="","",MATCH(NOTA[[#This Row],[NB NOTA_C_QTY]],[4]!db[NB NOTA_C_QTY+F],0))</f>
        <v>#REF!</v>
      </c>
      <c r="AV687" s="55">
        <f ca="1">IF(NOTA[[#This Row],[NB NOTA_C_QTY]]="","",ROW()-2)</f>
        <v>685</v>
      </c>
    </row>
    <row r="688" spans="1:48" ht="20.100000000000001" customHeight="1" x14ac:dyDescent="0.25">
      <c r="A6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>
        <f ca="1">IF(NOTA[[#This Row],[NAMA BARANG]]="","",INDEX(NOTA[ID],MATCH(,INDIRECT(ADDRESS(ROW(NOTA[ID]),COLUMN(NOTA[ID]))&amp;":"&amp;ADDRESS(ROW(),COLUMN(NOTA[ID]))),-1)))</f>
        <v>132</v>
      </c>
      <c r="E688" s="47"/>
      <c r="H688" s="48"/>
      <c r="K688" s="38">
        <v>1</v>
      </c>
      <c r="L688" s="38" t="s">
        <v>760</v>
      </c>
      <c r="M688" s="41">
        <v>1</v>
      </c>
      <c r="N688" s="39"/>
      <c r="Q688" s="43">
        <v>2208000</v>
      </c>
      <c r="R688" s="49"/>
      <c r="S688" s="50">
        <v>0.17</v>
      </c>
      <c r="U688" s="51"/>
      <c r="V688" s="46"/>
      <c r="W688" s="51">
        <f>IF(NOTA[[#This Row],[HARGA/ CTN]]="",NOTA[[#This Row],[JUMLAH_H]],NOTA[[#This Row],[HARGA/ CTN]]*IF(NOTA[[#This Row],[C]]="",0,NOTA[[#This Row],[C]]))</f>
        <v>2208000</v>
      </c>
      <c r="X688" s="51">
        <f>IF(NOTA[[#This Row],[JUMLAH]]="","",NOTA[[#This Row],[JUMLAH]]*NOTA[[#This Row],[DISC 1]])</f>
        <v>375360</v>
      </c>
      <c r="Y688" s="51">
        <f>IF(NOTA[[#This Row],[JUMLAH]]="","",(NOTA[[#This Row],[JUMLAH]]-NOTA[[#This Row],[DISC 1-]])*NOTA[[#This Row],[DISC 2]])</f>
        <v>0</v>
      </c>
      <c r="Z688" s="51">
        <f>IF(NOTA[[#This Row],[JUMLAH]]="","",NOTA[[#This Row],[DISC 1-]]+NOTA[[#This Row],[DISC 2-]])</f>
        <v>375360</v>
      </c>
      <c r="AA688" s="51">
        <f>IF(NOTA[[#This Row],[JUMLAH]]="","",NOTA[[#This Row],[JUMLAH]]-NOTA[[#This Row],[DISC]])</f>
        <v>1832640</v>
      </c>
      <c r="AB688" s="51"/>
      <c r="AC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688" s="51" t="str">
        <f>IF(OR(NOTA[[#This Row],[QTY]]="",NOTA[[#This Row],[HARGA SATUAN]]="",),"",NOTA[[#This Row],[QTY]]*NOTA[[#This Row],[HARGA SATUAN]])</f>
        <v/>
      </c>
      <c r="AG688" s="40">
        <f ca="1">IF(NOTA[ID_H]="","",INDEX(NOTA[TANGGAL],MATCH(,INDIRECT(ADDRESS(ROW(NOTA[TANGGAL]),COLUMN(NOTA[TANGGAL]))&amp;":"&amp;ADDRESS(ROW(),COLUMN(NOTA[TANGGAL]))),-1)))</f>
        <v>45131</v>
      </c>
      <c r="AH688" s="42" t="str">
        <f ca="1">IF(NOTA[[#This Row],[NAMA BARANG]]="","",INDEX(NOTA[SUPPLIER],MATCH(,INDIRECT(ADDRESS(ROW(NOTA[ID]),COLUMN(NOTA[ID]))&amp;":"&amp;ADDRESS(ROW(),COLUMN(NOTA[ID]))),-1)))</f>
        <v>KENKO SINAR INDONESIA</v>
      </c>
      <c r="AI688" s="42" t="str">
        <f ca="1">IF(NOTA[[#This Row],[ID_H]]="","",IF(NOTA[[#This Row],[FAKTUR]]="",INDIRECT(ADDRESS(ROW()-1,COLUMN())),NOTA[[#This Row],[FAKTUR]]))</f>
        <v>ARTO MORO</v>
      </c>
      <c r="AJ688" s="39" t="str">
        <f ca="1">IF(NOTA[[#This Row],[ID]]="","",COUNTIF(NOTA[ID_H],NOTA[[#This Row],[ID_H]]))</f>
        <v/>
      </c>
      <c r="AK688" s="39">
        <f ca="1">IF(NOTA[[#This Row],[TGL.NOTA]]="",IF(NOTA[[#This Row],[SUPPLIER_H]]="","",AK687),MONTH(NOTA[[#This Row],[TGL.NOTA]]))</f>
        <v>7</v>
      </c>
      <c r="AL688" s="39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6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6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6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39" t="str">
        <f>IF(NOTA[[#This Row],[CONCAT4]]="","",_xlfn.IFNA(MATCH(NOTA[[#This Row],[CONCAT4]],[2]!RAW[CONCAT_H],0),FALSE))</f>
        <v/>
      </c>
      <c r="AQ688" s="39">
        <f>IF(NOTA[[#This Row],[CONCAT1]]="","",MATCH(NOTA[[#This Row],[CONCAT1]],[3]!db[NB NOTA_C],0))</f>
        <v>2208</v>
      </c>
      <c r="AR688" s="39" t="str">
        <f>IF(NOTA[[#This Row],[QTY/ CTN]]="","",TRUE)</f>
        <v/>
      </c>
      <c r="AS688" s="39" t="str">
        <f ca="1">IF(NOTA[[#This Row],[ID_H]]="","",IF(NOTA[[#This Row],[Column3]]=TRUE,NOTA[[#This Row],[QTY/ CTN]],INDEX([3]!db[QTY/ CTN],NOTA[[#This Row],[//DB]])))</f>
        <v>20 GRS</v>
      </c>
      <c r="AT6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U688" s="39" t="e">
        <f ca="1">IF(NOTA[[#This Row],[ID_H]]="","",MATCH(NOTA[[#This Row],[NB NOTA_C_QTY]],[4]!db[NB NOTA_C_QTY+F],0))</f>
        <v>#REF!</v>
      </c>
      <c r="AV688" s="55">
        <f ca="1">IF(NOTA[[#This Row],[NB NOTA_C_QTY]]="","",ROW()-2)</f>
        <v>686</v>
      </c>
    </row>
    <row r="689" spans="1:48" ht="20.100000000000001" customHeight="1" x14ac:dyDescent="0.25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>
        <f ca="1">IF(NOTA[[#This Row],[NAMA BARANG]]="","",INDEX(NOTA[ID],MATCH(,INDIRECT(ADDRESS(ROW(NOTA[ID]),COLUMN(NOTA[ID]))&amp;":"&amp;ADDRESS(ROW(),COLUMN(NOTA[ID]))),-1)))</f>
        <v>132</v>
      </c>
      <c r="E689" s="47"/>
      <c r="H689" s="48"/>
      <c r="K689" s="38">
        <v>2</v>
      </c>
      <c r="L689" s="38" t="s">
        <v>761</v>
      </c>
      <c r="M689" s="41">
        <v>2</v>
      </c>
      <c r="N689" s="39"/>
      <c r="Q689" s="43">
        <v>2208000</v>
      </c>
      <c r="R689" s="49"/>
      <c r="S689" s="50">
        <v>0.17</v>
      </c>
      <c r="U689" s="51"/>
      <c r="V689" s="46"/>
      <c r="W689" s="51">
        <f>IF(NOTA[[#This Row],[HARGA/ CTN]]="",NOTA[[#This Row],[JUMLAH_H]],NOTA[[#This Row],[HARGA/ CTN]]*IF(NOTA[[#This Row],[C]]="",0,NOTA[[#This Row],[C]]))</f>
        <v>4416000</v>
      </c>
      <c r="X689" s="51">
        <f>IF(NOTA[[#This Row],[JUMLAH]]="","",NOTA[[#This Row],[JUMLAH]]*NOTA[[#This Row],[DISC 1]])</f>
        <v>750720</v>
      </c>
      <c r="Y689" s="51">
        <f>IF(NOTA[[#This Row],[JUMLAH]]="","",(NOTA[[#This Row],[JUMLAH]]-NOTA[[#This Row],[DISC 1-]])*NOTA[[#This Row],[DISC 2]])</f>
        <v>0</v>
      </c>
      <c r="Z689" s="51">
        <f>IF(NOTA[[#This Row],[JUMLAH]]="","",NOTA[[#This Row],[DISC 1-]]+NOTA[[#This Row],[DISC 2-]])</f>
        <v>750720</v>
      </c>
      <c r="AA689" s="51">
        <f>IF(NOTA[[#This Row],[JUMLAH]]="","",NOTA[[#This Row],[JUMLAH]]-NOTA[[#This Row],[DISC]])</f>
        <v>3665280</v>
      </c>
      <c r="AB689" s="51"/>
      <c r="AC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689" s="51" t="str">
        <f>IF(OR(NOTA[[#This Row],[QTY]]="",NOTA[[#This Row],[HARGA SATUAN]]="",),"",NOTA[[#This Row],[QTY]]*NOTA[[#This Row],[HARGA SATUAN]])</f>
        <v/>
      </c>
      <c r="AG689" s="40">
        <f ca="1">IF(NOTA[ID_H]="","",INDEX(NOTA[TANGGAL],MATCH(,INDIRECT(ADDRESS(ROW(NOTA[TANGGAL]),COLUMN(NOTA[TANGGAL]))&amp;":"&amp;ADDRESS(ROW(),COLUMN(NOTA[TANGGAL]))),-1)))</f>
        <v>45131</v>
      </c>
      <c r="AH689" s="42" t="str">
        <f ca="1">IF(NOTA[[#This Row],[NAMA BARANG]]="","",INDEX(NOTA[SUPPLIER],MATCH(,INDIRECT(ADDRESS(ROW(NOTA[ID]),COLUMN(NOTA[ID]))&amp;":"&amp;ADDRESS(ROW(),COLUMN(NOTA[ID]))),-1)))</f>
        <v>KENKO SINAR INDONESIA</v>
      </c>
      <c r="AI689" s="42" t="str">
        <f ca="1">IF(NOTA[[#This Row],[ID_H]]="","",IF(NOTA[[#This Row],[FAKTUR]]="",INDIRECT(ADDRESS(ROW()-1,COLUMN())),NOTA[[#This Row],[FAKTUR]]))</f>
        <v>ARTO MORO</v>
      </c>
      <c r="AJ689" s="39" t="str">
        <f ca="1">IF(NOTA[[#This Row],[ID]]="","",COUNTIF(NOTA[ID_H],NOTA[[#This Row],[ID_H]]))</f>
        <v/>
      </c>
      <c r="AK689" s="39">
        <f ca="1">IF(NOTA[[#This Row],[TGL.NOTA]]="",IF(NOTA[[#This Row],[SUPPLIER_H]]="","",AK688),MONTH(NOTA[[#This Row],[TGL.NOTA]]))</f>
        <v>7</v>
      </c>
      <c r="AL689" s="39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6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6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6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39" t="str">
        <f>IF(NOTA[[#This Row],[CONCAT4]]="","",_xlfn.IFNA(MATCH(NOTA[[#This Row],[CONCAT4]],[2]!RAW[CONCAT_H],0),FALSE))</f>
        <v/>
      </c>
      <c r="AQ689" s="39">
        <f>IF(NOTA[[#This Row],[CONCAT1]]="","",MATCH(NOTA[[#This Row],[CONCAT1]],[3]!db[NB NOTA_C],0))</f>
        <v>2210</v>
      </c>
      <c r="AR689" s="39" t="str">
        <f>IF(NOTA[[#This Row],[QTY/ CTN]]="","",TRUE)</f>
        <v/>
      </c>
      <c r="AS689" s="39" t="str">
        <f ca="1">IF(NOTA[[#This Row],[ID_H]]="","",IF(NOTA[[#This Row],[Column3]]=TRUE,NOTA[[#This Row],[QTY/ CTN]],INDEX([3]!db[QTY/ CTN],NOTA[[#This Row],[//DB]])))</f>
        <v>20 GRS</v>
      </c>
      <c r="AT6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U689" s="39" t="e">
        <f ca="1">IF(NOTA[[#This Row],[ID_H]]="","",MATCH(NOTA[[#This Row],[NB NOTA_C_QTY]],[4]!db[NB NOTA_C_QTY+F],0))</f>
        <v>#REF!</v>
      </c>
      <c r="AV689" s="55">
        <f ca="1">IF(NOTA[[#This Row],[NB NOTA_C_QTY]]="","",ROW()-2)</f>
        <v>687</v>
      </c>
    </row>
    <row r="690" spans="1:48" ht="20.100000000000001" customHeight="1" x14ac:dyDescent="0.25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>
        <f ca="1">IF(NOTA[[#This Row],[NAMA BARANG]]="","",INDEX(NOTA[ID],MATCH(,INDIRECT(ADDRESS(ROW(NOTA[ID]),COLUMN(NOTA[ID]))&amp;":"&amp;ADDRESS(ROW(),COLUMN(NOTA[ID]))),-1)))</f>
        <v>132</v>
      </c>
      <c r="E690" s="47"/>
      <c r="H690" s="48"/>
      <c r="K690" s="38">
        <v>1</v>
      </c>
      <c r="L690" s="38" t="s">
        <v>762</v>
      </c>
      <c r="M690" s="41">
        <v>2</v>
      </c>
      <c r="N690" s="39"/>
      <c r="Q690" s="43">
        <v>3758400</v>
      </c>
      <c r="R690" s="49"/>
      <c r="S690" s="50">
        <v>0.17</v>
      </c>
      <c r="U690" s="51"/>
      <c r="V690" s="46"/>
      <c r="W690" s="51">
        <f>IF(NOTA[[#This Row],[HARGA/ CTN]]="",NOTA[[#This Row],[JUMLAH_H]],NOTA[[#This Row],[HARGA/ CTN]]*IF(NOTA[[#This Row],[C]]="",0,NOTA[[#This Row],[C]]))</f>
        <v>7516800</v>
      </c>
      <c r="X690" s="51">
        <f>IF(NOTA[[#This Row],[JUMLAH]]="","",NOTA[[#This Row],[JUMLAH]]*NOTA[[#This Row],[DISC 1]])</f>
        <v>1277856</v>
      </c>
      <c r="Y690" s="51">
        <f>IF(NOTA[[#This Row],[JUMLAH]]="","",(NOTA[[#This Row],[JUMLAH]]-NOTA[[#This Row],[DISC 1-]])*NOTA[[#This Row],[DISC 2]])</f>
        <v>0</v>
      </c>
      <c r="Z690" s="51">
        <f>IF(NOTA[[#This Row],[JUMLAH]]="","",NOTA[[#This Row],[DISC 1-]]+NOTA[[#This Row],[DISC 2-]])</f>
        <v>1277856</v>
      </c>
      <c r="AA690" s="51">
        <f>IF(NOTA[[#This Row],[JUMLAH]]="","",NOTA[[#This Row],[JUMLAH]]-NOTA[[#This Row],[DISC]])</f>
        <v>6238944</v>
      </c>
      <c r="AB690" s="51"/>
      <c r="AC6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6981084</v>
      </c>
      <c r="AD6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34084116</v>
      </c>
      <c r="AE69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0" s="51" t="str">
        <f>IF(OR(NOTA[[#This Row],[QTY]]="",NOTA[[#This Row],[HARGA SATUAN]]="",),"",NOTA[[#This Row],[QTY]]*NOTA[[#This Row],[HARGA SATUAN]])</f>
        <v/>
      </c>
      <c r="AG690" s="40">
        <f ca="1">IF(NOTA[ID_H]="","",INDEX(NOTA[TANGGAL],MATCH(,INDIRECT(ADDRESS(ROW(NOTA[TANGGAL]),COLUMN(NOTA[TANGGAL]))&amp;":"&amp;ADDRESS(ROW(),COLUMN(NOTA[TANGGAL]))),-1)))</f>
        <v>45131</v>
      </c>
      <c r="AH690" s="42" t="str">
        <f ca="1">IF(NOTA[[#This Row],[NAMA BARANG]]="","",INDEX(NOTA[SUPPLIER],MATCH(,INDIRECT(ADDRESS(ROW(NOTA[ID]),COLUMN(NOTA[ID]))&amp;":"&amp;ADDRESS(ROW(),COLUMN(NOTA[ID]))),-1)))</f>
        <v>KENKO SINAR INDONESIA</v>
      </c>
      <c r="AI690" s="42" t="str">
        <f ca="1">IF(NOTA[[#This Row],[ID_H]]="","",IF(NOTA[[#This Row],[FAKTUR]]="",INDIRECT(ADDRESS(ROW()-1,COLUMN())),NOTA[[#This Row],[FAKTUR]]))</f>
        <v>ARTO MORO</v>
      </c>
      <c r="AJ690" s="39" t="str">
        <f ca="1">IF(NOTA[[#This Row],[ID]]="","",COUNTIF(NOTA[ID_H],NOTA[[#This Row],[ID_H]]))</f>
        <v/>
      </c>
      <c r="AK690" s="39">
        <f ca="1">IF(NOTA[[#This Row],[TGL.NOTA]]="",IF(NOTA[[#This Row],[SUPPLIER_H]]="","",AK689),MONTH(NOTA[[#This Row],[TGL.NOTA]]))</f>
        <v>7</v>
      </c>
      <c r="AL690" s="39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39" t="str">
        <f>IF(NOTA[[#This Row],[CONCAT4]]="","",_xlfn.IFNA(MATCH(NOTA[[#This Row],[CONCAT4]],[2]!RAW[CONCAT_H],0),FALSE))</f>
        <v/>
      </c>
      <c r="AQ690" s="39">
        <f>IF(NOTA[[#This Row],[CONCAT1]]="","",MATCH(NOTA[[#This Row],[CONCAT1]],[3]!db[NB NOTA_C],0))</f>
        <v>678</v>
      </c>
      <c r="AR690" s="39" t="str">
        <f>IF(NOTA[[#This Row],[QTY/ CTN]]="","",TRUE)</f>
        <v/>
      </c>
      <c r="AS690" s="39" t="str">
        <f ca="1">IF(NOTA[[#This Row],[ID_H]]="","",IF(NOTA[[#This Row],[Column3]]=TRUE,NOTA[[#This Row],[QTY/ CTN]],INDEX([3]!db[QTY/ CTN],NOTA[[#This Row],[//DB]])))</f>
        <v>144 LSN</v>
      </c>
      <c r="AT6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U690" s="39" t="e">
        <f ca="1">IF(NOTA[[#This Row],[ID_H]]="","",MATCH(NOTA[[#This Row],[NB NOTA_C_QTY]],[4]!db[NB NOTA_C_QTY+F],0))</f>
        <v>#REF!</v>
      </c>
      <c r="AV690" s="55">
        <f ca="1">IF(NOTA[[#This Row],[NB NOTA_C_QTY]]="","",ROW()-2)</f>
        <v>688</v>
      </c>
    </row>
    <row r="691" spans="1:48" ht="20.100000000000001" customHeight="1" x14ac:dyDescent="0.25">
      <c r="A6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47"/>
      <c r="H691" s="48"/>
      <c r="N691" s="39"/>
      <c r="Q691" s="43"/>
      <c r="R691" s="49"/>
      <c r="S691" s="50"/>
      <c r="U691" s="51"/>
      <c r="V691" s="46"/>
      <c r="W691" s="51" t="str">
        <f>IF(NOTA[[#This Row],[HARGA/ CTN]]="",NOTA[[#This Row],[JUMLAH_H]],NOTA[[#This Row],[HARGA/ CTN]]*IF(NOTA[[#This Row],[C]]="",0,NOTA[[#This Row],[C]]))</f>
        <v/>
      </c>
      <c r="X691" s="51" t="str">
        <f>IF(NOTA[[#This Row],[JUMLAH]]="","",NOTA[[#This Row],[JUMLAH]]*NOTA[[#This Row],[DISC 1]])</f>
        <v/>
      </c>
      <c r="Y691" s="51" t="str">
        <f>IF(NOTA[[#This Row],[JUMLAH]]="","",(NOTA[[#This Row],[JUMLAH]]-NOTA[[#This Row],[DISC 1-]])*NOTA[[#This Row],[DISC 2]])</f>
        <v/>
      </c>
      <c r="Z691" s="51" t="str">
        <f>IF(NOTA[[#This Row],[JUMLAH]]="","",NOTA[[#This Row],[DISC 1-]]+NOTA[[#This Row],[DISC 2-]])</f>
        <v/>
      </c>
      <c r="AA691" s="51" t="str">
        <f>IF(NOTA[[#This Row],[JUMLAH]]="","",NOTA[[#This Row],[JUMLAH]]-NOTA[[#This Row],[DISC]])</f>
        <v/>
      </c>
      <c r="AB691" s="51"/>
      <c r="AC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51" t="str">
        <f>IF(OR(NOTA[[#This Row],[QTY]]="",NOTA[[#This Row],[HARGA SATUAN]]="",),"",NOTA[[#This Row],[QTY]]*NOTA[[#This Row],[HARGA SATUAN]])</f>
        <v/>
      </c>
      <c r="AG691" s="40" t="str">
        <f ca="1">IF(NOTA[ID_H]="","",INDEX(NOTA[TANGGAL],MATCH(,INDIRECT(ADDRESS(ROW(NOTA[TANGGAL]),COLUMN(NOTA[TANGGAL]))&amp;":"&amp;ADDRESS(ROW(),COLUMN(NOTA[TANGGAL]))),-1)))</f>
        <v/>
      </c>
      <c r="AH691" s="42" t="str">
        <f ca="1">IF(NOTA[[#This Row],[NAMA BARANG]]="","",INDEX(NOTA[SUPPLIER],MATCH(,INDIRECT(ADDRESS(ROW(NOTA[ID]),COLUMN(NOTA[ID]))&amp;":"&amp;ADDRESS(ROW(),COLUMN(NOTA[ID]))),-1)))</f>
        <v/>
      </c>
      <c r="AI691" s="42" t="str">
        <f ca="1">IF(NOTA[[#This Row],[ID_H]]="","",IF(NOTA[[#This Row],[FAKTUR]]="",INDIRECT(ADDRESS(ROW()-1,COLUMN())),NOTA[[#This Row],[FAKTUR]]))</f>
        <v/>
      </c>
      <c r="AJ691" s="39" t="str">
        <f ca="1">IF(NOTA[[#This Row],[ID]]="","",COUNTIF(NOTA[ID_H],NOTA[[#This Row],[ID_H]]))</f>
        <v/>
      </c>
      <c r="AK691" s="39" t="str">
        <f ca="1">IF(NOTA[[#This Row],[TGL.NOTA]]="",IF(NOTA[[#This Row],[SUPPLIER_H]]="","",AK690),MONTH(NOTA[[#This Row],[TGL.NOTA]]))</f>
        <v/>
      </c>
      <c r="AL691" s="39" t="str">
        <f>LOWER(SUBSTITUTE(SUBSTITUTE(SUBSTITUTE(SUBSTITUTE(SUBSTITUTE(SUBSTITUTE(SUBSTITUTE(SUBSTITUTE(SUBSTITUTE(NOTA[NAMA BARANG]," ",),".",""),"-",""),"(",""),")",""),",",""),"/",""),"""",""),"+",""))</f>
        <v/>
      </c>
      <c r="AM6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39" t="str">
        <f>IF(NOTA[[#This Row],[CONCAT4]]="","",_xlfn.IFNA(MATCH(NOTA[[#This Row],[CONCAT4]],[2]!RAW[CONCAT_H],0),FALSE))</f>
        <v/>
      </c>
      <c r="AQ691" s="39" t="str">
        <f>IF(NOTA[[#This Row],[CONCAT1]]="","",MATCH(NOTA[[#This Row],[CONCAT1]],[3]!db[NB NOTA_C],0))</f>
        <v/>
      </c>
      <c r="AR691" s="39" t="str">
        <f>IF(NOTA[[#This Row],[QTY/ CTN]]="","",TRUE)</f>
        <v/>
      </c>
      <c r="AS691" s="39" t="str">
        <f ca="1">IF(NOTA[[#This Row],[ID_H]]="","",IF(NOTA[[#This Row],[Column3]]=TRUE,NOTA[[#This Row],[QTY/ CTN]],INDEX([3]!db[QTY/ CTN],NOTA[[#This Row],[//DB]])))</f>
        <v/>
      </c>
      <c r="AT6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39" t="str">
        <f ca="1">IF(NOTA[[#This Row],[ID_H]]="","",MATCH(NOTA[[#This Row],[NB NOTA_C_QTY]],[4]!db[NB NOTA_C_QTY+F],0))</f>
        <v/>
      </c>
      <c r="AV691" s="55" t="str">
        <f ca="1">IF(NOTA[[#This Row],[NB NOTA_C_QTY]]="","",ROW()-2)</f>
        <v/>
      </c>
    </row>
    <row r="692" spans="1:48" ht="20.100000000000001" customHeight="1" x14ac:dyDescent="0.25">
      <c r="A692" s="4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PPW_2507_I23-2</v>
      </c>
      <c r="C692" s="39" t="e">
        <f ca="1">IF(NOTA[[#This Row],[ID_P]]="","",MATCH(NOTA[[#This Row],[ID_P]],[1]!B_MSK[N_ID],0))</f>
        <v>#REF!</v>
      </c>
      <c r="D692" s="39">
        <f ca="1">IF(NOTA[[#This Row],[NAMA BARANG]]="","",INDEX(NOTA[ID],MATCH(,INDIRECT(ADDRESS(ROW(NOTA[ID]),COLUMN(NOTA[ID]))&amp;":"&amp;ADDRESS(ROW(),COLUMN(NOTA[ID]))),-1)))</f>
        <v>133</v>
      </c>
      <c r="E692" s="47">
        <v>45132</v>
      </c>
      <c r="F692" s="38" t="s">
        <v>172</v>
      </c>
      <c r="G692" s="38" t="s">
        <v>145</v>
      </c>
      <c r="H692" s="48" t="s">
        <v>763</v>
      </c>
      <c r="J692" s="40">
        <v>45127</v>
      </c>
      <c r="K692" s="38">
        <v>1</v>
      </c>
      <c r="L692" s="38" t="s">
        <v>802</v>
      </c>
      <c r="M692" s="41">
        <v>1</v>
      </c>
      <c r="N692" s="39">
        <v>80</v>
      </c>
      <c r="O692" s="38" t="s">
        <v>152</v>
      </c>
      <c r="P692" s="42">
        <v>23080</v>
      </c>
      <c r="Q692" s="43"/>
      <c r="R692" s="49" t="s">
        <v>764</v>
      </c>
      <c r="S692" s="50">
        <v>0.2</v>
      </c>
      <c r="T692" s="45">
        <v>0.04</v>
      </c>
      <c r="U692" s="51"/>
      <c r="V692" s="46"/>
      <c r="W692" s="51">
        <f>IF(NOTA[[#This Row],[HARGA/ CTN]]="",NOTA[[#This Row],[JUMLAH_H]],NOTA[[#This Row],[HARGA/ CTN]]*IF(NOTA[[#This Row],[C]]="",0,NOTA[[#This Row],[C]]))</f>
        <v>1846400</v>
      </c>
      <c r="X692" s="51">
        <f>IF(NOTA[[#This Row],[JUMLAH]]="","",NOTA[[#This Row],[JUMLAH]]*NOTA[[#This Row],[DISC 1]])</f>
        <v>369280</v>
      </c>
      <c r="Y692" s="51">
        <f>IF(NOTA[[#This Row],[JUMLAH]]="","",(NOTA[[#This Row],[JUMLAH]]-NOTA[[#This Row],[DISC 1-]])*NOTA[[#This Row],[DISC 2]])</f>
        <v>59084.800000000003</v>
      </c>
      <c r="Z692" s="51">
        <f>IF(NOTA[[#This Row],[JUMLAH]]="","",NOTA[[#This Row],[DISC 1-]]+NOTA[[#This Row],[DISC 2-]])</f>
        <v>428364.79999999999</v>
      </c>
      <c r="AA692" s="51">
        <f>IF(NOTA[[#This Row],[JUMLAH]]="","",NOTA[[#This Row],[JUMLAH]]-NOTA[[#This Row],[DISC]])</f>
        <v>1418035.2</v>
      </c>
      <c r="AB692" s="51"/>
      <c r="AC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42">
        <f>IF(NOTA[[#This Row],[NAMA BARANG]]="","",IF(NOTA[[#This Row],[JUMLAH_H]]="",NOTA[[#This Row],[HARGA/ CTN]],NOTA[[#This Row],[QTY]]*NOTA[[#This Row],[HARGA SATUAN]]/IF(ISNUMBER(NOTA[[#This Row],[C]]),NOTA[[#This Row],[C]],1)))</f>
        <v>1846400</v>
      </c>
      <c r="AF692" s="51">
        <f>IF(OR(NOTA[[#This Row],[QTY]]="",NOTA[[#This Row],[HARGA SATUAN]]="",),"",NOTA[[#This Row],[QTY]]*NOTA[[#This Row],[HARGA SATUAN]])</f>
        <v>1846400</v>
      </c>
      <c r="AG692" s="40">
        <f ca="1">IF(NOTA[ID_H]="","",INDEX(NOTA[TANGGAL],MATCH(,INDIRECT(ADDRESS(ROW(NOTA[TANGGAL]),COLUMN(NOTA[TANGGAL]))&amp;":"&amp;ADDRESS(ROW(),COLUMN(NOTA[TANGGAL]))),-1)))</f>
        <v>45132</v>
      </c>
      <c r="AH692" s="42" t="str">
        <f ca="1">IF(NOTA[[#This Row],[NAMA BARANG]]="","",INDEX(NOTA[SUPPLIER],MATCH(,INDIRECT(ADDRESS(ROW(NOTA[ID]),COLUMN(NOTA[ID]))&amp;":"&amp;ADDRESS(ROW(),COLUMN(NOTA[ID]))),-1)))</f>
        <v>PPW</v>
      </c>
      <c r="AI692" s="42" t="str">
        <f ca="1">IF(NOTA[[#This Row],[ID_H]]="","",IF(NOTA[[#This Row],[FAKTUR]]="",INDIRECT(ADDRESS(ROW()-1,COLUMN())),NOTA[[#This Row],[FAKTUR]]))</f>
        <v>UNTANA</v>
      </c>
      <c r="AJ692" s="39">
        <f ca="1">IF(NOTA[[#This Row],[ID]]="","",COUNTIF(NOTA[ID_H],NOTA[[#This Row],[ID_H]]))</f>
        <v>2</v>
      </c>
      <c r="AK692" s="39">
        <f>IF(NOTA[[#This Row],[TGL.NOTA]]="",IF(NOTA[[#This Row],[SUPPLIER_H]]="","",AK691),MONTH(NOTA[[#This Row],[TGL.NOTA]]))</f>
        <v>7</v>
      </c>
      <c r="AL692" s="39" t="str">
        <f>LOWER(SUBSTITUTE(SUBSTITUTE(SUBSTITUTE(SUBSTITUTE(SUBSTITUTE(SUBSTITUTE(SUBSTITUTE(SUBSTITUTE(SUBSTITUTE(NOTA[NAMA BARANG]," ",),".",""),"-",""),"(",""),")",""),",",""),"/",""),"""",""),"+",""))</f>
        <v>bsr180'10cmnew</v>
      </c>
      <c r="AM6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bsr180'10cmnew18464000.20.04</v>
      </c>
      <c r="AN6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bsr180'10cmnew18464000.20.04</v>
      </c>
      <c r="AO692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PPWUNTANA0323/HW/VII/2345127bsr180'10cmnew</v>
      </c>
      <c r="AP692" s="39" t="e">
        <f>IF(NOTA[[#This Row],[CONCAT4]]="","",_xlfn.IFNA(MATCH(NOTA[[#This Row],[CONCAT4]],[2]!RAW[CONCAT_H],0),FALSE))</f>
        <v>#REF!</v>
      </c>
      <c r="AQ692" s="39">
        <f>IF(NOTA[[#This Row],[CONCAT1]]="","",MATCH(NOTA[[#This Row],[CONCAT1]],[3]!db[NB NOTA_C],0))</f>
        <v>1108</v>
      </c>
      <c r="AR692" s="39" t="b">
        <f>IF(NOTA[[#This Row],[QTY/ CTN]]="","",TRUE)</f>
        <v>1</v>
      </c>
      <c r="AS692" s="39" t="str">
        <f ca="1">IF(NOTA[[#This Row],[ID_H]]="","",IF(NOTA[[#This Row],[Column3]]=TRUE,NOTA[[#This Row],[QTY/ CTN]],INDEX([3]!db[QTY/ CTN],NOTA[[#This Row],[//DB]])))</f>
        <v>80 LSN</v>
      </c>
      <c r="AT6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bsr180'10cmnew80lsnuntana</v>
      </c>
      <c r="AU692" s="39" t="e">
        <f ca="1">IF(NOTA[[#This Row],[ID_H]]="","",MATCH(NOTA[[#This Row],[NB NOTA_C_QTY]],[4]!db[NB NOTA_C_QTY+F],0))</f>
        <v>#REF!</v>
      </c>
      <c r="AV692" s="55">
        <f ca="1">IF(NOTA[[#This Row],[NB NOTA_C_QTY]]="","",ROW()-2)</f>
        <v>690</v>
      </c>
    </row>
    <row r="693" spans="1:48" ht="20.100000000000001" customHeight="1" x14ac:dyDescent="0.25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>
        <f ca="1">IF(NOTA[[#This Row],[NAMA BARANG]]="","",INDEX(NOTA[ID],MATCH(,INDIRECT(ADDRESS(ROW(NOTA[ID]),COLUMN(NOTA[ID]))&amp;":"&amp;ADDRESS(ROW(),COLUMN(NOTA[ID]))),-1)))</f>
        <v>133</v>
      </c>
      <c r="E693" s="47"/>
      <c r="H693" s="48"/>
      <c r="K693" s="38">
        <v>1</v>
      </c>
      <c r="L693" s="38" t="s">
        <v>802</v>
      </c>
      <c r="M693" s="41">
        <v>1</v>
      </c>
      <c r="N693" s="39">
        <v>80</v>
      </c>
      <c r="O693" s="38" t="s">
        <v>152</v>
      </c>
      <c r="P693" s="42">
        <v>25180</v>
      </c>
      <c r="Q693" s="43"/>
      <c r="R693" s="49" t="s">
        <v>764</v>
      </c>
      <c r="S693" s="50">
        <v>0.2</v>
      </c>
      <c r="T693" s="45">
        <v>0.04</v>
      </c>
      <c r="U693" s="51"/>
      <c r="V693" s="46"/>
      <c r="W693" s="51">
        <f>IF(NOTA[[#This Row],[HARGA/ CTN]]="",NOTA[[#This Row],[JUMLAH_H]],NOTA[[#This Row],[HARGA/ CTN]]*IF(NOTA[[#This Row],[C]]="",0,NOTA[[#This Row],[C]]))</f>
        <v>2014400</v>
      </c>
      <c r="X693" s="51">
        <f>IF(NOTA[[#This Row],[JUMLAH]]="","",NOTA[[#This Row],[JUMLAH]]*NOTA[[#This Row],[DISC 1]])</f>
        <v>402880</v>
      </c>
      <c r="Y693" s="51">
        <f>IF(NOTA[[#This Row],[JUMLAH]]="","",(NOTA[[#This Row],[JUMLAH]]-NOTA[[#This Row],[DISC 1-]])*NOTA[[#This Row],[DISC 2]])</f>
        <v>64460.800000000003</v>
      </c>
      <c r="Z693" s="51">
        <f>IF(NOTA[[#This Row],[JUMLAH]]="","",NOTA[[#This Row],[DISC 1-]]+NOTA[[#This Row],[DISC 2-]])</f>
        <v>467340.79999999999</v>
      </c>
      <c r="AA693" s="51">
        <f>IF(NOTA[[#This Row],[JUMLAH]]="","",NOTA[[#This Row],[JUMLAH]]-NOTA[[#This Row],[DISC]])</f>
        <v>1547059.2</v>
      </c>
      <c r="AB693" s="51"/>
      <c r="AC6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895705.59999999998</v>
      </c>
      <c r="AD6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2965094.3999999999</v>
      </c>
      <c r="AE693" s="42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F693" s="51">
        <f>IF(OR(NOTA[[#This Row],[QTY]]="",NOTA[[#This Row],[HARGA SATUAN]]="",),"",NOTA[[#This Row],[QTY]]*NOTA[[#This Row],[HARGA SATUAN]])</f>
        <v>2014400</v>
      </c>
      <c r="AG693" s="40">
        <f ca="1">IF(NOTA[ID_H]="","",INDEX(NOTA[TANGGAL],MATCH(,INDIRECT(ADDRESS(ROW(NOTA[TANGGAL]),COLUMN(NOTA[TANGGAL]))&amp;":"&amp;ADDRESS(ROW(),COLUMN(NOTA[TANGGAL]))),-1)))</f>
        <v>45132</v>
      </c>
      <c r="AH693" s="42" t="str">
        <f ca="1">IF(NOTA[[#This Row],[NAMA BARANG]]="","",INDEX(NOTA[SUPPLIER],MATCH(,INDIRECT(ADDRESS(ROW(NOTA[ID]),COLUMN(NOTA[ID]))&amp;":"&amp;ADDRESS(ROW(),COLUMN(NOTA[ID]))),-1)))</f>
        <v>PPW</v>
      </c>
      <c r="AI693" s="42" t="str">
        <f ca="1">IF(NOTA[[#This Row],[ID_H]]="","",IF(NOTA[[#This Row],[FAKTUR]]="",INDIRECT(ADDRESS(ROW()-1,COLUMN())),NOTA[[#This Row],[FAKTUR]]))</f>
        <v>UNTANA</v>
      </c>
      <c r="AJ693" s="39" t="str">
        <f ca="1">IF(NOTA[[#This Row],[ID]]="","",COUNTIF(NOTA[ID_H],NOTA[[#This Row],[ID_H]]))</f>
        <v/>
      </c>
      <c r="AK693" s="39">
        <f ca="1">IF(NOTA[[#This Row],[TGL.NOTA]]="",IF(NOTA[[#This Row],[SUPPLIER_H]]="","",AK692),MONTH(NOTA[[#This Row],[TGL.NOTA]]))</f>
        <v>7</v>
      </c>
      <c r="AL693" s="39" t="str">
        <f>LOWER(SUBSTITUTE(SUBSTITUTE(SUBSTITUTE(SUBSTITUTE(SUBSTITUTE(SUBSTITUTE(SUBSTITUTE(SUBSTITUTE(SUBSTITUTE(NOTA[NAMA BARANG]," ",),".",""),"-",""),"(",""),")",""),",",""),"/",""),"""",""),"+",""))</f>
        <v>bsr180'10cmnew</v>
      </c>
      <c r="AM6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bsr180'10cmnew20144000.20.04</v>
      </c>
      <c r="AN6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bsr180'10cmnew20144000.20.04</v>
      </c>
      <c r="AO6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39" t="str">
        <f>IF(NOTA[[#This Row],[CONCAT4]]="","",_xlfn.IFNA(MATCH(NOTA[[#This Row],[CONCAT4]],[2]!RAW[CONCAT_H],0),FALSE))</f>
        <v/>
      </c>
      <c r="AQ693" s="39">
        <f>IF(NOTA[[#This Row],[CONCAT1]]="","",MATCH(NOTA[[#This Row],[CONCAT1]],[3]!db[NB NOTA_C],0))</f>
        <v>1108</v>
      </c>
      <c r="AR693" s="39" t="b">
        <f>IF(NOTA[[#This Row],[QTY/ CTN]]="","",TRUE)</f>
        <v>1</v>
      </c>
      <c r="AS693" s="39" t="str">
        <f ca="1">IF(NOTA[[#This Row],[ID_H]]="","",IF(NOTA[[#This Row],[Column3]]=TRUE,NOTA[[#This Row],[QTY/ CTN]],INDEX([3]!db[QTY/ CTN],NOTA[[#This Row],[//DB]])))</f>
        <v>80 LSN</v>
      </c>
      <c r="AT6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bsr180'10cmnew80lsnuntana</v>
      </c>
      <c r="AU693" s="39" t="e">
        <f ca="1">IF(NOTA[[#This Row],[ID_H]]="","",MATCH(NOTA[[#This Row],[NB NOTA_C_QTY]],[4]!db[NB NOTA_C_QTY+F],0))</f>
        <v>#REF!</v>
      </c>
      <c r="AV693" s="55">
        <f ca="1">IF(NOTA[[#This Row],[NB NOTA_C_QTY]]="","",ROW()-2)</f>
        <v>691</v>
      </c>
    </row>
    <row r="694" spans="1:48" ht="20.100000000000001" customHeight="1" x14ac:dyDescent="0.25">
      <c r="A6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47"/>
      <c r="H694" s="48"/>
      <c r="N694" s="39"/>
      <c r="Q694" s="43"/>
      <c r="R694" s="49"/>
      <c r="S694" s="50"/>
      <c r="U694" s="51"/>
      <c r="V694" s="46"/>
      <c r="W694" s="51" t="str">
        <f>IF(NOTA[[#This Row],[HARGA/ CTN]]="",NOTA[[#This Row],[JUMLAH_H]],NOTA[[#This Row],[HARGA/ CTN]]*IF(NOTA[[#This Row],[C]]="",0,NOTA[[#This Row],[C]]))</f>
        <v/>
      </c>
      <c r="X694" s="51" t="str">
        <f>IF(NOTA[[#This Row],[JUMLAH]]="","",NOTA[[#This Row],[JUMLAH]]*NOTA[[#This Row],[DISC 1]])</f>
        <v/>
      </c>
      <c r="Y694" s="51" t="str">
        <f>IF(NOTA[[#This Row],[JUMLAH]]="","",(NOTA[[#This Row],[JUMLAH]]-NOTA[[#This Row],[DISC 1-]])*NOTA[[#This Row],[DISC 2]])</f>
        <v/>
      </c>
      <c r="Z694" s="51" t="str">
        <f>IF(NOTA[[#This Row],[JUMLAH]]="","",NOTA[[#This Row],[DISC 1-]]+NOTA[[#This Row],[DISC 2-]])</f>
        <v/>
      </c>
      <c r="AA694" s="51" t="str">
        <f>IF(NOTA[[#This Row],[JUMLAH]]="","",NOTA[[#This Row],[JUMLAH]]-NOTA[[#This Row],[DISC]])</f>
        <v/>
      </c>
      <c r="AB694" s="51"/>
      <c r="AC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51" t="str">
        <f>IF(OR(NOTA[[#This Row],[QTY]]="",NOTA[[#This Row],[HARGA SATUAN]]="",),"",NOTA[[#This Row],[QTY]]*NOTA[[#This Row],[HARGA SATUAN]])</f>
        <v/>
      </c>
      <c r="AG694" s="40" t="str">
        <f ca="1">IF(NOTA[ID_H]="","",INDEX(NOTA[TANGGAL],MATCH(,INDIRECT(ADDRESS(ROW(NOTA[TANGGAL]),COLUMN(NOTA[TANGGAL]))&amp;":"&amp;ADDRESS(ROW(),COLUMN(NOTA[TANGGAL]))),-1)))</f>
        <v/>
      </c>
      <c r="AH694" s="42" t="str">
        <f ca="1">IF(NOTA[[#This Row],[NAMA BARANG]]="","",INDEX(NOTA[SUPPLIER],MATCH(,INDIRECT(ADDRESS(ROW(NOTA[ID]),COLUMN(NOTA[ID]))&amp;":"&amp;ADDRESS(ROW(),COLUMN(NOTA[ID]))),-1)))</f>
        <v/>
      </c>
      <c r="AI694" s="42" t="str">
        <f ca="1">IF(NOTA[[#This Row],[ID_H]]="","",IF(NOTA[[#This Row],[FAKTUR]]="",INDIRECT(ADDRESS(ROW()-1,COLUMN())),NOTA[[#This Row],[FAKTUR]]))</f>
        <v/>
      </c>
      <c r="AJ694" s="39" t="str">
        <f ca="1">IF(NOTA[[#This Row],[ID]]="","",COUNTIF(NOTA[ID_H],NOTA[[#This Row],[ID_H]]))</f>
        <v/>
      </c>
      <c r="AK694" s="39" t="str">
        <f ca="1">IF(NOTA[[#This Row],[TGL.NOTA]]="",IF(NOTA[[#This Row],[SUPPLIER_H]]="","",AK693),MONTH(NOTA[[#This Row],[TGL.NOTA]]))</f>
        <v/>
      </c>
      <c r="AL694" s="39" t="str">
        <f>LOWER(SUBSTITUTE(SUBSTITUTE(SUBSTITUTE(SUBSTITUTE(SUBSTITUTE(SUBSTITUTE(SUBSTITUTE(SUBSTITUTE(SUBSTITUTE(NOTA[NAMA BARANG]," ",),".",""),"-",""),"(",""),")",""),",",""),"/",""),"""",""),"+",""))</f>
        <v/>
      </c>
      <c r="AM6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39" t="str">
        <f>IF(NOTA[[#This Row],[CONCAT4]]="","",_xlfn.IFNA(MATCH(NOTA[[#This Row],[CONCAT4]],[2]!RAW[CONCAT_H],0),FALSE))</f>
        <v/>
      </c>
      <c r="AQ694" s="39" t="str">
        <f>IF(NOTA[[#This Row],[CONCAT1]]="","",MATCH(NOTA[[#This Row],[CONCAT1]],[3]!db[NB NOTA_C],0))</f>
        <v/>
      </c>
      <c r="AR694" s="39" t="str">
        <f>IF(NOTA[[#This Row],[QTY/ CTN]]="","",TRUE)</f>
        <v/>
      </c>
      <c r="AS694" s="39" t="str">
        <f ca="1">IF(NOTA[[#This Row],[ID_H]]="","",IF(NOTA[[#This Row],[Column3]]=TRUE,NOTA[[#This Row],[QTY/ CTN]],INDEX([3]!db[QTY/ CTN],NOTA[[#This Row],[//DB]])))</f>
        <v/>
      </c>
      <c r="AT6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39" t="str">
        <f ca="1">IF(NOTA[[#This Row],[ID_H]]="","",MATCH(NOTA[[#This Row],[NB NOTA_C_QTY]],[4]!db[NB NOTA_C_QTY+F],0))</f>
        <v/>
      </c>
      <c r="AV694" s="55" t="str">
        <f ca="1">IF(NOTA[[#This Row],[NB NOTA_C_QTY]]="","",ROW()-2)</f>
        <v/>
      </c>
    </row>
    <row r="695" spans="1:48" ht="20.100000000000001" customHeight="1" x14ac:dyDescent="0.25">
      <c r="A695" s="4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PPW_2507_I23-2</v>
      </c>
      <c r="C695" s="39" t="e">
        <f ca="1">IF(NOTA[[#This Row],[ID_P]]="","",MATCH(NOTA[[#This Row],[ID_P]],[1]!B_MSK[N_ID],0))</f>
        <v>#REF!</v>
      </c>
      <c r="D695" s="39">
        <f ca="1">IF(NOTA[[#This Row],[NAMA BARANG]]="","",INDEX(NOTA[ID],MATCH(,INDIRECT(ADDRESS(ROW(NOTA[ID]),COLUMN(NOTA[ID]))&amp;":"&amp;ADDRESS(ROW(),COLUMN(NOTA[ID]))),-1)))</f>
        <v>134</v>
      </c>
      <c r="E695" s="47"/>
      <c r="F695" s="38" t="s">
        <v>172</v>
      </c>
      <c r="G695" s="38" t="s">
        <v>145</v>
      </c>
      <c r="H695" s="48" t="s">
        <v>765</v>
      </c>
      <c r="J695" s="40">
        <v>45127</v>
      </c>
      <c r="K695" s="38">
        <v>6</v>
      </c>
      <c r="L695" s="38" t="s">
        <v>177</v>
      </c>
      <c r="M695" s="41">
        <v>8</v>
      </c>
      <c r="N695" s="39">
        <v>800</v>
      </c>
      <c r="O695" s="38" t="s">
        <v>152</v>
      </c>
      <c r="P695" s="42">
        <v>26780</v>
      </c>
      <c r="Q695" s="43"/>
      <c r="R695" s="49" t="s">
        <v>767</v>
      </c>
      <c r="S695" s="50">
        <v>0.2</v>
      </c>
      <c r="T695" s="45">
        <v>0.04</v>
      </c>
      <c r="U695" s="51"/>
      <c r="V695" s="46"/>
      <c r="W695" s="51">
        <f>IF(NOTA[[#This Row],[HARGA/ CTN]]="",NOTA[[#This Row],[JUMLAH_H]],NOTA[[#This Row],[HARGA/ CTN]]*IF(NOTA[[#This Row],[C]]="",0,NOTA[[#This Row],[C]]))</f>
        <v>21424000</v>
      </c>
      <c r="X695" s="51">
        <f>IF(NOTA[[#This Row],[JUMLAH]]="","",NOTA[[#This Row],[JUMLAH]]*NOTA[[#This Row],[DISC 1]])</f>
        <v>4284800</v>
      </c>
      <c r="Y695" s="51">
        <f>IF(NOTA[[#This Row],[JUMLAH]]="","",(NOTA[[#This Row],[JUMLAH]]-NOTA[[#This Row],[DISC 1-]])*NOTA[[#This Row],[DISC 2]])</f>
        <v>685568</v>
      </c>
      <c r="Z695" s="51">
        <f>IF(NOTA[[#This Row],[JUMLAH]]="","",NOTA[[#This Row],[DISC 1-]]+NOTA[[#This Row],[DISC 2-]])</f>
        <v>4970368</v>
      </c>
      <c r="AA695" s="51">
        <f>IF(NOTA[[#This Row],[JUMLAH]]="","",NOTA[[#This Row],[JUMLAH]]-NOTA[[#This Row],[DISC]])</f>
        <v>16453632</v>
      </c>
      <c r="AB695" s="51"/>
      <c r="AC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695" s="51">
        <f>IF(OR(NOTA[[#This Row],[QTY]]="",NOTA[[#This Row],[HARGA SATUAN]]="",),"",NOTA[[#This Row],[QTY]]*NOTA[[#This Row],[HARGA SATUAN]])</f>
        <v>21424000</v>
      </c>
      <c r="AG695" s="40">
        <f ca="1">IF(NOTA[ID_H]="","",INDEX(NOTA[TANGGAL],MATCH(,INDIRECT(ADDRESS(ROW(NOTA[TANGGAL]),COLUMN(NOTA[TANGGAL]))&amp;":"&amp;ADDRESS(ROW(),COLUMN(NOTA[TANGGAL]))),-1)))</f>
        <v>45132</v>
      </c>
      <c r="AH695" s="42" t="str">
        <f ca="1">IF(NOTA[[#This Row],[NAMA BARANG]]="","",INDEX(NOTA[SUPPLIER],MATCH(,INDIRECT(ADDRESS(ROW(NOTA[ID]),COLUMN(NOTA[ID]))&amp;":"&amp;ADDRESS(ROW(),COLUMN(NOTA[ID]))),-1)))</f>
        <v>PPW</v>
      </c>
      <c r="AI695" s="42" t="str">
        <f ca="1">IF(NOTA[[#This Row],[ID_H]]="","",IF(NOTA[[#This Row],[FAKTUR]]="",INDIRECT(ADDRESS(ROW()-1,COLUMN())),NOTA[[#This Row],[FAKTUR]]))</f>
        <v>UNTANA</v>
      </c>
      <c r="AJ695" s="39">
        <f ca="1">IF(NOTA[[#This Row],[ID]]="","",COUNTIF(NOTA[ID_H],NOTA[[#This Row],[ID_H]]))</f>
        <v>2</v>
      </c>
      <c r="AK695" s="39">
        <f>IF(NOTA[[#This Row],[TGL.NOTA]]="",IF(NOTA[[#This Row],[SUPPLIER_H]]="","",AK694),MONTH(NOTA[[#This Row],[TGL.NOTA]]))</f>
        <v>7</v>
      </c>
      <c r="AL695" s="39" t="str">
        <f>LOWER(SUBSTITUTE(SUBSTITUTE(SUBSTITUTE(SUBSTITUTE(SUBSTITUTE(SUBSTITUTE(SUBSTITUTE(SUBSTITUTE(SUBSTITUTE(NOTA[NAMA BARANG]," ",),".",""),"-",""),"(",""),")",""),",",""),"/",""),"""",""),"+",""))</f>
        <v>bt30cm</v>
      </c>
      <c r="AM6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6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695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PPWUNTANA0328/HW/VII/2345127bt30cm</v>
      </c>
      <c r="AP695" s="39" t="e">
        <f>IF(NOTA[[#This Row],[CONCAT4]]="","",_xlfn.IFNA(MATCH(NOTA[[#This Row],[CONCAT4]],[2]!RAW[CONCAT_H],0),FALSE))</f>
        <v>#REF!</v>
      </c>
      <c r="AQ695" s="39">
        <f>IF(NOTA[[#This Row],[CONCAT1]]="","",MATCH(NOTA[[#This Row],[CONCAT1]],[3]!db[NB NOTA_C],0))</f>
        <v>1102</v>
      </c>
      <c r="AR695" s="39" t="b">
        <f>IF(NOTA[[#This Row],[QTY/ CTN]]="","",TRUE)</f>
        <v>1</v>
      </c>
      <c r="AS695" s="39" t="str">
        <f ca="1">IF(NOTA[[#This Row],[ID_H]]="","",IF(NOTA[[#This Row],[Column3]]=TRUE,NOTA[[#This Row],[QTY/ CTN]],INDEX([3]!db[QTY/ CTN],NOTA[[#This Row],[//DB]])))</f>
        <v>100 LSN</v>
      </c>
      <c r="AT6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695" s="39" t="e">
        <f ca="1">IF(NOTA[[#This Row],[ID_H]]="","",MATCH(NOTA[[#This Row],[NB NOTA_C_QTY]],[4]!db[NB NOTA_C_QTY+F],0))</f>
        <v>#REF!</v>
      </c>
      <c r="AV695" s="55">
        <f ca="1">IF(NOTA[[#This Row],[NB NOTA_C_QTY]]="","",ROW()-2)</f>
        <v>693</v>
      </c>
    </row>
    <row r="696" spans="1:48" ht="20.100000000000001" customHeight="1" x14ac:dyDescent="0.25">
      <c r="A6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>
        <f ca="1">IF(NOTA[[#This Row],[NAMA BARANG]]="","",INDEX(NOTA[ID],MATCH(,INDIRECT(ADDRESS(ROW(NOTA[ID]),COLUMN(NOTA[ID]))&amp;":"&amp;ADDRESS(ROW(),COLUMN(NOTA[ID]))),-1)))</f>
        <v>134</v>
      </c>
      <c r="E696" s="47"/>
      <c r="H696" s="48"/>
      <c r="K696" s="38">
        <v>4</v>
      </c>
      <c r="L696" s="38" t="s">
        <v>766</v>
      </c>
      <c r="M696" s="41">
        <v>4</v>
      </c>
      <c r="N696" s="39">
        <v>400</v>
      </c>
      <c r="O696" s="38" t="s">
        <v>152</v>
      </c>
      <c r="P696" s="42">
        <v>21380</v>
      </c>
      <c r="Q696" s="43"/>
      <c r="R696" s="49" t="s">
        <v>767</v>
      </c>
      <c r="S696" s="50">
        <v>0.2</v>
      </c>
      <c r="T696" s="45">
        <v>0.04</v>
      </c>
      <c r="U696" s="51"/>
      <c r="V696" s="46"/>
      <c r="W696" s="51">
        <f>IF(NOTA[[#This Row],[HARGA/ CTN]]="",NOTA[[#This Row],[JUMLAH_H]],NOTA[[#This Row],[HARGA/ CTN]]*IF(NOTA[[#This Row],[C]]="",0,NOTA[[#This Row],[C]]))</f>
        <v>8552000</v>
      </c>
      <c r="X696" s="51">
        <f>IF(NOTA[[#This Row],[JUMLAH]]="","",NOTA[[#This Row],[JUMLAH]]*NOTA[[#This Row],[DISC 1]])</f>
        <v>1710400</v>
      </c>
      <c r="Y696" s="51">
        <f>IF(NOTA[[#This Row],[JUMLAH]]="","",(NOTA[[#This Row],[JUMLAH]]-NOTA[[#This Row],[DISC 1-]])*NOTA[[#This Row],[DISC 2]])</f>
        <v>273664</v>
      </c>
      <c r="Z696" s="51">
        <f>IF(NOTA[[#This Row],[JUMLAH]]="","",NOTA[[#This Row],[DISC 1-]]+NOTA[[#This Row],[DISC 2-]])</f>
        <v>1984064</v>
      </c>
      <c r="AA696" s="51">
        <f>IF(NOTA[[#This Row],[JUMLAH]]="","",NOTA[[#This Row],[JUMLAH]]-NOTA[[#This Row],[DISC]])</f>
        <v>6567936</v>
      </c>
      <c r="AB696" s="51"/>
      <c r="AC6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6954432</v>
      </c>
      <c r="AD6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23021568</v>
      </c>
      <c r="AE696" s="4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696" s="51">
        <f>IF(OR(NOTA[[#This Row],[QTY]]="",NOTA[[#This Row],[HARGA SATUAN]]="",),"",NOTA[[#This Row],[QTY]]*NOTA[[#This Row],[HARGA SATUAN]])</f>
        <v>8552000</v>
      </c>
      <c r="AG696" s="40">
        <f ca="1">IF(NOTA[ID_H]="","",INDEX(NOTA[TANGGAL],MATCH(,INDIRECT(ADDRESS(ROW(NOTA[TANGGAL]),COLUMN(NOTA[TANGGAL]))&amp;":"&amp;ADDRESS(ROW(),COLUMN(NOTA[TANGGAL]))),-1)))</f>
        <v>45132</v>
      </c>
      <c r="AH696" s="42" t="str">
        <f ca="1">IF(NOTA[[#This Row],[NAMA BARANG]]="","",INDEX(NOTA[SUPPLIER],MATCH(,INDIRECT(ADDRESS(ROW(NOTA[ID]),COLUMN(NOTA[ID]))&amp;":"&amp;ADDRESS(ROW(),COLUMN(NOTA[ID]))),-1)))</f>
        <v>PPW</v>
      </c>
      <c r="AI696" s="42" t="str">
        <f ca="1">IF(NOTA[[#This Row],[ID_H]]="","",IF(NOTA[[#This Row],[FAKTUR]]="",INDIRECT(ADDRESS(ROW()-1,COLUMN())),NOTA[[#This Row],[FAKTUR]]))</f>
        <v>UNTANA</v>
      </c>
      <c r="AJ696" s="39" t="str">
        <f ca="1">IF(NOTA[[#This Row],[ID]]="","",COUNTIF(NOTA[ID_H],NOTA[[#This Row],[ID_H]]))</f>
        <v/>
      </c>
      <c r="AK696" s="39">
        <f ca="1">IF(NOTA[[#This Row],[TGL.NOTA]]="",IF(NOTA[[#This Row],[SUPPLIER_H]]="","",AK695),MONTH(NOTA[[#This Row],[TGL.NOTA]]))</f>
        <v>7</v>
      </c>
      <c r="AL696" s="39" t="str">
        <f>LOWER(SUBSTITUTE(SUBSTITUTE(SUBSTITUTE(SUBSTITUTE(SUBSTITUTE(SUBSTITUTE(SUBSTITUTE(SUBSTITUTE(SUBSTITUTE(NOTA[NAMA BARANG]," ",),".",""),"-",""),"(",""),")",""),",",""),"/",""),"""",""),"+",""))</f>
        <v>bt20cm</v>
      </c>
      <c r="AM6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6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6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39" t="str">
        <f>IF(NOTA[[#This Row],[CONCAT4]]="","",_xlfn.IFNA(MATCH(NOTA[[#This Row],[CONCAT4]],[2]!RAW[CONCAT_H],0),FALSE))</f>
        <v/>
      </c>
      <c r="AQ696" s="39">
        <f>IF(NOTA[[#This Row],[CONCAT1]]="","",MATCH(NOTA[[#This Row],[CONCAT1]],[3]!db[NB NOTA_C],0))</f>
        <v>1101</v>
      </c>
      <c r="AR696" s="39" t="b">
        <f>IF(NOTA[[#This Row],[QTY/ CTN]]="","",TRUE)</f>
        <v>1</v>
      </c>
      <c r="AS696" s="39" t="str">
        <f ca="1">IF(NOTA[[#This Row],[ID_H]]="","",IF(NOTA[[#This Row],[Column3]]=TRUE,NOTA[[#This Row],[QTY/ CTN]],INDEX([3]!db[QTY/ CTN],NOTA[[#This Row],[//DB]])))</f>
        <v>100 LSN</v>
      </c>
      <c r="AT6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U696" s="39" t="e">
        <f ca="1">IF(NOTA[[#This Row],[ID_H]]="","",MATCH(NOTA[[#This Row],[NB NOTA_C_QTY]],[4]!db[NB NOTA_C_QTY+F],0))</f>
        <v>#REF!</v>
      </c>
      <c r="AV696" s="55">
        <f ca="1">IF(NOTA[[#This Row],[NB NOTA_C_QTY]]="","",ROW()-2)</f>
        <v>694</v>
      </c>
    </row>
    <row r="697" spans="1:48" ht="20.100000000000001" customHeight="1" x14ac:dyDescent="0.25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47"/>
      <c r="H697" s="48"/>
      <c r="N697" s="39"/>
      <c r="Q697" s="43"/>
      <c r="R697" s="49"/>
      <c r="S697" s="50"/>
      <c r="U697" s="51"/>
      <c r="V697" s="46"/>
      <c r="W697" s="51" t="str">
        <f>IF(NOTA[[#This Row],[HARGA/ CTN]]="",NOTA[[#This Row],[JUMLAH_H]],NOTA[[#This Row],[HARGA/ CTN]]*IF(NOTA[[#This Row],[C]]="",0,NOTA[[#This Row],[C]]))</f>
        <v/>
      </c>
      <c r="X697" s="51" t="str">
        <f>IF(NOTA[[#This Row],[JUMLAH]]="","",NOTA[[#This Row],[JUMLAH]]*NOTA[[#This Row],[DISC 1]])</f>
        <v/>
      </c>
      <c r="Y697" s="51" t="str">
        <f>IF(NOTA[[#This Row],[JUMLAH]]="","",(NOTA[[#This Row],[JUMLAH]]-NOTA[[#This Row],[DISC 1-]])*NOTA[[#This Row],[DISC 2]])</f>
        <v/>
      </c>
      <c r="Z697" s="51" t="str">
        <f>IF(NOTA[[#This Row],[JUMLAH]]="","",NOTA[[#This Row],[DISC 1-]]+NOTA[[#This Row],[DISC 2-]])</f>
        <v/>
      </c>
      <c r="AA697" s="51" t="str">
        <f>IF(NOTA[[#This Row],[JUMLAH]]="","",NOTA[[#This Row],[JUMLAH]]-NOTA[[#This Row],[DISC]])</f>
        <v/>
      </c>
      <c r="AB697" s="51"/>
      <c r="AC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51" t="str">
        <f>IF(OR(NOTA[[#This Row],[QTY]]="",NOTA[[#This Row],[HARGA SATUAN]]="",),"",NOTA[[#This Row],[QTY]]*NOTA[[#This Row],[HARGA SATUAN]])</f>
        <v/>
      </c>
      <c r="AG697" s="40" t="str">
        <f ca="1">IF(NOTA[ID_H]="","",INDEX(NOTA[TANGGAL],MATCH(,INDIRECT(ADDRESS(ROW(NOTA[TANGGAL]),COLUMN(NOTA[TANGGAL]))&amp;":"&amp;ADDRESS(ROW(),COLUMN(NOTA[TANGGAL]))),-1)))</f>
        <v/>
      </c>
      <c r="AH697" s="42" t="str">
        <f ca="1">IF(NOTA[[#This Row],[NAMA BARANG]]="","",INDEX(NOTA[SUPPLIER],MATCH(,INDIRECT(ADDRESS(ROW(NOTA[ID]),COLUMN(NOTA[ID]))&amp;":"&amp;ADDRESS(ROW(),COLUMN(NOTA[ID]))),-1)))</f>
        <v/>
      </c>
      <c r="AI697" s="42" t="str">
        <f ca="1">IF(NOTA[[#This Row],[ID_H]]="","",IF(NOTA[[#This Row],[FAKTUR]]="",INDIRECT(ADDRESS(ROW()-1,COLUMN())),NOTA[[#This Row],[FAKTUR]]))</f>
        <v/>
      </c>
      <c r="AJ697" s="39" t="str">
        <f ca="1">IF(NOTA[[#This Row],[ID]]="","",COUNTIF(NOTA[ID_H],NOTA[[#This Row],[ID_H]]))</f>
        <v/>
      </c>
      <c r="AK697" s="39" t="str">
        <f ca="1">IF(NOTA[[#This Row],[TGL.NOTA]]="",IF(NOTA[[#This Row],[SUPPLIER_H]]="","",AK696),MONTH(NOTA[[#This Row],[TGL.NOTA]]))</f>
        <v/>
      </c>
      <c r="AL697" s="39" t="str">
        <f>LOWER(SUBSTITUTE(SUBSTITUTE(SUBSTITUTE(SUBSTITUTE(SUBSTITUTE(SUBSTITUTE(SUBSTITUTE(SUBSTITUTE(SUBSTITUTE(NOTA[NAMA BARANG]," ",),".",""),"-",""),"(",""),")",""),",",""),"/",""),"""",""),"+",""))</f>
        <v/>
      </c>
      <c r="AM6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39" t="str">
        <f>IF(NOTA[[#This Row],[CONCAT4]]="","",_xlfn.IFNA(MATCH(NOTA[[#This Row],[CONCAT4]],[2]!RAW[CONCAT_H],0),FALSE))</f>
        <v/>
      </c>
      <c r="AQ697" s="39" t="str">
        <f>IF(NOTA[[#This Row],[CONCAT1]]="","",MATCH(NOTA[[#This Row],[CONCAT1]],[3]!db[NB NOTA_C],0))</f>
        <v/>
      </c>
      <c r="AR697" s="39" t="str">
        <f>IF(NOTA[[#This Row],[QTY/ CTN]]="","",TRUE)</f>
        <v/>
      </c>
      <c r="AS697" s="39" t="str">
        <f ca="1">IF(NOTA[[#This Row],[ID_H]]="","",IF(NOTA[[#This Row],[Column3]]=TRUE,NOTA[[#This Row],[QTY/ CTN]],INDEX([3]!db[QTY/ CTN],NOTA[[#This Row],[//DB]])))</f>
        <v/>
      </c>
      <c r="AT6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39" t="str">
        <f ca="1">IF(NOTA[[#This Row],[ID_H]]="","",MATCH(NOTA[[#This Row],[NB NOTA_C_QTY]],[4]!db[NB NOTA_C_QTY+F],0))</f>
        <v/>
      </c>
      <c r="AV697" s="55" t="str">
        <f ca="1">IF(NOTA[[#This Row],[NB NOTA_C_QTY]]="","",ROW()-2)</f>
        <v/>
      </c>
    </row>
    <row r="698" spans="1:48" ht="20.100000000000001" customHeight="1" x14ac:dyDescent="0.25">
      <c r="A698" s="4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ETJ_2507_123-1</v>
      </c>
      <c r="C698" s="39" t="e">
        <f ca="1">IF(NOTA[[#This Row],[ID_P]]="","",MATCH(NOTA[[#This Row],[ID_P]],[1]!B_MSK[N_ID],0))</f>
        <v>#REF!</v>
      </c>
      <c r="D698" s="39">
        <f ca="1">IF(NOTA[[#This Row],[NAMA BARANG]]="","",INDEX(NOTA[ID],MATCH(,INDIRECT(ADDRESS(ROW(NOTA[ID]),COLUMN(NOTA[ID]))&amp;":"&amp;ADDRESS(ROW(),COLUMN(NOTA[ID]))),-1)))</f>
        <v>135</v>
      </c>
      <c r="E698" s="47"/>
      <c r="F698" s="38" t="s">
        <v>151</v>
      </c>
      <c r="G698" s="38" t="s">
        <v>145</v>
      </c>
      <c r="H698" s="48" t="s">
        <v>769</v>
      </c>
      <c r="J698" s="40">
        <v>45125</v>
      </c>
      <c r="L698" s="38" t="s">
        <v>768</v>
      </c>
      <c r="M698" s="41">
        <v>2</v>
      </c>
      <c r="N698" s="39">
        <v>1000</v>
      </c>
      <c r="O698" s="38" t="s">
        <v>308</v>
      </c>
      <c r="P698" s="42">
        <v>4700</v>
      </c>
      <c r="Q698" s="43"/>
      <c r="R698" s="49" t="s">
        <v>770</v>
      </c>
      <c r="S698" s="50"/>
      <c r="U698" s="51"/>
      <c r="V698" s="46"/>
      <c r="W698" s="51">
        <f>IF(NOTA[[#This Row],[HARGA/ CTN]]="",NOTA[[#This Row],[JUMLAH_H]],NOTA[[#This Row],[HARGA/ CTN]]*IF(NOTA[[#This Row],[C]]="",0,NOTA[[#This Row],[C]]))</f>
        <v>4700000</v>
      </c>
      <c r="X698" s="51">
        <f>IF(NOTA[[#This Row],[JUMLAH]]="","",NOTA[[#This Row],[JUMLAH]]*NOTA[[#This Row],[DISC 1]])</f>
        <v>0</v>
      </c>
      <c r="Y698" s="51">
        <f>IF(NOTA[[#This Row],[JUMLAH]]="","",(NOTA[[#This Row],[JUMLAH]]-NOTA[[#This Row],[DISC 1-]])*NOTA[[#This Row],[DISC 2]])</f>
        <v>0</v>
      </c>
      <c r="Z698" s="51">
        <f>IF(NOTA[[#This Row],[JUMLAH]]="","",NOTA[[#This Row],[DISC 1-]]+NOTA[[#This Row],[DISC 2-]])</f>
        <v>0</v>
      </c>
      <c r="AA698" s="51">
        <f>IF(NOTA[[#This Row],[JUMLAH]]="","",NOTA[[#This Row],[JUMLAH]]-NOTA[[#This Row],[DISC]])</f>
        <v>4700000</v>
      </c>
      <c r="AB698" s="51"/>
      <c r="AC6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4700000</v>
      </c>
      <c r="AE698" s="4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698" s="51">
        <f>IF(OR(NOTA[[#This Row],[QTY]]="",NOTA[[#This Row],[HARGA SATUAN]]="",),"",NOTA[[#This Row],[QTY]]*NOTA[[#This Row],[HARGA SATUAN]])</f>
        <v>4700000</v>
      </c>
      <c r="AG698" s="40">
        <f ca="1">IF(NOTA[ID_H]="","",INDEX(NOTA[TANGGAL],MATCH(,INDIRECT(ADDRESS(ROW(NOTA[TANGGAL]),COLUMN(NOTA[TANGGAL]))&amp;":"&amp;ADDRESS(ROW(),COLUMN(NOTA[TANGGAL]))),-1)))</f>
        <v>45132</v>
      </c>
      <c r="AH698" s="42" t="str">
        <f ca="1">IF(NOTA[[#This Row],[NAMA BARANG]]="","",INDEX(NOTA[SUPPLIER],MATCH(,INDIRECT(ADDRESS(ROW(NOTA[ID]),COLUMN(NOTA[ID]))&amp;":"&amp;ADDRESS(ROW(),COLUMN(NOTA[ID]))),-1)))</f>
        <v>ETJ</v>
      </c>
      <c r="AI698" s="42" t="str">
        <f ca="1">IF(NOTA[[#This Row],[ID_H]]="","",IF(NOTA[[#This Row],[FAKTUR]]="",INDIRECT(ADDRESS(ROW()-1,COLUMN())),NOTA[[#This Row],[FAKTUR]]))</f>
        <v>UNTANA</v>
      </c>
      <c r="AJ698" s="39">
        <f ca="1">IF(NOTA[[#This Row],[ID]]="","",COUNTIF(NOTA[ID_H],NOTA[[#This Row],[ID_H]]))</f>
        <v>1</v>
      </c>
      <c r="AK698" s="39">
        <f>IF(NOTA[[#This Row],[TGL.NOTA]]="",IF(NOTA[[#This Row],[SUPPLIER_H]]="","",AK697),MONTH(NOTA[[#This Row],[TGL.NOTA]]))</f>
        <v>7</v>
      </c>
      <c r="AL698" s="39" t="str">
        <f>LOWER(SUBSTITUTE(SUBSTITUTE(SUBSTITUTE(SUBSTITUTE(SUBSTITUTE(SUBSTITUTE(SUBSTITUTE(SUBSTITUTE(SUBSTITUTE(NOTA[NAMA BARANG]," ",),".",""),"-",""),"(",""),")",""),",",""),"/",""),"""",""),"+",""))</f>
        <v>dust25x4</v>
      </c>
      <c r="AM6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dust25x42350000</v>
      </c>
      <c r="AN6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dust25x42350000</v>
      </c>
      <c r="AO698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ETJUNTANALX1.2345125dust25x4</v>
      </c>
      <c r="AP698" s="39" t="e">
        <f>IF(NOTA[[#This Row],[CONCAT4]]="","",_xlfn.IFNA(MATCH(NOTA[[#This Row],[CONCAT4]],[2]!RAW[CONCAT_H],0),FALSE))</f>
        <v>#REF!</v>
      </c>
      <c r="AQ698" s="39">
        <f>IF(NOTA[[#This Row],[CONCAT1]]="","",MATCH(NOTA[[#This Row],[CONCAT1]],[3]!db[NB NOTA_C],0))</f>
        <v>2378</v>
      </c>
      <c r="AR698" s="39" t="b">
        <f>IF(NOTA[[#This Row],[QTY/ CTN]]="","",TRUE)</f>
        <v>1</v>
      </c>
      <c r="AS698" s="39" t="str">
        <f ca="1">IF(NOTA[[#This Row],[ID_H]]="","",IF(NOTA[[#This Row],[Column3]]=TRUE,NOTA[[#This Row],[QTY/ CTN]],INDEX([3]!db[QTY/ CTN],NOTA[[#This Row],[//DB]])))</f>
        <v>500 ROL</v>
      </c>
      <c r="AT6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dust25x4500roluntana</v>
      </c>
      <c r="AU698" s="39" t="e">
        <f ca="1">IF(NOTA[[#This Row],[ID_H]]="","",MATCH(NOTA[[#This Row],[NB NOTA_C_QTY]],[4]!db[NB NOTA_C_QTY+F],0))</f>
        <v>#REF!</v>
      </c>
      <c r="AV698" s="55">
        <f ca="1">IF(NOTA[[#This Row],[NB NOTA_C_QTY]]="","",ROW()-2)</f>
        <v>696</v>
      </c>
    </row>
    <row r="699" spans="1:48" ht="20.100000000000001" customHeight="1" x14ac:dyDescent="0.25">
      <c r="A6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47"/>
      <c r="H699" s="48"/>
      <c r="N699" s="39"/>
      <c r="Q699" s="43"/>
      <c r="R699" s="49"/>
      <c r="S699" s="50"/>
      <c r="U699" s="51"/>
      <c r="V699" s="46"/>
      <c r="W699" s="51" t="str">
        <f>IF(NOTA[[#This Row],[HARGA/ CTN]]="",NOTA[[#This Row],[JUMLAH_H]],NOTA[[#This Row],[HARGA/ CTN]]*IF(NOTA[[#This Row],[C]]="",0,NOTA[[#This Row],[C]]))</f>
        <v/>
      </c>
      <c r="X699" s="51" t="str">
        <f>IF(NOTA[[#This Row],[JUMLAH]]="","",NOTA[[#This Row],[JUMLAH]]*NOTA[[#This Row],[DISC 1]])</f>
        <v/>
      </c>
      <c r="Y699" s="51" t="str">
        <f>IF(NOTA[[#This Row],[JUMLAH]]="","",(NOTA[[#This Row],[JUMLAH]]-NOTA[[#This Row],[DISC 1-]])*NOTA[[#This Row],[DISC 2]])</f>
        <v/>
      </c>
      <c r="Z699" s="51" t="str">
        <f>IF(NOTA[[#This Row],[JUMLAH]]="","",NOTA[[#This Row],[DISC 1-]]+NOTA[[#This Row],[DISC 2-]])</f>
        <v/>
      </c>
      <c r="AA699" s="51" t="str">
        <f>IF(NOTA[[#This Row],[JUMLAH]]="","",NOTA[[#This Row],[JUMLAH]]-NOTA[[#This Row],[DISC]])</f>
        <v/>
      </c>
      <c r="AB699" s="51"/>
      <c r="AC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51" t="str">
        <f>IF(OR(NOTA[[#This Row],[QTY]]="",NOTA[[#This Row],[HARGA SATUAN]]="",),"",NOTA[[#This Row],[QTY]]*NOTA[[#This Row],[HARGA SATUAN]])</f>
        <v/>
      </c>
      <c r="AG699" s="40" t="str">
        <f ca="1">IF(NOTA[ID_H]="","",INDEX(NOTA[TANGGAL],MATCH(,INDIRECT(ADDRESS(ROW(NOTA[TANGGAL]),COLUMN(NOTA[TANGGAL]))&amp;":"&amp;ADDRESS(ROW(),COLUMN(NOTA[TANGGAL]))),-1)))</f>
        <v/>
      </c>
      <c r="AH699" s="42" t="str">
        <f ca="1">IF(NOTA[[#This Row],[NAMA BARANG]]="","",INDEX(NOTA[SUPPLIER],MATCH(,INDIRECT(ADDRESS(ROW(NOTA[ID]),COLUMN(NOTA[ID]))&amp;":"&amp;ADDRESS(ROW(),COLUMN(NOTA[ID]))),-1)))</f>
        <v/>
      </c>
      <c r="AI699" s="42" t="str">
        <f ca="1">IF(NOTA[[#This Row],[ID_H]]="","",IF(NOTA[[#This Row],[FAKTUR]]="",INDIRECT(ADDRESS(ROW()-1,COLUMN())),NOTA[[#This Row],[FAKTUR]]))</f>
        <v/>
      </c>
      <c r="AJ699" s="39" t="str">
        <f ca="1">IF(NOTA[[#This Row],[ID]]="","",COUNTIF(NOTA[ID_H],NOTA[[#This Row],[ID_H]]))</f>
        <v/>
      </c>
      <c r="AK699" s="39" t="str">
        <f ca="1">IF(NOTA[[#This Row],[TGL.NOTA]]="",IF(NOTA[[#This Row],[SUPPLIER_H]]="","",AK698),MONTH(NOTA[[#This Row],[TGL.NOTA]]))</f>
        <v/>
      </c>
      <c r="AL699" s="39" t="str">
        <f>LOWER(SUBSTITUTE(SUBSTITUTE(SUBSTITUTE(SUBSTITUTE(SUBSTITUTE(SUBSTITUTE(SUBSTITUTE(SUBSTITUTE(SUBSTITUTE(NOTA[NAMA BARANG]," ",),".",""),"-",""),"(",""),")",""),",",""),"/",""),"""",""),"+",""))</f>
        <v/>
      </c>
      <c r="AM6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39" t="str">
        <f>IF(NOTA[[#This Row],[CONCAT4]]="","",_xlfn.IFNA(MATCH(NOTA[[#This Row],[CONCAT4]],[2]!RAW[CONCAT_H],0),FALSE))</f>
        <v/>
      </c>
      <c r="AQ699" s="39" t="str">
        <f>IF(NOTA[[#This Row],[CONCAT1]]="","",MATCH(NOTA[[#This Row],[CONCAT1]],[3]!db[NB NOTA_C],0))</f>
        <v/>
      </c>
      <c r="AR699" s="39" t="str">
        <f>IF(NOTA[[#This Row],[QTY/ CTN]]="","",TRUE)</f>
        <v/>
      </c>
      <c r="AS699" s="39" t="str">
        <f ca="1">IF(NOTA[[#This Row],[ID_H]]="","",IF(NOTA[[#This Row],[Column3]]=TRUE,NOTA[[#This Row],[QTY/ CTN]],INDEX([3]!db[QTY/ CTN],NOTA[[#This Row],[//DB]])))</f>
        <v/>
      </c>
      <c r="AT6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39" t="str">
        <f ca="1">IF(NOTA[[#This Row],[ID_H]]="","",MATCH(NOTA[[#This Row],[NB NOTA_C_QTY]],[4]!db[NB NOTA_C_QTY+F],0))</f>
        <v/>
      </c>
      <c r="AV699" s="55" t="str">
        <f ca="1">IF(NOTA[[#This Row],[NB NOTA_C_QTY]]="","",ROW()-2)</f>
        <v/>
      </c>
    </row>
    <row r="700" spans="1:48" ht="20.100000000000001" customHeight="1" x14ac:dyDescent="0.25">
      <c r="A700" s="4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COM_2507_743-2</v>
      </c>
      <c r="C700" s="39" t="e">
        <f ca="1">IF(NOTA[[#This Row],[ID_P]]="","",MATCH(NOTA[[#This Row],[ID_P]],[1]!B_MSK[N_ID],0))</f>
        <v>#REF!</v>
      </c>
      <c r="D700" s="39">
        <f ca="1">IF(NOTA[[#This Row],[NAMA BARANG]]="","",INDEX(NOTA[ID],MATCH(,INDIRECT(ADDRESS(ROW(NOTA[ID]),COLUMN(NOTA[ID]))&amp;":"&amp;ADDRESS(ROW(),COLUMN(NOTA[ID]))),-1)))</f>
        <v>136</v>
      </c>
      <c r="E700" s="47"/>
      <c r="F700" s="38" t="s">
        <v>252</v>
      </c>
      <c r="G700" s="38" t="s">
        <v>145</v>
      </c>
      <c r="H700" s="48" t="s">
        <v>771</v>
      </c>
      <c r="J700" s="40">
        <v>45132</v>
      </c>
      <c r="L700" s="38" t="s">
        <v>491</v>
      </c>
      <c r="N700" s="39">
        <v>2</v>
      </c>
      <c r="O700" s="38" t="s">
        <v>152</v>
      </c>
      <c r="P700" s="42">
        <v>240000</v>
      </c>
      <c r="Q700" s="43"/>
      <c r="R700" s="49"/>
      <c r="S700" s="50"/>
      <c r="U700" s="51"/>
      <c r="V700" s="46"/>
      <c r="W700" s="51">
        <f>IF(NOTA[[#This Row],[HARGA/ CTN]]="",NOTA[[#This Row],[JUMLAH_H]],NOTA[[#This Row],[HARGA/ CTN]]*IF(NOTA[[#This Row],[C]]="",0,NOTA[[#This Row],[C]]))</f>
        <v>480000</v>
      </c>
      <c r="X700" s="51">
        <f>IF(NOTA[[#This Row],[JUMLAH]]="","",NOTA[[#This Row],[JUMLAH]]*NOTA[[#This Row],[DISC 1]])</f>
        <v>0</v>
      </c>
      <c r="Y700" s="51">
        <f>IF(NOTA[[#This Row],[JUMLAH]]="","",(NOTA[[#This Row],[JUMLAH]]-NOTA[[#This Row],[DISC 1-]])*NOTA[[#This Row],[DISC 2]])</f>
        <v>0</v>
      </c>
      <c r="Z700" s="51">
        <f>IF(NOTA[[#This Row],[JUMLAH]]="","",NOTA[[#This Row],[DISC 1-]]+NOTA[[#This Row],[DISC 2-]])</f>
        <v>0</v>
      </c>
      <c r="AA700" s="51">
        <f>IF(NOTA[[#This Row],[JUMLAH]]="","",NOTA[[#This Row],[JUMLAH]]-NOTA[[#This Row],[DISC]])</f>
        <v>480000</v>
      </c>
      <c r="AB700" s="51"/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00" s="51">
        <f>IF(OR(NOTA[[#This Row],[QTY]]="",NOTA[[#This Row],[HARGA SATUAN]]="",),"",NOTA[[#This Row],[QTY]]*NOTA[[#This Row],[HARGA SATUAN]])</f>
        <v>480000</v>
      </c>
      <c r="AG700" s="40">
        <f ca="1">IF(NOTA[ID_H]="","",INDEX(NOTA[TANGGAL],MATCH(,INDIRECT(ADDRESS(ROW(NOTA[TANGGAL]),COLUMN(NOTA[TANGGAL]))&amp;":"&amp;ADDRESS(ROW(),COLUMN(NOTA[TANGGAL]))),-1)))</f>
        <v>45132</v>
      </c>
      <c r="AH700" s="42" t="str">
        <f ca="1">IF(NOTA[[#This Row],[NAMA BARANG]]="","",INDEX(NOTA[SUPPLIER],MATCH(,INDIRECT(ADDRESS(ROW(NOTA[ID]),COLUMN(NOTA[ID]))&amp;":"&amp;ADDRESS(ROW(),COLUMN(NOTA[ID]))),-1)))</f>
        <v>COMBI</v>
      </c>
      <c r="AI700" s="42" t="str">
        <f ca="1">IF(NOTA[[#This Row],[ID_H]]="","",IF(NOTA[[#This Row],[FAKTUR]]="",INDIRECT(ADDRESS(ROW()-1,COLUMN())),NOTA[[#This Row],[FAKTUR]]))</f>
        <v>UNTANA</v>
      </c>
      <c r="AJ700" s="39">
        <f ca="1">IF(NOTA[[#This Row],[ID]]="","",COUNTIF(NOTA[ID_H],NOTA[[#This Row],[ID_H]]))</f>
        <v>2</v>
      </c>
      <c r="AK700" s="39">
        <f>IF(NOTA[[#This Row],[TGL.NOTA]]="",IF(NOTA[[#This Row],[SUPPLIER_H]]="","",AK699),MONTH(NOTA[[#This Row],[TGL.NOTA]]))</f>
        <v>7</v>
      </c>
      <c r="AL700" s="39" t="str">
        <f>LOWER(SUBSTITUTE(SUBSTITUTE(SUBSTITUTE(SUBSTITUTE(SUBSTITUTE(SUBSTITUTE(SUBSTITUTE(SUBSTITUTE(SUBSTITUTE(NOTA[NAMA BARANG]," ",),".",""),"-",""),"(",""),")",""),",",""),"/",""),"""",""),"+",""))</f>
        <v>docritstatement</v>
      </c>
      <c r="AM7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docritstatement480000</v>
      </c>
      <c r="AN7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docritstatement240000</v>
      </c>
      <c r="AO700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COMBIUNTANA074345132docritstatement</v>
      </c>
      <c r="AP700" s="39" t="e">
        <f>IF(NOTA[[#This Row],[CONCAT4]]="","",_xlfn.IFNA(MATCH(NOTA[[#This Row],[CONCAT4]],[2]!RAW[CONCAT_H],0),FALSE))</f>
        <v>#REF!</v>
      </c>
      <c r="AQ700" s="39">
        <f>IF(NOTA[[#This Row],[CONCAT1]]="","",MATCH(NOTA[[#This Row],[CONCAT1]],[3]!db[NB NOTA_C],0))</f>
        <v>1023</v>
      </c>
      <c r="AR700" s="39" t="str">
        <f>IF(NOTA[[#This Row],[QTY/ CTN]]="","",TRUE)</f>
        <v/>
      </c>
      <c r="AS700" s="39" t="str">
        <f ca="1">IF(NOTA[[#This Row],[ID_H]]="","",IF(NOTA[[#This Row],[Column3]]=TRUE,NOTA[[#This Row],[QTY/ CTN]],INDEX([3]!db[QTY/ CTN],NOTA[[#This Row],[//DB]])))</f>
        <v>7 LSN</v>
      </c>
      <c r="AT7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700" s="39" t="e">
        <f ca="1">IF(NOTA[[#This Row],[ID_H]]="","",MATCH(NOTA[[#This Row],[NB NOTA_C_QTY]],[4]!db[NB NOTA_C_QTY+F],0))</f>
        <v>#REF!</v>
      </c>
      <c r="AV700" s="55">
        <f ca="1">IF(NOTA[[#This Row],[NB NOTA_C_QTY]]="","",ROW()-2)</f>
        <v>698</v>
      </c>
    </row>
    <row r="701" spans="1:48" ht="20.100000000000001" customHeight="1" x14ac:dyDescent="0.25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>
        <f ca="1">IF(NOTA[[#This Row],[NAMA BARANG]]="","",INDEX(NOTA[ID],MATCH(,INDIRECT(ADDRESS(ROW(NOTA[ID]),COLUMN(NOTA[ID]))&amp;":"&amp;ADDRESS(ROW(),COLUMN(NOTA[ID]))),-1)))</f>
        <v>136</v>
      </c>
      <c r="E701" s="47"/>
      <c r="H701" s="48"/>
      <c r="L701" s="38" t="s">
        <v>492</v>
      </c>
      <c r="N701" s="39">
        <v>2</v>
      </c>
      <c r="O701" s="38" t="s">
        <v>152</v>
      </c>
      <c r="P701" s="42">
        <v>273000</v>
      </c>
      <c r="Q701" s="43"/>
      <c r="R701" s="49"/>
      <c r="S701" s="50"/>
      <c r="U701" s="51"/>
      <c r="V701" s="46"/>
      <c r="W701" s="51">
        <f>IF(NOTA[[#This Row],[HARGA/ CTN]]="",NOTA[[#This Row],[JUMLAH_H]],NOTA[[#This Row],[HARGA/ CTN]]*IF(NOTA[[#This Row],[C]]="",0,NOTA[[#This Row],[C]]))</f>
        <v>546000</v>
      </c>
      <c r="X701" s="51">
        <f>IF(NOTA[[#This Row],[JUMLAH]]="","",NOTA[[#This Row],[JUMLAH]]*NOTA[[#This Row],[DISC 1]])</f>
        <v>0</v>
      </c>
      <c r="Y701" s="51">
        <f>IF(NOTA[[#This Row],[JUMLAH]]="","",(NOTA[[#This Row],[JUMLAH]]-NOTA[[#This Row],[DISC 1-]])*NOTA[[#This Row],[DISC 2]])</f>
        <v>0</v>
      </c>
      <c r="Z701" s="51">
        <f>IF(NOTA[[#This Row],[JUMLAH]]="","",NOTA[[#This Row],[DISC 1-]]+NOTA[[#This Row],[DISC 2-]])</f>
        <v>0</v>
      </c>
      <c r="AA701" s="51">
        <f>IF(NOTA[[#This Row],[JUMLAH]]="","",NOTA[[#This Row],[JUMLAH]]-NOTA[[#This Row],[DISC]])</f>
        <v>546000</v>
      </c>
      <c r="AB701" s="51"/>
      <c r="AC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</v>
      </c>
      <c r="AE701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01" s="51">
        <f>IF(OR(NOTA[[#This Row],[QTY]]="",NOTA[[#This Row],[HARGA SATUAN]]="",),"",NOTA[[#This Row],[QTY]]*NOTA[[#This Row],[HARGA SATUAN]])</f>
        <v>546000</v>
      </c>
      <c r="AG701" s="40">
        <f ca="1">IF(NOTA[ID_H]="","",INDEX(NOTA[TANGGAL],MATCH(,INDIRECT(ADDRESS(ROW(NOTA[TANGGAL]),COLUMN(NOTA[TANGGAL]))&amp;":"&amp;ADDRESS(ROW(),COLUMN(NOTA[TANGGAL]))),-1)))</f>
        <v>45132</v>
      </c>
      <c r="AH701" s="42" t="str">
        <f ca="1">IF(NOTA[[#This Row],[NAMA BARANG]]="","",INDEX(NOTA[SUPPLIER],MATCH(,INDIRECT(ADDRESS(ROW(NOTA[ID]),COLUMN(NOTA[ID]))&amp;":"&amp;ADDRESS(ROW(),COLUMN(NOTA[ID]))),-1)))</f>
        <v>COMBI</v>
      </c>
      <c r="AI701" s="42" t="str">
        <f ca="1">IF(NOTA[[#This Row],[ID_H]]="","",IF(NOTA[[#This Row],[FAKTUR]]="",INDIRECT(ADDRESS(ROW()-1,COLUMN())),NOTA[[#This Row],[FAKTUR]]))</f>
        <v>UNTANA</v>
      </c>
      <c r="AJ701" s="39" t="str">
        <f ca="1">IF(NOTA[[#This Row],[ID]]="","",COUNTIF(NOTA[ID_H],NOTA[[#This Row],[ID_H]]))</f>
        <v/>
      </c>
      <c r="AK701" s="39">
        <f ca="1">IF(NOTA[[#This Row],[TGL.NOTA]]="",IF(NOTA[[#This Row],[SUPPLIER_H]]="","",AK700),MONTH(NOTA[[#This Row],[TGL.NOTA]]))</f>
        <v>7</v>
      </c>
      <c r="AL701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7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docritelegance546000</v>
      </c>
      <c r="AN7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7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39" t="str">
        <f>IF(NOTA[[#This Row],[CONCAT4]]="","",_xlfn.IFNA(MATCH(NOTA[[#This Row],[CONCAT4]],[2]!RAW[CONCAT_H],0),FALSE))</f>
        <v/>
      </c>
      <c r="AQ701" s="39">
        <f>IF(NOTA[[#This Row],[CONCAT1]]="","",MATCH(NOTA[[#This Row],[CONCAT1]],[3]!db[NB NOTA_C],0))</f>
        <v>1013</v>
      </c>
      <c r="AR701" s="39" t="str">
        <f>IF(NOTA[[#This Row],[QTY/ CTN]]="","",TRUE)</f>
        <v/>
      </c>
      <c r="AS701" s="39" t="str">
        <f ca="1">IF(NOTA[[#This Row],[ID_H]]="","",IF(NOTA[[#This Row],[Column3]]=TRUE,NOTA[[#This Row],[QTY/ CTN]],INDEX([3]!db[QTY/ CTN],NOTA[[#This Row],[//DB]])))</f>
        <v>7 LSN</v>
      </c>
      <c r="AT7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701" s="39" t="e">
        <f ca="1">IF(NOTA[[#This Row],[ID_H]]="","",MATCH(NOTA[[#This Row],[NB NOTA_C_QTY]],[4]!db[NB NOTA_C_QTY+F],0))</f>
        <v>#REF!</v>
      </c>
      <c r="AV701" s="55">
        <f ca="1">IF(NOTA[[#This Row],[NB NOTA_C_QTY]]="","",ROW()-2)</f>
        <v>699</v>
      </c>
    </row>
    <row r="702" spans="1:48" ht="20.100000000000001" customHeight="1" x14ac:dyDescent="0.25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47"/>
      <c r="H702" s="48"/>
      <c r="N702" s="39"/>
      <c r="Q702" s="43"/>
      <c r="R702" s="49"/>
      <c r="S702" s="50"/>
      <c r="U702" s="51"/>
      <c r="V702" s="46"/>
      <c r="W702" s="51" t="str">
        <f>IF(NOTA[[#This Row],[HARGA/ CTN]]="",NOTA[[#This Row],[JUMLAH_H]],NOTA[[#This Row],[HARGA/ CTN]]*IF(NOTA[[#This Row],[C]]="",0,NOTA[[#This Row],[C]]))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/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51" t="str">
        <f>IF(OR(NOTA[[#This Row],[QTY]]="",NOTA[[#This Row],[HARGA SATUAN]]="",),"",NOTA[[#This Row],[QTY]]*NOTA[[#This Row],[HARGA SATUAN]])</f>
        <v/>
      </c>
      <c r="AG702" s="40" t="str">
        <f ca="1">IF(NOTA[ID_H]="","",INDEX(NOTA[TANGGAL],MATCH(,INDIRECT(ADDRESS(ROW(NOTA[TANGGAL]),COLUMN(NOTA[TANGGAL]))&amp;":"&amp;ADDRESS(ROW(),COLUMN(NOTA[TANGGAL]))),-1)))</f>
        <v/>
      </c>
      <c r="AH702" s="42" t="str">
        <f ca="1">IF(NOTA[[#This Row],[NAMA BARANG]]="","",INDEX(NOTA[SUPPLIER],MATCH(,INDIRECT(ADDRESS(ROW(NOTA[ID]),COLUMN(NOTA[ID]))&amp;":"&amp;ADDRESS(ROW(),COLUMN(NOTA[ID]))),-1)))</f>
        <v/>
      </c>
      <c r="AI702" s="42" t="str">
        <f ca="1">IF(NOTA[[#This Row],[ID_H]]="","",IF(NOTA[[#This Row],[FAKTUR]]="",INDIRECT(ADDRESS(ROW()-1,COLUMN())),NOTA[[#This Row],[FAKTUR]]))</f>
        <v/>
      </c>
      <c r="AJ702" s="39" t="str">
        <f ca="1">IF(NOTA[[#This Row],[ID]]="","",COUNTIF(NOTA[ID_H],NOTA[[#This Row],[ID_H]]))</f>
        <v/>
      </c>
      <c r="AK702" s="39" t="str">
        <f ca="1">IF(NOTA[[#This Row],[TGL.NOTA]]="",IF(NOTA[[#This Row],[SUPPLIER_H]]="","",AK701),MONTH(NOTA[[#This Row],[TGL.NOTA]]))</f>
        <v/>
      </c>
      <c r="AL702" s="39" t="str">
        <f>LOWER(SUBSTITUTE(SUBSTITUTE(SUBSTITUTE(SUBSTITUTE(SUBSTITUTE(SUBSTITUTE(SUBSTITUTE(SUBSTITUTE(SUBSTITUTE(NOTA[NAMA BARANG]," ",),".",""),"-",""),"(",""),")",""),",",""),"/",""),"""",""),"+",""))</f>
        <v/>
      </c>
      <c r="AM7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39" t="str">
        <f>IF(NOTA[[#This Row],[CONCAT4]]="","",_xlfn.IFNA(MATCH(NOTA[[#This Row],[CONCAT4]],[2]!RAW[CONCAT_H],0),FALSE))</f>
        <v/>
      </c>
      <c r="AQ702" s="39" t="str">
        <f>IF(NOTA[[#This Row],[CONCAT1]]="","",MATCH(NOTA[[#This Row],[CONCAT1]],[3]!db[NB NOTA_C],0))</f>
        <v/>
      </c>
      <c r="AR702" s="39" t="str">
        <f>IF(NOTA[[#This Row],[QTY/ CTN]]="","",TRUE)</f>
        <v/>
      </c>
      <c r="AS702" s="39" t="str">
        <f ca="1">IF(NOTA[[#This Row],[ID_H]]="","",IF(NOTA[[#This Row],[Column3]]=TRUE,NOTA[[#This Row],[QTY/ CTN]],INDEX([3]!db[QTY/ CTN],NOTA[[#This Row],[//DB]])))</f>
        <v/>
      </c>
      <c r="AT7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39" t="str">
        <f ca="1">IF(NOTA[[#This Row],[ID_H]]="","",MATCH(NOTA[[#This Row],[NB NOTA_C_QTY]],[4]!db[NB NOTA_C_QTY+F],0))</f>
        <v/>
      </c>
      <c r="AV702" s="55" t="str">
        <f ca="1">IF(NOTA[[#This Row],[NB NOTA_C_QTY]]="","",ROW()-2)</f>
        <v/>
      </c>
    </row>
    <row r="703" spans="1:48" ht="20.100000000000001" customHeight="1" x14ac:dyDescent="0.25">
      <c r="A703" s="4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SBS_2507_B1M-1</v>
      </c>
      <c r="C703" s="39" t="e">
        <f ca="1">IF(NOTA[[#This Row],[ID_P]]="","",MATCH(NOTA[[#This Row],[ID_P]],[1]!B_MSK[N_ID],0))</f>
        <v>#REF!</v>
      </c>
      <c r="D703" s="39">
        <f ca="1">IF(NOTA[[#This Row],[NAMA BARANG]]="","",INDEX(NOTA[ID],MATCH(,INDIRECT(ADDRESS(ROW(NOTA[ID]),COLUMN(NOTA[ID]))&amp;":"&amp;ADDRESS(ROW(),COLUMN(NOTA[ID]))),-1)))</f>
        <v>137</v>
      </c>
      <c r="E703" s="47"/>
      <c r="F703" s="38" t="s">
        <v>165</v>
      </c>
      <c r="G703" s="38" t="s">
        <v>145</v>
      </c>
      <c r="H703" s="48" t="s">
        <v>772</v>
      </c>
      <c r="J703" s="40">
        <v>45124</v>
      </c>
      <c r="K703" s="38">
        <v>1</v>
      </c>
      <c r="L703" s="38" t="s">
        <v>773</v>
      </c>
      <c r="M703" s="41">
        <v>10</v>
      </c>
      <c r="N703" s="39">
        <v>1200</v>
      </c>
      <c r="O703" s="38" t="s">
        <v>117</v>
      </c>
      <c r="P703" s="42">
        <v>10420</v>
      </c>
      <c r="Q703" s="43"/>
      <c r="R703" s="49" t="s">
        <v>168</v>
      </c>
      <c r="S703" s="50"/>
      <c r="U703" s="51"/>
      <c r="V703" s="46"/>
      <c r="W703" s="51">
        <f>IF(NOTA[[#This Row],[HARGA/ CTN]]="",NOTA[[#This Row],[JUMLAH_H]],NOTA[[#This Row],[HARGA/ CTN]]*IF(NOTA[[#This Row],[C]]="",0,NOTA[[#This Row],[C]]))</f>
        <v>12504000</v>
      </c>
      <c r="X703" s="51">
        <f>IF(NOTA[[#This Row],[JUMLAH]]="","",NOTA[[#This Row],[JUMLAH]]*NOTA[[#This Row],[DISC 1]])</f>
        <v>0</v>
      </c>
      <c r="Y703" s="51">
        <f>IF(NOTA[[#This Row],[JUMLAH]]="","",(NOTA[[#This Row],[JUMLAH]]-NOTA[[#This Row],[DISC 1-]])*NOTA[[#This Row],[DISC 2]])</f>
        <v>0</v>
      </c>
      <c r="Z703" s="51">
        <f>IF(NOTA[[#This Row],[JUMLAH]]="","",NOTA[[#This Row],[DISC 1-]]+NOTA[[#This Row],[DISC 2-]])</f>
        <v>0</v>
      </c>
      <c r="AA703" s="51">
        <f>IF(NOTA[[#This Row],[JUMLAH]]="","",NOTA[[#This Row],[JUMLAH]]-NOTA[[#This Row],[DISC]])</f>
        <v>12504000</v>
      </c>
      <c r="AB703" s="51"/>
      <c r="AC7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12504000</v>
      </c>
      <c r="AE703" s="42">
        <f>IF(NOTA[[#This Row],[NAMA BARANG]]="","",IF(NOTA[[#This Row],[JUMLAH_H]]="",NOTA[[#This Row],[HARGA/ CTN]],NOTA[[#This Row],[QTY]]*NOTA[[#This Row],[HARGA SATUAN]]/IF(ISNUMBER(NOTA[[#This Row],[C]]),NOTA[[#This Row],[C]],1)))</f>
        <v>1250400</v>
      </c>
      <c r="AF703" s="51">
        <f>IF(OR(NOTA[[#This Row],[QTY]]="",NOTA[[#This Row],[HARGA SATUAN]]="",),"",NOTA[[#This Row],[QTY]]*NOTA[[#This Row],[HARGA SATUAN]])</f>
        <v>12504000</v>
      </c>
      <c r="AG703" s="40">
        <f ca="1">IF(NOTA[ID_H]="","",INDEX(NOTA[TANGGAL],MATCH(,INDIRECT(ADDRESS(ROW(NOTA[TANGGAL]),COLUMN(NOTA[TANGGAL]))&amp;":"&amp;ADDRESS(ROW(),COLUMN(NOTA[TANGGAL]))),-1)))</f>
        <v>45132</v>
      </c>
      <c r="AH703" s="42" t="str">
        <f ca="1">IF(NOTA[[#This Row],[NAMA BARANG]]="","",INDEX(NOTA[SUPPLIER],MATCH(,INDIRECT(ADDRESS(ROW(NOTA[ID]),COLUMN(NOTA[ID]))&amp;":"&amp;ADDRESS(ROW(),COLUMN(NOTA[ID]))),-1)))</f>
        <v>SBS</v>
      </c>
      <c r="AI703" s="42" t="str">
        <f ca="1">IF(NOTA[[#This Row],[ID_H]]="","",IF(NOTA[[#This Row],[FAKTUR]]="",INDIRECT(ADDRESS(ROW()-1,COLUMN())),NOTA[[#This Row],[FAKTUR]]))</f>
        <v>UNTANA</v>
      </c>
      <c r="AJ703" s="39">
        <f ca="1">IF(NOTA[[#This Row],[ID]]="","",COUNTIF(NOTA[ID_H],NOTA[[#This Row],[ID_H]]))</f>
        <v>1</v>
      </c>
      <c r="AK703" s="39">
        <f>IF(NOTA[[#This Row],[TGL.NOTA]]="",IF(NOTA[[#This Row],[SUPPLIER_H]]="","",AK702),MONTH(NOTA[[#This Row],[TGL.NOTA]]))</f>
        <v>7</v>
      </c>
      <c r="AL703" s="39" t="str">
        <f>LOWER(SUBSTITUTE(SUBSTITUTE(SUBSTITUTE(SUBSTITUTE(SUBSTITUTE(SUBSTITUTE(SUBSTITUTE(SUBSTITUTE(SUBSTITUTE(NOTA[NAMA BARANG]," ",),".",""),"-",""),"(",""),")",""),",",""),"/",""),"""",""),"+",""))</f>
        <v>pckb90585x21mobil2ssn</v>
      </c>
      <c r="AM7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pckb90585x21mobil2ssn1250400</v>
      </c>
      <c r="AN7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pckb90585x21mobil2ssn1250400</v>
      </c>
      <c r="AO703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SBSUNTANAVG0519B1M45124pckb90585x21mobil2ssn</v>
      </c>
      <c r="AP703" s="39" t="e">
        <f>IF(NOTA[[#This Row],[CONCAT4]]="","",_xlfn.IFNA(MATCH(NOTA[[#This Row],[CONCAT4]],[2]!RAW[CONCAT_H],0),FALSE))</f>
        <v>#REF!</v>
      </c>
      <c r="AQ703" s="39">
        <f>IF(NOTA[[#This Row],[CONCAT1]]="","",MATCH(NOTA[[#This Row],[CONCAT1]],[3]!db[NB NOTA_C],0))</f>
        <v>1937</v>
      </c>
      <c r="AR703" s="39" t="b">
        <f>IF(NOTA[[#This Row],[QTY/ CTN]]="","",TRUE)</f>
        <v>1</v>
      </c>
      <c r="AS703" s="39" t="str">
        <f ca="1">IF(NOTA[[#This Row],[ID_H]]="","",IF(NOTA[[#This Row],[Column3]]=TRUE,NOTA[[#This Row],[QTY/ CTN]],INDEX([3]!db[QTY/ CTN],NOTA[[#This Row],[//DB]])))</f>
        <v>120 PCS</v>
      </c>
      <c r="AT7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pckb90585x21mobil2ssn120pcsuntana</v>
      </c>
      <c r="AU703" s="39" t="e">
        <f ca="1">IF(NOTA[[#This Row],[ID_H]]="","",MATCH(NOTA[[#This Row],[NB NOTA_C_QTY]],[4]!db[NB NOTA_C_QTY+F],0))</f>
        <v>#REF!</v>
      </c>
      <c r="AV703" s="55">
        <f ca="1">IF(NOTA[[#This Row],[NB NOTA_C_QTY]]="","",ROW()-2)</f>
        <v>701</v>
      </c>
    </row>
    <row r="704" spans="1:48" ht="20.100000000000001" customHeight="1" x14ac:dyDescent="0.25">
      <c r="A7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47"/>
      <c r="H704" s="48"/>
      <c r="N704" s="39"/>
      <c r="Q704" s="43"/>
      <c r="R704" s="49"/>
      <c r="S704" s="50"/>
      <c r="U704" s="51"/>
      <c r="V704" s="46"/>
      <c r="W704" s="51" t="str">
        <f>IF(NOTA[[#This Row],[HARGA/ CTN]]="",NOTA[[#This Row],[JUMLAH_H]],NOTA[[#This Row],[HARGA/ CTN]]*IF(NOTA[[#This Row],[C]]="",0,NOTA[[#This Row],[C]]))</f>
        <v/>
      </c>
      <c r="X704" s="51" t="str">
        <f>IF(NOTA[[#This Row],[JUMLAH]]="","",NOTA[[#This Row],[JUMLAH]]*NOTA[[#This Row],[DISC 1]])</f>
        <v/>
      </c>
      <c r="Y704" s="51" t="str">
        <f>IF(NOTA[[#This Row],[JUMLAH]]="","",(NOTA[[#This Row],[JUMLAH]]-NOTA[[#This Row],[DISC 1-]])*NOTA[[#This Row],[DISC 2]])</f>
        <v/>
      </c>
      <c r="Z704" s="51" t="str">
        <f>IF(NOTA[[#This Row],[JUMLAH]]="","",NOTA[[#This Row],[DISC 1-]]+NOTA[[#This Row],[DISC 2-]])</f>
        <v/>
      </c>
      <c r="AA704" s="51" t="str">
        <f>IF(NOTA[[#This Row],[JUMLAH]]="","",NOTA[[#This Row],[JUMLAH]]-NOTA[[#This Row],[DISC]])</f>
        <v/>
      </c>
      <c r="AB704" s="51"/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51" t="str">
        <f>IF(OR(NOTA[[#This Row],[QTY]]="",NOTA[[#This Row],[HARGA SATUAN]]="",),"",NOTA[[#This Row],[QTY]]*NOTA[[#This Row],[HARGA SATUAN]])</f>
        <v/>
      </c>
      <c r="AG704" s="40" t="str">
        <f ca="1">IF(NOTA[ID_H]="","",INDEX(NOTA[TANGGAL],MATCH(,INDIRECT(ADDRESS(ROW(NOTA[TANGGAL]),COLUMN(NOTA[TANGGAL]))&amp;":"&amp;ADDRESS(ROW(),COLUMN(NOTA[TANGGAL]))),-1)))</f>
        <v/>
      </c>
      <c r="AH704" s="42" t="str">
        <f ca="1">IF(NOTA[[#This Row],[NAMA BARANG]]="","",INDEX(NOTA[SUPPLIER],MATCH(,INDIRECT(ADDRESS(ROW(NOTA[ID]),COLUMN(NOTA[ID]))&amp;":"&amp;ADDRESS(ROW(),COLUMN(NOTA[ID]))),-1)))</f>
        <v/>
      </c>
      <c r="AI704" s="42" t="str">
        <f ca="1">IF(NOTA[[#This Row],[ID_H]]="","",IF(NOTA[[#This Row],[FAKTUR]]="",INDIRECT(ADDRESS(ROW()-1,COLUMN())),NOTA[[#This Row],[FAKTUR]]))</f>
        <v/>
      </c>
      <c r="AJ704" s="39" t="str">
        <f ca="1">IF(NOTA[[#This Row],[ID]]="","",COUNTIF(NOTA[ID_H],NOTA[[#This Row],[ID_H]]))</f>
        <v/>
      </c>
      <c r="AK704" s="39" t="str">
        <f ca="1">IF(NOTA[[#This Row],[TGL.NOTA]]="",IF(NOTA[[#This Row],[SUPPLIER_H]]="","",AK703),MONTH(NOTA[[#This Row],[TGL.NOTA]]))</f>
        <v/>
      </c>
      <c r="AL704" s="39" t="str">
        <f>LOWER(SUBSTITUTE(SUBSTITUTE(SUBSTITUTE(SUBSTITUTE(SUBSTITUTE(SUBSTITUTE(SUBSTITUTE(SUBSTITUTE(SUBSTITUTE(NOTA[NAMA BARANG]," ",),".",""),"-",""),"(",""),")",""),",",""),"/",""),"""",""),"+",""))</f>
        <v/>
      </c>
      <c r="AM7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39" t="str">
        <f>IF(NOTA[[#This Row],[CONCAT4]]="","",_xlfn.IFNA(MATCH(NOTA[[#This Row],[CONCAT4]],[2]!RAW[CONCAT_H],0),FALSE))</f>
        <v/>
      </c>
      <c r="AQ704" s="39" t="str">
        <f>IF(NOTA[[#This Row],[CONCAT1]]="","",MATCH(NOTA[[#This Row],[CONCAT1]],[3]!db[NB NOTA_C],0))</f>
        <v/>
      </c>
      <c r="AR704" s="39" t="str">
        <f>IF(NOTA[[#This Row],[QTY/ CTN]]="","",TRUE)</f>
        <v/>
      </c>
      <c r="AS704" s="39" t="str">
        <f ca="1">IF(NOTA[[#This Row],[ID_H]]="","",IF(NOTA[[#This Row],[Column3]]=TRUE,NOTA[[#This Row],[QTY/ CTN]],INDEX([3]!db[QTY/ CTN],NOTA[[#This Row],[//DB]])))</f>
        <v/>
      </c>
      <c r="AT7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39" t="str">
        <f ca="1">IF(NOTA[[#This Row],[ID_H]]="","",MATCH(NOTA[[#This Row],[NB NOTA_C_QTY]],[4]!db[NB NOTA_C_QTY+F],0))</f>
        <v/>
      </c>
      <c r="AV704" s="55" t="str">
        <f ca="1">IF(NOTA[[#This Row],[NB NOTA_C_QTY]]="","",ROW()-2)</f>
        <v/>
      </c>
    </row>
    <row r="705" spans="1:48" ht="20.100000000000001" customHeight="1" x14ac:dyDescent="0.25">
      <c r="A705" s="4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SBS_2507_20B-7</v>
      </c>
      <c r="C705" s="39" t="e">
        <f ca="1">IF(NOTA[[#This Row],[ID_P]]="","",MATCH(NOTA[[#This Row],[ID_P]],[1]!B_MSK[N_ID],0))</f>
        <v>#REF!</v>
      </c>
      <c r="D705" s="39">
        <f ca="1">IF(NOTA[[#This Row],[NAMA BARANG]]="","",INDEX(NOTA[ID],MATCH(,INDIRECT(ADDRESS(ROW(NOTA[ID]),COLUMN(NOTA[ID]))&amp;":"&amp;ADDRESS(ROW(),COLUMN(NOTA[ID]))),-1)))</f>
        <v>138</v>
      </c>
      <c r="E705" s="47"/>
      <c r="F705" s="38" t="s">
        <v>165</v>
      </c>
      <c r="G705" s="38" t="s">
        <v>145</v>
      </c>
      <c r="H705" s="48" t="s">
        <v>774</v>
      </c>
      <c r="J705" s="40">
        <v>45124</v>
      </c>
      <c r="K705" s="38">
        <v>1</v>
      </c>
      <c r="L705" s="38" t="s">
        <v>775</v>
      </c>
      <c r="M705" s="41">
        <v>2</v>
      </c>
      <c r="N705" s="39">
        <v>192</v>
      </c>
      <c r="O705" s="38" t="s">
        <v>117</v>
      </c>
      <c r="P705" s="42">
        <v>14900</v>
      </c>
      <c r="Q705" s="43"/>
      <c r="R705" s="49" t="s">
        <v>561</v>
      </c>
      <c r="S705" s="50"/>
      <c r="U705" s="51"/>
      <c r="V705" s="46"/>
      <c r="W705" s="51">
        <f>IF(NOTA[[#This Row],[HARGA/ CTN]]="",NOTA[[#This Row],[JUMLAH_H]],NOTA[[#This Row],[HARGA/ CTN]]*IF(NOTA[[#This Row],[C]]="",0,NOTA[[#This Row],[C]]))</f>
        <v>2860800</v>
      </c>
      <c r="X705" s="51">
        <f>IF(NOTA[[#This Row],[JUMLAH]]="","",NOTA[[#This Row],[JUMLAH]]*NOTA[[#This Row],[DISC 1]])</f>
        <v>0</v>
      </c>
      <c r="Y705" s="51">
        <f>IF(NOTA[[#This Row],[JUMLAH]]="","",(NOTA[[#This Row],[JUMLAH]]-NOTA[[#This Row],[DISC 1-]])*NOTA[[#This Row],[DISC 2]])</f>
        <v>0</v>
      </c>
      <c r="Z705" s="51">
        <f>IF(NOTA[[#This Row],[JUMLAH]]="","",NOTA[[#This Row],[DISC 1-]]+NOTA[[#This Row],[DISC 2-]])</f>
        <v>0</v>
      </c>
      <c r="AA705" s="51">
        <f>IF(NOTA[[#This Row],[JUMLAH]]="","",NOTA[[#This Row],[JUMLAH]]-NOTA[[#This Row],[DISC]])</f>
        <v>2860800</v>
      </c>
      <c r="AB705" s="51"/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5" s="51">
        <f>IF(OR(NOTA[[#This Row],[QTY]]="",NOTA[[#This Row],[HARGA SATUAN]]="",),"",NOTA[[#This Row],[QTY]]*NOTA[[#This Row],[HARGA SATUAN]])</f>
        <v>2860800</v>
      </c>
      <c r="AG705" s="40">
        <f ca="1">IF(NOTA[ID_H]="","",INDEX(NOTA[TANGGAL],MATCH(,INDIRECT(ADDRESS(ROW(NOTA[TANGGAL]),COLUMN(NOTA[TANGGAL]))&amp;":"&amp;ADDRESS(ROW(),COLUMN(NOTA[TANGGAL]))),-1)))</f>
        <v>45132</v>
      </c>
      <c r="AH705" s="42" t="str">
        <f ca="1">IF(NOTA[[#This Row],[NAMA BARANG]]="","",INDEX(NOTA[SUPPLIER],MATCH(,INDIRECT(ADDRESS(ROW(NOTA[ID]),COLUMN(NOTA[ID]))&amp;":"&amp;ADDRESS(ROW(),COLUMN(NOTA[ID]))),-1)))</f>
        <v>SBS</v>
      </c>
      <c r="AI705" s="42" t="str">
        <f ca="1">IF(NOTA[[#This Row],[ID_H]]="","",IF(NOTA[[#This Row],[FAKTUR]]="",INDIRECT(ADDRESS(ROW()-1,COLUMN())),NOTA[[#This Row],[FAKTUR]]))</f>
        <v>UNTANA</v>
      </c>
      <c r="AJ705" s="39">
        <f ca="1">IF(NOTA[[#This Row],[ID]]="","",COUNTIF(NOTA[ID_H],NOTA[[#This Row],[ID_H]]))</f>
        <v>7</v>
      </c>
      <c r="AK705" s="39">
        <f>IF(NOTA[[#This Row],[TGL.NOTA]]="",IF(NOTA[[#This Row],[SUPPLIER_H]]="","",AK704),MONTH(NOTA[[#This Row],[TGL.NOTA]]))</f>
        <v>7</v>
      </c>
      <c r="AL705" s="39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7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7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70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SBSUNTANAVG0520B45124bindernotegastab5cl1909college</v>
      </c>
      <c r="AP705" s="39" t="e">
        <f>IF(NOTA[[#This Row],[CONCAT4]]="","",_xlfn.IFNA(MATCH(NOTA[[#This Row],[CONCAT4]],[2]!RAW[CONCAT_H],0),FALSE))</f>
        <v>#REF!</v>
      </c>
      <c r="AQ705" s="39">
        <f>IF(NOTA[[#This Row],[CONCAT1]]="","",MATCH(NOTA[[#This Row],[CONCAT1]],[3]!db[NB NOTA_C],0))</f>
        <v>261</v>
      </c>
      <c r="AR705" s="39" t="b">
        <f>IF(NOTA[[#This Row],[QTY/ CTN]]="","",TRUE)</f>
        <v>1</v>
      </c>
      <c r="AS705" s="39" t="str">
        <f ca="1">IF(NOTA[[#This Row],[ID_H]]="","",IF(NOTA[[#This Row],[Column3]]=TRUE,NOTA[[#This Row],[QTY/ CTN]],INDEX([3]!db[QTY/ CTN],NOTA[[#This Row],[//DB]])))</f>
        <v>96 PCS</v>
      </c>
      <c r="AT7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705" s="39" t="e">
        <f ca="1">IF(NOTA[[#This Row],[ID_H]]="","",MATCH(NOTA[[#This Row],[NB NOTA_C_QTY]],[4]!db[NB NOTA_C_QTY+F],0))</f>
        <v>#REF!</v>
      </c>
      <c r="AV705" s="55">
        <f ca="1">IF(NOTA[[#This Row],[NB NOTA_C_QTY]]="","",ROW()-2)</f>
        <v>703</v>
      </c>
    </row>
    <row r="706" spans="1:48" ht="20.100000000000001" customHeight="1" x14ac:dyDescent="0.25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>
        <f ca="1">IF(NOTA[[#This Row],[NAMA BARANG]]="","",INDEX(NOTA[ID],MATCH(,INDIRECT(ADDRESS(ROW(NOTA[ID]),COLUMN(NOTA[ID]))&amp;":"&amp;ADDRESS(ROW(),COLUMN(NOTA[ID]))),-1)))</f>
        <v>138</v>
      </c>
      <c r="E706" s="47"/>
      <c r="H706" s="48"/>
      <c r="K706" s="38">
        <v>1</v>
      </c>
      <c r="L706" s="38" t="s">
        <v>776</v>
      </c>
      <c r="M706" s="41">
        <v>2</v>
      </c>
      <c r="N706" s="39">
        <v>192</v>
      </c>
      <c r="O706" s="38" t="s">
        <v>117</v>
      </c>
      <c r="P706" s="42">
        <v>14900</v>
      </c>
      <c r="Q706" s="43"/>
      <c r="R706" s="49" t="s">
        <v>561</v>
      </c>
      <c r="S706" s="50"/>
      <c r="U706" s="51"/>
      <c r="V706" s="46"/>
      <c r="W706" s="51">
        <f>IF(NOTA[[#This Row],[HARGA/ CTN]]="",NOTA[[#This Row],[JUMLAH_H]],NOTA[[#This Row],[HARGA/ CTN]]*IF(NOTA[[#This Row],[C]]="",0,NOTA[[#This Row],[C]]))</f>
        <v>2860800</v>
      </c>
      <c r="X706" s="51">
        <f>IF(NOTA[[#This Row],[JUMLAH]]="","",NOTA[[#This Row],[JUMLAH]]*NOTA[[#This Row],[DISC 1]])</f>
        <v>0</v>
      </c>
      <c r="Y706" s="51">
        <f>IF(NOTA[[#This Row],[JUMLAH]]="","",(NOTA[[#This Row],[JUMLAH]]-NOTA[[#This Row],[DISC 1-]])*NOTA[[#This Row],[DISC 2]])</f>
        <v>0</v>
      </c>
      <c r="Z706" s="51">
        <f>IF(NOTA[[#This Row],[JUMLAH]]="","",NOTA[[#This Row],[DISC 1-]]+NOTA[[#This Row],[DISC 2-]])</f>
        <v>0</v>
      </c>
      <c r="AA706" s="51">
        <f>IF(NOTA[[#This Row],[JUMLAH]]="","",NOTA[[#This Row],[JUMLAH]]-NOTA[[#This Row],[DISC]])</f>
        <v>2860800</v>
      </c>
      <c r="AB706" s="51"/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6" s="51">
        <f>IF(OR(NOTA[[#This Row],[QTY]]="",NOTA[[#This Row],[HARGA SATUAN]]="",),"",NOTA[[#This Row],[QTY]]*NOTA[[#This Row],[HARGA SATUAN]])</f>
        <v>2860800</v>
      </c>
      <c r="AG706" s="40">
        <f ca="1">IF(NOTA[ID_H]="","",INDEX(NOTA[TANGGAL],MATCH(,INDIRECT(ADDRESS(ROW(NOTA[TANGGAL]),COLUMN(NOTA[TANGGAL]))&amp;":"&amp;ADDRESS(ROW(),COLUMN(NOTA[TANGGAL]))),-1)))</f>
        <v>45132</v>
      </c>
      <c r="AH706" s="42" t="str">
        <f ca="1">IF(NOTA[[#This Row],[NAMA BARANG]]="","",INDEX(NOTA[SUPPLIER],MATCH(,INDIRECT(ADDRESS(ROW(NOTA[ID]),COLUMN(NOTA[ID]))&amp;":"&amp;ADDRESS(ROW(),COLUMN(NOTA[ID]))),-1)))</f>
        <v>SBS</v>
      </c>
      <c r="AI706" s="42" t="str">
        <f ca="1">IF(NOTA[[#This Row],[ID_H]]="","",IF(NOTA[[#This Row],[FAKTUR]]="",INDIRECT(ADDRESS(ROW()-1,COLUMN())),NOTA[[#This Row],[FAKTUR]]))</f>
        <v>UNTANA</v>
      </c>
      <c r="AJ706" s="39" t="str">
        <f ca="1">IF(NOTA[[#This Row],[ID]]="","",COUNTIF(NOTA[ID_H],NOTA[[#This Row],[ID_H]]))</f>
        <v/>
      </c>
      <c r="AK706" s="39">
        <f ca="1">IF(NOTA[[#This Row],[TGL.NOTA]]="",IF(NOTA[[#This Row],[SUPPLIER_H]]="","",AK705),MONTH(NOTA[[#This Row],[TGL.NOTA]]))</f>
        <v>7</v>
      </c>
      <c r="AL706" s="39" t="str">
        <f>LOWER(SUBSTITUTE(SUBSTITUTE(SUBSTITUTE(SUBSTITUTE(SUBSTITUTE(SUBSTITUTE(SUBSTITUTE(SUBSTITUTE(SUBSTITUTE(NOTA[NAMA BARANG]," ",),".",""),"-",""),"(",""),")",""),",",""),"/",""),"""",""),"+",""))</f>
        <v>bindernotegastab5cm1909campus</v>
      </c>
      <c r="AM7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bindernotegastab5cm1909campus1430400</v>
      </c>
      <c r="AN7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bindernotegastab5cm1909campus1430400</v>
      </c>
      <c r="AO7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39" t="str">
        <f>IF(NOTA[[#This Row],[CONCAT4]]="","",_xlfn.IFNA(MATCH(NOTA[[#This Row],[CONCAT4]],[2]!RAW[CONCAT_H],0),FALSE))</f>
        <v/>
      </c>
      <c r="AQ706" s="39">
        <f>IF(NOTA[[#This Row],[CONCAT1]]="","",MATCH(NOTA[[#This Row],[CONCAT1]],[3]!db[NB NOTA_C],0))</f>
        <v>262</v>
      </c>
      <c r="AR706" s="39" t="b">
        <f>IF(NOTA[[#This Row],[QTY/ CTN]]="","",TRUE)</f>
        <v>1</v>
      </c>
      <c r="AS706" s="39" t="str">
        <f ca="1">IF(NOTA[[#This Row],[ID_H]]="","",IF(NOTA[[#This Row],[Column3]]=TRUE,NOTA[[#This Row],[QTY/ CTN]],INDEX([3]!db[QTY/ CTN],NOTA[[#This Row],[//DB]])))</f>
        <v>96 PCS</v>
      </c>
      <c r="AT7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bindernotegastab5cm1909campus96pcsuntana</v>
      </c>
      <c r="AU706" s="39" t="e">
        <f ca="1">IF(NOTA[[#This Row],[ID_H]]="","",MATCH(NOTA[[#This Row],[NB NOTA_C_QTY]],[4]!db[NB NOTA_C_QTY+F],0))</f>
        <v>#REF!</v>
      </c>
      <c r="AV706" s="55">
        <f ca="1">IF(NOTA[[#This Row],[NB NOTA_C_QTY]]="","",ROW()-2)</f>
        <v>704</v>
      </c>
    </row>
    <row r="707" spans="1:48" ht="20.100000000000001" customHeight="1" x14ac:dyDescent="0.25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>
        <f ca="1">IF(NOTA[[#This Row],[NAMA BARANG]]="","",INDEX(NOTA[ID],MATCH(,INDIRECT(ADDRESS(ROW(NOTA[ID]),COLUMN(NOTA[ID]))&amp;":"&amp;ADDRESS(ROW(),COLUMN(NOTA[ID]))),-1)))</f>
        <v>138</v>
      </c>
      <c r="E707" s="47"/>
      <c r="H707" s="48"/>
      <c r="K707" s="38">
        <v>1</v>
      </c>
      <c r="L707" s="38" t="s">
        <v>777</v>
      </c>
      <c r="M707" s="41">
        <v>1</v>
      </c>
      <c r="N707" s="39">
        <v>96</v>
      </c>
      <c r="O707" s="38" t="s">
        <v>117</v>
      </c>
      <c r="P707" s="42">
        <v>14900</v>
      </c>
      <c r="Q707" s="43"/>
      <c r="R707" s="49" t="s">
        <v>561</v>
      </c>
      <c r="S707" s="50"/>
      <c r="U707" s="51"/>
      <c r="V707" s="46"/>
      <c r="W707" s="51">
        <f>IF(NOTA[[#This Row],[HARGA/ CTN]]="",NOTA[[#This Row],[JUMLAH_H]],NOTA[[#This Row],[HARGA/ CTN]]*IF(NOTA[[#This Row],[C]]="",0,NOTA[[#This Row],[C]]))</f>
        <v>1430400</v>
      </c>
      <c r="X707" s="51">
        <f>IF(NOTA[[#This Row],[JUMLAH]]="","",NOTA[[#This Row],[JUMLAH]]*NOTA[[#This Row],[DISC 1]])</f>
        <v>0</v>
      </c>
      <c r="Y707" s="51">
        <f>IF(NOTA[[#This Row],[JUMLAH]]="","",(NOTA[[#This Row],[JUMLAH]]-NOTA[[#This Row],[DISC 1-]])*NOTA[[#This Row],[DISC 2]])</f>
        <v>0</v>
      </c>
      <c r="Z707" s="51">
        <f>IF(NOTA[[#This Row],[JUMLAH]]="","",NOTA[[#This Row],[DISC 1-]]+NOTA[[#This Row],[DISC 2-]])</f>
        <v>0</v>
      </c>
      <c r="AA707" s="51">
        <f>IF(NOTA[[#This Row],[JUMLAH]]="","",NOTA[[#This Row],[JUMLAH]]-NOTA[[#This Row],[DISC]])</f>
        <v>1430400</v>
      </c>
      <c r="AB707" s="51"/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07" s="51">
        <f>IF(OR(NOTA[[#This Row],[QTY]]="",NOTA[[#This Row],[HARGA SATUAN]]="",),"",NOTA[[#This Row],[QTY]]*NOTA[[#This Row],[HARGA SATUAN]])</f>
        <v>1430400</v>
      </c>
      <c r="AG707" s="40">
        <f ca="1">IF(NOTA[ID_H]="","",INDEX(NOTA[TANGGAL],MATCH(,INDIRECT(ADDRESS(ROW(NOTA[TANGGAL]),COLUMN(NOTA[TANGGAL]))&amp;":"&amp;ADDRESS(ROW(),COLUMN(NOTA[TANGGAL]))),-1)))</f>
        <v>45132</v>
      </c>
      <c r="AH707" s="42" t="str">
        <f ca="1">IF(NOTA[[#This Row],[NAMA BARANG]]="","",INDEX(NOTA[SUPPLIER],MATCH(,INDIRECT(ADDRESS(ROW(NOTA[ID]),COLUMN(NOTA[ID]))&amp;":"&amp;ADDRESS(ROW(),COLUMN(NOTA[ID]))),-1)))</f>
        <v>SBS</v>
      </c>
      <c r="AI707" s="42" t="str">
        <f ca="1">IF(NOTA[[#This Row],[ID_H]]="","",IF(NOTA[[#This Row],[FAKTUR]]="",INDIRECT(ADDRESS(ROW()-1,COLUMN())),NOTA[[#This Row],[FAKTUR]]))</f>
        <v>UNTANA</v>
      </c>
      <c r="AJ707" s="39" t="str">
        <f ca="1">IF(NOTA[[#This Row],[ID]]="","",COUNTIF(NOTA[ID_H],NOTA[[#This Row],[ID_H]]))</f>
        <v/>
      </c>
      <c r="AK707" s="39">
        <f ca="1">IF(NOTA[[#This Row],[TGL.NOTA]]="",IF(NOTA[[#This Row],[SUPPLIER_H]]="","",AK706),MONTH(NOTA[[#This Row],[TGL.NOTA]]))</f>
        <v>7</v>
      </c>
      <c r="AL707" s="39" t="str">
        <f>LOWER(SUBSTITUTE(SUBSTITUTE(SUBSTITUTE(SUBSTITUTE(SUBSTITUTE(SUBSTITUTE(SUBSTITUTE(SUBSTITUTE(SUBSTITUTE(NOTA[NAMA BARANG]," ",),".",""),"-",""),"(",""),")",""),",",""),"/",""),"""",""),"+",""))</f>
        <v>bindernotegastab5un1909university</v>
      </c>
      <c r="AM7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bindernotegastab5un1909university1430400</v>
      </c>
      <c r="AN7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bindernotegastab5un1909university1430400</v>
      </c>
      <c r="AO7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39" t="str">
        <f>IF(NOTA[[#This Row],[CONCAT4]]="","",_xlfn.IFNA(MATCH(NOTA[[#This Row],[CONCAT4]],[2]!RAW[CONCAT_H],0),FALSE))</f>
        <v/>
      </c>
      <c r="AQ707" s="39">
        <f>IF(NOTA[[#This Row],[CONCAT1]]="","",MATCH(NOTA[[#This Row],[CONCAT1]],[3]!db[NB NOTA_C],0))</f>
        <v>331</v>
      </c>
      <c r="AR707" s="39" t="b">
        <f>IF(NOTA[[#This Row],[QTY/ CTN]]="","",TRUE)</f>
        <v>1</v>
      </c>
      <c r="AS707" s="39" t="str">
        <f ca="1">IF(NOTA[[#This Row],[ID_H]]="","",IF(NOTA[[#This Row],[Column3]]=TRUE,NOTA[[#This Row],[QTY/ CTN]],INDEX([3]!db[QTY/ CTN],NOTA[[#This Row],[//DB]])))</f>
        <v>96 PCS</v>
      </c>
      <c r="AT7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bindernotegastab5un1909university96pcsuntana</v>
      </c>
      <c r="AU707" s="39" t="e">
        <f ca="1">IF(NOTA[[#This Row],[ID_H]]="","",MATCH(NOTA[[#This Row],[NB NOTA_C_QTY]],[4]!db[NB NOTA_C_QTY+F],0))</f>
        <v>#REF!</v>
      </c>
      <c r="AV707" s="55">
        <f ca="1">IF(NOTA[[#This Row],[NB NOTA_C_QTY]]="","",ROW()-2)</f>
        <v>705</v>
      </c>
    </row>
    <row r="708" spans="1:48" ht="20.100000000000001" customHeight="1" x14ac:dyDescent="0.25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>
        <f ca="1">IF(NOTA[[#This Row],[NAMA BARANG]]="","",INDEX(NOTA[ID],MATCH(,INDIRECT(ADDRESS(ROW(NOTA[ID]),COLUMN(NOTA[ID]))&amp;":"&amp;ADDRESS(ROW(),COLUMN(NOTA[ID]))),-1)))</f>
        <v>138</v>
      </c>
      <c r="E708" s="47"/>
      <c r="H708" s="48"/>
      <c r="K708" s="38">
        <v>1</v>
      </c>
      <c r="L708" s="38" t="s">
        <v>779</v>
      </c>
      <c r="M708" s="41">
        <v>3</v>
      </c>
      <c r="N708" s="39">
        <v>360</v>
      </c>
      <c r="O708" s="38" t="s">
        <v>117</v>
      </c>
      <c r="P708" s="42">
        <v>9600</v>
      </c>
      <c r="Q708" s="43"/>
      <c r="R708" s="49" t="s">
        <v>168</v>
      </c>
      <c r="S708" s="50"/>
      <c r="U708" s="51"/>
      <c r="V708" s="46"/>
      <c r="W708" s="51">
        <f>IF(NOTA[[#This Row],[HARGA/ CTN]]="",NOTA[[#This Row],[JUMLAH_H]],NOTA[[#This Row],[HARGA/ CTN]]*IF(NOTA[[#This Row],[C]]="",0,NOTA[[#This Row],[C]]))</f>
        <v>3456000</v>
      </c>
      <c r="X708" s="51">
        <f>IF(NOTA[[#This Row],[JUMLAH]]="","",NOTA[[#This Row],[JUMLAH]]*NOTA[[#This Row],[DISC 1]])</f>
        <v>0</v>
      </c>
      <c r="Y708" s="51">
        <f>IF(NOTA[[#This Row],[JUMLAH]]="","",(NOTA[[#This Row],[JUMLAH]]-NOTA[[#This Row],[DISC 1-]])*NOTA[[#This Row],[DISC 2]])</f>
        <v>0</v>
      </c>
      <c r="Z708" s="51">
        <f>IF(NOTA[[#This Row],[JUMLAH]]="","",NOTA[[#This Row],[DISC 1-]]+NOTA[[#This Row],[DISC 2-]])</f>
        <v>0</v>
      </c>
      <c r="AA708" s="51">
        <f>IF(NOTA[[#This Row],[JUMLAH]]="","",NOTA[[#This Row],[JUMLAH]]-NOTA[[#This Row],[DISC]])</f>
        <v>3456000</v>
      </c>
      <c r="AB708" s="51"/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08" s="51">
        <f>IF(OR(NOTA[[#This Row],[QTY]]="",NOTA[[#This Row],[HARGA SATUAN]]="",),"",NOTA[[#This Row],[QTY]]*NOTA[[#This Row],[HARGA SATUAN]])</f>
        <v>3456000</v>
      </c>
      <c r="AG708" s="40">
        <f ca="1">IF(NOTA[ID_H]="","",INDEX(NOTA[TANGGAL],MATCH(,INDIRECT(ADDRESS(ROW(NOTA[TANGGAL]),COLUMN(NOTA[TANGGAL]))&amp;":"&amp;ADDRESS(ROW(),COLUMN(NOTA[TANGGAL]))),-1)))</f>
        <v>45132</v>
      </c>
      <c r="AH708" s="42" t="str">
        <f ca="1">IF(NOTA[[#This Row],[NAMA BARANG]]="","",INDEX(NOTA[SUPPLIER],MATCH(,INDIRECT(ADDRESS(ROW(NOTA[ID]),COLUMN(NOTA[ID]))&amp;":"&amp;ADDRESS(ROW(),COLUMN(NOTA[ID]))),-1)))</f>
        <v>SBS</v>
      </c>
      <c r="AI708" s="42" t="str">
        <f ca="1">IF(NOTA[[#This Row],[ID_H]]="","",IF(NOTA[[#This Row],[FAKTUR]]="",INDIRECT(ADDRESS(ROW()-1,COLUMN())),NOTA[[#This Row],[FAKTUR]]))</f>
        <v>UNTANA</v>
      </c>
      <c r="AJ708" s="39" t="str">
        <f ca="1">IF(NOTA[[#This Row],[ID]]="","",COUNTIF(NOTA[ID_H],NOTA[[#This Row],[ID_H]]))</f>
        <v/>
      </c>
      <c r="AK708" s="39">
        <f ca="1">IF(NOTA[[#This Row],[TGL.NOTA]]="",IF(NOTA[[#This Row],[SUPPLIER_H]]="","",AK707),MONTH(NOTA[[#This Row],[TGL.NOTA]]))</f>
        <v>7</v>
      </c>
      <c r="AL708" s="39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7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7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7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39" t="str">
        <f>IF(NOTA[[#This Row],[CONCAT4]]="","",_xlfn.IFNA(MATCH(NOTA[[#This Row],[CONCAT4]],[2]!RAW[CONCAT_H],0),FALSE))</f>
        <v/>
      </c>
      <c r="AQ708" s="39">
        <f>IF(NOTA[[#This Row],[CONCAT1]]="","",MATCH(NOTA[[#This Row],[CONCAT1]],[3]!db[NB NOTA_C],0))</f>
        <v>316</v>
      </c>
      <c r="AR708" s="39" t="b">
        <f>IF(NOTA[[#This Row],[QTY/ CTN]]="","",TRUE)</f>
        <v>1</v>
      </c>
      <c r="AS708" s="39" t="str">
        <f ca="1">IF(NOTA[[#This Row],[ID_H]]="","",IF(NOTA[[#This Row],[Column3]]=TRUE,NOTA[[#This Row],[QTY/ CTN]],INDEX([3]!db[QTY/ CTN],NOTA[[#This Row],[//DB]])))</f>
        <v>120 PCS</v>
      </c>
      <c r="AT7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U708" s="39" t="e">
        <f ca="1">IF(NOTA[[#This Row],[ID_H]]="","",MATCH(NOTA[[#This Row],[NB NOTA_C_QTY]],[4]!db[NB NOTA_C_QTY+F],0))</f>
        <v>#REF!</v>
      </c>
      <c r="AV708" s="55">
        <f ca="1">IF(NOTA[[#This Row],[NB NOTA_C_QTY]]="","",ROW()-2)</f>
        <v>706</v>
      </c>
    </row>
    <row r="709" spans="1:48" ht="20.100000000000001" customHeight="1" x14ac:dyDescent="0.25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>
        <f ca="1">IF(NOTA[[#This Row],[NAMA BARANG]]="","",INDEX(NOTA[ID],MATCH(,INDIRECT(ADDRESS(ROW(NOTA[ID]),COLUMN(NOTA[ID]))&amp;":"&amp;ADDRESS(ROW(),COLUMN(NOTA[ID]))),-1)))</f>
        <v>138</v>
      </c>
      <c r="E709" s="47"/>
      <c r="H709" s="48"/>
      <c r="K709" s="38">
        <v>1</v>
      </c>
      <c r="L709" s="38" t="s">
        <v>778</v>
      </c>
      <c r="M709" s="41">
        <v>3</v>
      </c>
      <c r="N709" s="39">
        <v>360</v>
      </c>
      <c r="O709" s="38" t="s">
        <v>117</v>
      </c>
      <c r="P709" s="42">
        <v>9600</v>
      </c>
      <c r="Q709" s="43"/>
      <c r="R709" s="49" t="s">
        <v>168</v>
      </c>
      <c r="S709" s="50"/>
      <c r="U709" s="51"/>
      <c r="V709" s="46"/>
      <c r="W709" s="51">
        <f>IF(NOTA[[#This Row],[HARGA/ CTN]]="",NOTA[[#This Row],[JUMLAH_H]],NOTA[[#This Row],[HARGA/ CTN]]*IF(NOTA[[#This Row],[C]]="",0,NOTA[[#This Row],[C]]))</f>
        <v>3456000</v>
      </c>
      <c r="X709" s="51">
        <f>IF(NOTA[[#This Row],[JUMLAH]]="","",NOTA[[#This Row],[JUMLAH]]*NOTA[[#This Row],[DISC 1]])</f>
        <v>0</v>
      </c>
      <c r="Y709" s="51">
        <f>IF(NOTA[[#This Row],[JUMLAH]]="","",(NOTA[[#This Row],[JUMLAH]]-NOTA[[#This Row],[DISC 1-]])*NOTA[[#This Row],[DISC 2]])</f>
        <v>0</v>
      </c>
      <c r="Z709" s="51">
        <f>IF(NOTA[[#This Row],[JUMLAH]]="","",NOTA[[#This Row],[DISC 1-]]+NOTA[[#This Row],[DISC 2-]])</f>
        <v>0</v>
      </c>
      <c r="AA709" s="51">
        <f>IF(NOTA[[#This Row],[JUMLAH]]="","",NOTA[[#This Row],[JUMLAH]]-NOTA[[#This Row],[DISC]])</f>
        <v>3456000</v>
      </c>
      <c r="AB709" s="51"/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09" s="51">
        <f>IF(OR(NOTA[[#This Row],[QTY]]="",NOTA[[#This Row],[HARGA SATUAN]]="",),"",NOTA[[#This Row],[QTY]]*NOTA[[#This Row],[HARGA SATUAN]])</f>
        <v>3456000</v>
      </c>
      <c r="AG709" s="40">
        <f ca="1">IF(NOTA[ID_H]="","",INDEX(NOTA[TANGGAL],MATCH(,INDIRECT(ADDRESS(ROW(NOTA[TANGGAL]),COLUMN(NOTA[TANGGAL]))&amp;":"&amp;ADDRESS(ROW(),COLUMN(NOTA[TANGGAL]))),-1)))</f>
        <v>45132</v>
      </c>
      <c r="AH709" s="42" t="str">
        <f ca="1">IF(NOTA[[#This Row],[NAMA BARANG]]="","",INDEX(NOTA[SUPPLIER],MATCH(,INDIRECT(ADDRESS(ROW(NOTA[ID]),COLUMN(NOTA[ID]))&amp;":"&amp;ADDRESS(ROW(),COLUMN(NOTA[ID]))),-1)))</f>
        <v>SBS</v>
      </c>
      <c r="AI709" s="42" t="str">
        <f ca="1">IF(NOTA[[#This Row],[ID_H]]="","",IF(NOTA[[#This Row],[FAKTUR]]="",INDIRECT(ADDRESS(ROW()-1,COLUMN())),NOTA[[#This Row],[FAKTUR]]))</f>
        <v>UNTANA</v>
      </c>
      <c r="AJ709" s="39" t="str">
        <f ca="1">IF(NOTA[[#This Row],[ID]]="","",COUNTIF(NOTA[ID_H],NOTA[[#This Row],[ID_H]]))</f>
        <v/>
      </c>
      <c r="AK709" s="39">
        <f ca="1">IF(NOTA[[#This Row],[TGL.NOTA]]="",IF(NOTA[[#This Row],[SUPPLIER_H]]="","",AK708),MONTH(NOTA[[#This Row],[TGL.NOTA]]))</f>
        <v>7</v>
      </c>
      <c r="AL709" s="39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7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7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7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39" t="str">
        <f>IF(NOTA[[#This Row],[CONCAT4]]="","",_xlfn.IFNA(MATCH(NOTA[[#This Row],[CONCAT4]],[2]!RAW[CONCAT_H],0),FALSE))</f>
        <v/>
      </c>
      <c r="AQ709" s="39">
        <f>IF(NOTA[[#This Row],[CONCAT1]]="","",MATCH(NOTA[[#This Row],[CONCAT1]],[3]!db[NB NOTA_C],0))</f>
        <v>319</v>
      </c>
      <c r="AR709" s="39" t="b">
        <f>IF(NOTA[[#This Row],[QTY/ CTN]]="","",TRUE)</f>
        <v>1</v>
      </c>
      <c r="AS709" s="39" t="str">
        <f ca="1">IF(NOTA[[#This Row],[ID_H]]="","",IF(NOTA[[#This Row],[Column3]]=TRUE,NOTA[[#This Row],[QTY/ CTN]],INDEX([3]!db[QTY/ CTN],NOTA[[#This Row],[//DB]])))</f>
        <v>120 PCS</v>
      </c>
      <c r="AT7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709" s="39" t="e">
        <f ca="1">IF(NOTA[[#This Row],[ID_H]]="","",MATCH(NOTA[[#This Row],[NB NOTA_C_QTY]],[4]!db[NB NOTA_C_QTY+F],0))</f>
        <v>#REF!</v>
      </c>
      <c r="AV709" s="55">
        <f ca="1">IF(NOTA[[#This Row],[NB NOTA_C_QTY]]="","",ROW()-2)</f>
        <v>707</v>
      </c>
    </row>
    <row r="710" spans="1:48" ht="20.100000000000001" customHeight="1" x14ac:dyDescent="0.25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>
        <f ca="1">IF(NOTA[[#This Row],[NAMA BARANG]]="","",INDEX(NOTA[ID],MATCH(,INDIRECT(ADDRESS(ROW(NOTA[ID]),COLUMN(NOTA[ID]))&amp;":"&amp;ADDRESS(ROW(),COLUMN(NOTA[ID]))),-1)))</f>
        <v>138</v>
      </c>
      <c r="E710" s="47"/>
      <c r="H710" s="48"/>
      <c r="K710" s="38">
        <v>1</v>
      </c>
      <c r="L710" s="38" t="s">
        <v>780</v>
      </c>
      <c r="M710" s="41">
        <v>3</v>
      </c>
      <c r="N710" s="39">
        <v>360</v>
      </c>
      <c r="O710" s="38" t="s">
        <v>117</v>
      </c>
      <c r="P710" s="42">
        <v>9600</v>
      </c>
      <c r="Q710" s="43"/>
      <c r="R710" s="49" t="s">
        <v>168</v>
      </c>
      <c r="S710" s="50"/>
      <c r="U710" s="51"/>
      <c r="V710" s="46"/>
      <c r="W710" s="51">
        <f>IF(NOTA[[#This Row],[HARGA/ CTN]]="",NOTA[[#This Row],[JUMLAH_H]],NOTA[[#This Row],[HARGA/ CTN]]*IF(NOTA[[#This Row],[C]]="",0,NOTA[[#This Row],[C]]))</f>
        <v>3456000</v>
      </c>
      <c r="X710" s="51">
        <f>IF(NOTA[[#This Row],[JUMLAH]]="","",NOTA[[#This Row],[JUMLAH]]*NOTA[[#This Row],[DISC 1]])</f>
        <v>0</v>
      </c>
      <c r="Y710" s="51">
        <f>IF(NOTA[[#This Row],[JUMLAH]]="","",(NOTA[[#This Row],[JUMLAH]]-NOTA[[#This Row],[DISC 1-]])*NOTA[[#This Row],[DISC 2]])</f>
        <v>0</v>
      </c>
      <c r="Z710" s="51">
        <f>IF(NOTA[[#This Row],[JUMLAH]]="","",NOTA[[#This Row],[DISC 1-]]+NOTA[[#This Row],[DISC 2-]])</f>
        <v>0</v>
      </c>
      <c r="AA710" s="51">
        <f>IF(NOTA[[#This Row],[JUMLAH]]="","",NOTA[[#This Row],[JUMLAH]]-NOTA[[#This Row],[DISC]])</f>
        <v>3456000</v>
      </c>
      <c r="AB710" s="51"/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710" s="51">
        <f>IF(OR(NOTA[[#This Row],[QTY]]="",NOTA[[#This Row],[HARGA SATUAN]]="",),"",NOTA[[#This Row],[QTY]]*NOTA[[#This Row],[HARGA SATUAN]])</f>
        <v>3456000</v>
      </c>
      <c r="AG710" s="40">
        <f ca="1">IF(NOTA[ID_H]="","",INDEX(NOTA[TANGGAL],MATCH(,INDIRECT(ADDRESS(ROW(NOTA[TANGGAL]),COLUMN(NOTA[TANGGAL]))&amp;":"&amp;ADDRESS(ROW(),COLUMN(NOTA[TANGGAL]))),-1)))</f>
        <v>45132</v>
      </c>
      <c r="AH710" s="42" t="str">
        <f ca="1">IF(NOTA[[#This Row],[NAMA BARANG]]="","",INDEX(NOTA[SUPPLIER],MATCH(,INDIRECT(ADDRESS(ROW(NOTA[ID]),COLUMN(NOTA[ID]))&amp;":"&amp;ADDRESS(ROW(),COLUMN(NOTA[ID]))),-1)))</f>
        <v>SBS</v>
      </c>
      <c r="AI710" s="42" t="str">
        <f ca="1">IF(NOTA[[#This Row],[ID_H]]="","",IF(NOTA[[#This Row],[FAKTUR]]="",INDIRECT(ADDRESS(ROW()-1,COLUMN())),NOTA[[#This Row],[FAKTUR]]))</f>
        <v>UNTANA</v>
      </c>
      <c r="AJ710" s="39" t="str">
        <f ca="1">IF(NOTA[[#This Row],[ID]]="","",COUNTIF(NOTA[ID_H],NOTA[[#This Row],[ID_H]]))</f>
        <v/>
      </c>
      <c r="AK710" s="39">
        <f ca="1">IF(NOTA[[#This Row],[TGL.NOTA]]="",IF(NOTA[[#This Row],[SUPPLIER_H]]="","",AK709),MONTH(NOTA[[#This Row],[TGL.NOTA]]))</f>
        <v>7</v>
      </c>
      <c r="AL710" s="39" t="str">
        <f>LOWER(SUBSTITUTE(SUBSTITUTE(SUBSTITUTE(SUBSTITUTE(SUBSTITUTE(SUBSTITUTE(SUBSTITUTE(SUBSTITUTE(SUBSTITUTE(NOTA[NAMA BARANG]," ",),".",""),"-",""),"(",""),")",""),",",""),"/",""),"""",""),"+",""))</f>
        <v>bindernotemicrotopa5ut35university</v>
      </c>
      <c r="AM7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bindernotemicrotopa5ut35university1152000</v>
      </c>
      <c r="AN7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bindernotemicrotopa5ut35university1152000</v>
      </c>
      <c r="AO7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39" t="str">
        <f>IF(NOTA[[#This Row],[CONCAT4]]="","",_xlfn.IFNA(MATCH(NOTA[[#This Row],[CONCAT4]],[2]!RAW[CONCAT_H],0),FALSE))</f>
        <v/>
      </c>
      <c r="AQ710" s="39">
        <f>IF(NOTA[[#This Row],[CONCAT1]]="","",MATCH(NOTA[[#This Row],[CONCAT1]],[3]!db[NB NOTA_C],0))</f>
        <v>320</v>
      </c>
      <c r="AR710" s="39" t="b">
        <f>IF(NOTA[[#This Row],[QTY/ CTN]]="","",TRUE)</f>
        <v>1</v>
      </c>
      <c r="AS710" s="39" t="str">
        <f ca="1">IF(NOTA[[#This Row],[ID_H]]="","",IF(NOTA[[#This Row],[Column3]]=TRUE,NOTA[[#This Row],[QTY/ CTN]],INDEX([3]!db[QTY/ CTN],NOTA[[#This Row],[//DB]])))</f>
        <v>120 PCS</v>
      </c>
      <c r="AT7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bindernotemicrotopa5ut35university120pcsuntana</v>
      </c>
      <c r="AU710" s="39" t="e">
        <f ca="1">IF(NOTA[[#This Row],[ID_H]]="","",MATCH(NOTA[[#This Row],[NB NOTA_C_QTY]],[4]!db[NB NOTA_C_QTY+F],0))</f>
        <v>#REF!</v>
      </c>
      <c r="AV710" s="55">
        <f ca="1">IF(NOTA[[#This Row],[NB NOTA_C_QTY]]="","",ROW()-2)</f>
        <v>708</v>
      </c>
    </row>
    <row r="711" spans="1:48" ht="20.100000000000001" customHeight="1" x14ac:dyDescent="0.25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>
        <f ca="1">IF(NOTA[[#This Row],[NAMA BARANG]]="","",INDEX(NOTA[ID],MATCH(,INDIRECT(ADDRESS(ROW(NOTA[ID]),COLUMN(NOTA[ID]))&amp;":"&amp;ADDRESS(ROW(),COLUMN(NOTA[ID]))),-1)))</f>
        <v>138</v>
      </c>
      <c r="E711" s="47"/>
      <c r="H711" s="48"/>
      <c r="K711" s="38">
        <v>1</v>
      </c>
      <c r="L711" s="38" t="s">
        <v>804</v>
      </c>
      <c r="M711" s="41">
        <v>2</v>
      </c>
      <c r="N711" s="39">
        <v>192</v>
      </c>
      <c r="O711" s="38" t="s">
        <v>117</v>
      </c>
      <c r="P711" s="42">
        <v>14900</v>
      </c>
      <c r="Q711" s="43"/>
      <c r="R711" s="49" t="s">
        <v>561</v>
      </c>
      <c r="S711" s="50"/>
      <c r="U711" s="51"/>
      <c r="V711" s="46"/>
      <c r="W711" s="51">
        <f>IF(NOTA[[#This Row],[HARGA/ CTN]]="",NOTA[[#This Row],[JUMLAH_H]],NOTA[[#This Row],[HARGA/ CTN]]*IF(NOTA[[#This Row],[C]]="",0,NOTA[[#This Row],[C]]))</f>
        <v>2860800</v>
      </c>
      <c r="X711" s="51">
        <f>IF(NOTA[[#This Row],[JUMLAH]]="","",NOTA[[#This Row],[JUMLAH]]*NOTA[[#This Row],[DISC 1]])</f>
        <v>0</v>
      </c>
      <c r="Y711" s="51">
        <f>IF(NOTA[[#This Row],[JUMLAH]]="","",(NOTA[[#This Row],[JUMLAH]]-NOTA[[#This Row],[DISC 1-]])*NOTA[[#This Row],[DISC 2]])</f>
        <v>0</v>
      </c>
      <c r="Z711" s="51">
        <f>IF(NOTA[[#This Row],[JUMLAH]]="","",NOTA[[#This Row],[DISC 1-]]+NOTA[[#This Row],[DISC 2-]])</f>
        <v>0</v>
      </c>
      <c r="AA711" s="51">
        <f>IF(NOTA[[#This Row],[JUMLAH]]="","",NOTA[[#This Row],[JUMLAH]]-NOTA[[#This Row],[DISC]])</f>
        <v>2860800</v>
      </c>
      <c r="AB711" s="51"/>
      <c r="AC7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20380800</v>
      </c>
      <c r="AE711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11" s="51">
        <f>IF(OR(NOTA[[#This Row],[QTY]]="",NOTA[[#This Row],[HARGA SATUAN]]="",),"",NOTA[[#This Row],[QTY]]*NOTA[[#This Row],[HARGA SATUAN]])</f>
        <v>2860800</v>
      </c>
      <c r="AG711" s="40">
        <f ca="1">IF(NOTA[ID_H]="","",INDEX(NOTA[TANGGAL],MATCH(,INDIRECT(ADDRESS(ROW(NOTA[TANGGAL]),COLUMN(NOTA[TANGGAL]))&amp;":"&amp;ADDRESS(ROW(),COLUMN(NOTA[TANGGAL]))),-1)))</f>
        <v>45132</v>
      </c>
      <c r="AH711" s="42" t="str">
        <f ca="1">IF(NOTA[[#This Row],[NAMA BARANG]]="","",INDEX(NOTA[SUPPLIER],MATCH(,INDIRECT(ADDRESS(ROW(NOTA[ID]),COLUMN(NOTA[ID]))&amp;":"&amp;ADDRESS(ROW(),COLUMN(NOTA[ID]))),-1)))</f>
        <v>SBS</v>
      </c>
      <c r="AI711" s="42" t="str">
        <f ca="1">IF(NOTA[[#This Row],[ID_H]]="","",IF(NOTA[[#This Row],[FAKTUR]]="",INDIRECT(ADDRESS(ROW()-1,COLUMN())),NOTA[[#This Row],[FAKTUR]]))</f>
        <v>UNTANA</v>
      </c>
      <c r="AJ711" s="39" t="str">
        <f ca="1">IF(NOTA[[#This Row],[ID]]="","",COUNTIF(NOTA[ID_H],NOTA[[#This Row],[ID_H]]))</f>
        <v/>
      </c>
      <c r="AK711" s="39">
        <f ca="1">IF(NOTA[[#This Row],[TGL.NOTA]]="",IF(NOTA[[#This Row],[SUPPLIER_H]]="","",AK710),MONTH(NOTA[[#This Row],[TGL.NOTA]]))</f>
        <v>7</v>
      </c>
      <c r="AL711" s="39" t="str">
        <f>LOWER(SUBSTITUTE(SUBSTITUTE(SUBSTITUTE(SUBSTITUTE(SUBSTITUTE(SUBSTITUTE(SUBSTITUTE(SUBSTITUTE(SUBSTITUTE(NOTA[NAMA BARANG]," ",),".",""),"-",""),"(",""),")",""),",",""),"/",""),"""",""),"+",""))</f>
        <v>bindernotegastaslipb5bt65batik</v>
      </c>
      <c r="AM7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bindernotegastaslipb5bt65batik1430400</v>
      </c>
      <c r="AN7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bindernotegastaslipb5bt65batik1430400</v>
      </c>
      <c r="AO7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39" t="str">
        <f>IF(NOTA[[#This Row],[CONCAT4]]="","",_xlfn.IFNA(MATCH(NOTA[[#This Row],[CONCAT4]],[2]!RAW[CONCAT_H],0),FALSE))</f>
        <v/>
      </c>
      <c r="AQ711" s="39">
        <f>IF(NOTA[[#This Row],[CONCAT1]]="","",MATCH(NOTA[[#This Row],[CONCAT1]],[3]!db[NB NOTA_C],0))</f>
        <v>330</v>
      </c>
      <c r="AR711" s="39" t="b">
        <f>IF(NOTA[[#This Row],[QTY/ CTN]]="","",TRUE)</f>
        <v>1</v>
      </c>
      <c r="AS711" s="39" t="str">
        <f ca="1">IF(NOTA[[#This Row],[ID_H]]="","",IF(NOTA[[#This Row],[Column3]]=TRUE,NOTA[[#This Row],[QTY/ CTN]],INDEX([3]!db[QTY/ CTN],NOTA[[#This Row],[//DB]])))</f>
        <v>96 PCS</v>
      </c>
      <c r="AT7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bindernotegastaslipb5bt65batik96pcsuntana</v>
      </c>
      <c r="AU711" s="39" t="e">
        <f ca="1">IF(NOTA[[#This Row],[ID_H]]="","",MATCH(NOTA[[#This Row],[NB NOTA_C_QTY]],[4]!db[NB NOTA_C_QTY+F],0))</f>
        <v>#REF!</v>
      </c>
      <c r="AV711" s="55">
        <f ca="1">IF(NOTA[[#This Row],[NB NOTA_C_QTY]]="","",ROW()-2)</f>
        <v>709</v>
      </c>
    </row>
    <row r="712" spans="1:48" ht="20.100000000000001" customHeight="1" x14ac:dyDescent="0.25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47"/>
      <c r="H712" s="48"/>
      <c r="N712" s="39"/>
      <c r="Q712" s="43"/>
      <c r="R712" s="49"/>
      <c r="S712" s="50"/>
      <c r="U712" s="51"/>
      <c r="V712" s="46"/>
      <c r="W712" s="51" t="str">
        <f>IF(NOTA[[#This Row],[HARGA/ CTN]]="",NOTA[[#This Row],[JUMLAH_H]],NOTA[[#This Row],[HARGA/ CTN]]*IF(NOTA[[#This Row],[C]]="",0,NOTA[[#This Row],[C]]))</f>
        <v/>
      </c>
      <c r="X712" s="51" t="str">
        <f>IF(NOTA[[#This Row],[JUMLAH]]="","",NOTA[[#This Row],[JUMLAH]]*NOTA[[#This Row],[DISC 1]])</f>
        <v/>
      </c>
      <c r="Y712" s="51" t="str">
        <f>IF(NOTA[[#This Row],[JUMLAH]]="","",(NOTA[[#This Row],[JUMLAH]]-NOTA[[#This Row],[DISC 1-]])*NOTA[[#This Row],[DISC 2]])</f>
        <v/>
      </c>
      <c r="Z712" s="51" t="str">
        <f>IF(NOTA[[#This Row],[JUMLAH]]="","",NOTA[[#This Row],[DISC 1-]]+NOTA[[#This Row],[DISC 2-]])</f>
        <v/>
      </c>
      <c r="AA712" s="51" t="str">
        <f>IF(NOTA[[#This Row],[JUMLAH]]="","",NOTA[[#This Row],[JUMLAH]]-NOTA[[#This Row],[DISC]])</f>
        <v/>
      </c>
      <c r="AB712" s="51"/>
      <c r="AC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51" t="str">
        <f>IF(OR(NOTA[[#This Row],[QTY]]="",NOTA[[#This Row],[HARGA SATUAN]]="",),"",NOTA[[#This Row],[QTY]]*NOTA[[#This Row],[HARGA SATUAN]])</f>
        <v/>
      </c>
      <c r="AG712" s="40" t="str">
        <f ca="1">IF(NOTA[ID_H]="","",INDEX(NOTA[TANGGAL],MATCH(,INDIRECT(ADDRESS(ROW(NOTA[TANGGAL]),COLUMN(NOTA[TANGGAL]))&amp;":"&amp;ADDRESS(ROW(),COLUMN(NOTA[TANGGAL]))),-1)))</f>
        <v/>
      </c>
      <c r="AH712" s="42" t="str">
        <f ca="1">IF(NOTA[[#This Row],[NAMA BARANG]]="","",INDEX(NOTA[SUPPLIER],MATCH(,INDIRECT(ADDRESS(ROW(NOTA[ID]),COLUMN(NOTA[ID]))&amp;":"&amp;ADDRESS(ROW(),COLUMN(NOTA[ID]))),-1)))</f>
        <v/>
      </c>
      <c r="AI712" s="42" t="str">
        <f ca="1">IF(NOTA[[#This Row],[ID_H]]="","",IF(NOTA[[#This Row],[FAKTUR]]="",INDIRECT(ADDRESS(ROW()-1,COLUMN())),NOTA[[#This Row],[FAKTUR]]))</f>
        <v/>
      </c>
      <c r="AJ712" s="39" t="str">
        <f ca="1">IF(NOTA[[#This Row],[ID]]="","",COUNTIF(NOTA[ID_H],NOTA[[#This Row],[ID_H]]))</f>
        <v/>
      </c>
      <c r="AK712" s="39" t="str">
        <f ca="1">IF(NOTA[[#This Row],[TGL.NOTA]]="",IF(NOTA[[#This Row],[SUPPLIER_H]]="","",AK711),MONTH(NOTA[[#This Row],[TGL.NOTA]]))</f>
        <v/>
      </c>
      <c r="AL712" s="39" t="str">
        <f>LOWER(SUBSTITUTE(SUBSTITUTE(SUBSTITUTE(SUBSTITUTE(SUBSTITUTE(SUBSTITUTE(SUBSTITUTE(SUBSTITUTE(SUBSTITUTE(NOTA[NAMA BARANG]," ",),".",""),"-",""),"(",""),")",""),",",""),"/",""),"""",""),"+",""))</f>
        <v/>
      </c>
      <c r="AM7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39" t="str">
        <f>IF(NOTA[[#This Row],[CONCAT4]]="","",_xlfn.IFNA(MATCH(NOTA[[#This Row],[CONCAT4]],[2]!RAW[CONCAT_H],0),FALSE))</f>
        <v/>
      </c>
      <c r="AQ712" s="39" t="str">
        <f>IF(NOTA[[#This Row],[CONCAT1]]="","",MATCH(NOTA[[#This Row],[CONCAT1]],[3]!db[NB NOTA_C],0))</f>
        <v/>
      </c>
      <c r="AR712" s="39" t="str">
        <f>IF(NOTA[[#This Row],[QTY/ CTN]]="","",TRUE)</f>
        <v/>
      </c>
      <c r="AS712" s="39" t="str">
        <f ca="1">IF(NOTA[[#This Row],[ID_H]]="","",IF(NOTA[[#This Row],[Column3]]=TRUE,NOTA[[#This Row],[QTY/ CTN]],INDEX([3]!db[QTY/ CTN],NOTA[[#This Row],[//DB]])))</f>
        <v/>
      </c>
      <c r="AT7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39" t="str">
        <f ca="1">IF(NOTA[[#This Row],[ID_H]]="","",MATCH(NOTA[[#This Row],[NB NOTA_C_QTY]],[4]!db[NB NOTA_C_QTY+F],0))</f>
        <v/>
      </c>
      <c r="AV712" s="55" t="str">
        <f ca="1">IF(NOTA[[#This Row],[NB NOTA_C_QTY]]="","",ROW()-2)</f>
        <v/>
      </c>
    </row>
    <row r="713" spans="1:48" ht="20.100000000000001" customHeight="1" x14ac:dyDescent="0.25">
      <c r="A713" s="4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SBS_2507_21B-8</v>
      </c>
      <c r="C713" s="39" t="e">
        <f ca="1">IF(NOTA[[#This Row],[ID_P]]="","",MATCH(NOTA[[#This Row],[ID_P]],[1]!B_MSK[N_ID],0))</f>
        <v>#REF!</v>
      </c>
      <c r="D713" s="39">
        <f ca="1">IF(NOTA[[#This Row],[NAMA BARANG]]="","",INDEX(NOTA[ID],MATCH(,INDIRECT(ADDRESS(ROW(NOTA[ID]),COLUMN(NOTA[ID]))&amp;":"&amp;ADDRESS(ROW(),COLUMN(NOTA[ID]))),-1)))</f>
        <v>139</v>
      </c>
      <c r="E713" s="47"/>
      <c r="F713" s="38" t="s">
        <v>165</v>
      </c>
      <c r="G713" s="38" t="s">
        <v>145</v>
      </c>
      <c r="H713" s="48" t="s">
        <v>781</v>
      </c>
      <c r="J713" s="40">
        <v>45124</v>
      </c>
      <c r="K713" s="38">
        <v>1</v>
      </c>
      <c r="L713" s="38" t="s">
        <v>782</v>
      </c>
      <c r="M713" s="41">
        <v>3</v>
      </c>
      <c r="N713" s="39">
        <v>216</v>
      </c>
      <c r="O713" s="38" t="s">
        <v>117</v>
      </c>
      <c r="P713" s="42">
        <v>12400</v>
      </c>
      <c r="Q713" s="43"/>
      <c r="R713" s="49" t="s">
        <v>357</v>
      </c>
      <c r="S713" s="50"/>
      <c r="U713" s="51"/>
      <c r="V713" s="46"/>
      <c r="W713" s="51">
        <f>IF(NOTA[[#This Row],[HARGA/ CTN]]="",NOTA[[#This Row],[JUMLAH_H]],NOTA[[#This Row],[HARGA/ CTN]]*IF(NOTA[[#This Row],[C]]="",0,NOTA[[#This Row],[C]]))</f>
        <v>2678400</v>
      </c>
      <c r="X713" s="51">
        <f>IF(NOTA[[#This Row],[JUMLAH]]="","",NOTA[[#This Row],[JUMLAH]]*NOTA[[#This Row],[DISC 1]])</f>
        <v>0</v>
      </c>
      <c r="Y713" s="51">
        <f>IF(NOTA[[#This Row],[JUMLAH]]="","",(NOTA[[#This Row],[JUMLAH]]-NOTA[[#This Row],[DISC 1-]])*NOTA[[#This Row],[DISC 2]])</f>
        <v>0</v>
      </c>
      <c r="Z713" s="51">
        <f>IF(NOTA[[#This Row],[JUMLAH]]="","",NOTA[[#This Row],[DISC 1-]]+NOTA[[#This Row],[DISC 2-]])</f>
        <v>0</v>
      </c>
      <c r="AA713" s="51">
        <f>IF(NOTA[[#This Row],[JUMLAH]]="","",NOTA[[#This Row],[JUMLAH]]-NOTA[[#This Row],[DISC]])</f>
        <v>2678400</v>
      </c>
      <c r="AB713" s="51"/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3" s="51">
        <f>IF(OR(NOTA[[#This Row],[QTY]]="",NOTA[[#This Row],[HARGA SATUAN]]="",),"",NOTA[[#This Row],[QTY]]*NOTA[[#This Row],[HARGA SATUAN]])</f>
        <v>2678400</v>
      </c>
      <c r="AG713" s="40">
        <f ca="1">IF(NOTA[ID_H]="","",INDEX(NOTA[TANGGAL],MATCH(,INDIRECT(ADDRESS(ROW(NOTA[TANGGAL]),COLUMN(NOTA[TANGGAL]))&amp;":"&amp;ADDRESS(ROW(),COLUMN(NOTA[TANGGAL]))),-1)))</f>
        <v>45132</v>
      </c>
      <c r="AH713" s="42" t="str">
        <f ca="1">IF(NOTA[[#This Row],[NAMA BARANG]]="","",INDEX(NOTA[SUPPLIER],MATCH(,INDIRECT(ADDRESS(ROW(NOTA[ID]),COLUMN(NOTA[ID]))&amp;":"&amp;ADDRESS(ROW(),COLUMN(NOTA[ID]))),-1)))</f>
        <v>SBS</v>
      </c>
      <c r="AI713" s="42" t="str">
        <f ca="1">IF(NOTA[[#This Row],[ID_H]]="","",IF(NOTA[[#This Row],[FAKTUR]]="",INDIRECT(ADDRESS(ROW()-1,COLUMN())),NOTA[[#This Row],[FAKTUR]]))</f>
        <v>UNTANA</v>
      </c>
      <c r="AJ713" s="39">
        <f ca="1">IF(NOTA[[#This Row],[ID]]="","",COUNTIF(NOTA[ID_H],NOTA[[#This Row],[ID_H]]))</f>
        <v>8</v>
      </c>
      <c r="AK713" s="39">
        <f>IF(NOTA[[#This Row],[TGL.NOTA]]="",IF(NOTA[[#This Row],[SUPPLIER_H]]="","",AK712),MONTH(NOTA[[#This Row],[TGL.NOTA]]))</f>
        <v>7</v>
      </c>
      <c r="AL713" s="39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M7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N7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O713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SBSUNTANAVG0521B45124bindernotegastaa5hp2005p</v>
      </c>
      <c r="AP713" s="39" t="e">
        <f>IF(NOTA[[#This Row],[CONCAT4]]="","",_xlfn.IFNA(MATCH(NOTA[[#This Row],[CONCAT4]],[2]!RAW[CONCAT_H],0),FALSE))</f>
        <v>#REF!</v>
      </c>
      <c r="AQ713" s="39">
        <f>IF(NOTA[[#This Row],[CONCAT1]]="","",MATCH(NOTA[[#This Row],[CONCAT1]],[3]!db[NB NOTA_C],0))</f>
        <v>264</v>
      </c>
      <c r="AR713" s="39" t="b">
        <f>IF(NOTA[[#This Row],[QTY/ CTN]]="","",TRUE)</f>
        <v>1</v>
      </c>
      <c r="AS713" s="39" t="str">
        <f ca="1">IF(NOTA[[#This Row],[ID_H]]="","",IF(NOTA[[#This Row],[Column3]]=TRUE,NOTA[[#This Row],[QTY/ CTN]],INDEX([3]!db[QTY/ CTN],NOTA[[#This Row],[//DB]])))</f>
        <v>72 PCS</v>
      </c>
      <c r="AT7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U713" s="39" t="e">
        <f ca="1">IF(NOTA[[#This Row],[ID_H]]="","",MATCH(NOTA[[#This Row],[NB NOTA_C_QTY]],[4]!db[NB NOTA_C_QTY+F],0))</f>
        <v>#REF!</v>
      </c>
      <c r="AV713" s="55">
        <f ca="1">IF(NOTA[[#This Row],[NB NOTA_C_QTY]]="","",ROW()-2)</f>
        <v>711</v>
      </c>
    </row>
    <row r="714" spans="1:48" ht="20.100000000000001" customHeight="1" x14ac:dyDescent="0.25">
      <c r="A7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>
        <f ca="1">IF(NOTA[[#This Row],[NAMA BARANG]]="","",INDEX(NOTA[ID],MATCH(,INDIRECT(ADDRESS(ROW(NOTA[ID]),COLUMN(NOTA[ID]))&amp;":"&amp;ADDRESS(ROW(),COLUMN(NOTA[ID]))),-1)))</f>
        <v>139</v>
      </c>
      <c r="E714" s="47"/>
      <c r="H714" s="48"/>
      <c r="K714" s="38">
        <v>1</v>
      </c>
      <c r="L714" s="38" t="s">
        <v>789</v>
      </c>
      <c r="M714" s="41">
        <v>3</v>
      </c>
      <c r="N714" s="39">
        <v>216</v>
      </c>
      <c r="O714" s="38" t="s">
        <v>117</v>
      </c>
      <c r="P714" s="42">
        <v>12400</v>
      </c>
      <c r="Q714" s="43"/>
      <c r="R714" s="49" t="s">
        <v>357</v>
      </c>
      <c r="S714" s="50"/>
      <c r="U714" s="51"/>
      <c r="V714" s="46"/>
      <c r="W714" s="51">
        <f>IF(NOTA[[#This Row],[HARGA/ CTN]]="",NOTA[[#This Row],[JUMLAH_H]],NOTA[[#This Row],[HARGA/ CTN]]*IF(NOTA[[#This Row],[C]]="",0,NOTA[[#This Row],[C]]))</f>
        <v>2678400</v>
      </c>
      <c r="X714" s="51">
        <f>IF(NOTA[[#This Row],[JUMLAH]]="","",NOTA[[#This Row],[JUMLAH]]*NOTA[[#This Row],[DISC 1]])</f>
        <v>0</v>
      </c>
      <c r="Y714" s="51">
        <f>IF(NOTA[[#This Row],[JUMLAH]]="","",(NOTA[[#This Row],[JUMLAH]]-NOTA[[#This Row],[DISC 1-]])*NOTA[[#This Row],[DISC 2]])</f>
        <v>0</v>
      </c>
      <c r="Z714" s="51">
        <f>IF(NOTA[[#This Row],[JUMLAH]]="","",NOTA[[#This Row],[DISC 1-]]+NOTA[[#This Row],[DISC 2-]])</f>
        <v>0</v>
      </c>
      <c r="AA714" s="51">
        <f>IF(NOTA[[#This Row],[JUMLAH]]="","",NOTA[[#This Row],[JUMLAH]]-NOTA[[#This Row],[DISC]])</f>
        <v>2678400</v>
      </c>
      <c r="AB714" s="51"/>
      <c r="AC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4" s="51">
        <f>IF(OR(NOTA[[#This Row],[QTY]]="",NOTA[[#This Row],[HARGA SATUAN]]="",),"",NOTA[[#This Row],[QTY]]*NOTA[[#This Row],[HARGA SATUAN]])</f>
        <v>2678400</v>
      </c>
      <c r="AG714" s="40">
        <f ca="1">IF(NOTA[ID_H]="","",INDEX(NOTA[TANGGAL],MATCH(,INDIRECT(ADDRESS(ROW(NOTA[TANGGAL]),COLUMN(NOTA[TANGGAL]))&amp;":"&amp;ADDRESS(ROW(),COLUMN(NOTA[TANGGAL]))),-1)))</f>
        <v>45132</v>
      </c>
      <c r="AH714" s="42" t="str">
        <f ca="1">IF(NOTA[[#This Row],[NAMA BARANG]]="","",INDEX(NOTA[SUPPLIER],MATCH(,INDIRECT(ADDRESS(ROW(NOTA[ID]),COLUMN(NOTA[ID]))&amp;":"&amp;ADDRESS(ROW(),COLUMN(NOTA[ID]))),-1)))</f>
        <v>SBS</v>
      </c>
      <c r="AI714" s="42" t="str">
        <f ca="1">IF(NOTA[[#This Row],[ID_H]]="","",IF(NOTA[[#This Row],[FAKTUR]]="",INDIRECT(ADDRESS(ROW()-1,COLUMN())),NOTA[[#This Row],[FAKTUR]]))</f>
        <v>UNTANA</v>
      </c>
      <c r="AJ714" s="39" t="str">
        <f ca="1">IF(NOTA[[#This Row],[ID]]="","",COUNTIF(NOTA[ID_H],NOTA[[#This Row],[ID_H]]))</f>
        <v/>
      </c>
      <c r="AK714" s="39">
        <f ca="1">IF(NOTA[[#This Row],[TGL.NOTA]]="",IF(NOTA[[#This Row],[SUPPLIER_H]]="","",AK713),MONTH(NOTA[[#This Row],[TGL.NOTA]]))</f>
        <v>7</v>
      </c>
      <c r="AL714" s="39" t="str">
        <f>LOWER(SUBSTITUTE(SUBSTITUTE(SUBSTITUTE(SUBSTITUTE(SUBSTITUTE(SUBSTITUTE(SUBSTITUTE(SUBSTITUTE(SUBSTITUTE(NOTA[NAMA BARANG]," ",),".",""),"-",""),"(",""),")",""),",",""),"/",""),"""",""),"+",""))</f>
        <v>bindernotegastappa5hp2006t</v>
      </c>
      <c r="AM7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bindernotegastappa5hp2006t892800</v>
      </c>
      <c r="AN7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bindernotegastappa5hp2006t892800</v>
      </c>
      <c r="AO7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39" t="str">
        <f>IF(NOTA[[#This Row],[CONCAT4]]="","",_xlfn.IFNA(MATCH(NOTA[[#This Row],[CONCAT4]],[2]!RAW[CONCAT_H],0),FALSE))</f>
        <v/>
      </c>
      <c r="AQ714" s="39">
        <f>IF(NOTA[[#This Row],[CONCAT1]]="","",MATCH(NOTA[[#This Row],[CONCAT1]],[3]!db[NB NOTA_C],0))</f>
        <v>265</v>
      </c>
      <c r="AR714" s="39" t="b">
        <f>IF(NOTA[[#This Row],[QTY/ CTN]]="","",TRUE)</f>
        <v>1</v>
      </c>
      <c r="AS714" s="39" t="str">
        <f ca="1">IF(NOTA[[#This Row],[ID_H]]="","",IF(NOTA[[#This Row],[Column3]]=TRUE,NOTA[[#This Row],[QTY/ CTN]],INDEX([3]!db[QTY/ CTN],NOTA[[#This Row],[//DB]])))</f>
        <v>72 PCS</v>
      </c>
      <c r="AT7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bindernotegastappa5hp2006t72pcsuntana</v>
      </c>
      <c r="AU714" s="39" t="e">
        <f ca="1">IF(NOTA[[#This Row],[ID_H]]="","",MATCH(NOTA[[#This Row],[NB NOTA_C_QTY]],[4]!db[NB NOTA_C_QTY+F],0))</f>
        <v>#REF!</v>
      </c>
      <c r="AV714" s="55">
        <f ca="1">IF(NOTA[[#This Row],[NB NOTA_C_QTY]]="","",ROW()-2)</f>
        <v>712</v>
      </c>
    </row>
    <row r="715" spans="1:48" ht="20.100000000000001" customHeight="1" x14ac:dyDescent="0.25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>
        <f ca="1">IF(NOTA[[#This Row],[NAMA BARANG]]="","",INDEX(NOTA[ID],MATCH(,INDIRECT(ADDRESS(ROW(NOTA[ID]),COLUMN(NOTA[ID]))&amp;":"&amp;ADDRESS(ROW(),COLUMN(NOTA[ID]))),-1)))</f>
        <v>139</v>
      </c>
      <c r="E715" s="47"/>
      <c r="H715" s="48"/>
      <c r="K715" s="38">
        <v>1</v>
      </c>
      <c r="L715" s="38" t="s">
        <v>786</v>
      </c>
      <c r="M715" s="41">
        <v>3</v>
      </c>
      <c r="N715" s="39">
        <v>216</v>
      </c>
      <c r="O715" s="38" t="s">
        <v>117</v>
      </c>
      <c r="P715" s="42">
        <v>12400</v>
      </c>
      <c r="Q715" s="43"/>
      <c r="R715" s="49" t="s">
        <v>357</v>
      </c>
      <c r="S715" s="50"/>
      <c r="U715" s="51"/>
      <c r="V715" s="46"/>
      <c r="W715" s="51">
        <f>IF(NOTA[[#This Row],[HARGA/ CTN]]="",NOTA[[#This Row],[JUMLAH_H]],NOTA[[#This Row],[HARGA/ CTN]]*IF(NOTA[[#This Row],[C]]="",0,NOTA[[#This Row],[C]]))</f>
        <v>2678400</v>
      </c>
      <c r="X715" s="51">
        <f>IF(NOTA[[#This Row],[JUMLAH]]="","",NOTA[[#This Row],[JUMLAH]]*NOTA[[#This Row],[DISC 1]])</f>
        <v>0</v>
      </c>
      <c r="Y715" s="51">
        <f>IF(NOTA[[#This Row],[JUMLAH]]="","",(NOTA[[#This Row],[JUMLAH]]-NOTA[[#This Row],[DISC 1-]])*NOTA[[#This Row],[DISC 2]])</f>
        <v>0</v>
      </c>
      <c r="Z715" s="51">
        <f>IF(NOTA[[#This Row],[JUMLAH]]="","",NOTA[[#This Row],[DISC 1-]]+NOTA[[#This Row],[DISC 2-]])</f>
        <v>0</v>
      </c>
      <c r="AA715" s="51">
        <f>IF(NOTA[[#This Row],[JUMLAH]]="","",NOTA[[#This Row],[JUMLAH]]-NOTA[[#This Row],[DISC]])</f>
        <v>2678400</v>
      </c>
      <c r="AB715" s="51"/>
      <c r="AC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5" s="51">
        <f>IF(OR(NOTA[[#This Row],[QTY]]="",NOTA[[#This Row],[HARGA SATUAN]]="",),"",NOTA[[#This Row],[QTY]]*NOTA[[#This Row],[HARGA SATUAN]])</f>
        <v>2678400</v>
      </c>
      <c r="AG715" s="40">
        <f ca="1">IF(NOTA[ID_H]="","",INDEX(NOTA[TANGGAL],MATCH(,INDIRECT(ADDRESS(ROW(NOTA[TANGGAL]),COLUMN(NOTA[TANGGAL]))&amp;":"&amp;ADDRESS(ROW(),COLUMN(NOTA[TANGGAL]))),-1)))</f>
        <v>45132</v>
      </c>
      <c r="AH715" s="42" t="str">
        <f ca="1">IF(NOTA[[#This Row],[NAMA BARANG]]="","",INDEX(NOTA[SUPPLIER],MATCH(,INDIRECT(ADDRESS(ROW(NOTA[ID]),COLUMN(NOTA[ID]))&amp;":"&amp;ADDRESS(ROW(),COLUMN(NOTA[ID]))),-1)))</f>
        <v>SBS</v>
      </c>
      <c r="AI715" s="42" t="str">
        <f ca="1">IF(NOTA[[#This Row],[ID_H]]="","",IF(NOTA[[#This Row],[FAKTUR]]="",INDIRECT(ADDRESS(ROW()-1,COLUMN())),NOTA[[#This Row],[FAKTUR]]))</f>
        <v>UNTANA</v>
      </c>
      <c r="AJ715" s="39" t="str">
        <f ca="1">IF(NOTA[[#This Row],[ID]]="","",COUNTIF(NOTA[ID_H],NOTA[[#This Row],[ID_H]]))</f>
        <v/>
      </c>
      <c r="AK715" s="39">
        <f ca="1">IF(NOTA[[#This Row],[TGL.NOTA]]="",IF(NOTA[[#This Row],[SUPPLIER_H]]="","",AK714),MONTH(NOTA[[#This Row],[TGL.NOTA]]))</f>
        <v>7</v>
      </c>
      <c r="AL715" s="39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M7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N7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O7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39" t="str">
        <f>IF(NOTA[[#This Row],[CONCAT4]]="","",_xlfn.IFNA(MATCH(NOTA[[#This Row],[CONCAT4]],[2]!RAW[CONCAT_H],0),FALSE))</f>
        <v/>
      </c>
      <c r="AQ715" s="39">
        <f>IF(NOTA[[#This Row],[CONCAT1]]="","",MATCH(NOTA[[#This Row],[CONCAT1]],[3]!db[NB NOTA_C],0))</f>
        <v>266</v>
      </c>
      <c r="AR715" s="39" t="b">
        <f>IF(NOTA[[#This Row],[QTY/ CTN]]="","",TRUE)</f>
        <v>1</v>
      </c>
      <c r="AS715" s="39" t="str">
        <f ca="1">IF(NOTA[[#This Row],[ID_H]]="","",IF(NOTA[[#This Row],[Column3]]=TRUE,NOTA[[#This Row],[QTY/ CTN]],INDEX([3]!db[QTY/ CTN],NOTA[[#This Row],[//DB]])))</f>
        <v>72 PCS</v>
      </c>
      <c r="AT7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U715" s="39" t="e">
        <f ca="1">IF(NOTA[[#This Row],[ID_H]]="","",MATCH(NOTA[[#This Row],[NB NOTA_C_QTY]],[4]!db[NB NOTA_C_QTY+F],0))</f>
        <v>#REF!</v>
      </c>
      <c r="AV715" s="55">
        <f ca="1">IF(NOTA[[#This Row],[NB NOTA_C_QTY]]="","",ROW()-2)</f>
        <v>713</v>
      </c>
    </row>
    <row r="716" spans="1:48" ht="20.100000000000001" customHeight="1" x14ac:dyDescent="0.25">
      <c r="A7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>
        <f ca="1">IF(NOTA[[#This Row],[NAMA BARANG]]="","",INDEX(NOTA[ID],MATCH(,INDIRECT(ADDRESS(ROW(NOTA[ID]),COLUMN(NOTA[ID]))&amp;":"&amp;ADDRESS(ROW(),COLUMN(NOTA[ID]))),-1)))</f>
        <v>139</v>
      </c>
      <c r="E716" s="47"/>
      <c r="H716" s="48"/>
      <c r="K716" s="38">
        <v>1</v>
      </c>
      <c r="L716" s="38" t="s">
        <v>783</v>
      </c>
      <c r="M716" s="41">
        <v>3</v>
      </c>
      <c r="N716" s="39">
        <v>216</v>
      </c>
      <c r="O716" s="38" t="s">
        <v>117</v>
      </c>
      <c r="P716" s="42">
        <v>12400</v>
      </c>
      <c r="Q716" s="43"/>
      <c r="R716" s="49" t="s">
        <v>357</v>
      </c>
      <c r="S716" s="50"/>
      <c r="U716" s="51"/>
      <c r="V716" s="46"/>
      <c r="W716" s="51">
        <f>IF(NOTA[[#This Row],[HARGA/ CTN]]="",NOTA[[#This Row],[JUMLAH_H]],NOTA[[#This Row],[HARGA/ CTN]]*IF(NOTA[[#This Row],[C]]="",0,NOTA[[#This Row],[C]]))</f>
        <v>2678400</v>
      </c>
      <c r="X716" s="51">
        <f>IF(NOTA[[#This Row],[JUMLAH]]="","",NOTA[[#This Row],[JUMLAH]]*NOTA[[#This Row],[DISC 1]])</f>
        <v>0</v>
      </c>
      <c r="Y716" s="51">
        <f>IF(NOTA[[#This Row],[JUMLAH]]="","",(NOTA[[#This Row],[JUMLAH]]-NOTA[[#This Row],[DISC 1-]])*NOTA[[#This Row],[DISC 2]])</f>
        <v>0</v>
      </c>
      <c r="Z716" s="51">
        <f>IF(NOTA[[#This Row],[JUMLAH]]="","",NOTA[[#This Row],[DISC 1-]]+NOTA[[#This Row],[DISC 2-]])</f>
        <v>0</v>
      </c>
      <c r="AA716" s="51">
        <f>IF(NOTA[[#This Row],[JUMLAH]]="","",NOTA[[#This Row],[JUMLAH]]-NOTA[[#This Row],[DISC]])</f>
        <v>2678400</v>
      </c>
      <c r="AB716" s="51"/>
      <c r="AC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6" s="51">
        <f>IF(OR(NOTA[[#This Row],[QTY]]="",NOTA[[#This Row],[HARGA SATUAN]]="",),"",NOTA[[#This Row],[QTY]]*NOTA[[#This Row],[HARGA SATUAN]])</f>
        <v>2678400</v>
      </c>
      <c r="AG716" s="40">
        <f ca="1">IF(NOTA[ID_H]="","",INDEX(NOTA[TANGGAL],MATCH(,INDIRECT(ADDRESS(ROW(NOTA[TANGGAL]),COLUMN(NOTA[TANGGAL]))&amp;":"&amp;ADDRESS(ROW(),COLUMN(NOTA[TANGGAL]))),-1)))</f>
        <v>45132</v>
      </c>
      <c r="AH716" s="42" t="str">
        <f ca="1">IF(NOTA[[#This Row],[NAMA BARANG]]="","",INDEX(NOTA[SUPPLIER],MATCH(,INDIRECT(ADDRESS(ROW(NOTA[ID]),COLUMN(NOTA[ID]))&amp;":"&amp;ADDRESS(ROW(),COLUMN(NOTA[ID]))),-1)))</f>
        <v>SBS</v>
      </c>
      <c r="AI716" s="42" t="str">
        <f ca="1">IF(NOTA[[#This Row],[ID_H]]="","",IF(NOTA[[#This Row],[FAKTUR]]="",INDIRECT(ADDRESS(ROW()-1,COLUMN())),NOTA[[#This Row],[FAKTUR]]))</f>
        <v>UNTANA</v>
      </c>
      <c r="AJ716" s="39" t="str">
        <f ca="1">IF(NOTA[[#This Row],[ID]]="","",COUNTIF(NOTA[ID_H],NOTA[[#This Row],[ID_H]]))</f>
        <v/>
      </c>
      <c r="AK716" s="39">
        <f ca="1">IF(NOTA[[#This Row],[TGL.NOTA]]="",IF(NOTA[[#This Row],[SUPPLIER_H]]="","",AK715),MONTH(NOTA[[#This Row],[TGL.NOTA]]))</f>
        <v>7</v>
      </c>
      <c r="AL716" s="39" t="str">
        <f>LOWER(SUBSTITUTE(SUBSTITUTE(SUBSTITUTE(SUBSTITUTE(SUBSTITUTE(SUBSTITUTE(SUBSTITUTE(SUBSTITUTE(SUBSTITUTE(NOTA[NAMA BARANG]," ",),".",""),"-",""),"(",""),")",""),",",""),"/",""),"""",""),"+",""))</f>
        <v>bindernotea5hp2008pa5sr</v>
      </c>
      <c r="AM7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bindernotea5hp2008pa5sr892800</v>
      </c>
      <c r="AN7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bindernotea5hp2008pa5sr892800</v>
      </c>
      <c r="AO7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39" t="str">
        <f>IF(NOTA[[#This Row],[CONCAT4]]="","",_xlfn.IFNA(MATCH(NOTA[[#This Row],[CONCAT4]],[2]!RAW[CONCAT_H],0),FALSE))</f>
        <v/>
      </c>
      <c r="AQ716" s="39">
        <f>IF(NOTA[[#This Row],[CONCAT1]]="","",MATCH(NOTA[[#This Row],[CONCAT1]],[3]!db[NB NOTA_C],0))</f>
        <v>272</v>
      </c>
      <c r="AR716" s="39" t="b">
        <f>IF(NOTA[[#This Row],[QTY/ CTN]]="","",TRUE)</f>
        <v>1</v>
      </c>
      <c r="AS716" s="39" t="str">
        <f ca="1">IF(NOTA[[#This Row],[ID_H]]="","",IF(NOTA[[#This Row],[Column3]]=TRUE,NOTA[[#This Row],[QTY/ CTN]],INDEX([3]!db[QTY/ CTN],NOTA[[#This Row],[//DB]])))</f>
        <v>72 PCS</v>
      </c>
      <c r="AT7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bindernotea5hp2008pa5sr72pcsuntana</v>
      </c>
      <c r="AU716" s="39" t="e">
        <f ca="1">IF(NOTA[[#This Row],[ID_H]]="","",MATCH(NOTA[[#This Row],[NB NOTA_C_QTY]],[4]!db[NB NOTA_C_QTY+F],0))</f>
        <v>#REF!</v>
      </c>
      <c r="AV716" s="55">
        <f ca="1">IF(NOTA[[#This Row],[NB NOTA_C_QTY]]="","",ROW()-2)</f>
        <v>714</v>
      </c>
    </row>
    <row r="717" spans="1:48" ht="20.100000000000001" customHeight="1" x14ac:dyDescent="0.25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>
        <f ca="1">IF(NOTA[[#This Row],[NAMA BARANG]]="","",INDEX(NOTA[ID],MATCH(,INDIRECT(ADDRESS(ROW(NOTA[ID]),COLUMN(NOTA[ID]))&amp;":"&amp;ADDRESS(ROW(),COLUMN(NOTA[ID]))),-1)))</f>
        <v>139</v>
      </c>
      <c r="E717" s="47"/>
      <c r="H717" s="48"/>
      <c r="K717" s="38">
        <v>1</v>
      </c>
      <c r="L717" s="38" t="s">
        <v>784</v>
      </c>
      <c r="M717" s="41">
        <v>3</v>
      </c>
      <c r="N717" s="39">
        <v>216</v>
      </c>
      <c r="O717" s="38" t="s">
        <v>117</v>
      </c>
      <c r="P717" s="42">
        <v>12400</v>
      </c>
      <c r="Q717" s="43"/>
      <c r="R717" s="49" t="s">
        <v>357</v>
      </c>
      <c r="S717" s="50"/>
      <c r="U717" s="51"/>
      <c r="V717" s="46"/>
      <c r="W717" s="51">
        <f>IF(NOTA[[#This Row],[HARGA/ CTN]]="",NOTA[[#This Row],[JUMLAH_H]],NOTA[[#This Row],[HARGA/ CTN]]*IF(NOTA[[#This Row],[C]]="",0,NOTA[[#This Row],[C]]))</f>
        <v>2678400</v>
      </c>
      <c r="X717" s="51">
        <f>IF(NOTA[[#This Row],[JUMLAH]]="","",NOTA[[#This Row],[JUMLAH]]*NOTA[[#This Row],[DISC 1]])</f>
        <v>0</v>
      </c>
      <c r="Y717" s="51">
        <f>IF(NOTA[[#This Row],[JUMLAH]]="","",(NOTA[[#This Row],[JUMLAH]]-NOTA[[#This Row],[DISC 1-]])*NOTA[[#This Row],[DISC 2]])</f>
        <v>0</v>
      </c>
      <c r="Z717" s="51">
        <f>IF(NOTA[[#This Row],[JUMLAH]]="","",NOTA[[#This Row],[DISC 1-]]+NOTA[[#This Row],[DISC 2-]])</f>
        <v>0</v>
      </c>
      <c r="AA717" s="51">
        <f>IF(NOTA[[#This Row],[JUMLAH]]="","",NOTA[[#This Row],[JUMLAH]]-NOTA[[#This Row],[DISC]])</f>
        <v>2678400</v>
      </c>
      <c r="AB717" s="51"/>
      <c r="AC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717" s="51">
        <f>IF(OR(NOTA[[#This Row],[QTY]]="",NOTA[[#This Row],[HARGA SATUAN]]="",),"",NOTA[[#This Row],[QTY]]*NOTA[[#This Row],[HARGA SATUAN]])</f>
        <v>2678400</v>
      </c>
      <c r="AG717" s="40">
        <f ca="1">IF(NOTA[ID_H]="","",INDEX(NOTA[TANGGAL],MATCH(,INDIRECT(ADDRESS(ROW(NOTA[TANGGAL]),COLUMN(NOTA[TANGGAL]))&amp;":"&amp;ADDRESS(ROW(),COLUMN(NOTA[TANGGAL]))),-1)))</f>
        <v>45132</v>
      </c>
      <c r="AH717" s="42" t="str">
        <f ca="1">IF(NOTA[[#This Row],[NAMA BARANG]]="","",INDEX(NOTA[SUPPLIER],MATCH(,INDIRECT(ADDRESS(ROW(NOTA[ID]),COLUMN(NOTA[ID]))&amp;":"&amp;ADDRESS(ROW(),COLUMN(NOTA[ID]))),-1)))</f>
        <v>SBS</v>
      </c>
      <c r="AI717" s="42" t="str">
        <f ca="1">IF(NOTA[[#This Row],[ID_H]]="","",IF(NOTA[[#This Row],[FAKTUR]]="",INDIRECT(ADDRESS(ROW()-1,COLUMN())),NOTA[[#This Row],[FAKTUR]]))</f>
        <v>UNTANA</v>
      </c>
      <c r="AJ717" s="39" t="str">
        <f ca="1">IF(NOTA[[#This Row],[ID]]="","",COUNTIF(NOTA[ID_H],NOTA[[#This Row],[ID_H]]))</f>
        <v/>
      </c>
      <c r="AK717" s="39">
        <f ca="1">IF(NOTA[[#This Row],[TGL.NOTA]]="",IF(NOTA[[#This Row],[SUPPLIER_H]]="","",AK716),MONTH(NOTA[[#This Row],[TGL.NOTA]]))</f>
        <v>7</v>
      </c>
      <c r="AL717" s="39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M7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N7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O7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39" t="str">
        <f>IF(NOTA[[#This Row],[CONCAT4]]="","",_xlfn.IFNA(MATCH(NOTA[[#This Row],[CONCAT4]],[2]!RAW[CONCAT_H],0),FALSE))</f>
        <v/>
      </c>
      <c r="AQ717" s="39">
        <f>IF(NOTA[[#This Row],[CONCAT1]]="","",MATCH(NOTA[[#This Row],[CONCAT1]],[3]!db[NB NOTA_C],0))</f>
        <v>267</v>
      </c>
      <c r="AR717" s="39" t="b">
        <f>IF(NOTA[[#This Row],[QTY/ CTN]]="","",TRUE)</f>
        <v>1</v>
      </c>
      <c r="AS717" s="39" t="str">
        <f ca="1">IF(NOTA[[#This Row],[ID_H]]="","",IF(NOTA[[#This Row],[Column3]]=TRUE,NOTA[[#This Row],[QTY/ CTN]],INDEX([3]!db[QTY/ CTN],NOTA[[#This Row],[//DB]])))</f>
        <v>72 PCS</v>
      </c>
      <c r="AT7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U717" s="39" t="e">
        <f ca="1">IF(NOTA[[#This Row],[ID_H]]="","",MATCH(NOTA[[#This Row],[NB NOTA_C_QTY]],[4]!db[NB NOTA_C_QTY+F],0))</f>
        <v>#REF!</v>
      </c>
      <c r="AV717" s="55">
        <f ca="1">IF(NOTA[[#This Row],[NB NOTA_C_QTY]]="","",ROW()-2)</f>
        <v>715</v>
      </c>
    </row>
    <row r="718" spans="1:48" ht="20.100000000000001" customHeight="1" x14ac:dyDescent="0.25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>
        <f ca="1">IF(NOTA[[#This Row],[NAMA BARANG]]="","",INDEX(NOTA[ID],MATCH(,INDIRECT(ADDRESS(ROW(NOTA[ID]),COLUMN(NOTA[ID]))&amp;":"&amp;ADDRESS(ROW(),COLUMN(NOTA[ID]))),-1)))</f>
        <v>139</v>
      </c>
      <c r="E718" s="47"/>
      <c r="H718" s="48"/>
      <c r="L718" s="38" t="s">
        <v>785</v>
      </c>
      <c r="M718" s="41">
        <v>1</v>
      </c>
      <c r="N718" s="39">
        <v>72</v>
      </c>
      <c r="O718" s="38" t="s">
        <v>117</v>
      </c>
      <c r="P718" s="42">
        <v>11900</v>
      </c>
      <c r="Q718" s="43"/>
      <c r="R718" s="49" t="s">
        <v>357</v>
      </c>
      <c r="S718" s="50"/>
      <c r="U718" s="51"/>
      <c r="V718" s="46"/>
      <c r="W718" s="51">
        <f>IF(NOTA[[#This Row],[HARGA/ CTN]]="",NOTA[[#This Row],[JUMLAH_H]],NOTA[[#This Row],[HARGA/ CTN]]*IF(NOTA[[#This Row],[C]]="",0,NOTA[[#This Row],[C]]))</f>
        <v>856800</v>
      </c>
      <c r="X718" s="51">
        <f>IF(NOTA[[#This Row],[JUMLAH]]="","",NOTA[[#This Row],[JUMLAH]]*NOTA[[#This Row],[DISC 1]])</f>
        <v>0</v>
      </c>
      <c r="Y718" s="51">
        <f>IF(NOTA[[#This Row],[JUMLAH]]="","",(NOTA[[#This Row],[JUMLAH]]-NOTA[[#This Row],[DISC 1-]])*NOTA[[#This Row],[DISC 2]])</f>
        <v>0</v>
      </c>
      <c r="Z718" s="51">
        <f>IF(NOTA[[#This Row],[JUMLAH]]="","",NOTA[[#This Row],[DISC 1-]]+NOTA[[#This Row],[DISC 2-]])</f>
        <v>0</v>
      </c>
      <c r="AA718" s="51">
        <f>IF(NOTA[[#This Row],[JUMLAH]]="","",NOTA[[#This Row],[JUMLAH]]-NOTA[[#This Row],[DISC]])</f>
        <v>856800</v>
      </c>
      <c r="AB718" s="51"/>
      <c r="AC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18" s="51">
        <f>IF(OR(NOTA[[#This Row],[QTY]]="",NOTA[[#This Row],[HARGA SATUAN]]="",),"",NOTA[[#This Row],[QTY]]*NOTA[[#This Row],[HARGA SATUAN]])</f>
        <v>856800</v>
      </c>
      <c r="AG718" s="40">
        <f ca="1">IF(NOTA[ID_H]="","",INDEX(NOTA[TANGGAL],MATCH(,INDIRECT(ADDRESS(ROW(NOTA[TANGGAL]),COLUMN(NOTA[TANGGAL]))&amp;":"&amp;ADDRESS(ROW(),COLUMN(NOTA[TANGGAL]))),-1)))</f>
        <v>45132</v>
      </c>
      <c r="AH718" s="42" t="str">
        <f ca="1">IF(NOTA[[#This Row],[NAMA BARANG]]="","",INDEX(NOTA[SUPPLIER],MATCH(,INDIRECT(ADDRESS(ROW(NOTA[ID]),COLUMN(NOTA[ID]))&amp;":"&amp;ADDRESS(ROW(),COLUMN(NOTA[ID]))),-1)))</f>
        <v>SBS</v>
      </c>
      <c r="AI718" s="42" t="str">
        <f ca="1">IF(NOTA[[#This Row],[ID_H]]="","",IF(NOTA[[#This Row],[FAKTUR]]="",INDIRECT(ADDRESS(ROW()-1,COLUMN())),NOTA[[#This Row],[FAKTUR]]))</f>
        <v>UNTANA</v>
      </c>
      <c r="AJ718" s="39" t="str">
        <f ca="1">IF(NOTA[[#This Row],[ID]]="","",COUNTIF(NOTA[ID_H],NOTA[[#This Row],[ID_H]]))</f>
        <v/>
      </c>
      <c r="AK718" s="39">
        <f ca="1">IF(NOTA[[#This Row],[TGL.NOTA]]="",IF(NOTA[[#This Row],[SUPPLIER_H]]="","",AK717),MONTH(NOTA[[#This Row],[TGL.NOTA]]))</f>
        <v>7</v>
      </c>
      <c r="AL718" s="39" t="str">
        <f>LOWER(SUBSTITUTE(SUBSTITUTE(SUBSTITUTE(SUBSTITUTE(SUBSTITUTE(SUBSTITUTE(SUBSTITUTE(SUBSTITUTE(SUBSTITUTE(NOTA[NAMA BARANG]," ",),".",""),"-",""),"(",""),")",""),",",""),"/",""),"""",""),"+",""))</f>
        <v>bindernotegastaa5p2001f</v>
      </c>
      <c r="AM7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bindernotegastaa5p2001f856800</v>
      </c>
      <c r="AN7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bindernotegastaa5p2001f856800</v>
      </c>
      <c r="AO7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39" t="str">
        <f>IF(NOTA[[#This Row],[CONCAT4]]="","",_xlfn.IFNA(MATCH(NOTA[[#This Row],[CONCAT4]],[2]!RAW[CONCAT_H],0),FALSE))</f>
        <v/>
      </c>
      <c r="AQ718" s="39">
        <f>IF(NOTA[[#This Row],[CONCAT1]]="","",MATCH(NOTA[[#This Row],[CONCAT1]],[3]!db[NB NOTA_C],0))</f>
        <v>268</v>
      </c>
      <c r="AR718" s="39" t="b">
        <f>IF(NOTA[[#This Row],[QTY/ CTN]]="","",TRUE)</f>
        <v>1</v>
      </c>
      <c r="AS718" s="39" t="str">
        <f ca="1">IF(NOTA[[#This Row],[ID_H]]="","",IF(NOTA[[#This Row],[Column3]]=TRUE,NOTA[[#This Row],[QTY/ CTN]],INDEX([3]!db[QTY/ CTN],NOTA[[#This Row],[//DB]])))</f>
        <v>72 PCS</v>
      </c>
      <c r="AT7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bindernotegastaa5p2001f72pcsuntana</v>
      </c>
      <c r="AU718" s="39" t="e">
        <f ca="1">IF(NOTA[[#This Row],[ID_H]]="","",MATCH(NOTA[[#This Row],[NB NOTA_C_QTY]],[4]!db[NB NOTA_C_QTY+F],0))</f>
        <v>#REF!</v>
      </c>
      <c r="AV718" s="55">
        <f ca="1">IF(NOTA[[#This Row],[NB NOTA_C_QTY]]="","",ROW()-2)</f>
        <v>716</v>
      </c>
    </row>
    <row r="719" spans="1:48" ht="20.100000000000001" customHeight="1" x14ac:dyDescent="0.25">
      <c r="A7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>
        <f ca="1">IF(NOTA[[#This Row],[NAMA BARANG]]="","",INDEX(NOTA[ID],MATCH(,INDIRECT(ADDRESS(ROW(NOTA[ID]),COLUMN(NOTA[ID]))&amp;":"&amp;ADDRESS(ROW(),COLUMN(NOTA[ID]))),-1)))</f>
        <v>139</v>
      </c>
      <c r="E719" s="47"/>
      <c r="H719" s="48"/>
      <c r="L719" s="38" t="s">
        <v>787</v>
      </c>
      <c r="M719" s="41">
        <v>2</v>
      </c>
      <c r="N719" s="39">
        <v>144</v>
      </c>
      <c r="O719" s="38" t="s">
        <v>117</v>
      </c>
      <c r="P719" s="42">
        <v>11900</v>
      </c>
      <c r="Q719" s="43"/>
      <c r="R719" s="49" t="s">
        <v>357</v>
      </c>
      <c r="S719" s="50"/>
      <c r="U719" s="51"/>
      <c r="V719" s="46"/>
      <c r="W719" s="51">
        <f>IF(NOTA[[#This Row],[HARGA/ CTN]]="",NOTA[[#This Row],[JUMLAH_H]],NOTA[[#This Row],[HARGA/ CTN]]*IF(NOTA[[#This Row],[C]]="",0,NOTA[[#This Row],[C]]))</f>
        <v>1713600</v>
      </c>
      <c r="X719" s="51">
        <f>IF(NOTA[[#This Row],[JUMLAH]]="","",NOTA[[#This Row],[JUMLAH]]*NOTA[[#This Row],[DISC 1]])</f>
        <v>0</v>
      </c>
      <c r="Y719" s="51">
        <f>IF(NOTA[[#This Row],[JUMLAH]]="","",(NOTA[[#This Row],[JUMLAH]]-NOTA[[#This Row],[DISC 1-]])*NOTA[[#This Row],[DISC 2]])</f>
        <v>0</v>
      </c>
      <c r="Z719" s="51">
        <f>IF(NOTA[[#This Row],[JUMLAH]]="","",NOTA[[#This Row],[DISC 1-]]+NOTA[[#This Row],[DISC 2-]])</f>
        <v>0</v>
      </c>
      <c r="AA719" s="51">
        <f>IF(NOTA[[#This Row],[JUMLAH]]="","",NOTA[[#This Row],[JUMLAH]]-NOTA[[#This Row],[DISC]])</f>
        <v>1713600</v>
      </c>
      <c r="AB719" s="51"/>
      <c r="AC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19" s="51">
        <f>IF(OR(NOTA[[#This Row],[QTY]]="",NOTA[[#This Row],[HARGA SATUAN]]="",),"",NOTA[[#This Row],[QTY]]*NOTA[[#This Row],[HARGA SATUAN]])</f>
        <v>1713600</v>
      </c>
      <c r="AG719" s="40">
        <f ca="1">IF(NOTA[ID_H]="","",INDEX(NOTA[TANGGAL],MATCH(,INDIRECT(ADDRESS(ROW(NOTA[TANGGAL]),COLUMN(NOTA[TANGGAL]))&amp;":"&amp;ADDRESS(ROW(),COLUMN(NOTA[TANGGAL]))),-1)))</f>
        <v>45132</v>
      </c>
      <c r="AH719" s="42" t="str">
        <f ca="1">IF(NOTA[[#This Row],[NAMA BARANG]]="","",INDEX(NOTA[SUPPLIER],MATCH(,INDIRECT(ADDRESS(ROW(NOTA[ID]),COLUMN(NOTA[ID]))&amp;":"&amp;ADDRESS(ROW(),COLUMN(NOTA[ID]))),-1)))</f>
        <v>SBS</v>
      </c>
      <c r="AI719" s="42" t="str">
        <f ca="1">IF(NOTA[[#This Row],[ID_H]]="","",IF(NOTA[[#This Row],[FAKTUR]]="",INDIRECT(ADDRESS(ROW()-1,COLUMN())),NOTA[[#This Row],[FAKTUR]]))</f>
        <v>UNTANA</v>
      </c>
      <c r="AJ719" s="39" t="str">
        <f ca="1">IF(NOTA[[#This Row],[ID]]="","",COUNTIF(NOTA[ID_H],NOTA[[#This Row],[ID_H]]))</f>
        <v/>
      </c>
      <c r="AK719" s="39">
        <f ca="1">IF(NOTA[[#This Row],[TGL.NOTA]]="",IF(NOTA[[#This Row],[SUPPLIER_H]]="","",AK718),MONTH(NOTA[[#This Row],[TGL.NOTA]]))</f>
        <v>7</v>
      </c>
      <c r="AL719" s="39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7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bindernotegastaa5p2002p856800</v>
      </c>
      <c r="AN7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bindernotegastaa5p2002p856800</v>
      </c>
      <c r="AO7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39" t="str">
        <f>IF(NOTA[[#This Row],[CONCAT4]]="","",_xlfn.IFNA(MATCH(NOTA[[#This Row],[CONCAT4]],[2]!RAW[CONCAT_H],0),FALSE))</f>
        <v/>
      </c>
      <c r="AQ719" s="39">
        <f>IF(NOTA[[#This Row],[CONCAT1]]="","",MATCH(NOTA[[#This Row],[CONCAT1]],[3]!db[NB NOTA_C],0))</f>
        <v>269</v>
      </c>
      <c r="AR719" s="39" t="b">
        <f>IF(NOTA[[#This Row],[QTY/ CTN]]="","",TRUE)</f>
        <v>1</v>
      </c>
      <c r="AS719" s="39" t="str">
        <f ca="1">IF(NOTA[[#This Row],[ID_H]]="","",IF(NOTA[[#This Row],[Column3]]=TRUE,NOTA[[#This Row],[QTY/ CTN]],INDEX([3]!db[QTY/ CTN],NOTA[[#This Row],[//DB]])))</f>
        <v>72 PCS</v>
      </c>
      <c r="AT7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719" s="39" t="e">
        <f ca="1">IF(NOTA[[#This Row],[ID_H]]="","",MATCH(NOTA[[#This Row],[NB NOTA_C_QTY]],[4]!db[NB NOTA_C_QTY+F],0))</f>
        <v>#REF!</v>
      </c>
      <c r="AV719" s="55">
        <f ca="1">IF(NOTA[[#This Row],[NB NOTA_C_QTY]]="","",ROW()-2)</f>
        <v>717</v>
      </c>
    </row>
    <row r="720" spans="1:48" ht="20.100000000000001" customHeight="1" x14ac:dyDescent="0.25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>
        <f ca="1">IF(NOTA[[#This Row],[NAMA BARANG]]="","",INDEX(NOTA[ID],MATCH(,INDIRECT(ADDRESS(ROW(NOTA[ID]),COLUMN(NOTA[ID]))&amp;":"&amp;ADDRESS(ROW(),COLUMN(NOTA[ID]))),-1)))</f>
        <v>139</v>
      </c>
      <c r="E720" s="47"/>
      <c r="H720" s="48"/>
      <c r="K720" s="38">
        <v>1</v>
      </c>
      <c r="L720" s="38" t="s">
        <v>788</v>
      </c>
      <c r="M720" s="41">
        <v>3</v>
      </c>
      <c r="N720" s="39">
        <v>216</v>
      </c>
      <c r="O720" s="38" t="s">
        <v>117</v>
      </c>
      <c r="P720" s="42">
        <v>11900</v>
      </c>
      <c r="Q720" s="43"/>
      <c r="R720" s="49" t="s">
        <v>357</v>
      </c>
      <c r="S720" s="50"/>
      <c r="U720" s="51"/>
      <c r="V720" s="46"/>
      <c r="W720" s="51">
        <f>IF(NOTA[[#This Row],[HARGA/ CTN]]="",NOTA[[#This Row],[JUMLAH_H]],NOTA[[#This Row],[HARGA/ CTN]]*IF(NOTA[[#This Row],[C]]="",0,NOTA[[#This Row],[C]]))</f>
        <v>2570400</v>
      </c>
      <c r="X720" s="51">
        <f>IF(NOTA[[#This Row],[JUMLAH]]="","",NOTA[[#This Row],[JUMLAH]]*NOTA[[#This Row],[DISC 1]])</f>
        <v>0</v>
      </c>
      <c r="Y720" s="51">
        <f>IF(NOTA[[#This Row],[JUMLAH]]="","",(NOTA[[#This Row],[JUMLAH]]-NOTA[[#This Row],[DISC 1-]])*NOTA[[#This Row],[DISC 2]])</f>
        <v>0</v>
      </c>
      <c r="Z720" s="51">
        <f>IF(NOTA[[#This Row],[JUMLAH]]="","",NOTA[[#This Row],[DISC 1-]]+NOTA[[#This Row],[DISC 2-]])</f>
        <v>0</v>
      </c>
      <c r="AA720" s="51">
        <f>IF(NOTA[[#This Row],[JUMLAH]]="","",NOTA[[#This Row],[JUMLAH]]-NOTA[[#This Row],[DISC]])</f>
        <v>2570400</v>
      </c>
      <c r="AB720" s="51"/>
      <c r="AC7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18532800</v>
      </c>
      <c r="AE720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20" s="51">
        <f>IF(OR(NOTA[[#This Row],[QTY]]="",NOTA[[#This Row],[HARGA SATUAN]]="",),"",NOTA[[#This Row],[QTY]]*NOTA[[#This Row],[HARGA SATUAN]])</f>
        <v>2570400</v>
      </c>
      <c r="AG720" s="40">
        <f ca="1">IF(NOTA[ID_H]="","",INDEX(NOTA[TANGGAL],MATCH(,INDIRECT(ADDRESS(ROW(NOTA[TANGGAL]),COLUMN(NOTA[TANGGAL]))&amp;":"&amp;ADDRESS(ROW(),COLUMN(NOTA[TANGGAL]))),-1)))</f>
        <v>45132</v>
      </c>
      <c r="AH720" s="42" t="str">
        <f ca="1">IF(NOTA[[#This Row],[NAMA BARANG]]="","",INDEX(NOTA[SUPPLIER],MATCH(,INDIRECT(ADDRESS(ROW(NOTA[ID]),COLUMN(NOTA[ID]))&amp;":"&amp;ADDRESS(ROW(),COLUMN(NOTA[ID]))),-1)))</f>
        <v>SBS</v>
      </c>
      <c r="AI720" s="42" t="str">
        <f ca="1">IF(NOTA[[#This Row],[ID_H]]="","",IF(NOTA[[#This Row],[FAKTUR]]="",INDIRECT(ADDRESS(ROW()-1,COLUMN())),NOTA[[#This Row],[FAKTUR]]))</f>
        <v>UNTANA</v>
      </c>
      <c r="AJ720" s="39" t="str">
        <f ca="1">IF(NOTA[[#This Row],[ID]]="","",COUNTIF(NOTA[ID_H],NOTA[[#This Row],[ID_H]]))</f>
        <v/>
      </c>
      <c r="AK720" s="39">
        <f ca="1">IF(NOTA[[#This Row],[TGL.NOTA]]="",IF(NOTA[[#This Row],[SUPPLIER_H]]="","",AK719),MONTH(NOTA[[#This Row],[TGL.NOTA]]))</f>
        <v>7</v>
      </c>
      <c r="AL720" s="39" t="str">
        <f>LOWER(SUBSTITUTE(SUBSTITUTE(SUBSTITUTE(SUBSTITUTE(SUBSTITUTE(SUBSTITUTE(SUBSTITUTE(SUBSTITUTE(SUBSTITUTE(NOTA[NAMA BARANG]," ",),".",""),"-",""),"(",""),")",""),",",""),"/",""),"""",""),"+",""))</f>
        <v>bindernotegastaa5p2002t</v>
      </c>
      <c r="AM7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bindernotegastaa5p2002t856800</v>
      </c>
      <c r="AN7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bindernotegastaa5p2002t856800</v>
      </c>
      <c r="AO7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39" t="str">
        <f>IF(NOTA[[#This Row],[CONCAT4]]="","",_xlfn.IFNA(MATCH(NOTA[[#This Row],[CONCAT4]],[2]!RAW[CONCAT_H],0),FALSE))</f>
        <v/>
      </c>
      <c r="AQ720" s="39">
        <f>IF(NOTA[[#This Row],[CONCAT1]]="","",MATCH(NOTA[[#This Row],[CONCAT1]],[3]!db[NB NOTA_C],0))</f>
        <v>270</v>
      </c>
      <c r="AR720" s="39" t="b">
        <f>IF(NOTA[[#This Row],[QTY/ CTN]]="","",TRUE)</f>
        <v>1</v>
      </c>
      <c r="AS720" s="39" t="str">
        <f ca="1">IF(NOTA[[#This Row],[ID_H]]="","",IF(NOTA[[#This Row],[Column3]]=TRUE,NOTA[[#This Row],[QTY/ CTN]],INDEX([3]!db[QTY/ CTN],NOTA[[#This Row],[//DB]])))</f>
        <v>72 PCS</v>
      </c>
      <c r="AT7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bindernotegastaa5p2002t72pcsuntana</v>
      </c>
      <c r="AU720" s="39" t="e">
        <f ca="1">IF(NOTA[[#This Row],[ID_H]]="","",MATCH(NOTA[[#This Row],[NB NOTA_C_QTY]],[4]!db[NB NOTA_C_QTY+F],0))</f>
        <v>#REF!</v>
      </c>
      <c r="AV720" s="55">
        <f ca="1">IF(NOTA[[#This Row],[NB NOTA_C_QTY]]="","",ROW()-2)</f>
        <v>718</v>
      </c>
    </row>
    <row r="721" spans="1:48" ht="20.100000000000001" customHeight="1" x14ac:dyDescent="0.25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47"/>
      <c r="H721" s="48"/>
      <c r="N721" s="39"/>
      <c r="Q721" s="43"/>
      <c r="R721" s="49"/>
      <c r="S721" s="50"/>
      <c r="U721" s="51"/>
      <c r="V721" s="46"/>
      <c r="W721" s="51" t="str">
        <f>IF(NOTA[[#This Row],[HARGA/ CTN]]="",NOTA[[#This Row],[JUMLAH_H]],NOTA[[#This Row],[HARGA/ CTN]]*IF(NOTA[[#This Row],[C]]="",0,NOTA[[#This Row],[C]]))</f>
        <v/>
      </c>
      <c r="X721" s="51" t="str">
        <f>IF(NOTA[[#This Row],[JUMLAH]]="","",NOTA[[#This Row],[JUMLAH]]*NOTA[[#This Row],[DISC 1]])</f>
        <v/>
      </c>
      <c r="Y721" s="51" t="str">
        <f>IF(NOTA[[#This Row],[JUMLAH]]="","",(NOTA[[#This Row],[JUMLAH]]-NOTA[[#This Row],[DISC 1-]])*NOTA[[#This Row],[DISC 2]])</f>
        <v/>
      </c>
      <c r="Z721" s="51" t="str">
        <f>IF(NOTA[[#This Row],[JUMLAH]]="","",NOTA[[#This Row],[DISC 1-]]+NOTA[[#This Row],[DISC 2-]])</f>
        <v/>
      </c>
      <c r="AA721" s="51" t="str">
        <f>IF(NOTA[[#This Row],[JUMLAH]]="","",NOTA[[#This Row],[JUMLAH]]-NOTA[[#This Row],[DISC]])</f>
        <v/>
      </c>
      <c r="AB721" s="51"/>
      <c r="AC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51" t="str">
        <f>IF(OR(NOTA[[#This Row],[QTY]]="",NOTA[[#This Row],[HARGA SATUAN]]="",),"",NOTA[[#This Row],[QTY]]*NOTA[[#This Row],[HARGA SATUAN]])</f>
        <v/>
      </c>
      <c r="AG721" s="40" t="str">
        <f ca="1">IF(NOTA[ID_H]="","",INDEX(NOTA[TANGGAL],MATCH(,INDIRECT(ADDRESS(ROW(NOTA[TANGGAL]),COLUMN(NOTA[TANGGAL]))&amp;":"&amp;ADDRESS(ROW(),COLUMN(NOTA[TANGGAL]))),-1)))</f>
        <v/>
      </c>
      <c r="AH721" s="42" t="str">
        <f ca="1">IF(NOTA[[#This Row],[NAMA BARANG]]="","",INDEX(NOTA[SUPPLIER],MATCH(,INDIRECT(ADDRESS(ROW(NOTA[ID]),COLUMN(NOTA[ID]))&amp;":"&amp;ADDRESS(ROW(),COLUMN(NOTA[ID]))),-1)))</f>
        <v/>
      </c>
      <c r="AI721" s="42" t="str">
        <f ca="1">IF(NOTA[[#This Row],[ID_H]]="","",IF(NOTA[[#This Row],[FAKTUR]]="",INDIRECT(ADDRESS(ROW()-1,COLUMN())),NOTA[[#This Row],[FAKTUR]]))</f>
        <v/>
      </c>
      <c r="AJ721" s="39" t="str">
        <f ca="1">IF(NOTA[[#This Row],[ID]]="","",COUNTIF(NOTA[ID_H],NOTA[[#This Row],[ID_H]]))</f>
        <v/>
      </c>
      <c r="AK721" s="39" t="str">
        <f ca="1">IF(NOTA[[#This Row],[TGL.NOTA]]="",IF(NOTA[[#This Row],[SUPPLIER_H]]="","",AK720),MONTH(NOTA[[#This Row],[TGL.NOTA]]))</f>
        <v/>
      </c>
      <c r="AL721" s="39" t="str">
        <f>LOWER(SUBSTITUTE(SUBSTITUTE(SUBSTITUTE(SUBSTITUTE(SUBSTITUTE(SUBSTITUTE(SUBSTITUTE(SUBSTITUTE(SUBSTITUTE(NOTA[NAMA BARANG]," ",),".",""),"-",""),"(",""),")",""),",",""),"/",""),"""",""),"+",""))</f>
        <v/>
      </c>
      <c r="AM7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39" t="str">
        <f>IF(NOTA[[#This Row],[CONCAT4]]="","",_xlfn.IFNA(MATCH(NOTA[[#This Row],[CONCAT4]],[2]!RAW[CONCAT_H],0),FALSE))</f>
        <v/>
      </c>
      <c r="AQ721" s="39" t="str">
        <f>IF(NOTA[[#This Row],[CONCAT1]]="","",MATCH(NOTA[[#This Row],[CONCAT1]],[3]!db[NB NOTA_C],0))</f>
        <v/>
      </c>
      <c r="AR721" s="39" t="str">
        <f>IF(NOTA[[#This Row],[QTY/ CTN]]="","",TRUE)</f>
        <v/>
      </c>
      <c r="AS721" s="39" t="str">
        <f ca="1">IF(NOTA[[#This Row],[ID_H]]="","",IF(NOTA[[#This Row],[Column3]]=TRUE,NOTA[[#This Row],[QTY/ CTN]],INDEX([3]!db[QTY/ CTN],NOTA[[#This Row],[//DB]])))</f>
        <v/>
      </c>
      <c r="AT7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39" t="str">
        <f ca="1">IF(NOTA[[#This Row],[ID_H]]="","",MATCH(NOTA[[#This Row],[NB NOTA_C_QTY]],[4]!db[NB NOTA_C_QTY+F],0))</f>
        <v/>
      </c>
      <c r="AV721" s="55" t="str">
        <f ca="1">IF(NOTA[[#This Row],[NB NOTA_C_QTY]]="","",ROW()-2)</f>
        <v/>
      </c>
    </row>
    <row r="722" spans="1:48" ht="20.100000000000001" customHeight="1" x14ac:dyDescent="0.25">
      <c r="A722" s="4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SBS_2507_22B-5</v>
      </c>
      <c r="C722" s="39" t="e">
        <f ca="1">IF(NOTA[[#This Row],[ID_P]]="","",MATCH(NOTA[[#This Row],[ID_P]],[1]!B_MSK[N_ID],0))</f>
        <v>#REF!</v>
      </c>
      <c r="D722" s="39">
        <f ca="1">IF(NOTA[[#This Row],[NAMA BARANG]]="","",INDEX(NOTA[ID],MATCH(,INDIRECT(ADDRESS(ROW(NOTA[ID]),COLUMN(NOTA[ID]))&amp;":"&amp;ADDRESS(ROW(),COLUMN(NOTA[ID]))),-1)))</f>
        <v>140</v>
      </c>
      <c r="E722" s="47"/>
      <c r="F722" s="38" t="s">
        <v>165</v>
      </c>
      <c r="G722" s="38" t="s">
        <v>145</v>
      </c>
      <c r="H722" s="48" t="s">
        <v>790</v>
      </c>
      <c r="J722" s="40">
        <v>45124</v>
      </c>
      <c r="K722" s="38">
        <v>1</v>
      </c>
      <c r="L722" s="38" t="s">
        <v>791</v>
      </c>
      <c r="M722" s="41">
        <v>2</v>
      </c>
      <c r="N722" s="39">
        <v>96</v>
      </c>
      <c r="O722" s="38" t="s">
        <v>117</v>
      </c>
      <c r="P722" s="42">
        <v>16000</v>
      </c>
      <c r="Q722" s="43"/>
      <c r="R722" s="49" t="s">
        <v>792</v>
      </c>
      <c r="S722" s="50"/>
      <c r="U722" s="51"/>
      <c r="V722" s="46"/>
      <c r="W722" s="51">
        <f>IF(NOTA[[#This Row],[HARGA/ CTN]]="",NOTA[[#This Row],[JUMLAH_H]],NOTA[[#This Row],[HARGA/ CTN]]*IF(NOTA[[#This Row],[C]]="",0,NOTA[[#This Row],[C]]))</f>
        <v>1536000</v>
      </c>
      <c r="X722" s="51">
        <f>IF(NOTA[[#This Row],[JUMLAH]]="","",NOTA[[#This Row],[JUMLAH]]*NOTA[[#This Row],[DISC 1]])</f>
        <v>0</v>
      </c>
      <c r="Y722" s="51">
        <f>IF(NOTA[[#This Row],[JUMLAH]]="","",(NOTA[[#This Row],[JUMLAH]]-NOTA[[#This Row],[DISC 1-]])*NOTA[[#This Row],[DISC 2]])</f>
        <v>0</v>
      </c>
      <c r="Z722" s="51">
        <f>IF(NOTA[[#This Row],[JUMLAH]]="","",NOTA[[#This Row],[DISC 1-]]+NOTA[[#This Row],[DISC 2-]])</f>
        <v>0</v>
      </c>
      <c r="AA722" s="51">
        <f>IF(NOTA[[#This Row],[JUMLAH]]="","",NOTA[[#This Row],[JUMLAH]]-NOTA[[#This Row],[DISC]])</f>
        <v>1536000</v>
      </c>
      <c r="AB722" s="51"/>
      <c r="AC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2" s="51">
        <f>IF(OR(NOTA[[#This Row],[QTY]]="",NOTA[[#This Row],[HARGA SATUAN]]="",),"",NOTA[[#This Row],[QTY]]*NOTA[[#This Row],[HARGA SATUAN]])</f>
        <v>1536000</v>
      </c>
      <c r="AG722" s="40">
        <f ca="1">IF(NOTA[ID_H]="","",INDEX(NOTA[TANGGAL],MATCH(,INDIRECT(ADDRESS(ROW(NOTA[TANGGAL]),COLUMN(NOTA[TANGGAL]))&amp;":"&amp;ADDRESS(ROW(),COLUMN(NOTA[TANGGAL]))),-1)))</f>
        <v>45132</v>
      </c>
      <c r="AH722" s="42" t="str">
        <f ca="1">IF(NOTA[[#This Row],[NAMA BARANG]]="","",INDEX(NOTA[SUPPLIER],MATCH(,INDIRECT(ADDRESS(ROW(NOTA[ID]),COLUMN(NOTA[ID]))&amp;":"&amp;ADDRESS(ROW(),COLUMN(NOTA[ID]))),-1)))</f>
        <v>SBS</v>
      </c>
      <c r="AI722" s="42" t="str">
        <f ca="1">IF(NOTA[[#This Row],[ID_H]]="","",IF(NOTA[[#This Row],[FAKTUR]]="",INDIRECT(ADDRESS(ROW()-1,COLUMN())),NOTA[[#This Row],[FAKTUR]]))</f>
        <v>UNTANA</v>
      </c>
      <c r="AJ722" s="39">
        <f ca="1">IF(NOTA[[#This Row],[ID]]="","",COUNTIF(NOTA[ID_H],NOTA[[#This Row],[ID_H]]))</f>
        <v>5</v>
      </c>
      <c r="AK722" s="39">
        <f>IF(NOTA[[#This Row],[TGL.NOTA]]="",IF(NOTA[[#This Row],[SUPPLIER_H]]="","",AK721),MONTH(NOTA[[#This Row],[TGL.NOTA]]))</f>
        <v>7</v>
      </c>
      <c r="AL722" s="39" t="str">
        <f>LOWER(SUBSTITUTE(SUBSTITUTE(SUBSTITUTE(SUBSTITUTE(SUBSTITUTE(SUBSTITUTE(SUBSTITUTE(SUBSTITUTE(SUBSTITUTE(NOTA[NAMA BARANG]," ",),".",""),"-",""),"(",""),")",""),",",""),"/",""),"""",""),"+",""))</f>
        <v>bindernotegastab5hp2605p</v>
      </c>
      <c r="AM7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bindernotegastab5hp2605p768000</v>
      </c>
      <c r="AN7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bindernotegastab5hp2605p768000</v>
      </c>
      <c r="AO722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SBSUNTANAVG0522B45124bindernotegastab5hp2605p</v>
      </c>
      <c r="AP722" s="39" t="e">
        <f>IF(NOTA[[#This Row],[CONCAT4]]="","",_xlfn.IFNA(MATCH(NOTA[[#This Row],[CONCAT4]],[2]!RAW[CONCAT_H],0),FALSE))</f>
        <v>#REF!</v>
      </c>
      <c r="AQ722" s="39">
        <f>IF(NOTA[[#This Row],[CONCAT1]]="","",MATCH(NOTA[[#This Row],[CONCAT1]],[3]!db[NB NOTA_C],0))</f>
        <v>324</v>
      </c>
      <c r="AR722" s="39" t="b">
        <f>IF(NOTA[[#This Row],[QTY/ CTN]]="","",TRUE)</f>
        <v>1</v>
      </c>
      <c r="AS722" s="39" t="str">
        <f ca="1">IF(NOTA[[#This Row],[ID_H]]="","",IF(NOTA[[#This Row],[Column3]]=TRUE,NOTA[[#This Row],[QTY/ CTN]],INDEX([3]!db[QTY/ CTN],NOTA[[#This Row],[//DB]])))</f>
        <v>48 PCS</v>
      </c>
      <c r="AT7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bindernotegastab5hp2605p48pcsuntana</v>
      </c>
      <c r="AU722" s="39" t="e">
        <f ca="1">IF(NOTA[[#This Row],[ID_H]]="","",MATCH(NOTA[[#This Row],[NB NOTA_C_QTY]],[4]!db[NB NOTA_C_QTY+F],0))</f>
        <v>#REF!</v>
      </c>
      <c r="AV722" s="55">
        <f ca="1">IF(NOTA[[#This Row],[NB NOTA_C_QTY]]="","",ROW()-2)</f>
        <v>720</v>
      </c>
    </row>
    <row r="723" spans="1:48" ht="20.100000000000001" customHeight="1" x14ac:dyDescent="0.25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>
        <f ca="1">IF(NOTA[[#This Row],[NAMA BARANG]]="","",INDEX(NOTA[ID],MATCH(,INDIRECT(ADDRESS(ROW(NOTA[ID]),COLUMN(NOTA[ID]))&amp;":"&amp;ADDRESS(ROW(),COLUMN(NOTA[ID]))),-1)))</f>
        <v>140</v>
      </c>
      <c r="E723" s="47"/>
      <c r="H723" s="48"/>
      <c r="K723" s="38">
        <v>1</v>
      </c>
      <c r="L723" s="38" t="s">
        <v>793</v>
      </c>
      <c r="M723" s="41">
        <v>2</v>
      </c>
      <c r="N723" s="39">
        <v>96</v>
      </c>
      <c r="O723" s="38" t="s">
        <v>117</v>
      </c>
      <c r="P723" s="42">
        <v>16000</v>
      </c>
      <c r="Q723" s="43"/>
      <c r="R723" s="49" t="s">
        <v>792</v>
      </c>
      <c r="S723" s="50"/>
      <c r="U723" s="51"/>
      <c r="V723" s="46"/>
      <c r="W723" s="51">
        <f>IF(NOTA[[#This Row],[HARGA/ CTN]]="",NOTA[[#This Row],[JUMLAH_H]],NOTA[[#This Row],[HARGA/ CTN]]*IF(NOTA[[#This Row],[C]]="",0,NOTA[[#This Row],[C]]))</f>
        <v>1536000</v>
      </c>
      <c r="X723" s="51">
        <f>IF(NOTA[[#This Row],[JUMLAH]]="","",NOTA[[#This Row],[JUMLAH]]*NOTA[[#This Row],[DISC 1]])</f>
        <v>0</v>
      </c>
      <c r="Y723" s="51">
        <f>IF(NOTA[[#This Row],[JUMLAH]]="","",(NOTA[[#This Row],[JUMLAH]]-NOTA[[#This Row],[DISC 1-]])*NOTA[[#This Row],[DISC 2]])</f>
        <v>0</v>
      </c>
      <c r="Z723" s="51">
        <f>IF(NOTA[[#This Row],[JUMLAH]]="","",NOTA[[#This Row],[DISC 1-]]+NOTA[[#This Row],[DISC 2-]])</f>
        <v>0</v>
      </c>
      <c r="AA723" s="51">
        <f>IF(NOTA[[#This Row],[JUMLAH]]="","",NOTA[[#This Row],[JUMLAH]]-NOTA[[#This Row],[DISC]])</f>
        <v>1536000</v>
      </c>
      <c r="AB723" s="51"/>
      <c r="AC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3" s="51">
        <f>IF(OR(NOTA[[#This Row],[QTY]]="",NOTA[[#This Row],[HARGA SATUAN]]="",),"",NOTA[[#This Row],[QTY]]*NOTA[[#This Row],[HARGA SATUAN]])</f>
        <v>1536000</v>
      </c>
      <c r="AG723" s="40">
        <f ca="1">IF(NOTA[ID_H]="","",INDEX(NOTA[TANGGAL],MATCH(,INDIRECT(ADDRESS(ROW(NOTA[TANGGAL]),COLUMN(NOTA[TANGGAL]))&amp;":"&amp;ADDRESS(ROW(),COLUMN(NOTA[TANGGAL]))),-1)))</f>
        <v>45132</v>
      </c>
      <c r="AH723" s="42" t="str">
        <f ca="1">IF(NOTA[[#This Row],[NAMA BARANG]]="","",INDEX(NOTA[SUPPLIER],MATCH(,INDIRECT(ADDRESS(ROW(NOTA[ID]),COLUMN(NOTA[ID]))&amp;":"&amp;ADDRESS(ROW(),COLUMN(NOTA[ID]))),-1)))</f>
        <v>SBS</v>
      </c>
      <c r="AI723" s="42" t="str">
        <f ca="1">IF(NOTA[[#This Row],[ID_H]]="","",IF(NOTA[[#This Row],[FAKTUR]]="",INDIRECT(ADDRESS(ROW()-1,COLUMN())),NOTA[[#This Row],[FAKTUR]]))</f>
        <v>UNTANA</v>
      </c>
      <c r="AJ723" s="39" t="str">
        <f ca="1">IF(NOTA[[#This Row],[ID]]="","",COUNTIF(NOTA[ID_H],NOTA[[#This Row],[ID_H]]))</f>
        <v/>
      </c>
      <c r="AK723" s="39">
        <f ca="1">IF(NOTA[[#This Row],[TGL.NOTA]]="",IF(NOTA[[#This Row],[SUPPLIER_H]]="","",AK722),MONTH(NOTA[[#This Row],[TGL.NOTA]]))</f>
        <v>7</v>
      </c>
      <c r="AL723" s="39" t="str">
        <f>LOWER(SUBSTITUTE(SUBSTITUTE(SUBSTITUTE(SUBSTITUTE(SUBSTITUTE(SUBSTITUTE(SUBSTITUTE(SUBSTITUTE(SUBSTITUTE(NOTA[NAMA BARANG]," ",),".",""),"-",""),"(",""),")",""),",",""),"/",""),"""",""),"+",""))</f>
        <v>bindernotegastab5hp2606t</v>
      </c>
      <c r="AM7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bindernotegastab5hp2606t768000</v>
      </c>
      <c r="AN7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bindernotegastab5hp2606t768000</v>
      </c>
      <c r="AO7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39" t="str">
        <f>IF(NOTA[[#This Row],[CONCAT4]]="","",_xlfn.IFNA(MATCH(NOTA[[#This Row],[CONCAT4]],[2]!RAW[CONCAT_H],0),FALSE))</f>
        <v/>
      </c>
      <c r="AQ723" s="39">
        <f>IF(NOTA[[#This Row],[CONCAT1]]="","",MATCH(NOTA[[#This Row],[CONCAT1]],[3]!db[NB NOTA_C],0))</f>
        <v>325</v>
      </c>
      <c r="AR723" s="39" t="b">
        <f>IF(NOTA[[#This Row],[QTY/ CTN]]="","",TRUE)</f>
        <v>1</v>
      </c>
      <c r="AS723" s="39" t="str">
        <f ca="1">IF(NOTA[[#This Row],[ID_H]]="","",IF(NOTA[[#This Row],[Column3]]=TRUE,NOTA[[#This Row],[QTY/ CTN]],INDEX([3]!db[QTY/ CTN],NOTA[[#This Row],[//DB]])))</f>
        <v>48 PCS</v>
      </c>
      <c r="AT7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bindernotegastab5hp2606t48pcsuntana</v>
      </c>
      <c r="AU723" s="39" t="e">
        <f ca="1">IF(NOTA[[#This Row],[ID_H]]="","",MATCH(NOTA[[#This Row],[NB NOTA_C_QTY]],[4]!db[NB NOTA_C_QTY+F],0))</f>
        <v>#REF!</v>
      </c>
      <c r="AV723" s="55">
        <f ca="1">IF(NOTA[[#This Row],[NB NOTA_C_QTY]]="","",ROW()-2)</f>
        <v>721</v>
      </c>
    </row>
    <row r="724" spans="1:48" ht="20.100000000000001" customHeight="1" x14ac:dyDescent="0.25">
      <c r="A7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>
        <f ca="1">IF(NOTA[[#This Row],[NAMA BARANG]]="","",INDEX(NOTA[ID],MATCH(,INDIRECT(ADDRESS(ROW(NOTA[ID]),COLUMN(NOTA[ID]))&amp;":"&amp;ADDRESS(ROW(),COLUMN(NOTA[ID]))),-1)))</f>
        <v>140</v>
      </c>
      <c r="E724" s="47"/>
      <c r="H724" s="48"/>
      <c r="K724" s="38">
        <v>1</v>
      </c>
      <c r="L724" s="38" t="s">
        <v>794</v>
      </c>
      <c r="M724" s="41">
        <v>2</v>
      </c>
      <c r="N724" s="39">
        <v>96</v>
      </c>
      <c r="O724" s="38" t="s">
        <v>117</v>
      </c>
      <c r="P724" s="42">
        <v>16000</v>
      </c>
      <c r="Q724" s="43"/>
      <c r="R724" s="49" t="s">
        <v>792</v>
      </c>
      <c r="S724" s="50"/>
      <c r="U724" s="51"/>
      <c r="V724" s="46"/>
      <c r="W724" s="51">
        <f>IF(NOTA[[#This Row],[HARGA/ CTN]]="",NOTA[[#This Row],[JUMLAH_H]],NOTA[[#This Row],[HARGA/ CTN]]*IF(NOTA[[#This Row],[C]]="",0,NOTA[[#This Row],[C]]))</f>
        <v>1536000</v>
      </c>
      <c r="X724" s="51">
        <f>IF(NOTA[[#This Row],[JUMLAH]]="","",NOTA[[#This Row],[JUMLAH]]*NOTA[[#This Row],[DISC 1]])</f>
        <v>0</v>
      </c>
      <c r="Y724" s="51">
        <f>IF(NOTA[[#This Row],[JUMLAH]]="","",(NOTA[[#This Row],[JUMLAH]]-NOTA[[#This Row],[DISC 1-]])*NOTA[[#This Row],[DISC 2]])</f>
        <v>0</v>
      </c>
      <c r="Z724" s="51">
        <f>IF(NOTA[[#This Row],[JUMLAH]]="","",NOTA[[#This Row],[DISC 1-]]+NOTA[[#This Row],[DISC 2-]])</f>
        <v>0</v>
      </c>
      <c r="AA724" s="51">
        <f>IF(NOTA[[#This Row],[JUMLAH]]="","",NOTA[[#This Row],[JUMLAH]]-NOTA[[#This Row],[DISC]])</f>
        <v>1536000</v>
      </c>
      <c r="AB724" s="51"/>
      <c r="AC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724" s="51">
        <f>IF(OR(NOTA[[#This Row],[QTY]]="",NOTA[[#This Row],[HARGA SATUAN]]="",),"",NOTA[[#This Row],[QTY]]*NOTA[[#This Row],[HARGA SATUAN]])</f>
        <v>1536000</v>
      </c>
      <c r="AG724" s="40">
        <f ca="1">IF(NOTA[ID_H]="","",INDEX(NOTA[TANGGAL],MATCH(,INDIRECT(ADDRESS(ROW(NOTA[TANGGAL]),COLUMN(NOTA[TANGGAL]))&amp;":"&amp;ADDRESS(ROW(),COLUMN(NOTA[TANGGAL]))),-1)))</f>
        <v>45132</v>
      </c>
      <c r="AH724" s="42" t="str">
        <f ca="1">IF(NOTA[[#This Row],[NAMA BARANG]]="","",INDEX(NOTA[SUPPLIER],MATCH(,INDIRECT(ADDRESS(ROW(NOTA[ID]),COLUMN(NOTA[ID]))&amp;":"&amp;ADDRESS(ROW(),COLUMN(NOTA[ID]))),-1)))</f>
        <v>SBS</v>
      </c>
      <c r="AI724" s="42" t="str">
        <f ca="1">IF(NOTA[[#This Row],[ID_H]]="","",IF(NOTA[[#This Row],[FAKTUR]]="",INDIRECT(ADDRESS(ROW()-1,COLUMN())),NOTA[[#This Row],[FAKTUR]]))</f>
        <v>UNTANA</v>
      </c>
      <c r="AJ724" s="39" t="str">
        <f ca="1">IF(NOTA[[#This Row],[ID]]="","",COUNTIF(NOTA[ID_H],NOTA[[#This Row],[ID_H]]))</f>
        <v/>
      </c>
      <c r="AK724" s="39">
        <f ca="1">IF(NOTA[[#This Row],[TGL.NOTA]]="",IF(NOTA[[#This Row],[SUPPLIER_H]]="","",AK723),MONTH(NOTA[[#This Row],[TGL.NOTA]]))</f>
        <v>7</v>
      </c>
      <c r="AL724" s="39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M7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N7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O7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39" t="str">
        <f>IF(NOTA[[#This Row],[CONCAT4]]="","",_xlfn.IFNA(MATCH(NOTA[[#This Row],[CONCAT4]],[2]!RAW[CONCAT_H],0),FALSE))</f>
        <v/>
      </c>
      <c r="AQ724" s="39">
        <f>IF(NOTA[[#This Row],[CONCAT1]]="","",MATCH(NOTA[[#This Row],[CONCAT1]],[3]!db[NB NOTA_C],0))</f>
        <v>326</v>
      </c>
      <c r="AR724" s="39" t="b">
        <f>IF(NOTA[[#This Row],[QTY/ CTN]]="","",TRUE)</f>
        <v>1</v>
      </c>
      <c r="AS724" s="39" t="str">
        <f ca="1">IF(NOTA[[#This Row],[ID_H]]="","",IF(NOTA[[#This Row],[Column3]]=TRUE,NOTA[[#This Row],[QTY/ CTN]],INDEX([3]!db[QTY/ CTN],NOTA[[#This Row],[//DB]])))</f>
        <v>48 PCS</v>
      </c>
      <c r="AT7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U724" s="39" t="e">
        <f ca="1">IF(NOTA[[#This Row],[ID_H]]="","",MATCH(NOTA[[#This Row],[NB NOTA_C_QTY]],[4]!db[NB NOTA_C_QTY+F],0))</f>
        <v>#REF!</v>
      </c>
      <c r="AV724" s="55">
        <f ca="1">IF(NOTA[[#This Row],[NB NOTA_C_QTY]]="","",ROW()-2)</f>
        <v>722</v>
      </c>
    </row>
    <row r="725" spans="1:48" ht="20.100000000000001" customHeight="1" x14ac:dyDescent="0.25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>
        <f ca="1">IF(NOTA[[#This Row],[NAMA BARANG]]="","",INDEX(NOTA[ID],MATCH(,INDIRECT(ADDRESS(ROW(NOTA[ID]),COLUMN(NOTA[ID]))&amp;":"&amp;ADDRESS(ROW(),COLUMN(NOTA[ID]))),-1)))</f>
        <v>140</v>
      </c>
      <c r="E725" s="47"/>
      <c r="H725" s="48"/>
      <c r="K725" s="38">
        <v>1</v>
      </c>
      <c r="L725" s="38" t="s">
        <v>795</v>
      </c>
      <c r="M725" s="41">
        <v>2</v>
      </c>
      <c r="N725" s="39">
        <v>96</v>
      </c>
      <c r="O725" s="38" t="s">
        <v>117</v>
      </c>
      <c r="P725" s="42">
        <v>15600</v>
      </c>
      <c r="Q725" s="43"/>
      <c r="R725" s="49" t="s">
        <v>792</v>
      </c>
      <c r="S725" s="50"/>
      <c r="U725" s="51"/>
      <c r="V725" s="46"/>
      <c r="W725" s="51">
        <f>IF(NOTA[[#This Row],[HARGA/ CTN]]="",NOTA[[#This Row],[JUMLAH_H]],NOTA[[#This Row],[HARGA/ CTN]]*IF(NOTA[[#This Row],[C]]="",0,NOTA[[#This Row],[C]]))</f>
        <v>1497600</v>
      </c>
      <c r="X725" s="51">
        <f>IF(NOTA[[#This Row],[JUMLAH]]="","",NOTA[[#This Row],[JUMLAH]]*NOTA[[#This Row],[DISC 1]])</f>
        <v>0</v>
      </c>
      <c r="Y725" s="51">
        <f>IF(NOTA[[#This Row],[JUMLAH]]="","",(NOTA[[#This Row],[JUMLAH]]-NOTA[[#This Row],[DISC 1-]])*NOTA[[#This Row],[DISC 2]])</f>
        <v>0</v>
      </c>
      <c r="Z725" s="51">
        <f>IF(NOTA[[#This Row],[JUMLAH]]="","",NOTA[[#This Row],[DISC 1-]]+NOTA[[#This Row],[DISC 2-]])</f>
        <v>0</v>
      </c>
      <c r="AA725" s="51">
        <f>IF(NOTA[[#This Row],[JUMLAH]]="","",NOTA[[#This Row],[JUMLAH]]-NOTA[[#This Row],[DISC]])</f>
        <v>1497600</v>
      </c>
      <c r="AB725" s="51"/>
      <c r="AC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42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725" s="51">
        <f>IF(OR(NOTA[[#This Row],[QTY]]="",NOTA[[#This Row],[HARGA SATUAN]]="",),"",NOTA[[#This Row],[QTY]]*NOTA[[#This Row],[HARGA SATUAN]])</f>
        <v>1497600</v>
      </c>
      <c r="AG725" s="40">
        <f ca="1">IF(NOTA[ID_H]="","",INDEX(NOTA[TANGGAL],MATCH(,INDIRECT(ADDRESS(ROW(NOTA[TANGGAL]),COLUMN(NOTA[TANGGAL]))&amp;":"&amp;ADDRESS(ROW(),COLUMN(NOTA[TANGGAL]))),-1)))</f>
        <v>45132</v>
      </c>
      <c r="AH725" s="42" t="str">
        <f ca="1">IF(NOTA[[#This Row],[NAMA BARANG]]="","",INDEX(NOTA[SUPPLIER],MATCH(,INDIRECT(ADDRESS(ROW(NOTA[ID]),COLUMN(NOTA[ID]))&amp;":"&amp;ADDRESS(ROW(),COLUMN(NOTA[ID]))),-1)))</f>
        <v>SBS</v>
      </c>
      <c r="AI725" s="42" t="str">
        <f ca="1">IF(NOTA[[#This Row],[ID_H]]="","",IF(NOTA[[#This Row],[FAKTUR]]="",INDIRECT(ADDRESS(ROW()-1,COLUMN())),NOTA[[#This Row],[FAKTUR]]))</f>
        <v>UNTANA</v>
      </c>
      <c r="AJ725" s="39" t="str">
        <f ca="1">IF(NOTA[[#This Row],[ID]]="","",COUNTIF(NOTA[ID_H],NOTA[[#This Row],[ID_H]]))</f>
        <v/>
      </c>
      <c r="AK725" s="39">
        <f ca="1">IF(NOTA[[#This Row],[TGL.NOTA]]="",IF(NOTA[[#This Row],[SUPPLIER_H]]="","",AK724),MONTH(NOTA[[#This Row],[TGL.NOTA]]))</f>
        <v>7</v>
      </c>
      <c r="AL725" s="39" t="str">
        <f>LOWER(SUBSTITUTE(SUBSTITUTE(SUBSTITUTE(SUBSTITUTE(SUBSTITUTE(SUBSTITUTE(SUBSTITUTE(SUBSTITUTE(SUBSTITUTE(NOTA[NAMA BARANG]," ",),".",""),"-",""),"(",""),")",""),",",""),"/",""),"""",""),"+",""))</f>
        <v>bindernotegastab5p2601f</v>
      </c>
      <c r="AM7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bindernotegastab5p2601f748800</v>
      </c>
      <c r="AN7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bindernotegastab5p2601f748800</v>
      </c>
      <c r="AO7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39" t="str">
        <f>IF(NOTA[[#This Row],[CONCAT4]]="","",_xlfn.IFNA(MATCH(NOTA[[#This Row],[CONCAT4]],[2]!RAW[CONCAT_H],0),FALSE))</f>
        <v/>
      </c>
      <c r="AQ725" s="39">
        <f>IF(NOTA[[#This Row],[CONCAT1]]="","",MATCH(NOTA[[#This Row],[CONCAT1]],[3]!db[NB NOTA_C],0))</f>
        <v>327</v>
      </c>
      <c r="AR725" s="39" t="b">
        <f>IF(NOTA[[#This Row],[QTY/ CTN]]="","",TRUE)</f>
        <v>1</v>
      </c>
      <c r="AS725" s="39" t="str">
        <f ca="1">IF(NOTA[[#This Row],[ID_H]]="","",IF(NOTA[[#This Row],[Column3]]=TRUE,NOTA[[#This Row],[QTY/ CTN]],INDEX([3]!db[QTY/ CTN],NOTA[[#This Row],[//DB]])))</f>
        <v>48 PCS</v>
      </c>
      <c r="AT7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bindernotegastab5p2601f48pcsuntana</v>
      </c>
      <c r="AU725" s="39" t="e">
        <f ca="1">IF(NOTA[[#This Row],[ID_H]]="","",MATCH(NOTA[[#This Row],[NB NOTA_C_QTY]],[4]!db[NB NOTA_C_QTY+F],0))</f>
        <v>#REF!</v>
      </c>
      <c r="AV725" s="55">
        <f ca="1">IF(NOTA[[#This Row],[NB NOTA_C_QTY]]="","",ROW()-2)</f>
        <v>723</v>
      </c>
    </row>
    <row r="726" spans="1:48" ht="20.100000000000001" customHeight="1" x14ac:dyDescent="0.25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>
        <f ca="1">IF(NOTA[[#This Row],[NAMA BARANG]]="","",INDEX(NOTA[ID],MATCH(,INDIRECT(ADDRESS(ROW(NOTA[ID]),COLUMN(NOTA[ID]))&amp;":"&amp;ADDRESS(ROW(),COLUMN(NOTA[ID]))),-1)))</f>
        <v>140</v>
      </c>
      <c r="E726" s="47"/>
      <c r="H726" s="48"/>
      <c r="K726" s="38">
        <v>1</v>
      </c>
      <c r="L726" s="38" t="s">
        <v>796</v>
      </c>
      <c r="M726" s="41">
        <v>2</v>
      </c>
      <c r="N726" s="39">
        <v>96</v>
      </c>
      <c r="O726" s="38" t="s">
        <v>117</v>
      </c>
      <c r="P726" s="42">
        <v>15600</v>
      </c>
      <c r="Q726" s="43"/>
      <c r="R726" s="49" t="s">
        <v>792</v>
      </c>
      <c r="S726" s="50"/>
      <c r="U726" s="51"/>
      <c r="V726" s="46"/>
      <c r="W726" s="51">
        <f>IF(NOTA[[#This Row],[HARGA/ CTN]]="",NOTA[[#This Row],[JUMLAH_H]],NOTA[[#This Row],[HARGA/ CTN]]*IF(NOTA[[#This Row],[C]]="",0,NOTA[[#This Row],[C]]))</f>
        <v>1497600</v>
      </c>
      <c r="X726" s="51">
        <f>IF(NOTA[[#This Row],[JUMLAH]]="","",NOTA[[#This Row],[JUMLAH]]*NOTA[[#This Row],[DISC 1]])</f>
        <v>0</v>
      </c>
      <c r="Y726" s="51">
        <f>IF(NOTA[[#This Row],[JUMLAH]]="","",(NOTA[[#This Row],[JUMLAH]]-NOTA[[#This Row],[DISC 1-]])*NOTA[[#This Row],[DISC 2]])</f>
        <v>0</v>
      </c>
      <c r="Z726" s="51">
        <f>IF(NOTA[[#This Row],[JUMLAH]]="","",NOTA[[#This Row],[DISC 1-]]+NOTA[[#This Row],[DISC 2-]])</f>
        <v>0</v>
      </c>
      <c r="AA726" s="51">
        <f>IF(NOTA[[#This Row],[JUMLAH]]="","",NOTA[[#This Row],[JUMLAH]]-NOTA[[#This Row],[DISC]])</f>
        <v>1497600</v>
      </c>
      <c r="AB726" s="51"/>
      <c r="AC72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7603200</v>
      </c>
      <c r="AE726" s="42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726" s="51">
        <f>IF(OR(NOTA[[#This Row],[QTY]]="",NOTA[[#This Row],[HARGA SATUAN]]="",),"",NOTA[[#This Row],[QTY]]*NOTA[[#This Row],[HARGA SATUAN]])</f>
        <v>1497600</v>
      </c>
      <c r="AG726" s="40">
        <f ca="1">IF(NOTA[ID_H]="","",INDEX(NOTA[TANGGAL],MATCH(,INDIRECT(ADDRESS(ROW(NOTA[TANGGAL]),COLUMN(NOTA[TANGGAL]))&amp;":"&amp;ADDRESS(ROW(),COLUMN(NOTA[TANGGAL]))),-1)))</f>
        <v>45132</v>
      </c>
      <c r="AH726" s="42" t="str">
        <f ca="1">IF(NOTA[[#This Row],[NAMA BARANG]]="","",INDEX(NOTA[SUPPLIER],MATCH(,INDIRECT(ADDRESS(ROW(NOTA[ID]),COLUMN(NOTA[ID]))&amp;":"&amp;ADDRESS(ROW(),COLUMN(NOTA[ID]))),-1)))</f>
        <v>SBS</v>
      </c>
      <c r="AI726" s="42" t="str">
        <f ca="1">IF(NOTA[[#This Row],[ID_H]]="","",IF(NOTA[[#This Row],[FAKTUR]]="",INDIRECT(ADDRESS(ROW()-1,COLUMN())),NOTA[[#This Row],[FAKTUR]]))</f>
        <v>UNTANA</v>
      </c>
      <c r="AJ726" s="39" t="str">
        <f ca="1">IF(NOTA[[#This Row],[ID]]="","",COUNTIF(NOTA[ID_H],NOTA[[#This Row],[ID_H]]))</f>
        <v/>
      </c>
      <c r="AK726" s="39">
        <f ca="1">IF(NOTA[[#This Row],[TGL.NOTA]]="",IF(NOTA[[#This Row],[SUPPLIER_H]]="","",AK725),MONTH(NOTA[[#This Row],[TGL.NOTA]]))</f>
        <v>7</v>
      </c>
      <c r="AL726" s="39" t="str">
        <f>LOWER(SUBSTITUTE(SUBSTITUTE(SUBSTITUTE(SUBSTITUTE(SUBSTITUTE(SUBSTITUTE(SUBSTITUTE(SUBSTITUTE(SUBSTITUTE(NOTA[NAMA BARANG]," ",),".",""),"-",""),"(",""),")",""),",",""),"/",""),"""",""),"+",""))</f>
        <v>bindernotegastab5p2602p</v>
      </c>
      <c r="AM7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bindernotegastab5p2602p748800</v>
      </c>
      <c r="AN7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bindernotegastab5p2602p748800</v>
      </c>
      <c r="AO7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39" t="str">
        <f>IF(NOTA[[#This Row],[CONCAT4]]="","",_xlfn.IFNA(MATCH(NOTA[[#This Row],[CONCAT4]],[2]!RAW[CONCAT_H],0),FALSE))</f>
        <v/>
      </c>
      <c r="AQ726" s="39">
        <f>IF(NOTA[[#This Row],[CONCAT1]]="","",MATCH(NOTA[[#This Row],[CONCAT1]],[3]!db[NB NOTA_C],0))</f>
        <v>328</v>
      </c>
      <c r="AR726" s="39" t="b">
        <f>IF(NOTA[[#This Row],[QTY/ CTN]]="","",TRUE)</f>
        <v>1</v>
      </c>
      <c r="AS726" s="39" t="str">
        <f ca="1">IF(NOTA[[#This Row],[ID_H]]="","",IF(NOTA[[#This Row],[Column3]]=TRUE,NOTA[[#This Row],[QTY/ CTN]],INDEX([3]!db[QTY/ CTN],NOTA[[#This Row],[//DB]])))</f>
        <v>48 PCS</v>
      </c>
      <c r="AT7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bindernotegastab5p2602p48pcsuntana</v>
      </c>
      <c r="AU726" s="39" t="e">
        <f ca="1">IF(NOTA[[#This Row],[ID_H]]="","",MATCH(NOTA[[#This Row],[NB NOTA_C_QTY]],[4]!db[NB NOTA_C_QTY+F],0))</f>
        <v>#REF!</v>
      </c>
      <c r="AV726" s="55">
        <f ca="1">IF(NOTA[[#This Row],[NB NOTA_C_QTY]]="","",ROW()-2)</f>
        <v>724</v>
      </c>
    </row>
    <row r="727" spans="1:48" ht="20.100000000000001" customHeight="1" x14ac:dyDescent="0.25">
      <c r="A7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47"/>
      <c r="H727" s="48"/>
      <c r="N727" s="39"/>
      <c r="Q727" s="43"/>
      <c r="R727" s="49"/>
      <c r="S727" s="50"/>
      <c r="U727" s="51"/>
      <c r="V727" s="46"/>
      <c r="W727" s="51" t="str">
        <f>IF(NOTA[[#This Row],[HARGA/ CTN]]="",NOTA[[#This Row],[JUMLAH_H]],NOTA[[#This Row],[HARGA/ CTN]]*IF(NOTA[[#This Row],[C]]="",0,NOTA[[#This Row],[C]]))</f>
        <v/>
      </c>
      <c r="X727" s="51" t="str">
        <f>IF(NOTA[[#This Row],[JUMLAH]]="","",NOTA[[#This Row],[JUMLAH]]*NOTA[[#This Row],[DISC 1]])</f>
        <v/>
      </c>
      <c r="Y727" s="51" t="str">
        <f>IF(NOTA[[#This Row],[JUMLAH]]="","",(NOTA[[#This Row],[JUMLAH]]-NOTA[[#This Row],[DISC 1-]])*NOTA[[#This Row],[DISC 2]])</f>
        <v/>
      </c>
      <c r="Z727" s="51" t="str">
        <f>IF(NOTA[[#This Row],[JUMLAH]]="","",NOTA[[#This Row],[DISC 1-]]+NOTA[[#This Row],[DISC 2-]])</f>
        <v/>
      </c>
      <c r="AA727" s="51" t="str">
        <f>IF(NOTA[[#This Row],[JUMLAH]]="","",NOTA[[#This Row],[JUMLAH]]-NOTA[[#This Row],[DISC]])</f>
        <v/>
      </c>
      <c r="AB727" s="51"/>
      <c r="AC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51" t="str">
        <f>IF(OR(NOTA[[#This Row],[QTY]]="",NOTA[[#This Row],[HARGA SATUAN]]="",),"",NOTA[[#This Row],[QTY]]*NOTA[[#This Row],[HARGA SATUAN]])</f>
        <v/>
      </c>
      <c r="AG727" s="40" t="str">
        <f ca="1">IF(NOTA[ID_H]="","",INDEX(NOTA[TANGGAL],MATCH(,INDIRECT(ADDRESS(ROW(NOTA[TANGGAL]),COLUMN(NOTA[TANGGAL]))&amp;":"&amp;ADDRESS(ROW(),COLUMN(NOTA[TANGGAL]))),-1)))</f>
        <v/>
      </c>
      <c r="AH727" s="42" t="str">
        <f ca="1">IF(NOTA[[#This Row],[NAMA BARANG]]="","",INDEX(NOTA[SUPPLIER],MATCH(,INDIRECT(ADDRESS(ROW(NOTA[ID]),COLUMN(NOTA[ID]))&amp;":"&amp;ADDRESS(ROW(),COLUMN(NOTA[ID]))),-1)))</f>
        <v/>
      </c>
      <c r="AI727" s="42" t="str">
        <f ca="1">IF(NOTA[[#This Row],[ID_H]]="","",IF(NOTA[[#This Row],[FAKTUR]]="",INDIRECT(ADDRESS(ROW()-1,COLUMN())),NOTA[[#This Row],[FAKTUR]]))</f>
        <v/>
      </c>
      <c r="AJ727" s="39" t="str">
        <f ca="1">IF(NOTA[[#This Row],[ID]]="","",COUNTIF(NOTA[ID_H],NOTA[[#This Row],[ID_H]]))</f>
        <v/>
      </c>
      <c r="AK727" s="39" t="str">
        <f ca="1">IF(NOTA[[#This Row],[TGL.NOTA]]="",IF(NOTA[[#This Row],[SUPPLIER_H]]="","",AK726),MONTH(NOTA[[#This Row],[TGL.NOTA]]))</f>
        <v/>
      </c>
      <c r="AL727" s="39" t="str">
        <f>LOWER(SUBSTITUTE(SUBSTITUTE(SUBSTITUTE(SUBSTITUTE(SUBSTITUTE(SUBSTITUTE(SUBSTITUTE(SUBSTITUTE(SUBSTITUTE(NOTA[NAMA BARANG]," ",),".",""),"-",""),"(",""),")",""),",",""),"/",""),"""",""),"+",""))</f>
        <v/>
      </c>
      <c r="AM7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39" t="str">
        <f>IF(NOTA[[#This Row],[CONCAT4]]="","",_xlfn.IFNA(MATCH(NOTA[[#This Row],[CONCAT4]],[2]!RAW[CONCAT_H],0),FALSE))</f>
        <v/>
      </c>
      <c r="AQ727" s="39" t="str">
        <f>IF(NOTA[[#This Row],[CONCAT1]]="","",MATCH(NOTA[[#This Row],[CONCAT1]],[3]!db[NB NOTA_C],0))</f>
        <v/>
      </c>
      <c r="AR727" s="39" t="str">
        <f>IF(NOTA[[#This Row],[QTY/ CTN]]="","",TRUE)</f>
        <v/>
      </c>
      <c r="AS727" s="39" t="str">
        <f ca="1">IF(NOTA[[#This Row],[ID_H]]="","",IF(NOTA[[#This Row],[Column3]]=TRUE,NOTA[[#This Row],[QTY/ CTN]],INDEX([3]!db[QTY/ CTN],NOTA[[#This Row],[//DB]])))</f>
        <v/>
      </c>
      <c r="AT7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39" t="str">
        <f ca="1">IF(NOTA[[#This Row],[ID_H]]="","",MATCH(NOTA[[#This Row],[NB NOTA_C_QTY]],[4]!db[NB NOTA_C_QTY+F],0))</f>
        <v/>
      </c>
      <c r="AV727" s="55" t="str">
        <f ca="1">IF(NOTA[[#This Row],[NB NOTA_C_QTY]]="","",ROW()-2)</f>
        <v/>
      </c>
    </row>
    <row r="728" spans="1:48" ht="20.100000000000001" customHeight="1" x14ac:dyDescent="0.25">
      <c r="A728" s="42">
        <f ca="1">IF(INDIRECT(ADDRESS(ROW()-1,COLUMN(NOTA[[#Headers],[ID]])))="ID",1,IF(NOTA[[#This Row],[FAKTUR]]="","",COUNT(INDIRECT(ADDRESS(ROW(NOTA[ID]),COLUMN(NOTA[ID]))&amp;":"&amp;ADDRESS(ROW()-1,COLUMN(NOTA[ID]))))+1))</f>
        <v>141</v>
      </c>
      <c r="B7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SBS_2507_88B-4</v>
      </c>
      <c r="C728" s="39" t="e">
        <f ca="1">IF(NOTA[[#This Row],[ID_P]]="","",MATCH(NOTA[[#This Row],[ID_P]],[1]!B_MSK[N_ID],0))</f>
        <v>#REF!</v>
      </c>
      <c r="D728" s="39">
        <f ca="1">IF(NOTA[[#This Row],[NAMA BARANG]]="","",INDEX(NOTA[ID],MATCH(,INDIRECT(ADDRESS(ROW(NOTA[ID]),COLUMN(NOTA[ID]))&amp;":"&amp;ADDRESS(ROW(),COLUMN(NOTA[ID]))),-1)))</f>
        <v>141</v>
      </c>
      <c r="E728" s="47"/>
      <c r="F728" s="38" t="s">
        <v>165</v>
      </c>
      <c r="G728" s="38" t="s">
        <v>145</v>
      </c>
      <c r="H728" s="48" t="s">
        <v>797</v>
      </c>
      <c r="J728" s="40">
        <v>45125</v>
      </c>
      <c r="K728" s="38">
        <v>1</v>
      </c>
      <c r="L728" s="38" t="s">
        <v>785</v>
      </c>
      <c r="M728" s="41">
        <v>2</v>
      </c>
      <c r="N728" s="39">
        <v>144</v>
      </c>
      <c r="O728" s="38" t="s">
        <v>117</v>
      </c>
      <c r="P728" s="42">
        <v>11900</v>
      </c>
      <c r="Q728" s="43"/>
      <c r="R728" s="49" t="s">
        <v>357</v>
      </c>
      <c r="S728" s="50"/>
      <c r="U728" s="51"/>
      <c r="V728" s="46"/>
      <c r="W728" s="51">
        <f>IF(NOTA[[#This Row],[HARGA/ CTN]]="",NOTA[[#This Row],[JUMLAH_H]],NOTA[[#This Row],[HARGA/ CTN]]*IF(NOTA[[#This Row],[C]]="",0,NOTA[[#This Row],[C]]))</f>
        <v>1713600</v>
      </c>
      <c r="X728" s="51">
        <f>IF(NOTA[[#This Row],[JUMLAH]]="","",NOTA[[#This Row],[JUMLAH]]*NOTA[[#This Row],[DISC 1]])</f>
        <v>0</v>
      </c>
      <c r="Y728" s="51">
        <f>IF(NOTA[[#This Row],[JUMLAH]]="","",(NOTA[[#This Row],[JUMLAH]]-NOTA[[#This Row],[DISC 1-]])*NOTA[[#This Row],[DISC 2]])</f>
        <v>0</v>
      </c>
      <c r="Z728" s="51">
        <f>IF(NOTA[[#This Row],[JUMLAH]]="","",NOTA[[#This Row],[DISC 1-]]+NOTA[[#This Row],[DISC 2-]])</f>
        <v>0</v>
      </c>
      <c r="AA728" s="51">
        <f>IF(NOTA[[#This Row],[JUMLAH]]="","",NOTA[[#This Row],[JUMLAH]]-NOTA[[#This Row],[DISC]])</f>
        <v>1713600</v>
      </c>
      <c r="AB728" s="51"/>
      <c r="AC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28" s="51">
        <f>IF(OR(NOTA[[#This Row],[QTY]]="",NOTA[[#This Row],[HARGA SATUAN]]="",),"",NOTA[[#This Row],[QTY]]*NOTA[[#This Row],[HARGA SATUAN]])</f>
        <v>1713600</v>
      </c>
      <c r="AG728" s="40">
        <f ca="1">IF(NOTA[ID_H]="","",INDEX(NOTA[TANGGAL],MATCH(,INDIRECT(ADDRESS(ROW(NOTA[TANGGAL]),COLUMN(NOTA[TANGGAL]))&amp;":"&amp;ADDRESS(ROW(),COLUMN(NOTA[TANGGAL]))),-1)))</f>
        <v>45132</v>
      </c>
      <c r="AH728" s="42" t="str">
        <f ca="1">IF(NOTA[[#This Row],[NAMA BARANG]]="","",INDEX(NOTA[SUPPLIER],MATCH(,INDIRECT(ADDRESS(ROW(NOTA[ID]),COLUMN(NOTA[ID]))&amp;":"&amp;ADDRESS(ROW(),COLUMN(NOTA[ID]))),-1)))</f>
        <v>SBS</v>
      </c>
      <c r="AI728" s="42" t="str">
        <f ca="1">IF(NOTA[[#This Row],[ID_H]]="","",IF(NOTA[[#This Row],[FAKTUR]]="",INDIRECT(ADDRESS(ROW()-1,COLUMN())),NOTA[[#This Row],[FAKTUR]]))</f>
        <v>UNTANA</v>
      </c>
      <c r="AJ728" s="39">
        <f ca="1">IF(NOTA[[#This Row],[ID]]="","",COUNTIF(NOTA[ID_H],NOTA[[#This Row],[ID_H]]))</f>
        <v>4</v>
      </c>
      <c r="AK728" s="39">
        <f>IF(NOTA[[#This Row],[TGL.NOTA]]="",IF(NOTA[[#This Row],[SUPPLIER_H]]="","",AK727),MONTH(NOTA[[#This Row],[TGL.NOTA]]))</f>
        <v>7</v>
      </c>
      <c r="AL728" s="39" t="str">
        <f>LOWER(SUBSTITUTE(SUBSTITUTE(SUBSTITUTE(SUBSTITUTE(SUBSTITUTE(SUBSTITUTE(SUBSTITUTE(SUBSTITUTE(SUBSTITUTE(NOTA[NAMA BARANG]," ",),".",""),"-",""),"(",""),")",""),",",""),"/",""),"""",""),"+",""))</f>
        <v>bindernotegastaa5p2001f</v>
      </c>
      <c r="AM7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bindernotegastaa5p2001f856800</v>
      </c>
      <c r="AN7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bindernotegastaa5p2001f856800</v>
      </c>
      <c r="AO728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SBSUNTANAVG0588B45125bindernotegastaa5p2001f</v>
      </c>
      <c r="AP728" s="39" t="e">
        <f>IF(NOTA[[#This Row],[CONCAT4]]="","",_xlfn.IFNA(MATCH(NOTA[[#This Row],[CONCAT4]],[2]!RAW[CONCAT_H],0),FALSE))</f>
        <v>#REF!</v>
      </c>
      <c r="AQ728" s="39">
        <f>IF(NOTA[[#This Row],[CONCAT1]]="","",MATCH(NOTA[[#This Row],[CONCAT1]],[3]!db[NB NOTA_C],0))</f>
        <v>268</v>
      </c>
      <c r="AR728" s="39" t="b">
        <f>IF(NOTA[[#This Row],[QTY/ CTN]]="","",TRUE)</f>
        <v>1</v>
      </c>
      <c r="AS728" s="39" t="str">
        <f ca="1">IF(NOTA[[#This Row],[ID_H]]="","",IF(NOTA[[#This Row],[Column3]]=TRUE,NOTA[[#This Row],[QTY/ CTN]],INDEX([3]!db[QTY/ CTN],NOTA[[#This Row],[//DB]])))</f>
        <v>72 PCS</v>
      </c>
      <c r="AT7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bindernotegastaa5p2001f72pcsuntana</v>
      </c>
      <c r="AU728" s="39" t="e">
        <f ca="1">IF(NOTA[[#This Row],[ID_H]]="","",MATCH(NOTA[[#This Row],[NB NOTA_C_QTY]],[4]!db[NB NOTA_C_QTY+F],0))</f>
        <v>#REF!</v>
      </c>
      <c r="AV728" s="55">
        <f ca="1">IF(NOTA[[#This Row],[NB NOTA_C_QTY]]="","",ROW()-2)</f>
        <v>726</v>
      </c>
    </row>
    <row r="729" spans="1:48" ht="20.100000000000001" customHeight="1" x14ac:dyDescent="0.25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>
        <f ca="1">IF(NOTA[[#This Row],[NAMA BARANG]]="","",INDEX(NOTA[ID],MATCH(,INDIRECT(ADDRESS(ROW(NOTA[ID]),COLUMN(NOTA[ID]))&amp;":"&amp;ADDRESS(ROW(),COLUMN(NOTA[ID]))),-1)))</f>
        <v>141</v>
      </c>
      <c r="E729" s="47"/>
      <c r="H729" s="48"/>
      <c r="K729" s="38">
        <v>1</v>
      </c>
      <c r="L729" s="38" t="s">
        <v>805</v>
      </c>
      <c r="M729" s="41">
        <v>1</v>
      </c>
      <c r="N729" s="39">
        <v>72</v>
      </c>
      <c r="O729" s="38" t="s">
        <v>117</v>
      </c>
      <c r="P729" s="42">
        <v>11900</v>
      </c>
      <c r="Q729" s="43"/>
      <c r="R729" s="49" t="s">
        <v>357</v>
      </c>
      <c r="S729" s="50"/>
      <c r="U729" s="51"/>
      <c r="V729" s="46"/>
      <c r="W729" s="51">
        <f>IF(NOTA[[#This Row],[HARGA/ CTN]]="",NOTA[[#This Row],[JUMLAH_H]],NOTA[[#This Row],[HARGA/ CTN]]*IF(NOTA[[#This Row],[C]]="",0,NOTA[[#This Row],[C]]))</f>
        <v>856800</v>
      </c>
      <c r="X729" s="51">
        <f>IF(NOTA[[#This Row],[JUMLAH]]="","",NOTA[[#This Row],[JUMLAH]]*NOTA[[#This Row],[DISC 1]])</f>
        <v>0</v>
      </c>
      <c r="Y729" s="51">
        <f>IF(NOTA[[#This Row],[JUMLAH]]="","",(NOTA[[#This Row],[JUMLAH]]-NOTA[[#This Row],[DISC 1-]])*NOTA[[#This Row],[DISC 2]])</f>
        <v>0</v>
      </c>
      <c r="Z729" s="51">
        <f>IF(NOTA[[#This Row],[JUMLAH]]="","",NOTA[[#This Row],[DISC 1-]]+NOTA[[#This Row],[DISC 2-]])</f>
        <v>0</v>
      </c>
      <c r="AA729" s="51">
        <f>IF(NOTA[[#This Row],[JUMLAH]]="","",NOTA[[#This Row],[JUMLAH]]-NOTA[[#This Row],[DISC]])</f>
        <v>856800</v>
      </c>
      <c r="AB729" s="51"/>
      <c r="AC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42">
        <f>IF(NOTA[[#This Row],[NAMA BARANG]]="","",IF(NOTA[[#This Row],[JUMLAH_H]]="",NOTA[[#This Row],[HARGA/ CTN]],NOTA[[#This Row],[QTY]]*NOTA[[#This Row],[HARGA SATUAN]]/IF(ISNUMBER(NOTA[[#This Row],[C]]),NOTA[[#This Row],[C]],1)))</f>
        <v>856800</v>
      </c>
      <c r="AF729" s="51">
        <f>IF(OR(NOTA[[#This Row],[QTY]]="",NOTA[[#This Row],[HARGA SATUAN]]="",),"",NOTA[[#This Row],[QTY]]*NOTA[[#This Row],[HARGA SATUAN]])</f>
        <v>856800</v>
      </c>
      <c r="AG729" s="40">
        <f ca="1">IF(NOTA[ID_H]="","",INDEX(NOTA[TANGGAL],MATCH(,INDIRECT(ADDRESS(ROW(NOTA[TANGGAL]),COLUMN(NOTA[TANGGAL]))&amp;":"&amp;ADDRESS(ROW(),COLUMN(NOTA[TANGGAL]))),-1)))</f>
        <v>45132</v>
      </c>
      <c r="AH729" s="42" t="str">
        <f ca="1">IF(NOTA[[#This Row],[NAMA BARANG]]="","",INDEX(NOTA[SUPPLIER],MATCH(,INDIRECT(ADDRESS(ROW(NOTA[ID]),COLUMN(NOTA[ID]))&amp;":"&amp;ADDRESS(ROW(),COLUMN(NOTA[ID]))),-1)))</f>
        <v>SBS</v>
      </c>
      <c r="AI729" s="42" t="str">
        <f ca="1">IF(NOTA[[#This Row],[ID_H]]="","",IF(NOTA[[#This Row],[FAKTUR]]="",INDIRECT(ADDRESS(ROW()-1,COLUMN())),NOTA[[#This Row],[FAKTUR]]))</f>
        <v>UNTANA</v>
      </c>
      <c r="AJ729" s="39" t="str">
        <f ca="1">IF(NOTA[[#This Row],[ID]]="","",COUNTIF(NOTA[ID_H],NOTA[[#This Row],[ID_H]]))</f>
        <v/>
      </c>
      <c r="AK729" s="39">
        <f ca="1">IF(NOTA[[#This Row],[TGL.NOTA]]="",IF(NOTA[[#This Row],[SUPPLIER_H]]="","",AK728),MONTH(NOTA[[#This Row],[TGL.NOTA]]))</f>
        <v>7</v>
      </c>
      <c r="AL729" s="39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7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bindernotegastaa5p2002p856800</v>
      </c>
      <c r="AN7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bindernotegastaa5p2002p856800</v>
      </c>
      <c r="AO7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39" t="str">
        <f>IF(NOTA[[#This Row],[CONCAT4]]="","",_xlfn.IFNA(MATCH(NOTA[[#This Row],[CONCAT4]],[2]!RAW[CONCAT_H],0),FALSE))</f>
        <v/>
      </c>
      <c r="AQ729" s="39">
        <f>IF(NOTA[[#This Row],[CONCAT1]]="","",MATCH(NOTA[[#This Row],[CONCAT1]],[3]!db[NB NOTA_C],0))</f>
        <v>269</v>
      </c>
      <c r="AR729" s="39" t="b">
        <f>IF(NOTA[[#This Row],[QTY/ CTN]]="","",TRUE)</f>
        <v>1</v>
      </c>
      <c r="AS729" s="39" t="str">
        <f ca="1">IF(NOTA[[#This Row],[ID_H]]="","",IF(NOTA[[#This Row],[Column3]]=TRUE,NOTA[[#This Row],[QTY/ CTN]],INDEX([3]!db[QTY/ CTN],NOTA[[#This Row],[//DB]])))</f>
        <v>72 PCS</v>
      </c>
      <c r="AT7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729" s="39" t="e">
        <f ca="1">IF(NOTA[[#This Row],[ID_H]]="","",MATCH(NOTA[[#This Row],[NB NOTA_C_QTY]],[4]!db[NB NOTA_C_QTY+F],0))</f>
        <v>#REF!</v>
      </c>
      <c r="AV729" s="55">
        <f ca="1">IF(NOTA[[#This Row],[NB NOTA_C_QTY]]="","",ROW()-2)</f>
        <v>727</v>
      </c>
    </row>
    <row r="730" spans="1:48" ht="20.100000000000001" customHeight="1" x14ac:dyDescent="0.25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>
        <f ca="1">IF(NOTA[[#This Row],[NAMA BARANG]]="","",INDEX(NOTA[ID],MATCH(,INDIRECT(ADDRESS(ROW(NOTA[ID]),COLUMN(NOTA[ID]))&amp;":"&amp;ADDRESS(ROW(),COLUMN(NOTA[ID]))),-1)))</f>
        <v>141</v>
      </c>
      <c r="E730" s="47"/>
      <c r="H730" s="48"/>
      <c r="K730" s="38">
        <v>1</v>
      </c>
      <c r="L730" s="38" t="s">
        <v>798</v>
      </c>
      <c r="M730" s="41">
        <v>2</v>
      </c>
      <c r="N730" s="39">
        <v>96</v>
      </c>
      <c r="O730" s="38" t="s">
        <v>117</v>
      </c>
      <c r="P730" s="42">
        <v>15600</v>
      </c>
      <c r="Q730" s="43"/>
      <c r="R730" s="49" t="s">
        <v>792</v>
      </c>
      <c r="S730" s="50"/>
      <c r="U730" s="51"/>
      <c r="V730" s="46"/>
      <c r="W730" s="51">
        <f>IF(NOTA[[#This Row],[HARGA/ CTN]]="",NOTA[[#This Row],[JUMLAH_H]],NOTA[[#This Row],[HARGA/ CTN]]*IF(NOTA[[#This Row],[C]]="",0,NOTA[[#This Row],[C]]))</f>
        <v>1497600</v>
      </c>
      <c r="X730" s="51">
        <f>IF(NOTA[[#This Row],[JUMLAH]]="","",NOTA[[#This Row],[JUMLAH]]*NOTA[[#This Row],[DISC 1]])</f>
        <v>0</v>
      </c>
      <c r="Y730" s="51">
        <f>IF(NOTA[[#This Row],[JUMLAH]]="","",(NOTA[[#This Row],[JUMLAH]]-NOTA[[#This Row],[DISC 1-]])*NOTA[[#This Row],[DISC 2]])</f>
        <v>0</v>
      </c>
      <c r="Z730" s="51">
        <f>IF(NOTA[[#This Row],[JUMLAH]]="","",NOTA[[#This Row],[DISC 1-]]+NOTA[[#This Row],[DISC 2-]])</f>
        <v>0</v>
      </c>
      <c r="AA730" s="51">
        <f>IF(NOTA[[#This Row],[JUMLAH]]="","",NOTA[[#This Row],[JUMLAH]]-NOTA[[#This Row],[DISC]])</f>
        <v>1497600</v>
      </c>
      <c r="AB730" s="51"/>
      <c r="AC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42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730" s="51">
        <f>IF(OR(NOTA[[#This Row],[QTY]]="",NOTA[[#This Row],[HARGA SATUAN]]="",),"",NOTA[[#This Row],[QTY]]*NOTA[[#This Row],[HARGA SATUAN]])</f>
        <v>1497600</v>
      </c>
      <c r="AG730" s="40">
        <f ca="1">IF(NOTA[ID_H]="","",INDEX(NOTA[TANGGAL],MATCH(,INDIRECT(ADDRESS(ROW(NOTA[TANGGAL]),COLUMN(NOTA[TANGGAL]))&amp;":"&amp;ADDRESS(ROW(),COLUMN(NOTA[TANGGAL]))),-1)))</f>
        <v>45132</v>
      </c>
      <c r="AH730" s="42" t="str">
        <f ca="1">IF(NOTA[[#This Row],[NAMA BARANG]]="","",INDEX(NOTA[SUPPLIER],MATCH(,INDIRECT(ADDRESS(ROW(NOTA[ID]),COLUMN(NOTA[ID]))&amp;":"&amp;ADDRESS(ROW(),COLUMN(NOTA[ID]))),-1)))</f>
        <v>SBS</v>
      </c>
      <c r="AI730" s="42" t="str">
        <f ca="1">IF(NOTA[[#This Row],[ID_H]]="","",IF(NOTA[[#This Row],[FAKTUR]]="",INDIRECT(ADDRESS(ROW()-1,COLUMN())),NOTA[[#This Row],[FAKTUR]]))</f>
        <v>UNTANA</v>
      </c>
      <c r="AJ730" s="39" t="str">
        <f ca="1">IF(NOTA[[#This Row],[ID]]="","",COUNTIF(NOTA[ID_H],NOTA[[#This Row],[ID_H]]))</f>
        <v/>
      </c>
      <c r="AK730" s="39">
        <f ca="1">IF(NOTA[[#This Row],[TGL.NOTA]]="",IF(NOTA[[#This Row],[SUPPLIER_H]]="","",AK729),MONTH(NOTA[[#This Row],[TGL.NOTA]]))</f>
        <v>7</v>
      </c>
      <c r="AL730" s="39" t="str">
        <f>LOWER(SUBSTITUTE(SUBSTITUTE(SUBSTITUTE(SUBSTITUTE(SUBSTITUTE(SUBSTITUTE(SUBSTITUTE(SUBSTITUTE(SUBSTITUTE(NOTA[NAMA BARANG]," ",),".",""),"-",""),"(",""),")",""),",",""),"/",""),"""",""),"+",""))</f>
        <v>bindernotegastab5p2602t</v>
      </c>
      <c r="AM7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bindernotegastab5p2602t748800</v>
      </c>
      <c r="AN7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bindernotegastab5p2602t748800</v>
      </c>
      <c r="AO7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39" t="str">
        <f>IF(NOTA[[#This Row],[CONCAT4]]="","",_xlfn.IFNA(MATCH(NOTA[[#This Row],[CONCAT4]],[2]!RAW[CONCAT_H],0),FALSE))</f>
        <v/>
      </c>
      <c r="AQ730" s="39">
        <f>IF(NOTA[[#This Row],[CONCAT1]]="","",MATCH(NOTA[[#This Row],[CONCAT1]],[3]!db[NB NOTA_C],0))</f>
        <v>329</v>
      </c>
      <c r="AR730" s="39" t="b">
        <f>IF(NOTA[[#This Row],[QTY/ CTN]]="","",TRUE)</f>
        <v>1</v>
      </c>
      <c r="AS730" s="39" t="str">
        <f ca="1">IF(NOTA[[#This Row],[ID_H]]="","",IF(NOTA[[#This Row],[Column3]]=TRUE,NOTA[[#This Row],[QTY/ CTN]],INDEX([3]!db[QTY/ CTN],NOTA[[#This Row],[//DB]])))</f>
        <v>48 PCS</v>
      </c>
      <c r="AT7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bindernotegastab5p2602t48pcsuntana</v>
      </c>
      <c r="AU730" s="39" t="e">
        <f ca="1">IF(NOTA[[#This Row],[ID_H]]="","",MATCH(NOTA[[#This Row],[NB NOTA_C_QTY]],[4]!db[NB NOTA_C_QTY+F],0))</f>
        <v>#REF!</v>
      </c>
      <c r="AV730" s="55">
        <f ca="1">IF(NOTA[[#This Row],[NB NOTA_C_QTY]]="","",ROW()-2)</f>
        <v>728</v>
      </c>
    </row>
    <row r="731" spans="1:48" ht="20.100000000000001" customHeight="1" x14ac:dyDescent="0.25">
      <c r="A7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>
        <f ca="1">IF(NOTA[[#This Row],[NAMA BARANG]]="","",INDEX(NOTA[ID],MATCH(,INDIRECT(ADDRESS(ROW(NOTA[ID]),COLUMN(NOTA[ID]))&amp;":"&amp;ADDRESS(ROW(),COLUMN(NOTA[ID]))),-1)))</f>
        <v>141</v>
      </c>
      <c r="E731" s="47"/>
      <c r="H731" s="48"/>
      <c r="L731" s="38" t="s">
        <v>777</v>
      </c>
      <c r="M731" s="41">
        <v>1</v>
      </c>
      <c r="N731" s="39">
        <v>96</v>
      </c>
      <c r="O731" s="38" t="s">
        <v>117</v>
      </c>
      <c r="P731" s="42">
        <v>14900</v>
      </c>
      <c r="Q731" s="43"/>
      <c r="R731" s="49" t="s">
        <v>561</v>
      </c>
      <c r="S731" s="50"/>
      <c r="U731" s="51"/>
      <c r="V731" s="46"/>
      <c r="W731" s="51">
        <f>IF(NOTA[[#This Row],[HARGA/ CTN]]="",NOTA[[#This Row],[JUMLAH_H]],NOTA[[#This Row],[HARGA/ CTN]]*IF(NOTA[[#This Row],[C]]="",0,NOTA[[#This Row],[C]]))</f>
        <v>1430400</v>
      </c>
      <c r="X731" s="51">
        <f>IF(NOTA[[#This Row],[JUMLAH]]="","",NOTA[[#This Row],[JUMLAH]]*NOTA[[#This Row],[DISC 1]])</f>
        <v>0</v>
      </c>
      <c r="Y731" s="51">
        <f>IF(NOTA[[#This Row],[JUMLAH]]="","",(NOTA[[#This Row],[JUMLAH]]-NOTA[[#This Row],[DISC 1-]])*NOTA[[#This Row],[DISC 2]])</f>
        <v>0</v>
      </c>
      <c r="Z731" s="51">
        <f>IF(NOTA[[#This Row],[JUMLAH]]="","",NOTA[[#This Row],[DISC 1-]]+NOTA[[#This Row],[DISC 2-]])</f>
        <v>0</v>
      </c>
      <c r="AA731" s="51">
        <f>IF(NOTA[[#This Row],[JUMLAH]]="","",NOTA[[#This Row],[JUMLAH]]-NOTA[[#This Row],[DISC]])</f>
        <v>1430400</v>
      </c>
      <c r="AB731" s="51"/>
      <c r="AC7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5498400</v>
      </c>
      <c r="AE731" s="42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731" s="51">
        <f>IF(OR(NOTA[[#This Row],[QTY]]="",NOTA[[#This Row],[HARGA SATUAN]]="",),"",NOTA[[#This Row],[QTY]]*NOTA[[#This Row],[HARGA SATUAN]])</f>
        <v>1430400</v>
      </c>
      <c r="AG731" s="40">
        <f ca="1">IF(NOTA[ID_H]="","",INDEX(NOTA[TANGGAL],MATCH(,INDIRECT(ADDRESS(ROW(NOTA[TANGGAL]),COLUMN(NOTA[TANGGAL]))&amp;":"&amp;ADDRESS(ROW(),COLUMN(NOTA[TANGGAL]))),-1)))</f>
        <v>45132</v>
      </c>
      <c r="AH731" s="42" t="str">
        <f ca="1">IF(NOTA[[#This Row],[NAMA BARANG]]="","",INDEX(NOTA[SUPPLIER],MATCH(,INDIRECT(ADDRESS(ROW(NOTA[ID]),COLUMN(NOTA[ID]))&amp;":"&amp;ADDRESS(ROW(),COLUMN(NOTA[ID]))),-1)))</f>
        <v>SBS</v>
      </c>
      <c r="AI731" s="42" t="str">
        <f ca="1">IF(NOTA[[#This Row],[ID_H]]="","",IF(NOTA[[#This Row],[FAKTUR]]="",INDIRECT(ADDRESS(ROW()-1,COLUMN())),NOTA[[#This Row],[FAKTUR]]))</f>
        <v>UNTANA</v>
      </c>
      <c r="AJ731" s="39" t="str">
        <f ca="1">IF(NOTA[[#This Row],[ID]]="","",COUNTIF(NOTA[ID_H],NOTA[[#This Row],[ID_H]]))</f>
        <v/>
      </c>
      <c r="AK731" s="39">
        <f ca="1">IF(NOTA[[#This Row],[TGL.NOTA]]="",IF(NOTA[[#This Row],[SUPPLIER_H]]="","",AK730),MONTH(NOTA[[#This Row],[TGL.NOTA]]))</f>
        <v>7</v>
      </c>
      <c r="AL731" s="39" t="str">
        <f>LOWER(SUBSTITUTE(SUBSTITUTE(SUBSTITUTE(SUBSTITUTE(SUBSTITUTE(SUBSTITUTE(SUBSTITUTE(SUBSTITUTE(SUBSTITUTE(NOTA[NAMA BARANG]," ",),".",""),"-",""),"(",""),")",""),",",""),"/",""),"""",""),"+",""))</f>
        <v>bindernotegastab5un1909university</v>
      </c>
      <c r="AM7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bindernotegastab5un1909university1430400</v>
      </c>
      <c r="AN7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bindernotegastab5un1909university1430400</v>
      </c>
      <c r="AO7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39" t="str">
        <f>IF(NOTA[[#This Row],[CONCAT4]]="","",_xlfn.IFNA(MATCH(NOTA[[#This Row],[CONCAT4]],[2]!RAW[CONCAT_H],0),FALSE))</f>
        <v/>
      </c>
      <c r="AQ731" s="39">
        <f>IF(NOTA[[#This Row],[CONCAT1]]="","",MATCH(NOTA[[#This Row],[CONCAT1]],[3]!db[NB NOTA_C],0))</f>
        <v>331</v>
      </c>
      <c r="AR731" s="39" t="b">
        <f>IF(NOTA[[#This Row],[QTY/ CTN]]="","",TRUE)</f>
        <v>1</v>
      </c>
      <c r="AS731" s="39" t="str">
        <f ca="1">IF(NOTA[[#This Row],[ID_H]]="","",IF(NOTA[[#This Row],[Column3]]=TRUE,NOTA[[#This Row],[QTY/ CTN]],INDEX([3]!db[QTY/ CTN],NOTA[[#This Row],[//DB]])))</f>
        <v>96 PCS</v>
      </c>
      <c r="AT7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bindernotegastab5un1909university96pcsuntana</v>
      </c>
      <c r="AU731" s="39" t="e">
        <f ca="1">IF(NOTA[[#This Row],[ID_H]]="","",MATCH(NOTA[[#This Row],[NB NOTA_C_QTY]],[4]!db[NB NOTA_C_QTY+F],0))</f>
        <v>#REF!</v>
      </c>
      <c r="AV731" s="55">
        <f ca="1">IF(NOTA[[#This Row],[NB NOTA_C_QTY]]="","",ROW()-2)</f>
        <v>729</v>
      </c>
    </row>
    <row r="732" spans="1:48" ht="20.100000000000001" customHeight="1" x14ac:dyDescent="0.25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47"/>
      <c r="H732" s="48"/>
      <c r="N732" s="39"/>
      <c r="Q732" s="43"/>
      <c r="R732" s="49"/>
      <c r="S732" s="50"/>
      <c r="U732" s="51"/>
      <c r="V732" s="46"/>
      <c r="W732" s="51" t="str">
        <f>IF(NOTA[[#This Row],[HARGA/ CTN]]="",NOTA[[#This Row],[JUMLAH_H]],NOTA[[#This Row],[HARGA/ CTN]]*IF(NOTA[[#This Row],[C]]="",0,NOTA[[#This Row],[C]]))</f>
        <v/>
      </c>
      <c r="X732" s="51" t="str">
        <f>IF(NOTA[[#This Row],[JUMLAH]]="","",NOTA[[#This Row],[JUMLAH]]*NOTA[[#This Row],[DISC 1]])</f>
        <v/>
      </c>
      <c r="Y732" s="51" t="str">
        <f>IF(NOTA[[#This Row],[JUMLAH]]="","",(NOTA[[#This Row],[JUMLAH]]-NOTA[[#This Row],[DISC 1-]])*NOTA[[#This Row],[DISC 2]])</f>
        <v/>
      </c>
      <c r="Z732" s="51" t="str">
        <f>IF(NOTA[[#This Row],[JUMLAH]]="","",NOTA[[#This Row],[DISC 1-]]+NOTA[[#This Row],[DISC 2-]])</f>
        <v/>
      </c>
      <c r="AA732" s="51" t="str">
        <f>IF(NOTA[[#This Row],[JUMLAH]]="","",NOTA[[#This Row],[JUMLAH]]-NOTA[[#This Row],[DISC]])</f>
        <v/>
      </c>
      <c r="AB732" s="51"/>
      <c r="AC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51" t="str">
        <f>IF(OR(NOTA[[#This Row],[QTY]]="",NOTA[[#This Row],[HARGA SATUAN]]="",),"",NOTA[[#This Row],[QTY]]*NOTA[[#This Row],[HARGA SATUAN]])</f>
        <v/>
      </c>
      <c r="AG732" s="40" t="str">
        <f ca="1">IF(NOTA[ID_H]="","",INDEX(NOTA[TANGGAL],MATCH(,INDIRECT(ADDRESS(ROW(NOTA[TANGGAL]),COLUMN(NOTA[TANGGAL]))&amp;":"&amp;ADDRESS(ROW(),COLUMN(NOTA[TANGGAL]))),-1)))</f>
        <v/>
      </c>
      <c r="AH732" s="42" t="str">
        <f ca="1">IF(NOTA[[#This Row],[NAMA BARANG]]="","",INDEX(NOTA[SUPPLIER],MATCH(,INDIRECT(ADDRESS(ROW(NOTA[ID]),COLUMN(NOTA[ID]))&amp;":"&amp;ADDRESS(ROW(),COLUMN(NOTA[ID]))),-1)))</f>
        <v/>
      </c>
      <c r="AI732" s="42" t="str">
        <f ca="1">IF(NOTA[[#This Row],[ID_H]]="","",IF(NOTA[[#This Row],[FAKTUR]]="",INDIRECT(ADDRESS(ROW()-1,COLUMN())),NOTA[[#This Row],[FAKTUR]]))</f>
        <v/>
      </c>
      <c r="AJ732" s="39" t="str">
        <f ca="1">IF(NOTA[[#This Row],[ID]]="","",COUNTIF(NOTA[ID_H],NOTA[[#This Row],[ID_H]]))</f>
        <v/>
      </c>
      <c r="AK732" s="39" t="str">
        <f ca="1">IF(NOTA[[#This Row],[TGL.NOTA]]="",IF(NOTA[[#This Row],[SUPPLIER_H]]="","",AK731),MONTH(NOTA[[#This Row],[TGL.NOTA]]))</f>
        <v/>
      </c>
      <c r="AL732" s="39" t="str">
        <f>LOWER(SUBSTITUTE(SUBSTITUTE(SUBSTITUTE(SUBSTITUTE(SUBSTITUTE(SUBSTITUTE(SUBSTITUTE(SUBSTITUTE(SUBSTITUTE(NOTA[NAMA BARANG]," ",),".",""),"-",""),"(",""),")",""),",",""),"/",""),"""",""),"+",""))</f>
        <v/>
      </c>
      <c r="AM7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39" t="str">
        <f>IF(NOTA[[#This Row],[CONCAT4]]="","",_xlfn.IFNA(MATCH(NOTA[[#This Row],[CONCAT4]],[2]!RAW[CONCAT_H],0),FALSE))</f>
        <v/>
      </c>
      <c r="AQ732" s="39" t="str">
        <f>IF(NOTA[[#This Row],[CONCAT1]]="","",MATCH(NOTA[[#This Row],[CONCAT1]],[3]!db[NB NOTA_C],0))</f>
        <v/>
      </c>
      <c r="AR732" s="39" t="str">
        <f>IF(NOTA[[#This Row],[QTY/ CTN]]="","",TRUE)</f>
        <v/>
      </c>
      <c r="AS732" s="39" t="str">
        <f ca="1">IF(NOTA[[#This Row],[ID_H]]="","",IF(NOTA[[#This Row],[Column3]]=TRUE,NOTA[[#This Row],[QTY/ CTN]],INDEX([3]!db[QTY/ CTN],NOTA[[#This Row],[//DB]])))</f>
        <v/>
      </c>
      <c r="AT7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39" t="str">
        <f ca="1">IF(NOTA[[#This Row],[ID_H]]="","",MATCH(NOTA[[#This Row],[NB NOTA_C_QTY]],[4]!db[NB NOTA_C_QTY+F],0))</f>
        <v/>
      </c>
      <c r="AV732" s="55" t="str">
        <f ca="1">IF(NOTA[[#This Row],[NB NOTA_C_QTY]]="","",ROW()-2)</f>
        <v/>
      </c>
    </row>
    <row r="733" spans="1:48" ht="20.100000000000001" customHeight="1" x14ac:dyDescent="0.25">
      <c r="A733" s="4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GMT_2607_113-1</v>
      </c>
      <c r="C733" s="39" t="e">
        <f ca="1">IF(NOTA[[#This Row],[ID_P]]="","",MATCH(NOTA[[#This Row],[ID_P]],[1]!B_MSK[N_ID],0))</f>
        <v>#REF!</v>
      </c>
      <c r="D733" s="39">
        <f ca="1">IF(NOTA[[#This Row],[NAMA BARANG]]="","",INDEX(NOTA[ID],MATCH(,INDIRECT(ADDRESS(ROW(NOTA[ID]),COLUMN(NOTA[ID]))&amp;":"&amp;ADDRESS(ROW(),COLUMN(NOTA[ID]))),-1)))</f>
        <v>142</v>
      </c>
      <c r="E733" s="47">
        <v>45133</v>
      </c>
      <c r="F733" s="38" t="s">
        <v>799</v>
      </c>
      <c r="G733" s="38" t="s">
        <v>145</v>
      </c>
      <c r="H733" s="48" t="s">
        <v>800</v>
      </c>
      <c r="J733" s="40">
        <v>45131</v>
      </c>
      <c r="L733" s="38" t="s">
        <v>806</v>
      </c>
      <c r="M733" s="41">
        <v>51</v>
      </c>
      <c r="N733" s="39">
        <v>3060</v>
      </c>
      <c r="O733" s="38" t="s">
        <v>263</v>
      </c>
      <c r="P733" s="42">
        <v>9750</v>
      </c>
      <c r="Q733" s="43"/>
      <c r="R733" s="49" t="s">
        <v>801</v>
      </c>
      <c r="S733" s="50"/>
      <c r="U733" s="51"/>
      <c r="V733" s="46"/>
      <c r="W733" s="51">
        <f>IF(NOTA[[#This Row],[HARGA/ CTN]]="",NOTA[[#This Row],[JUMLAH_H]],NOTA[[#This Row],[HARGA/ CTN]]*IF(NOTA[[#This Row],[C]]="",0,NOTA[[#This Row],[C]]))</f>
        <v>29835000</v>
      </c>
      <c r="X733" s="51">
        <f>IF(NOTA[[#This Row],[JUMLAH]]="","",NOTA[[#This Row],[JUMLAH]]*NOTA[[#This Row],[DISC 1]])</f>
        <v>0</v>
      </c>
      <c r="Y733" s="51">
        <f>IF(NOTA[[#This Row],[JUMLAH]]="","",(NOTA[[#This Row],[JUMLAH]]-NOTA[[#This Row],[DISC 1-]])*NOTA[[#This Row],[DISC 2]])</f>
        <v>0</v>
      </c>
      <c r="Z733" s="51">
        <f>IF(NOTA[[#This Row],[JUMLAH]]="","",NOTA[[#This Row],[DISC 1-]]+NOTA[[#This Row],[DISC 2-]])</f>
        <v>0</v>
      </c>
      <c r="AA733" s="51">
        <f>IF(NOTA[[#This Row],[JUMLAH]]="","",NOTA[[#This Row],[JUMLAH]]-NOTA[[#This Row],[DISC]])</f>
        <v>29835000</v>
      </c>
      <c r="AB733" s="51"/>
      <c r="AC73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29835000</v>
      </c>
      <c r="AE733" s="42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733" s="51">
        <f>IF(OR(NOTA[[#This Row],[QTY]]="",NOTA[[#This Row],[HARGA SATUAN]]="",),"",NOTA[[#This Row],[QTY]]*NOTA[[#This Row],[HARGA SATUAN]])</f>
        <v>29835000</v>
      </c>
      <c r="AG733" s="40">
        <f ca="1">IF(NOTA[ID_H]="","",INDEX(NOTA[TANGGAL],MATCH(,INDIRECT(ADDRESS(ROW(NOTA[TANGGAL]),COLUMN(NOTA[TANGGAL]))&amp;":"&amp;ADDRESS(ROW(),COLUMN(NOTA[TANGGAL]))),-1)))</f>
        <v>45133</v>
      </c>
      <c r="AH733" s="42" t="str">
        <f ca="1">IF(NOTA[[#This Row],[NAMA BARANG]]="","",INDEX(NOTA[SUPPLIER],MATCH(,INDIRECT(ADDRESS(ROW(NOTA[ID]),COLUMN(NOTA[ID]))&amp;":"&amp;ADDRESS(ROW(),COLUMN(NOTA[ID]))),-1)))</f>
        <v>GM TDS SURABAYA</v>
      </c>
      <c r="AI733" s="42" t="str">
        <f ca="1">IF(NOTA[[#This Row],[ID_H]]="","",IF(NOTA[[#This Row],[FAKTUR]]="",INDIRECT(ADDRESS(ROW()-1,COLUMN())),NOTA[[#This Row],[FAKTUR]]))</f>
        <v>UNTANA</v>
      </c>
      <c r="AJ733" s="39">
        <f ca="1">IF(NOTA[[#This Row],[ID]]="","",COUNTIF(NOTA[ID_H],NOTA[[#This Row],[ID_H]]))</f>
        <v>1</v>
      </c>
      <c r="AK733" s="39">
        <f>IF(NOTA[[#This Row],[TGL.NOTA]]="",IF(NOTA[[#This Row],[SUPPLIER_H]]="","",AK732),MONTH(NOTA[[#This Row],[TGL.NOTA]]))</f>
        <v>7</v>
      </c>
      <c r="AL733" s="39" t="str">
        <f>LOWER(SUBSTITUTE(SUBSTITUTE(SUBSTITUTE(SUBSTITUTE(SUBSTITUTE(SUBSTITUTE(SUBSTITUTE(SUBSTITUTE(SUBSTITUTE(NOTA[NAMA BARANG]," ",),".",""),"-",""),"(",""),")",""),",",""),"/",""),"""",""),"+",""))</f>
        <v>vtecstandbookst06565</v>
      </c>
      <c r="AM7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vtecstandbookst06565585000</v>
      </c>
      <c r="AN7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vtecstandbookst06565585000</v>
      </c>
      <c r="AO733" s="39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SURABAYAUNTANAE.2301311345131vtecstandbookst06565</v>
      </c>
      <c r="AP733" s="39" t="e">
        <f>IF(NOTA[[#This Row],[CONCAT4]]="","",_xlfn.IFNA(MATCH(NOTA[[#This Row],[CONCAT4]],[2]!RAW[CONCAT_H],0),FALSE))</f>
        <v>#REF!</v>
      </c>
      <c r="AQ733" s="39">
        <f>IF(NOTA[[#This Row],[CONCAT1]]="","",MATCH(NOTA[[#This Row],[CONCAT1]],[3]!db[NB NOTA_C],0))</f>
        <v>2444</v>
      </c>
      <c r="AR733" s="39" t="b">
        <f>IF(NOTA[[#This Row],[QTY/ CTN]]="","",TRUE)</f>
        <v>1</v>
      </c>
      <c r="AS733" s="39" t="str">
        <f ca="1">IF(NOTA[[#This Row],[ID_H]]="","",IF(NOTA[[#This Row],[Column3]]=TRUE,NOTA[[#This Row],[QTY/ CTN]],INDEX([3]!db[QTY/ CTN],NOTA[[#This Row],[//DB]])))</f>
        <v>60 SET</v>
      </c>
      <c r="AT7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vtecstandbookst0656560setuntana</v>
      </c>
      <c r="AU733" s="39" t="e">
        <f ca="1">IF(NOTA[[#This Row],[ID_H]]="","",MATCH(NOTA[[#This Row],[NB NOTA_C_QTY]],[4]!db[NB NOTA_C_QTY+F],0))</f>
        <v>#REF!</v>
      </c>
      <c r="AV733" s="55">
        <f ca="1">IF(NOTA[[#This Row],[NB NOTA_C_QTY]]="","",ROW()-2)</f>
        <v>731</v>
      </c>
    </row>
    <row r="734" spans="1:48" ht="20.100000000000001" customHeight="1" x14ac:dyDescent="0.25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47"/>
      <c r="H734" s="48"/>
      <c r="N734" s="39"/>
      <c r="Q734" s="43"/>
      <c r="R734" s="49"/>
      <c r="S734" s="50"/>
      <c r="U734" s="51"/>
      <c r="V734" s="46"/>
      <c r="W734" s="51" t="str">
        <f>IF(NOTA[[#This Row],[HARGA/ CTN]]="",NOTA[[#This Row],[JUMLAH_H]],NOTA[[#This Row],[HARGA/ CTN]]*IF(NOTA[[#This Row],[C]]="",0,NOTA[[#This Row],[C]]))</f>
        <v/>
      </c>
      <c r="X734" s="51" t="str">
        <f>IF(NOTA[[#This Row],[JUMLAH]]="","",NOTA[[#This Row],[JUMLAH]]*NOTA[[#This Row],[DISC 1]])</f>
        <v/>
      </c>
      <c r="Y734" s="51" t="str">
        <f>IF(NOTA[[#This Row],[JUMLAH]]="","",(NOTA[[#This Row],[JUMLAH]]-NOTA[[#This Row],[DISC 1-]])*NOTA[[#This Row],[DISC 2]])</f>
        <v/>
      </c>
      <c r="Z734" s="51" t="str">
        <f>IF(NOTA[[#This Row],[JUMLAH]]="","",NOTA[[#This Row],[DISC 1-]]+NOTA[[#This Row],[DISC 2-]])</f>
        <v/>
      </c>
      <c r="AA734" s="51" t="str">
        <f>IF(NOTA[[#This Row],[JUMLAH]]="","",NOTA[[#This Row],[JUMLAH]]-NOTA[[#This Row],[DISC]])</f>
        <v/>
      </c>
      <c r="AB734" s="51"/>
      <c r="AC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51" t="str">
        <f>IF(OR(NOTA[[#This Row],[QTY]]="",NOTA[[#This Row],[HARGA SATUAN]]="",),"",NOTA[[#This Row],[QTY]]*NOTA[[#This Row],[HARGA SATUAN]])</f>
        <v/>
      </c>
      <c r="AG734" s="40" t="str">
        <f ca="1">IF(NOTA[ID_H]="","",INDEX(NOTA[TANGGAL],MATCH(,INDIRECT(ADDRESS(ROW(NOTA[TANGGAL]),COLUMN(NOTA[TANGGAL]))&amp;":"&amp;ADDRESS(ROW(),COLUMN(NOTA[TANGGAL]))),-1)))</f>
        <v/>
      </c>
      <c r="AH734" s="42" t="str">
        <f ca="1">IF(NOTA[[#This Row],[NAMA BARANG]]="","",INDEX(NOTA[SUPPLIER],MATCH(,INDIRECT(ADDRESS(ROW(NOTA[ID]),COLUMN(NOTA[ID]))&amp;":"&amp;ADDRESS(ROW(),COLUMN(NOTA[ID]))),-1)))</f>
        <v/>
      </c>
      <c r="AI734" s="42" t="str">
        <f ca="1">IF(NOTA[[#This Row],[ID_H]]="","",IF(NOTA[[#This Row],[FAKTUR]]="",INDIRECT(ADDRESS(ROW()-1,COLUMN())),NOTA[[#This Row],[FAKTUR]]))</f>
        <v/>
      </c>
      <c r="AJ734" s="39" t="str">
        <f ca="1">IF(NOTA[[#This Row],[ID]]="","",COUNTIF(NOTA[ID_H],NOTA[[#This Row],[ID_H]]))</f>
        <v/>
      </c>
      <c r="AK734" s="39" t="str">
        <f ca="1">IF(NOTA[[#This Row],[TGL.NOTA]]="",IF(NOTA[[#This Row],[SUPPLIER_H]]="","",AK733),MONTH(NOTA[[#This Row],[TGL.NOTA]]))</f>
        <v/>
      </c>
      <c r="AL734" s="39" t="str">
        <f>LOWER(SUBSTITUTE(SUBSTITUTE(SUBSTITUTE(SUBSTITUTE(SUBSTITUTE(SUBSTITUTE(SUBSTITUTE(SUBSTITUTE(SUBSTITUTE(NOTA[NAMA BARANG]," ",),".",""),"-",""),"(",""),")",""),",",""),"/",""),"""",""),"+",""))</f>
        <v/>
      </c>
      <c r="AM7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39" t="str">
        <f>IF(NOTA[[#This Row],[CONCAT4]]="","",_xlfn.IFNA(MATCH(NOTA[[#This Row],[CONCAT4]],[2]!RAW[CONCAT_H],0),FALSE))</f>
        <v/>
      </c>
      <c r="AQ734" s="39" t="str">
        <f>IF(NOTA[[#This Row],[CONCAT1]]="","",MATCH(NOTA[[#This Row],[CONCAT1]],[3]!db[NB NOTA_C],0))</f>
        <v/>
      </c>
      <c r="AR734" s="39" t="str">
        <f>IF(NOTA[[#This Row],[QTY/ CTN]]="","",TRUE)</f>
        <v/>
      </c>
      <c r="AS734" s="39" t="str">
        <f ca="1">IF(NOTA[[#This Row],[ID_H]]="","",IF(NOTA[[#This Row],[Column3]]=TRUE,NOTA[[#This Row],[QTY/ CTN]],INDEX([3]!db[QTY/ CTN],NOTA[[#This Row],[//DB]])))</f>
        <v/>
      </c>
      <c r="AT7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39" t="str">
        <f ca="1">IF(NOTA[[#This Row],[ID_H]]="","",MATCH(NOTA[[#This Row],[NB NOTA_C_QTY]],[4]!db[NB NOTA_C_QTY+F],0))</f>
        <v/>
      </c>
      <c r="AV734" s="55" t="str">
        <f ca="1">IF(NOTA[[#This Row],[NB NOTA_C_QTY]]="","",ROW()-2)</f>
        <v/>
      </c>
    </row>
    <row r="735" spans="1:48" ht="20.100000000000001" customHeight="1" x14ac:dyDescent="0.25">
      <c r="A735" s="4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WIN_2707_LGS-4</v>
      </c>
      <c r="C735" s="39" t="e">
        <f ca="1">IF(NOTA[[#This Row],[ID_P]]="","",MATCH(NOTA[[#This Row],[ID_P]],[1]!B_MSK[N_ID],0))</f>
        <v>#REF!</v>
      </c>
      <c r="D735" s="39">
        <f ca="1">IF(NOTA[[#This Row],[NAMA BARANG]]="","",INDEX(NOTA[ID],MATCH(,INDIRECT(ADDRESS(ROW(NOTA[ID]),COLUMN(NOTA[ID]))&amp;":"&amp;ADDRESS(ROW(),COLUMN(NOTA[ID]))),-1)))</f>
        <v>143</v>
      </c>
      <c r="E735" s="47">
        <v>45134</v>
      </c>
      <c r="F735" s="38" t="s">
        <v>613</v>
      </c>
      <c r="G735" s="38" t="s">
        <v>145</v>
      </c>
      <c r="H735" s="48" t="s">
        <v>807</v>
      </c>
      <c r="J735" s="40">
        <v>45131</v>
      </c>
      <c r="L735" s="38" t="s">
        <v>808</v>
      </c>
      <c r="M735" s="41">
        <v>8</v>
      </c>
      <c r="N735" s="39">
        <f>40*8</f>
        <v>320</v>
      </c>
      <c r="O735" s="38" t="s">
        <v>117</v>
      </c>
      <c r="P735" s="42">
        <f>740000/40</f>
        <v>18500</v>
      </c>
      <c r="Q735" s="43"/>
      <c r="R735" s="49" t="s">
        <v>559</v>
      </c>
      <c r="S735" s="50"/>
      <c r="U735" s="51"/>
      <c r="V735" s="46"/>
      <c r="W735" s="51">
        <f>IF(NOTA[[#This Row],[HARGA/ CTN]]="",NOTA[[#This Row],[JUMLAH_H]],NOTA[[#This Row],[HARGA/ CTN]]*IF(NOTA[[#This Row],[C]]="",0,NOTA[[#This Row],[C]]))</f>
        <v>5920000</v>
      </c>
      <c r="X735" s="51">
        <f>IF(NOTA[[#This Row],[JUMLAH]]="","",NOTA[[#This Row],[JUMLAH]]*NOTA[[#This Row],[DISC 1]])</f>
        <v>0</v>
      </c>
      <c r="Y735" s="51">
        <f>IF(NOTA[[#This Row],[JUMLAH]]="","",(NOTA[[#This Row],[JUMLAH]]-NOTA[[#This Row],[DISC 1-]])*NOTA[[#This Row],[DISC 2]])</f>
        <v>0</v>
      </c>
      <c r="Z735" s="51">
        <f>IF(NOTA[[#This Row],[JUMLAH]]="","",NOTA[[#This Row],[DISC 1-]]+NOTA[[#This Row],[DISC 2-]])</f>
        <v>0</v>
      </c>
      <c r="AA735" s="51">
        <f>IF(NOTA[[#This Row],[JUMLAH]]="","",NOTA[[#This Row],[JUMLAH]]-NOTA[[#This Row],[DISC]])</f>
        <v>5920000</v>
      </c>
      <c r="AB735" s="51"/>
      <c r="AC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735" s="51">
        <f>IF(OR(NOTA[[#This Row],[QTY]]="",NOTA[[#This Row],[HARGA SATUAN]]="",),"",NOTA[[#This Row],[QTY]]*NOTA[[#This Row],[HARGA SATUAN]])</f>
        <v>5920000</v>
      </c>
      <c r="AG735" s="40">
        <f ca="1">IF(NOTA[ID_H]="","",INDEX(NOTA[TANGGAL],MATCH(,INDIRECT(ADDRESS(ROW(NOTA[TANGGAL]),COLUMN(NOTA[TANGGAL]))&amp;":"&amp;ADDRESS(ROW(),COLUMN(NOTA[TANGGAL]))),-1)))</f>
        <v>45134</v>
      </c>
      <c r="AH735" s="42" t="str">
        <f ca="1">IF(NOTA[[#This Row],[NAMA BARANG]]="","",INDEX(NOTA[SUPPLIER],MATCH(,INDIRECT(ADDRESS(ROW(NOTA[ID]),COLUMN(NOTA[ID]))&amp;":"&amp;ADDRESS(ROW(),COLUMN(NOTA[ID]))),-1)))</f>
        <v>WIN'S SENTOSA</v>
      </c>
      <c r="AI735" s="42" t="str">
        <f ca="1">IF(NOTA[[#This Row],[ID_H]]="","",IF(NOTA[[#This Row],[FAKTUR]]="",INDIRECT(ADDRESS(ROW()-1,COLUMN())),NOTA[[#This Row],[FAKTUR]]))</f>
        <v>UNTANA</v>
      </c>
      <c r="AJ735" s="39">
        <f ca="1">IF(NOTA[[#This Row],[ID]]="","",COUNTIF(NOTA[ID_H],NOTA[[#This Row],[ID_H]]))</f>
        <v>4</v>
      </c>
      <c r="AK735" s="39">
        <f>IF(NOTA[[#This Row],[TGL.NOTA]]="",IF(NOTA[[#This Row],[SUPPLIER_H]]="","",AK734),MONTH(NOTA[[#This Row],[TGL.NOTA]]))</f>
        <v>7</v>
      </c>
      <c r="AL735" s="39" t="str">
        <f>LOWER(SUBSTITUTE(SUBSTITUTE(SUBSTITUTE(SUBSTITUTE(SUBSTITUTE(SUBSTITUTE(SUBSTITUTE(SUBSTITUTE(SUBSTITUTE(NOTA[NAMA BARANG]," ",),".",""),"-",""),"(",""),")",""),",",""),"/",""),"""",""),"+",""))</f>
        <v>pitajpnlistgoldmixonecolor</v>
      </c>
      <c r="AM7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pitajpnlistgoldmixonecolor740000</v>
      </c>
      <c r="AN7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pitajpnlistgoldmixonecolor740000</v>
      </c>
      <c r="AO735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SENTOSAUNTANASI-2023/07-0200/LGS45131pitajpnlistgoldmixonecolor</v>
      </c>
      <c r="AP735" s="39" t="e">
        <f>IF(NOTA[[#This Row],[CONCAT4]]="","",_xlfn.IFNA(MATCH(NOTA[[#This Row],[CONCAT4]],[2]!RAW[CONCAT_H],0),FALSE))</f>
        <v>#REF!</v>
      </c>
      <c r="AQ735" s="39">
        <f>IF(NOTA[[#This Row],[CONCAT1]]="","",MATCH(NOTA[[#This Row],[CONCAT1]],[3]!db[NB NOTA_C],0))</f>
        <v>2256</v>
      </c>
      <c r="AR735" s="39" t="b">
        <f>IF(NOTA[[#This Row],[QTY/ CTN]]="","",TRUE)</f>
        <v>1</v>
      </c>
      <c r="AS735" s="39" t="str">
        <f ca="1">IF(NOTA[[#This Row],[ID_H]]="","",IF(NOTA[[#This Row],[Column3]]=TRUE,NOTA[[#This Row],[QTY/ CTN]],INDEX([3]!db[QTY/ CTN],NOTA[[#This Row],[//DB]])))</f>
        <v>40 PCS</v>
      </c>
      <c r="AT7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pitajpnlistgoldmixonecolor40pcsuntana</v>
      </c>
      <c r="AU735" s="39" t="e">
        <f ca="1">IF(NOTA[[#This Row],[ID_H]]="","",MATCH(NOTA[[#This Row],[NB NOTA_C_QTY]],[4]!db[NB NOTA_C_QTY+F],0))</f>
        <v>#REF!</v>
      </c>
      <c r="AV735" s="55">
        <f ca="1">IF(NOTA[[#This Row],[NB NOTA_C_QTY]]="","",ROW()-2)</f>
        <v>733</v>
      </c>
    </row>
    <row r="736" spans="1:48" ht="20.100000000000001" customHeight="1" x14ac:dyDescent="0.25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>
        <f ca="1">IF(NOTA[[#This Row],[NAMA BARANG]]="","",INDEX(NOTA[ID],MATCH(,INDIRECT(ADDRESS(ROW(NOTA[ID]),COLUMN(NOTA[ID]))&amp;":"&amp;ADDRESS(ROW(),COLUMN(NOTA[ID]))),-1)))</f>
        <v>143</v>
      </c>
      <c r="E736" s="47"/>
      <c r="H736" s="48"/>
      <c r="L736" s="38" t="s">
        <v>809</v>
      </c>
      <c r="M736" s="41">
        <v>2</v>
      </c>
      <c r="N736" s="39">
        <f>80</f>
        <v>80</v>
      </c>
      <c r="O736" s="38" t="s">
        <v>117</v>
      </c>
      <c r="P736" s="42">
        <f>740000/40</f>
        <v>18500</v>
      </c>
      <c r="Q736" s="43"/>
      <c r="R736" s="49" t="s">
        <v>559</v>
      </c>
      <c r="S736" s="50"/>
      <c r="U736" s="51"/>
      <c r="V736" s="46"/>
      <c r="W736" s="51">
        <f>IF(NOTA[[#This Row],[HARGA/ CTN]]="",NOTA[[#This Row],[JUMLAH_H]],NOTA[[#This Row],[HARGA/ CTN]]*IF(NOTA[[#This Row],[C]]="",0,NOTA[[#This Row],[C]]))</f>
        <v>1480000</v>
      </c>
      <c r="X736" s="51">
        <f>IF(NOTA[[#This Row],[JUMLAH]]="","",NOTA[[#This Row],[JUMLAH]]*NOTA[[#This Row],[DISC 1]])</f>
        <v>0</v>
      </c>
      <c r="Y736" s="51">
        <f>IF(NOTA[[#This Row],[JUMLAH]]="","",(NOTA[[#This Row],[JUMLAH]]-NOTA[[#This Row],[DISC 1-]])*NOTA[[#This Row],[DISC 2]])</f>
        <v>0</v>
      </c>
      <c r="Z736" s="51">
        <f>IF(NOTA[[#This Row],[JUMLAH]]="","",NOTA[[#This Row],[DISC 1-]]+NOTA[[#This Row],[DISC 2-]])</f>
        <v>0</v>
      </c>
      <c r="AA736" s="51">
        <f>IF(NOTA[[#This Row],[JUMLAH]]="","",NOTA[[#This Row],[JUMLAH]]-NOTA[[#This Row],[DISC]])</f>
        <v>1480000</v>
      </c>
      <c r="AB736" s="51"/>
      <c r="AC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736" s="51">
        <f>IF(OR(NOTA[[#This Row],[QTY]]="",NOTA[[#This Row],[HARGA SATUAN]]="",),"",NOTA[[#This Row],[QTY]]*NOTA[[#This Row],[HARGA SATUAN]])</f>
        <v>1480000</v>
      </c>
      <c r="AG736" s="40">
        <f ca="1">IF(NOTA[ID_H]="","",INDEX(NOTA[TANGGAL],MATCH(,INDIRECT(ADDRESS(ROW(NOTA[TANGGAL]),COLUMN(NOTA[TANGGAL]))&amp;":"&amp;ADDRESS(ROW(),COLUMN(NOTA[TANGGAL]))),-1)))</f>
        <v>45134</v>
      </c>
      <c r="AH736" s="42" t="str">
        <f ca="1">IF(NOTA[[#This Row],[NAMA BARANG]]="","",INDEX(NOTA[SUPPLIER],MATCH(,INDIRECT(ADDRESS(ROW(NOTA[ID]),COLUMN(NOTA[ID]))&amp;":"&amp;ADDRESS(ROW(),COLUMN(NOTA[ID]))),-1)))</f>
        <v>WIN'S SENTOSA</v>
      </c>
      <c r="AI736" s="42" t="str">
        <f ca="1">IF(NOTA[[#This Row],[ID_H]]="","",IF(NOTA[[#This Row],[FAKTUR]]="",INDIRECT(ADDRESS(ROW()-1,COLUMN())),NOTA[[#This Row],[FAKTUR]]))</f>
        <v>UNTANA</v>
      </c>
      <c r="AJ736" s="39" t="str">
        <f ca="1">IF(NOTA[[#This Row],[ID]]="","",COUNTIF(NOTA[ID_H],NOTA[[#This Row],[ID_H]]))</f>
        <v/>
      </c>
      <c r="AK736" s="39">
        <f ca="1">IF(NOTA[[#This Row],[TGL.NOTA]]="",IF(NOTA[[#This Row],[SUPPLIER_H]]="","",AK735),MONTH(NOTA[[#This Row],[TGL.NOTA]]))</f>
        <v>7</v>
      </c>
      <c r="AL736" s="39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7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pitajpnlistgoldmixb740000</v>
      </c>
      <c r="AN7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pitajpnlistgoldmixb740000</v>
      </c>
      <c r="AO7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39" t="str">
        <f>IF(NOTA[[#This Row],[CONCAT4]]="","",_xlfn.IFNA(MATCH(NOTA[[#This Row],[CONCAT4]],[2]!RAW[CONCAT_H],0),FALSE))</f>
        <v/>
      </c>
      <c r="AQ736" s="39">
        <f>IF(NOTA[[#This Row],[CONCAT1]]="","",MATCH(NOTA[[#This Row],[CONCAT1]],[3]!db[NB NOTA_C],0))</f>
        <v>2254</v>
      </c>
      <c r="AR736" s="39" t="b">
        <f>IF(NOTA[[#This Row],[QTY/ CTN]]="","",TRUE)</f>
        <v>1</v>
      </c>
      <c r="AS736" s="39" t="str">
        <f ca="1">IF(NOTA[[#This Row],[ID_H]]="","",IF(NOTA[[#This Row],[Column3]]=TRUE,NOTA[[#This Row],[QTY/ CTN]],INDEX([3]!db[QTY/ CTN],NOTA[[#This Row],[//DB]])))</f>
        <v>40 PCS</v>
      </c>
      <c r="AT7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pitajpnlistgoldmixb40pcsuntana</v>
      </c>
      <c r="AU736" s="39" t="e">
        <f ca="1">IF(NOTA[[#This Row],[ID_H]]="","",MATCH(NOTA[[#This Row],[NB NOTA_C_QTY]],[4]!db[NB NOTA_C_QTY+F],0))</f>
        <v>#REF!</v>
      </c>
      <c r="AV736" s="55">
        <f ca="1">IF(NOTA[[#This Row],[NB NOTA_C_QTY]]="","",ROW()-2)</f>
        <v>734</v>
      </c>
    </row>
    <row r="737" spans="1:48" ht="20.100000000000001" customHeight="1" x14ac:dyDescent="0.25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>
        <f ca="1">IF(NOTA[[#This Row],[NAMA BARANG]]="","",INDEX(NOTA[ID],MATCH(,INDIRECT(ADDRESS(ROW(NOTA[ID]),COLUMN(NOTA[ID]))&amp;":"&amp;ADDRESS(ROW(),COLUMN(NOTA[ID]))),-1)))</f>
        <v>143</v>
      </c>
      <c r="E737" s="47"/>
      <c r="H737" s="48"/>
      <c r="L737" s="38" t="s">
        <v>810</v>
      </c>
      <c r="M737" s="41">
        <v>5</v>
      </c>
      <c r="N737" s="39">
        <f>40*5</f>
        <v>200</v>
      </c>
      <c r="O737" s="38" t="s">
        <v>117</v>
      </c>
      <c r="P737" s="42">
        <v>18500</v>
      </c>
      <c r="Q737" s="43"/>
      <c r="R737" s="49" t="s">
        <v>559</v>
      </c>
      <c r="S737" s="50"/>
      <c r="U737" s="51"/>
      <c r="V737" s="46"/>
      <c r="W737" s="51">
        <f>IF(NOTA[[#This Row],[HARGA/ CTN]]="",NOTA[[#This Row],[JUMLAH_H]],NOTA[[#This Row],[HARGA/ CTN]]*IF(NOTA[[#This Row],[C]]="",0,NOTA[[#This Row],[C]]))</f>
        <v>3700000</v>
      </c>
      <c r="X737" s="51">
        <f>IF(NOTA[[#This Row],[JUMLAH]]="","",NOTA[[#This Row],[JUMLAH]]*NOTA[[#This Row],[DISC 1]])</f>
        <v>0</v>
      </c>
      <c r="Y737" s="51">
        <f>IF(NOTA[[#This Row],[JUMLAH]]="","",(NOTA[[#This Row],[JUMLAH]]-NOTA[[#This Row],[DISC 1-]])*NOTA[[#This Row],[DISC 2]])</f>
        <v>0</v>
      </c>
      <c r="Z737" s="51">
        <f>IF(NOTA[[#This Row],[JUMLAH]]="","",NOTA[[#This Row],[DISC 1-]]+NOTA[[#This Row],[DISC 2-]])</f>
        <v>0</v>
      </c>
      <c r="AA737" s="51">
        <f>IF(NOTA[[#This Row],[JUMLAH]]="","",NOTA[[#This Row],[JUMLAH]]-NOTA[[#This Row],[DISC]])</f>
        <v>3700000</v>
      </c>
      <c r="AB737" s="51"/>
      <c r="AC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737" s="51">
        <f>IF(OR(NOTA[[#This Row],[QTY]]="",NOTA[[#This Row],[HARGA SATUAN]]="",),"",NOTA[[#This Row],[QTY]]*NOTA[[#This Row],[HARGA SATUAN]])</f>
        <v>3700000</v>
      </c>
      <c r="AG737" s="40">
        <f ca="1">IF(NOTA[ID_H]="","",INDEX(NOTA[TANGGAL],MATCH(,INDIRECT(ADDRESS(ROW(NOTA[TANGGAL]),COLUMN(NOTA[TANGGAL]))&amp;":"&amp;ADDRESS(ROW(),COLUMN(NOTA[TANGGAL]))),-1)))</f>
        <v>45134</v>
      </c>
      <c r="AH737" s="42" t="str">
        <f ca="1">IF(NOTA[[#This Row],[NAMA BARANG]]="","",INDEX(NOTA[SUPPLIER],MATCH(,INDIRECT(ADDRESS(ROW(NOTA[ID]),COLUMN(NOTA[ID]))&amp;":"&amp;ADDRESS(ROW(),COLUMN(NOTA[ID]))),-1)))</f>
        <v>WIN'S SENTOSA</v>
      </c>
      <c r="AI737" s="42" t="str">
        <f ca="1">IF(NOTA[[#This Row],[ID_H]]="","",IF(NOTA[[#This Row],[FAKTUR]]="",INDIRECT(ADDRESS(ROW()-1,COLUMN())),NOTA[[#This Row],[FAKTUR]]))</f>
        <v>UNTANA</v>
      </c>
      <c r="AJ737" s="39" t="str">
        <f ca="1">IF(NOTA[[#This Row],[ID]]="","",COUNTIF(NOTA[ID_H],NOTA[[#This Row],[ID_H]]))</f>
        <v/>
      </c>
      <c r="AK737" s="39">
        <f ca="1">IF(NOTA[[#This Row],[TGL.NOTA]]="",IF(NOTA[[#This Row],[SUPPLIER_H]]="","",AK736),MONTH(NOTA[[#This Row],[TGL.NOTA]]))</f>
        <v>7</v>
      </c>
      <c r="AL737" s="39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7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pitajpnmotifpolosmixb740000</v>
      </c>
      <c r="AN7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pitajpnmotifpolosmixb740000</v>
      </c>
      <c r="AO7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39" t="str">
        <f>IF(NOTA[[#This Row],[CONCAT4]]="","",_xlfn.IFNA(MATCH(NOTA[[#This Row],[CONCAT4]],[2]!RAW[CONCAT_H],0),FALSE))</f>
        <v/>
      </c>
      <c r="AQ737" s="39">
        <f>IF(NOTA[[#This Row],[CONCAT1]]="","",MATCH(NOTA[[#This Row],[CONCAT1]],[3]!db[NB NOTA_C],0))</f>
        <v>2261</v>
      </c>
      <c r="AR737" s="39" t="b">
        <f>IF(NOTA[[#This Row],[QTY/ CTN]]="","",TRUE)</f>
        <v>1</v>
      </c>
      <c r="AS737" s="39" t="str">
        <f ca="1">IF(NOTA[[#This Row],[ID_H]]="","",IF(NOTA[[#This Row],[Column3]]=TRUE,NOTA[[#This Row],[QTY/ CTN]],INDEX([3]!db[QTY/ CTN],NOTA[[#This Row],[//DB]])))</f>
        <v>40 PCS</v>
      </c>
      <c r="AT7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pitajpnmotifpolosmixb40pcsuntana</v>
      </c>
      <c r="AU737" s="39" t="e">
        <f ca="1">IF(NOTA[[#This Row],[ID_H]]="","",MATCH(NOTA[[#This Row],[NB NOTA_C_QTY]],[4]!db[NB NOTA_C_QTY+F],0))</f>
        <v>#REF!</v>
      </c>
      <c r="AV737" s="55">
        <f ca="1">IF(NOTA[[#This Row],[NB NOTA_C_QTY]]="","",ROW()-2)</f>
        <v>735</v>
      </c>
    </row>
    <row r="738" spans="1:48" ht="20.100000000000001" customHeight="1" x14ac:dyDescent="0.25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>
        <f ca="1">IF(NOTA[[#This Row],[NAMA BARANG]]="","",INDEX(NOTA[ID],MATCH(,INDIRECT(ADDRESS(ROW(NOTA[ID]),COLUMN(NOTA[ID]))&amp;":"&amp;ADDRESS(ROW(),COLUMN(NOTA[ID]))),-1)))</f>
        <v>143</v>
      </c>
      <c r="E738" s="47"/>
      <c r="H738" s="48"/>
      <c r="L738" s="38" t="s">
        <v>811</v>
      </c>
      <c r="M738" s="41">
        <v>10</v>
      </c>
      <c r="N738" s="39">
        <v>400</v>
      </c>
      <c r="O738" s="38" t="s">
        <v>117</v>
      </c>
      <c r="P738" s="42">
        <v>18500</v>
      </c>
      <c r="Q738" s="43"/>
      <c r="R738" s="49" t="s">
        <v>559</v>
      </c>
      <c r="S738" s="50"/>
      <c r="U738" s="51"/>
      <c r="V738" s="46"/>
      <c r="W738" s="51">
        <f>IF(NOTA[[#This Row],[HARGA/ CTN]]="",NOTA[[#This Row],[JUMLAH_H]],NOTA[[#This Row],[HARGA/ CTN]]*IF(NOTA[[#This Row],[C]]="",0,NOTA[[#This Row],[C]]))</f>
        <v>7400000</v>
      </c>
      <c r="X738" s="51">
        <f>IF(NOTA[[#This Row],[JUMLAH]]="","",NOTA[[#This Row],[JUMLAH]]*NOTA[[#This Row],[DISC 1]])</f>
        <v>0</v>
      </c>
      <c r="Y738" s="51">
        <f>IF(NOTA[[#This Row],[JUMLAH]]="","",(NOTA[[#This Row],[JUMLAH]]-NOTA[[#This Row],[DISC 1-]])*NOTA[[#This Row],[DISC 2]])</f>
        <v>0</v>
      </c>
      <c r="Z738" s="51">
        <f>IF(NOTA[[#This Row],[JUMLAH]]="","",NOTA[[#This Row],[DISC 1-]]+NOTA[[#This Row],[DISC 2-]])</f>
        <v>0</v>
      </c>
      <c r="AA738" s="51">
        <f>IF(NOTA[[#This Row],[JUMLAH]]="","",NOTA[[#This Row],[JUMLAH]]-NOTA[[#This Row],[DISC]])</f>
        <v>7400000</v>
      </c>
      <c r="AB738" s="51"/>
      <c r="AC7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18500000</v>
      </c>
      <c r="AE738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738" s="51">
        <f>IF(OR(NOTA[[#This Row],[QTY]]="",NOTA[[#This Row],[HARGA SATUAN]]="",),"",NOTA[[#This Row],[QTY]]*NOTA[[#This Row],[HARGA SATUAN]])</f>
        <v>7400000</v>
      </c>
      <c r="AG738" s="40">
        <f ca="1">IF(NOTA[ID_H]="","",INDEX(NOTA[TANGGAL],MATCH(,INDIRECT(ADDRESS(ROW(NOTA[TANGGAL]),COLUMN(NOTA[TANGGAL]))&amp;":"&amp;ADDRESS(ROW(),COLUMN(NOTA[TANGGAL]))),-1)))</f>
        <v>45134</v>
      </c>
      <c r="AH738" s="42" t="str">
        <f ca="1">IF(NOTA[[#This Row],[NAMA BARANG]]="","",INDEX(NOTA[SUPPLIER],MATCH(,INDIRECT(ADDRESS(ROW(NOTA[ID]),COLUMN(NOTA[ID]))&amp;":"&amp;ADDRESS(ROW(),COLUMN(NOTA[ID]))),-1)))</f>
        <v>WIN'S SENTOSA</v>
      </c>
      <c r="AI738" s="42" t="str">
        <f ca="1">IF(NOTA[[#This Row],[ID_H]]="","",IF(NOTA[[#This Row],[FAKTUR]]="",INDIRECT(ADDRESS(ROW()-1,COLUMN())),NOTA[[#This Row],[FAKTUR]]))</f>
        <v>UNTANA</v>
      </c>
      <c r="AJ738" s="39" t="str">
        <f ca="1">IF(NOTA[[#This Row],[ID]]="","",COUNTIF(NOTA[ID_H],NOTA[[#This Row],[ID_H]]))</f>
        <v/>
      </c>
      <c r="AK738" s="39">
        <f ca="1">IF(NOTA[[#This Row],[TGL.NOTA]]="",IF(NOTA[[#This Row],[SUPPLIER_H]]="","",AK737),MONTH(NOTA[[#This Row],[TGL.NOTA]]))</f>
        <v>7</v>
      </c>
      <c r="AL738" s="39" t="str">
        <f>LOWER(SUBSTITUTE(SUBSTITUTE(SUBSTITUTE(SUBSTITUTE(SUBSTITUTE(SUBSTITUTE(SUBSTITUTE(SUBSTITUTE(SUBSTITUTE(NOTA[NAMA BARANG]," ",),".",""),"-",""),"(",""),")",""),",",""),"/",""),"""",""),"+",""))</f>
        <v>pitajpnmotifpolosmix</v>
      </c>
      <c r="AM7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pitajpnmotifpolosmix740000</v>
      </c>
      <c r="AN7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pitajpnmotifpolosmix740000</v>
      </c>
      <c r="AO7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39" t="str">
        <f>IF(NOTA[[#This Row],[CONCAT4]]="","",_xlfn.IFNA(MATCH(NOTA[[#This Row],[CONCAT4]],[2]!RAW[CONCAT_H],0),FALSE))</f>
        <v/>
      </c>
      <c r="AQ738" s="39">
        <f>IF(NOTA[[#This Row],[CONCAT1]]="","",MATCH(NOTA[[#This Row],[CONCAT1]],[3]!db[NB NOTA_C],0))</f>
        <v>2260</v>
      </c>
      <c r="AR738" s="39" t="b">
        <f>IF(NOTA[[#This Row],[QTY/ CTN]]="","",TRUE)</f>
        <v>1</v>
      </c>
      <c r="AS738" s="39" t="str">
        <f ca="1">IF(NOTA[[#This Row],[ID_H]]="","",IF(NOTA[[#This Row],[Column3]]=TRUE,NOTA[[#This Row],[QTY/ CTN]],INDEX([3]!db[QTY/ CTN],NOTA[[#This Row],[//DB]])))</f>
        <v>40 PCS</v>
      </c>
      <c r="AT7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pitajpnmotifpolosmix40pcsuntana</v>
      </c>
      <c r="AU738" s="39" t="e">
        <f ca="1">IF(NOTA[[#This Row],[ID_H]]="","",MATCH(NOTA[[#This Row],[NB NOTA_C_QTY]],[4]!db[NB NOTA_C_QTY+F],0))</f>
        <v>#REF!</v>
      </c>
      <c r="AV738" s="55">
        <f ca="1">IF(NOTA[[#This Row],[NB NOTA_C_QTY]]="","",ROW()-2)</f>
        <v>736</v>
      </c>
    </row>
    <row r="739" spans="1:48" ht="20.100000000000001" customHeight="1" x14ac:dyDescent="0.25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47"/>
      <c r="H739" s="48"/>
      <c r="N739" s="39"/>
      <c r="Q739" s="43"/>
      <c r="R739" s="49"/>
      <c r="S739" s="50"/>
      <c r="U739" s="51"/>
      <c r="V739" s="46"/>
      <c r="W739" s="51" t="str">
        <f>IF(NOTA[[#This Row],[HARGA/ CTN]]="",NOTA[[#This Row],[JUMLAH_H]],NOTA[[#This Row],[HARGA/ CTN]]*IF(NOTA[[#This Row],[C]]="",0,NOTA[[#This Row],[C]]))</f>
        <v/>
      </c>
      <c r="X739" s="51" t="str">
        <f>IF(NOTA[[#This Row],[JUMLAH]]="","",NOTA[[#This Row],[JUMLAH]]*NOTA[[#This Row],[DISC 1]])</f>
        <v/>
      </c>
      <c r="Y739" s="51" t="str">
        <f>IF(NOTA[[#This Row],[JUMLAH]]="","",(NOTA[[#This Row],[JUMLAH]]-NOTA[[#This Row],[DISC 1-]])*NOTA[[#This Row],[DISC 2]])</f>
        <v/>
      </c>
      <c r="Z739" s="51" t="str">
        <f>IF(NOTA[[#This Row],[JUMLAH]]="","",NOTA[[#This Row],[DISC 1-]]+NOTA[[#This Row],[DISC 2-]])</f>
        <v/>
      </c>
      <c r="AA739" s="51" t="str">
        <f>IF(NOTA[[#This Row],[JUMLAH]]="","",NOTA[[#This Row],[JUMLAH]]-NOTA[[#This Row],[DISC]])</f>
        <v/>
      </c>
      <c r="AB739" s="51"/>
      <c r="AC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51" t="str">
        <f>IF(OR(NOTA[[#This Row],[QTY]]="",NOTA[[#This Row],[HARGA SATUAN]]="",),"",NOTA[[#This Row],[QTY]]*NOTA[[#This Row],[HARGA SATUAN]])</f>
        <v/>
      </c>
      <c r="AG739" s="40" t="str">
        <f ca="1">IF(NOTA[ID_H]="","",INDEX(NOTA[TANGGAL],MATCH(,INDIRECT(ADDRESS(ROW(NOTA[TANGGAL]),COLUMN(NOTA[TANGGAL]))&amp;":"&amp;ADDRESS(ROW(),COLUMN(NOTA[TANGGAL]))),-1)))</f>
        <v/>
      </c>
      <c r="AH739" s="42" t="str">
        <f ca="1">IF(NOTA[[#This Row],[NAMA BARANG]]="","",INDEX(NOTA[SUPPLIER],MATCH(,INDIRECT(ADDRESS(ROW(NOTA[ID]),COLUMN(NOTA[ID]))&amp;":"&amp;ADDRESS(ROW(),COLUMN(NOTA[ID]))),-1)))</f>
        <v/>
      </c>
      <c r="AI739" s="42" t="str">
        <f ca="1">IF(NOTA[[#This Row],[ID_H]]="","",IF(NOTA[[#This Row],[FAKTUR]]="",INDIRECT(ADDRESS(ROW()-1,COLUMN())),NOTA[[#This Row],[FAKTUR]]))</f>
        <v/>
      </c>
      <c r="AJ739" s="39" t="str">
        <f ca="1">IF(NOTA[[#This Row],[ID]]="","",COUNTIF(NOTA[ID_H],NOTA[[#This Row],[ID_H]]))</f>
        <v/>
      </c>
      <c r="AK739" s="39" t="str">
        <f ca="1">IF(NOTA[[#This Row],[TGL.NOTA]]="",IF(NOTA[[#This Row],[SUPPLIER_H]]="","",AK738),MONTH(NOTA[[#This Row],[TGL.NOTA]]))</f>
        <v/>
      </c>
      <c r="AL739" s="39" t="str">
        <f>LOWER(SUBSTITUTE(SUBSTITUTE(SUBSTITUTE(SUBSTITUTE(SUBSTITUTE(SUBSTITUTE(SUBSTITUTE(SUBSTITUTE(SUBSTITUTE(NOTA[NAMA BARANG]," ",),".",""),"-",""),"(",""),")",""),",",""),"/",""),"""",""),"+",""))</f>
        <v/>
      </c>
      <c r="AM7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39" t="str">
        <f>IF(NOTA[[#This Row],[CONCAT4]]="","",_xlfn.IFNA(MATCH(NOTA[[#This Row],[CONCAT4]],[2]!RAW[CONCAT_H],0),FALSE))</f>
        <v/>
      </c>
      <c r="AQ739" s="39" t="str">
        <f>IF(NOTA[[#This Row],[CONCAT1]]="","",MATCH(NOTA[[#This Row],[CONCAT1]],[3]!db[NB NOTA_C],0))</f>
        <v/>
      </c>
      <c r="AR739" s="39" t="str">
        <f>IF(NOTA[[#This Row],[QTY/ CTN]]="","",TRUE)</f>
        <v/>
      </c>
      <c r="AS739" s="39" t="str">
        <f ca="1">IF(NOTA[[#This Row],[ID_H]]="","",IF(NOTA[[#This Row],[Column3]]=TRUE,NOTA[[#This Row],[QTY/ CTN]],INDEX([3]!db[QTY/ CTN],NOTA[[#This Row],[//DB]])))</f>
        <v/>
      </c>
      <c r="AT7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39" t="str">
        <f ca="1">IF(NOTA[[#This Row],[ID_H]]="","",MATCH(NOTA[[#This Row],[NB NOTA_C_QTY]],[4]!db[NB NOTA_C_QTY+F],0))</f>
        <v/>
      </c>
      <c r="AV739" s="55" t="str">
        <f ca="1">IF(NOTA[[#This Row],[NB NOTA_C_QTY]]="","",ROW()-2)</f>
        <v/>
      </c>
    </row>
    <row r="740" spans="1:48" ht="20.100000000000001" customHeight="1" x14ac:dyDescent="0.25">
      <c r="A740" s="42">
        <f ca="1">IF(INDIRECT(ADDRESS(ROW()-1,COLUMN(NOTA[[#Headers],[ID]])))="ID",1,IF(NOTA[[#This Row],[FAKTUR]]="","",COUNT(INDIRECT(ADDRESS(ROW(NOTA[ID]),COLUMN(NOTA[ID]))&amp;":"&amp;ADDRESS(ROW()-1,COLUMN(NOTA[ID]))))+1))</f>
        <v>144</v>
      </c>
      <c r="B7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COM_2707_750-3</v>
      </c>
      <c r="C740" s="39" t="e">
        <f ca="1">IF(NOTA[[#This Row],[ID_P]]="","",MATCH(NOTA[[#This Row],[ID_P]],[1]!B_MSK[N_ID],0))</f>
        <v>#REF!</v>
      </c>
      <c r="D740" s="39">
        <f ca="1">IF(NOTA[[#This Row],[NAMA BARANG]]="","",INDEX(NOTA[ID],MATCH(,INDIRECT(ADDRESS(ROW(NOTA[ID]),COLUMN(NOTA[ID]))&amp;":"&amp;ADDRESS(ROW(),COLUMN(NOTA[ID]))),-1)))</f>
        <v>144</v>
      </c>
      <c r="E740" s="47"/>
      <c r="F740" s="38" t="s">
        <v>252</v>
      </c>
      <c r="G740" s="38" t="s">
        <v>145</v>
      </c>
      <c r="H740" s="48" t="s">
        <v>812</v>
      </c>
      <c r="J740" s="40">
        <v>45134</v>
      </c>
      <c r="L740" s="38" t="s">
        <v>255</v>
      </c>
      <c r="M740" s="41">
        <v>1</v>
      </c>
      <c r="N740" s="39">
        <v>8</v>
      </c>
      <c r="O740" s="38" t="s">
        <v>152</v>
      </c>
      <c r="P740" s="42">
        <v>195000</v>
      </c>
      <c r="Q740" s="43"/>
      <c r="R740" s="49" t="s">
        <v>486</v>
      </c>
      <c r="S740" s="50"/>
      <c r="U740" s="51"/>
      <c r="V740" s="46"/>
      <c r="W740" s="51">
        <f>IF(NOTA[[#This Row],[HARGA/ CTN]]="",NOTA[[#This Row],[JUMLAH_H]],NOTA[[#This Row],[HARGA/ CTN]]*IF(NOTA[[#This Row],[C]]="",0,NOTA[[#This Row],[C]]))</f>
        <v>1560000</v>
      </c>
      <c r="X740" s="51">
        <f>IF(NOTA[[#This Row],[JUMLAH]]="","",NOTA[[#This Row],[JUMLAH]]*NOTA[[#This Row],[DISC 1]])</f>
        <v>0</v>
      </c>
      <c r="Y740" s="51">
        <f>IF(NOTA[[#This Row],[JUMLAH]]="","",(NOTA[[#This Row],[JUMLAH]]-NOTA[[#This Row],[DISC 1-]])*NOTA[[#This Row],[DISC 2]])</f>
        <v>0</v>
      </c>
      <c r="Z740" s="51">
        <f>IF(NOTA[[#This Row],[JUMLAH]]="","",NOTA[[#This Row],[DISC 1-]]+NOTA[[#This Row],[DISC 2-]])</f>
        <v>0</v>
      </c>
      <c r="AA740" s="51">
        <f>IF(NOTA[[#This Row],[JUMLAH]]="","",NOTA[[#This Row],[JUMLAH]]-NOTA[[#This Row],[DISC]])</f>
        <v>1560000</v>
      </c>
      <c r="AB740" s="51"/>
      <c r="AC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40" s="51">
        <f>IF(OR(NOTA[[#This Row],[QTY]]="",NOTA[[#This Row],[HARGA SATUAN]]="",),"",NOTA[[#This Row],[QTY]]*NOTA[[#This Row],[HARGA SATUAN]])</f>
        <v>1560000</v>
      </c>
      <c r="AG740" s="40">
        <f ca="1">IF(NOTA[ID_H]="","",INDEX(NOTA[TANGGAL],MATCH(,INDIRECT(ADDRESS(ROW(NOTA[TANGGAL]),COLUMN(NOTA[TANGGAL]))&amp;":"&amp;ADDRESS(ROW(),COLUMN(NOTA[TANGGAL]))),-1)))</f>
        <v>45134</v>
      </c>
      <c r="AH740" s="42" t="str">
        <f ca="1">IF(NOTA[[#This Row],[NAMA BARANG]]="","",INDEX(NOTA[SUPPLIER],MATCH(,INDIRECT(ADDRESS(ROW(NOTA[ID]),COLUMN(NOTA[ID]))&amp;":"&amp;ADDRESS(ROW(),COLUMN(NOTA[ID]))),-1)))</f>
        <v>COMBI</v>
      </c>
      <c r="AI740" s="42" t="str">
        <f ca="1">IF(NOTA[[#This Row],[ID_H]]="","",IF(NOTA[[#This Row],[FAKTUR]]="",INDIRECT(ADDRESS(ROW()-1,COLUMN())),NOTA[[#This Row],[FAKTUR]]))</f>
        <v>UNTANA</v>
      </c>
      <c r="AJ740" s="39">
        <f ca="1">IF(NOTA[[#This Row],[ID]]="","",COUNTIF(NOTA[ID_H],NOTA[[#This Row],[ID_H]]))</f>
        <v>3</v>
      </c>
      <c r="AK740" s="39">
        <f>IF(NOTA[[#This Row],[TGL.NOTA]]="",IF(NOTA[[#This Row],[SUPPLIER_H]]="","",AK739),MONTH(NOTA[[#This Row],[TGL.NOTA]]))</f>
        <v>7</v>
      </c>
      <c r="AL740" s="39" t="str">
        <f>LOWER(SUBSTITUTE(SUBSTITUTE(SUBSTITUTE(SUBSTITUTE(SUBSTITUTE(SUBSTITUTE(SUBSTITUTE(SUBSTITUTE(SUBSTITUTE(NOTA[NAMA BARANG]," ",),".",""),"-",""),"(",""),")",""),",",""),"/",""),"""",""),"+",""))</f>
        <v>docritprestige</v>
      </c>
      <c r="AM7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7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740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COMBIUNTANA075045134docritprestige</v>
      </c>
      <c r="AP740" s="39" t="e">
        <f>IF(NOTA[[#This Row],[CONCAT4]]="","",_xlfn.IFNA(MATCH(NOTA[[#This Row],[CONCAT4]],[2]!RAW[CONCAT_H],0),FALSE))</f>
        <v>#REF!</v>
      </c>
      <c r="AQ740" s="39">
        <f>IF(NOTA[[#This Row],[CONCAT1]]="","",MATCH(NOTA[[#This Row],[CONCAT1]],[3]!db[NB NOTA_C],0))</f>
        <v>1022</v>
      </c>
      <c r="AR740" s="39" t="b">
        <f>IF(NOTA[[#This Row],[QTY/ CTN]]="","",TRUE)</f>
        <v>1</v>
      </c>
      <c r="AS740" s="39" t="str">
        <f ca="1">IF(NOTA[[#This Row],[ID_H]]="","",IF(NOTA[[#This Row],[Column3]]=TRUE,NOTA[[#This Row],[QTY/ CTN]],INDEX([3]!db[QTY/ CTN],NOTA[[#This Row],[//DB]])))</f>
        <v>8 LSN</v>
      </c>
      <c r="AT7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740" s="39" t="e">
        <f ca="1">IF(NOTA[[#This Row],[ID_H]]="","",MATCH(NOTA[[#This Row],[NB NOTA_C_QTY]],[4]!db[NB NOTA_C_QTY+F],0))</f>
        <v>#REF!</v>
      </c>
      <c r="AV740" s="55">
        <f ca="1">IF(NOTA[[#This Row],[NB NOTA_C_QTY]]="","",ROW()-2)</f>
        <v>738</v>
      </c>
    </row>
    <row r="741" spans="1:48" ht="20.100000000000001" customHeight="1" x14ac:dyDescent="0.25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>
        <f ca="1">IF(NOTA[[#This Row],[NAMA BARANG]]="","",INDEX(NOTA[ID],MATCH(,INDIRECT(ADDRESS(ROW(NOTA[ID]),COLUMN(NOTA[ID]))&amp;":"&amp;ADDRESS(ROW(),COLUMN(NOTA[ID]))),-1)))</f>
        <v>144</v>
      </c>
      <c r="E741" s="47"/>
      <c r="H741" s="48"/>
      <c r="L741" s="38" t="s">
        <v>254</v>
      </c>
      <c r="M741" s="41">
        <v>1</v>
      </c>
      <c r="N741" s="39">
        <v>8</v>
      </c>
      <c r="O741" s="38" t="s">
        <v>152</v>
      </c>
      <c r="P741" s="42">
        <v>180000</v>
      </c>
      <c r="Q741" s="43"/>
      <c r="R741" s="49" t="s">
        <v>486</v>
      </c>
      <c r="S741" s="50"/>
      <c r="U741" s="51"/>
      <c r="V741" s="46"/>
      <c r="W741" s="51">
        <f>IF(NOTA[[#This Row],[HARGA/ CTN]]="",NOTA[[#This Row],[JUMLAH_H]],NOTA[[#This Row],[HARGA/ CTN]]*IF(NOTA[[#This Row],[C]]="",0,NOTA[[#This Row],[C]]))</f>
        <v>1440000</v>
      </c>
      <c r="X741" s="51">
        <f>IF(NOTA[[#This Row],[JUMLAH]]="","",NOTA[[#This Row],[JUMLAH]]*NOTA[[#This Row],[DISC 1]])</f>
        <v>0</v>
      </c>
      <c r="Y741" s="51">
        <f>IF(NOTA[[#This Row],[JUMLAH]]="","",(NOTA[[#This Row],[JUMLAH]]-NOTA[[#This Row],[DISC 1-]])*NOTA[[#This Row],[DISC 2]])</f>
        <v>0</v>
      </c>
      <c r="Z741" s="51">
        <f>IF(NOTA[[#This Row],[JUMLAH]]="","",NOTA[[#This Row],[DISC 1-]]+NOTA[[#This Row],[DISC 2-]])</f>
        <v>0</v>
      </c>
      <c r="AA741" s="51">
        <f>IF(NOTA[[#This Row],[JUMLAH]]="","",NOTA[[#This Row],[JUMLAH]]-NOTA[[#This Row],[DISC]])</f>
        <v>1440000</v>
      </c>
      <c r="AB741" s="51"/>
      <c r="AC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41" s="51">
        <f>IF(OR(NOTA[[#This Row],[QTY]]="",NOTA[[#This Row],[HARGA SATUAN]]="",),"",NOTA[[#This Row],[QTY]]*NOTA[[#This Row],[HARGA SATUAN]])</f>
        <v>1440000</v>
      </c>
      <c r="AG741" s="40">
        <f ca="1">IF(NOTA[ID_H]="","",INDEX(NOTA[TANGGAL],MATCH(,INDIRECT(ADDRESS(ROW(NOTA[TANGGAL]),COLUMN(NOTA[TANGGAL]))&amp;":"&amp;ADDRESS(ROW(),COLUMN(NOTA[TANGGAL]))),-1)))</f>
        <v>45134</v>
      </c>
      <c r="AH741" s="42" t="str">
        <f ca="1">IF(NOTA[[#This Row],[NAMA BARANG]]="","",INDEX(NOTA[SUPPLIER],MATCH(,INDIRECT(ADDRESS(ROW(NOTA[ID]),COLUMN(NOTA[ID]))&amp;":"&amp;ADDRESS(ROW(),COLUMN(NOTA[ID]))),-1)))</f>
        <v>COMBI</v>
      </c>
      <c r="AI741" s="42" t="str">
        <f ca="1">IF(NOTA[[#This Row],[ID_H]]="","",IF(NOTA[[#This Row],[FAKTUR]]="",INDIRECT(ADDRESS(ROW()-1,COLUMN())),NOTA[[#This Row],[FAKTUR]]))</f>
        <v>UNTANA</v>
      </c>
      <c r="AJ741" s="39" t="str">
        <f ca="1">IF(NOTA[[#This Row],[ID]]="","",COUNTIF(NOTA[ID_H],NOTA[[#This Row],[ID_H]]))</f>
        <v/>
      </c>
      <c r="AK741" s="39">
        <f ca="1">IF(NOTA[[#This Row],[TGL.NOTA]]="",IF(NOTA[[#This Row],[SUPPLIER_H]]="","",AK740),MONTH(NOTA[[#This Row],[TGL.NOTA]]))</f>
        <v>7</v>
      </c>
      <c r="AL741" s="39" t="str">
        <f>LOWER(SUBSTITUTE(SUBSTITUTE(SUBSTITUTE(SUBSTITUTE(SUBSTITUTE(SUBSTITUTE(SUBSTITUTE(SUBSTITUTE(SUBSTITUTE(NOTA[NAMA BARANG]," ",),".",""),"-",""),"(",""),")",""),",",""),"/",""),"""",""),"+",""))</f>
        <v>docritinfinity</v>
      </c>
      <c r="AM7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7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7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39" t="str">
        <f>IF(NOTA[[#This Row],[CONCAT4]]="","",_xlfn.IFNA(MATCH(NOTA[[#This Row],[CONCAT4]],[2]!RAW[CONCAT_H],0),FALSE))</f>
        <v/>
      </c>
      <c r="AQ741" s="39">
        <f>IF(NOTA[[#This Row],[CONCAT1]]="","",MATCH(NOTA[[#This Row],[CONCAT1]],[3]!db[NB NOTA_C],0))</f>
        <v>1014</v>
      </c>
      <c r="AR741" s="39" t="b">
        <f>IF(NOTA[[#This Row],[QTY/ CTN]]="","",TRUE)</f>
        <v>1</v>
      </c>
      <c r="AS741" s="39" t="str">
        <f ca="1">IF(NOTA[[#This Row],[ID_H]]="","",IF(NOTA[[#This Row],[Column3]]=TRUE,NOTA[[#This Row],[QTY/ CTN]],INDEX([3]!db[QTY/ CTN],NOTA[[#This Row],[//DB]])))</f>
        <v>8 LSN</v>
      </c>
      <c r="AT7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741" s="39" t="e">
        <f ca="1">IF(NOTA[[#This Row],[ID_H]]="","",MATCH(NOTA[[#This Row],[NB NOTA_C_QTY]],[4]!db[NB NOTA_C_QTY+F],0))</f>
        <v>#REF!</v>
      </c>
      <c r="AV741" s="55">
        <f ca="1">IF(NOTA[[#This Row],[NB NOTA_C_QTY]]="","",ROW()-2)</f>
        <v>739</v>
      </c>
    </row>
    <row r="742" spans="1:48" ht="20.100000000000001" customHeight="1" x14ac:dyDescent="0.25">
      <c r="A7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>
        <f ca="1">IF(NOTA[[#This Row],[NAMA BARANG]]="","",INDEX(NOTA[ID],MATCH(,INDIRECT(ADDRESS(ROW(NOTA[ID]),COLUMN(NOTA[ID]))&amp;":"&amp;ADDRESS(ROW(),COLUMN(NOTA[ID]))),-1)))</f>
        <v>144</v>
      </c>
      <c r="E742" s="47"/>
      <c r="H742" s="48"/>
      <c r="L742" s="38" t="s">
        <v>257</v>
      </c>
      <c r="N742" s="39">
        <v>2</v>
      </c>
      <c r="O742" s="38" t="s">
        <v>152</v>
      </c>
      <c r="P742" s="42">
        <v>213000</v>
      </c>
      <c r="Q742" s="43"/>
      <c r="R742" s="49" t="s">
        <v>486</v>
      </c>
      <c r="S742" s="50"/>
      <c r="U742" s="51"/>
      <c r="V742" s="46"/>
      <c r="W742" s="51">
        <f>IF(NOTA[[#This Row],[HARGA/ CTN]]="",NOTA[[#This Row],[JUMLAH_H]],NOTA[[#This Row],[HARGA/ CTN]]*IF(NOTA[[#This Row],[C]]="",0,NOTA[[#This Row],[C]]))</f>
        <v>426000</v>
      </c>
      <c r="X742" s="51">
        <f>IF(NOTA[[#This Row],[JUMLAH]]="","",NOTA[[#This Row],[JUMLAH]]*NOTA[[#This Row],[DISC 1]])</f>
        <v>0</v>
      </c>
      <c r="Y742" s="51">
        <f>IF(NOTA[[#This Row],[JUMLAH]]="","",(NOTA[[#This Row],[JUMLAH]]-NOTA[[#This Row],[DISC 1-]])*NOTA[[#This Row],[DISC 2]])</f>
        <v>0</v>
      </c>
      <c r="Z742" s="51">
        <f>IF(NOTA[[#This Row],[JUMLAH]]="","",NOTA[[#This Row],[DISC 1-]]+NOTA[[#This Row],[DISC 2-]])</f>
        <v>0</v>
      </c>
      <c r="AA742" s="51">
        <f>IF(NOTA[[#This Row],[JUMLAH]]="","",NOTA[[#This Row],[JUMLAH]]-NOTA[[#This Row],[DISC]])</f>
        <v>426000</v>
      </c>
      <c r="AB742" s="51"/>
      <c r="AC7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3426000</v>
      </c>
      <c r="AE742" s="42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F742" s="51">
        <f>IF(OR(NOTA[[#This Row],[QTY]]="",NOTA[[#This Row],[HARGA SATUAN]]="",),"",NOTA[[#This Row],[QTY]]*NOTA[[#This Row],[HARGA SATUAN]])</f>
        <v>426000</v>
      </c>
      <c r="AG742" s="40">
        <f ca="1">IF(NOTA[ID_H]="","",INDEX(NOTA[TANGGAL],MATCH(,INDIRECT(ADDRESS(ROW(NOTA[TANGGAL]),COLUMN(NOTA[TANGGAL]))&amp;":"&amp;ADDRESS(ROW(),COLUMN(NOTA[TANGGAL]))),-1)))</f>
        <v>45134</v>
      </c>
      <c r="AH742" s="42" t="str">
        <f ca="1">IF(NOTA[[#This Row],[NAMA BARANG]]="","",INDEX(NOTA[SUPPLIER],MATCH(,INDIRECT(ADDRESS(ROW(NOTA[ID]),COLUMN(NOTA[ID]))&amp;":"&amp;ADDRESS(ROW(),COLUMN(NOTA[ID]))),-1)))</f>
        <v>COMBI</v>
      </c>
      <c r="AI742" s="42" t="str">
        <f ca="1">IF(NOTA[[#This Row],[ID_H]]="","",IF(NOTA[[#This Row],[FAKTUR]]="",INDIRECT(ADDRESS(ROW()-1,COLUMN())),NOTA[[#This Row],[FAKTUR]]))</f>
        <v>UNTANA</v>
      </c>
      <c r="AJ742" s="39" t="str">
        <f ca="1">IF(NOTA[[#This Row],[ID]]="","",COUNTIF(NOTA[ID_H],NOTA[[#This Row],[ID_H]]))</f>
        <v/>
      </c>
      <c r="AK742" s="39">
        <f ca="1">IF(NOTA[[#This Row],[TGL.NOTA]]="",IF(NOTA[[#This Row],[SUPPLIER_H]]="","",AK741),MONTH(NOTA[[#This Row],[TGL.NOTA]]))</f>
        <v>7</v>
      </c>
      <c r="AL742" s="39" t="str">
        <f>LOWER(SUBSTITUTE(SUBSTITUTE(SUBSTITUTE(SUBSTITUTE(SUBSTITUTE(SUBSTITUTE(SUBSTITUTE(SUBSTITUTE(SUBSTITUTE(NOTA[NAMA BARANG]," ",),".",""),"-",""),"(",""),")",""),",",""),"/",""),"""",""),"+",""))</f>
        <v>docritbrilliant</v>
      </c>
      <c r="AM7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docritbrilliant426000</v>
      </c>
      <c r="AN7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docritbrilliant213000</v>
      </c>
      <c r="AO7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39" t="str">
        <f>IF(NOTA[[#This Row],[CONCAT4]]="","",_xlfn.IFNA(MATCH(NOTA[[#This Row],[CONCAT4]],[2]!RAW[CONCAT_H],0),FALSE))</f>
        <v/>
      </c>
      <c r="AQ742" s="39">
        <f>IF(NOTA[[#This Row],[CONCAT1]]="","",MATCH(NOTA[[#This Row],[CONCAT1]],[3]!db[NB NOTA_C],0))</f>
        <v>1010</v>
      </c>
      <c r="AR742" s="39" t="b">
        <f>IF(NOTA[[#This Row],[QTY/ CTN]]="","",TRUE)</f>
        <v>1</v>
      </c>
      <c r="AS742" s="39" t="str">
        <f ca="1">IF(NOTA[[#This Row],[ID_H]]="","",IF(NOTA[[#This Row],[Column3]]=TRUE,NOTA[[#This Row],[QTY/ CTN]],INDEX([3]!db[QTY/ CTN],NOTA[[#This Row],[//DB]])))</f>
        <v>8 LSN</v>
      </c>
      <c r="AT7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742" s="39" t="e">
        <f ca="1">IF(NOTA[[#This Row],[ID_H]]="","",MATCH(NOTA[[#This Row],[NB NOTA_C_QTY]],[4]!db[NB NOTA_C_QTY+F],0))</f>
        <v>#REF!</v>
      </c>
      <c r="AV742" s="55">
        <f ca="1">IF(NOTA[[#This Row],[NB NOTA_C_QTY]]="","",ROW()-2)</f>
        <v>740</v>
      </c>
    </row>
    <row r="743" spans="1:48" ht="20.100000000000001" customHeight="1" x14ac:dyDescent="0.25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47"/>
      <c r="H743" s="48"/>
      <c r="N743" s="39"/>
      <c r="Q743" s="43"/>
      <c r="R743" s="49"/>
      <c r="S743" s="50"/>
      <c r="U743" s="51"/>
      <c r="V743" s="46"/>
      <c r="W743" s="51" t="str">
        <f>IF(NOTA[[#This Row],[HARGA/ CTN]]="",NOTA[[#This Row],[JUMLAH_H]],NOTA[[#This Row],[HARGA/ CTN]]*IF(NOTA[[#This Row],[C]]="",0,NOTA[[#This Row],[C]]))</f>
        <v/>
      </c>
      <c r="X743" s="51" t="str">
        <f>IF(NOTA[[#This Row],[JUMLAH]]="","",NOTA[[#This Row],[JUMLAH]]*NOTA[[#This Row],[DISC 1]])</f>
        <v/>
      </c>
      <c r="Y743" s="51" t="str">
        <f>IF(NOTA[[#This Row],[JUMLAH]]="","",(NOTA[[#This Row],[JUMLAH]]-NOTA[[#This Row],[DISC 1-]])*NOTA[[#This Row],[DISC 2]])</f>
        <v/>
      </c>
      <c r="Z743" s="51" t="str">
        <f>IF(NOTA[[#This Row],[JUMLAH]]="","",NOTA[[#This Row],[DISC 1-]]+NOTA[[#This Row],[DISC 2-]])</f>
        <v/>
      </c>
      <c r="AA743" s="51" t="str">
        <f>IF(NOTA[[#This Row],[JUMLAH]]="","",NOTA[[#This Row],[JUMLAH]]-NOTA[[#This Row],[DISC]])</f>
        <v/>
      </c>
      <c r="AB743" s="51"/>
      <c r="AC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51" t="str">
        <f>IF(OR(NOTA[[#This Row],[QTY]]="",NOTA[[#This Row],[HARGA SATUAN]]="",),"",NOTA[[#This Row],[QTY]]*NOTA[[#This Row],[HARGA SATUAN]])</f>
        <v/>
      </c>
      <c r="AG743" s="40" t="str">
        <f ca="1">IF(NOTA[ID_H]="","",INDEX(NOTA[TANGGAL],MATCH(,INDIRECT(ADDRESS(ROW(NOTA[TANGGAL]),COLUMN(NOTA[TANGGAL]))&amp;":"&amp;ADDRESS(ROW(),COLUMN(NOTA[TANGGAL]))),-1)))</f>
        <v/>
      </c>
      <c r="AH743" s="42" t="str">
        <f ca="1">IF(NOTA[[#This Row],[NAMA BARANG]]="","",INDEX(NOTA[SUPPLIER],MATCH(,INDIRECT(ADDRESS(ROW(NOTA[ID]),COLUMN(NOTA[ID]))&amp;":"&amp;ADDRESS(ROW(),COLUMN(NOTA[ID]))),-1)))</f>
        <v/>
      </c>
      <c r="AI743" s="42" t="str">
        <f ca="1">IF(NOTA[[#This Row],[ID_H]]="","",IF(NOTA[[#This Row],[FAKTUR]]="",INDIRECT(ADDRESS(ROW()-1,COLUMN())),NOTA[[#This Row],[FAKTUR]]))</f>
        <v/>
      </c>
      <c r="AJ743" s="39" t="str">
        <f ca="1">IF(NOTA[[#This Row],[ID]]="","",COUNTIF(NOTA[ID_H],NOTA[[#This Row],[ID_H]]))</f>
        <v/>
      </c>
      <c r="AK743" s="39" t="str">
        <f ca="1">IF(NOTA[[#This Row],[TGL.NOTA]]="",IF(NOTA[[#This Row],[SUPPLIER_H]]="","",AK742),MONTH(NOTA[[#This Row],[TGL.NOTA]]))</f>
        <v/>
      </c>
      <c r="AL743" s="39" t="str">
        <f>LOWER(SUBSTITUTE(SUBSTITUTE(SUBSTITUTE(SUBSTITUTE(SUBSTITUTE(SUBSTITUTE(SUBSTITUTE(SUBSTITUTE(SUBSTITUTE(NOTA[NAMA BARANG]," ",),".",""),"-",""),"(",""),")",""),",",""),"/",""),"""",""),"+",""))</f>
        <v/>
      </c>
      <c r="AM7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39" t="str">
        <f>IF(NOTA[[#This Row],[CONCAT4]]="","",_xlfn.IFNA(MATCH(NOTA[[#This Row],[CONCAT4]],[2]!RAW[CONCAT_H],0),FALSE))</f>
        <v/>
      </c>
      <c r="AQ743" s="39" t="str">
        <f>IF(NOTA[[#This Row],[CONCAT1]]="","",MATCH(NOTA[[#This Row],[CONCAT1]],[3]!db[NB NOTA_C],0))</f>
        <v/>
      </c>
      <c r="AR743" s="39" t="str">
        <f>IF(NOTA[[#This Row],[QTY/ CTN]]="","",TRUE)</f>
        <v/>
      </c>
      <c r="AS743" s="39" t="str">
        <f ca="1">IF(NOTA[[#This Row],[ID_H]]="","",IF(NOTA[[#This Row],[Column3]]=TRUE,NOTA[[#This Row],[QTY/ CTN]],INDEX([3]!db[QTY/ CTN],NOTA[[#This Row],[//DB]])))</f>
        <v/>
      </c>
      <c r="AT7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39" t="str">
        <f ca="1">IF(NOTA[[#This Row],[ID_H]]="","",MATCH(NOTA[[#This Row],[NB NOTA_C_QTY]],[4]!db[NB NOTA_C_QTY+F],0))</f>
        <v/>
      </c>
      <c r="AV743" s="55" t="str">
        <f ca="1">IF(NOTA[[#This Row],[NB NOTA_C_QTY]]="","",ROW()-2)</f>
        <v/>
      </c>
    </row>
    <row r="744" spans="1:48" ht="20.100000000000001" customHeight="1" x14ac:dyDescent="0.25">
      <c r="A744" s="42">
        <f ca="1">IF(INDIRECT(ADDRESS(ROW()-1,COLUMN(NOTA[[#Headers],[ID]])))="ID",1,IF(NOTA[[#This Row],[FAKTUR]]="","",COUNT(INDIRECT(ADDRESS(ROW(NOTA[ID]),COLUMN(NOTA[ID]))&amp;":"&amp;ADDRESS(ROW()-1,COLUMN(NOTA[ID]))))+1))</f>
        <v>145</v>
      </c>
      <c r="B7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YUS_2707_089-13</v>
      </c>
      <c r="C744" s="39" t="e">
        <f ca="1">IF(NOTA[[#This Row],[ID_P]]="","",MATCH(NOTA[[#This Row],[ID_P]],[1]!B_MSK[N_ID],0))</f>
        <v>#REF!</v>
      </c>
      <c r="D744" s="39">
        <f ca="1">IF(NOTA[[#This Row],[NAMA BARANG]]="","",INDEX(NOTA[ID],MATCH(,INDIRECT(ADDRESS(ROW(NOTA[ID]),COLUMN(NOTA[ID]))&amp;":"&amp;ADDRESS(ROW(),COLUMN(NOTA[ID]))),-1)))</f>
        <v>145</v>
      </c>
      <c r="E744" s="47"/>
      <c r="F744" s="38" t="s">
        <v>813</v>
      </c>
      <c r="G744" s="38" t="s">
        <v>145</v>
      </c>
      <c r="H744" s="48" t="s">
        <v>814</v>
      </c>
      <c r="J744" s="40">
        <v>45131</v>
      </c>
      <c r="K744" s="38">
        <v>1</v>
      </c>
      <c r="L744" s="38" t="s">
        <v>815</v>
      </c>
      <c r="M744" s="41">
        <v>5</v>
      </c>
      <c r="N744" s="39">
        <v>25000</v>
      </c>
      <c r="O744" s="38" t="s">
        <v>117</v>
      </c>
      <c r="P744" s="42">
        <v>260</v>
      </c>
      <c r="Q744" s="43"/>
      <c r="R744" s="49" t="s">
        <v>858</v>
      </c>
      <c r="S744" s="50">
        <v>0.1</v>
      </c>
      <c r="U744" s="51"/>
      <c r="V744" s="46"/>
      <c r="W744" s="51">
        <f>IF(NOTA[[#This Row],[HARGA/ CTN]]="",NOTA[[#This Row],[JUMLAH_H]],NOTA[[#This Row],[HARGA/ CTN]]*IF(NOTA[[#This Row],[C]]="",0,NOTA[[#This Row],[C]]))</f>
        <v>6500000</v>
      </c>
      <c r="X744" s="51">
        <f>IF(NOTA[[#This Row],[JUMLAH]]="","",NOTA[[#This Row],[JUMLAH]]*NOTA[[#This Row],[DISC 1]])</f>
        <v>650000</v>
      </c>
      <c r="Y744" s="51">
        <f>IF(NOTA[[#This Row],[JUMLAH]]="","",(NOTA[[#This Row],[JUMLAH]]-NOTA[[#This Row],[DISC 1-]])*NOTA[[#This Row],[DISC 2]])</f>
        <v>0</v>
      </c>
      <c r="Z744" s="51">
        <f>IF(NOTA[[#This Row],[JUMLAH]]="","",NOTA[[#This Row],[DISC 1-]]+NOTA[[#This Row],[DISC 2-]])</f>
        <v>650000</v>
      </c>
      <c r="AA744" s="51">
        <f>IF(NOTA[[#This Row],[JUMLAH]]="","",NOTA[[#This Row],[JUMLAH]]-NOTA[[#This Row],[DISC]])</f>
        <v>5850000</v>
      </c>
      <c r="AB744" s="51"/>
      <c r="AC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42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744" s="51">
        <f>IF(OR(NOTA[[#This Row],[QTY]]="",NOTA[[#This Row],[HARGA SATUAN]]="",),"",NOTA[[#This Row],[QTY]]*NOTA[[#This Row],[HARGA SATUAN]])</f>
        <v>6500000</v>
      </c>
      <c r="AG744" s="40">
        <f ca="1">IF(NOTA[ID_H]="","",INDEX(NOTA[TANGGAL],MATCH(,INDIRECT(ADDRESS(ROW(NOTA[TANGGAL]),COLUMN(NOTA[TANGGAL]))&amp;":"&amp;ADDRESS(ROW(),COLUMN(NOTA[TANGGAL]))),-1)))</f>
        <v>45134</v>
      </c>
      <c r="AH744" s="42" t="str">
        <f ca="1">IF(NOTA[[#This Row],[NAMA BARANG]]="","",INDEX(NOTA[SUPPLIER],MATCH(,INDIRECT(ADDRESS(ROW(NOTA[ID]),COLUMN(NOTA[ID]))&amp;":"&amp;ADDRESS(ROW(),COLUMN(NOTA[ID]))),-1)))</f>
        <v>YUSHINCA</v>
      </c>
      <c r="AI744" s="42" t="str">
        <f ca="1">IF(NOTA[[#This Row],[ID_H]]="","",IF(NOTA[[#This Row],[FAKTUR]]="",INDIRECT(ADDRESS(ROW()-1,COLUMN())),NOTA[[#This Row],[FAKTUR]]))</f>
        <v>UNTANA</v>
      </c>
      <c r="AJ744" s="39">
        <f ca="1">IF(NOTA[[#This Row],[ID]]="","",COUNTIF(NOTA[ID_H],NOTA[[#This Row],[ID_H]]))</f>
        <v>13</v>
      </c>
      <c r="AK744" s="39">
        <f>IF(NOTA[[#This Row],[TGL.NOTA]]="",IF(NOTA[[#This Row],[SUPPLIER_H]]="","",AK743),MONTH(NOTA[[#This Row],[TGL.NOTA]]))</f>
        <v>7</v>
      </c>
      <c r="AL744" s="39" t="str">
        <f>LOWER(SUBSTITUTE(SUBSTITUTE(SUBSTITUTE(SUBSTITUTE(SUBSTITUTE(SUBSTITUTE(SUBSTITUTE(SUBSTITUTE(SUBSTITUTE(NOTA[NAMA BARANG]," ",),".",""),"-",""),"(",""),")",""),",",""),"/",""),"""",""),"+",""))</f>
        <v>mikakartunama009a1</v>
      </c>
      <c r="AM7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mikakartunama009a113000000.1</v>
      </c>
      <c r="AN7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mikakartunama009a113000000.1</v>
      </c>
      <c r="AO744" s="39" t="str">
        <f>IF(NOTA[[#This Row],[SUPPLIER]]="","",NOTA[[#This Row],[SUPPLIER]]&amp;NOTA[[#This Row],[FAKTUR]]&amp;NOTA[[#This Row],[NO.NOTA]]&amp;NOTA[[#This Row],[NO.SJ]]&amp;NOTA[[#This Row],[TGL.NOTA]]&amp;NOTA[[#This Row],[CONCAT1]])</f>
        <v>YUSHINCAUNTANA26/YS/VII/08945131mikakartunama009a1</v>
      </c>
      <c r="AP744" s="39" t="e">
        <f>IF(NOTA[[#This Row],[CONCAT4]]="","",_xlfn.IFNA(MATCH(NOTA[[#This Row],[CONCAT4]],[2]!RAW[CONCAT_H],0),FALSE))</f>
        <v>#REF!</v>
      </c>
      <c r="AQ744" s="39">
        <f>IF(NOTA[[#This Row],[CONCAT1]]="","",MATCH(NOTA[[#This Row],[CONCAT1]],[3]!db[NB NOTA_C],0))</f>
        <v>1271</v>
      </c>
      <c r="AR744" s="39" t="b">
        <f>IF(NOTA[[#This Row],[QTY/ CTN]]="","",TRUE)</f>
        <v>1</v>
      </c>
      <c r="AS744" s="39" t="str">
        <f ca="1">IF(NOTA[[#This Row],[ID_H]]="","",IF(NOTA[[#This Row],[Column3]]=TRUE,NOTA[[#This Row],[QTY/ CTN]],INDEX([3]!db[QTY/ CTN],NOTA[[#This Row],[//DB]])))</f>
        <v>5000 PCS</v>
      </c>
      <c r="AT7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mikakartunama009a15000pcsuntana</v>
      </c>
      <c r="AU744" s="39" t="e">
        <f ca="1">IF(NOTA[[#This Row],[ID_H]]="","",MATCH(NOTA[[#This Row],[NB NOTA_C_QTY]],[4]!db[NB NOTA_C_QTY+F],0))</f>
        <v>#REF!</v>
      </c>
      <c r="AV744" s="55">
        <f ca="1">IF(NOTA[[#This Row],[NB NOTA_C_QTY]]="","",ROW()-2)</f>
        <v>742</v>
      </c>
    </row>
    <row r="745" spans="1:48" ht="20.100000000000001" customHeight="1" x14ac:dyDescent="0.25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>
        <f ca="1">IF(NOTA[[#This Row],[NAMA BARANG]]="","",INDEX(NOTA[ID],MATCH(,INDIRECT(ADDRESS(ROW(NOTA[ID]),COLUMN(NOTA[ID]))&amp;":"&amp;ADDRESS(ROW(),COLUMN(NOTA[ID]))),-1)))</f>
        <v>145</v>
      </c>
      <c r="E745" s="47"/>
      <c r="H745" s="48"/>
      <c r="L745" s="38" t="s">
        <v>815</v>
      </c>
      <c r="N745" s="39">
        <v>500</v>
      </c>
      <c r="O745" s="38" t="s">
        <v>117</v>
      </c>
      <c r="P745" s="42">
        <v>260</v>
      </c>
      <c r="Q745" s="43"/>
      <c r="R745" s="49" t="s">
        <v>858</v>
      </c>
      <c r="S745" s="50">
        <v>0.1</v>
      </c>
      <c r="U745" s="51"/>
      <c r="V745" s="46"/>
      <c r="W745" s="51">
        <f>IF(NOTA[[#This Row],[HARGA/ CTN]]="",NOTA[[#This Row],[JUMLAH_H]],NOTA[[#This Row],[HARGA/ CTN]]*IF(NOTA[[#This Row],[C]]="",0,NOTA[[#This Row],[C]]))</f>
        <v>130000</v>
      </c>
      <c r="X745" s="51">
        <f>IF(NOTA[[#This Row],[JUMLAH]]="","",NOTA[[#This Row],[JUMLAH]]*NOTA[[#This Row],[DISC 1]])</f>
        <v>13000</v>
      </c>
      <c r="Y745" s="51">
        <f>IF(NOTA[[#This Row],[JUMLAH]]="","",(NOTA[[#This Row],[JUMLAH]]-NOTA[[#This Row],[DISC 1-]])*NOTA[[#This Row],[DISC 2]])</f>
        <v>0</v>
      </c>
      <c r="Z745" s="51">
        <f>IF(NOTA[[#This Row],[JUMLAH]]="","",NOTA[[#This Row],[DISC 1-]]+NOTA[[#This Row],[DISC 2-]])</f>
        <v>13000</v>
      </c>
      <c r="AA745" s="51">
        <f>IF(NOTA[[#This Row],[JUMLAH]]="","",NOTA[[#This Row],[JUMLAH]]-NOTA[[#This Row],[DISC]])</f>
        <v>117000</v>
      </c>
      <c r="AB745" s="51"/>
      <c r="AC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42">
        <f>IF(NOTA[[#This Row],[NAMA BARANG]]="","",IF(NOTA[[#This Row],[JUMLAH_H]]="",NOTA[[#This Row],[HARGA/ CTN]],NOTA[[#This Row],[QTY]]*NOTA[[#This Row],[HARGA SATUAN]]/IF(ISNUMBER(NOTA[[#This Row],[C]]),NOTA[[#This Row],[C]],1)))</f>
        <v>130000</v>
      </c>
      <c r="AF745" s="51">
        <f>IF(OR(NOTA[[#This Row],[QTY]]="",NOTA[[#This Row],[HARGA SATUAN]]="",),"",NOTA[[#This Row],[QTY]]*NOTA[[#This Row],[HARGA SATUAN]])</f>
        <v>130000</v>
      </c>
      <c r="AG745" s="40">
        <f ca="1">IF(NOTA[ID_H]="","",INDEX(NOTA[TANGGAL],MATCH(,INDIRECT(ADDRESS(ROW(NOTA[TANGGAL]),COLUMN(NOTA[TANGGAL]))&amp;":"&amp;ADDRESS(ROW(),COLUMN(NOTA[TANGGAL]))),-1)))</f>
        <v>45134</v>
      </c>
      <c r="AH745" s="42" t="str">
        <f ca="1">IF(NOTA[[#This Row],[NAMA BARANG]]="","",INDEX(NOTA[SUPPLIER],MATCH(,INDIRECT(ADDRESS(ROW(NOTA[ID]),COLUMN(NOTA[ID]))&amp;":"&amp;ADDRESS(ROW(),COLUMN(NOTA[ID]))),-1)))</f>
        <v>YUSHINCA</v>
      </c>
      <c r="AI745" s="42" t="str">
        <f ca="1">IF(NOTA[[#This Row],[ID_H]]="","",IF(NOTA[[#This Row],[FAKTUR]]="",INDIRECT(ADDRESS(ROW()-1,COLUMN())),NOTA[[#This Row],[FAKTUR]]))</f>
        <v>UNTANA</v>
      </c>
      <c r="AJ745" s="39" t="str">
        <f ca="1">IF(NOTA[[#This Row],[ID]]="","",COUNTIF(NOTA[ID_H],NOTA[[#This Row],[ID_H]]))</f>
        <v/>
      </c>
      <c r="AK745" s="39">
        <f ca="1">IF(NOTA[[#This Row],[TGL.NOTA]]="",IF(NOTA[[#This Row],[SUPPLIER_H]]="","",AK744),MONTH(NOTA[[#This Row],[TGL.NOTA]]))</f>
        <v>7</v>
      </c>
      <c r="AL745" s="39" t="str">
        <f>LOWER(SUBSTITUTE(SUBSTITUTE(SUBSTITUTE(SUBSTITUTE(SUBSTITUTE(SUBSTITUTE(SUBSTITUTE(SUBSTITUTE(SUBSTITUTE(NOTA[NAMA BARANG]," ",),".",""),"-",""),"(",""),")",""),",",""),"/",""),"""",""),"+",""))</f>
        <v>mikakartunama009a1</v>
      </c>
      <c r="AM7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mikakartunama009a11300000.1</v>
      </c>
      <c r="AN7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mikakartunama009a12600.1</v>
      </c>
      <c r="AO7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39" t="str">
        <f>IF(NOTA[[#This Row],[CONCAT4]]="","",_xlfn.IFNA(MATCH(NOTA[[#This Row],[CONCAT4]],[2]!RAW[CONCAT_H],0),FALSE))</f>
        <v/>
      </c>
      <c r="AQ745" s="39">
        <f>IF(NOTA[[#This Row],[CONCAT1]]="","",MATCH(NOTA[[#This Row],[CONCAT1]],[3]!db[NB NOTA_C],0))</f>
        <v>1271</v>
      </c>
      <c r="AR745" s="39" t="b">
        <f>IF(NOTA[[#This Row],[QTY/ CTN]]="","",TRUE)</f>
        <v>1</v>
      </c>
      <c r="AS745" s="39" t="str">
        <f ca="1">IF(NOTA[[#This Row],[ID_H]]="","",IF(NOTA[[#This Row],[Column3]]=TRUE,NOTA[[#This Row],[QTY/ CTN]],INDEX([3]!db[QTY/ CTN],NOTA[[#This Row],[//DB]])))</f>
        <v>5000 PCS</v>
      </c>
      <c r="AT7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mikakartunama009a15000pcsuntana</v>
      </c>
      <c r="AU745" s="39" t="e">
        <f ca="1">IF(NOTA[[#This Row],[ID_H]]="","",MATCH(NOTA[[#This Row],[NB NOTA_C_QTY]],[4]!db[NB NOTA_C_QTY+F],0))</f>
        <v>#REF!</v>
      </c>
      <c r="AV745" s="55">
        <f ca="1">IF(NOTA[[#This Row],[NB NOTA_C_QTY]]="","",ROW()-2)</f>
        <v>743</v>
      </c>
    </row>
    <row r="746" spans="1:48" ht="20.100000000000001" customHeight="1" x14ac:dyDescent="0.25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>
        <f ca="1">IF(NOTA[[#This Row],[NAMA BARANG]]="","",INDEX(NOTA[ID],MATCH(,INDIRECT(ADDRESS(ROW(NOTA[ID]),COLUMN(NOTA[ID]))&amp;":"&amp;ADDRESS(ROW(),COLUMN(NOTA[ID]))),-1)))</f>
        <v>145</v>
      </c>
      <c r="E746" s="47"/>
      <c r="H746" s="48"/>
      <c r="K746" s="38">
        <v>1</v>
      </c>
      <c r="L746" s="38" t="s">
        <v>816</v>
      </c>
      <c r="M746" s="41">
        <v>2</v>
      </c>
      <c r="N746" s="39">
        <v>10000</v>
      </c>
      <c r="O746" s="38" t="s">
        <v>117</v>
      </c>
      <c r="P746" s="42">
        <v>330</v>
      </c>
      <c r="Q746" s="43"/>
      <c r="R746" s="49" t="s">
        <v>858</v>
      </c>
      <c r="S746" s="50">
        <v>0.1</v>
      </c>
      <c r="U746" s="51"/>
      <c r="V746" s="46"/>
      <c r="W746" s="51">
        <f>IF(NOTA[[#This Row],[HARGA/ CTN]]="",NOTA[[#This Row],[JUMLAH_H]],NOTA[[#This Row],[HARGA/ CTN]]*IF(NOTA[[#This Row],[C]]="",0,NOTA[[#This Row],[C]]))</f>
        <v>3300000</v>
      </c>
      <c r="X746" s="51">
        <f>IF(NOTA[[#This Row],[JUMLAH]]="","",NOTA[[#This Row],[JUMLAH]]*NOTA[[#This Row],[DISC 1]])</f>
        <v>330000</v>
      </c>
      <c r="Y746" s="51">
        <f>IF(NOTA[[#This Row],[JUMLAH]]="","",(NOTA[[#This Row],[JUMLAH]]-NOTA[[#This Row],[DISC 1-]])*NOTA[[#This Row],[DISC 2]])</f>
        <v>0</v>
      </c>
      <c r="Z746" s="51">
        <f>IF(NOTA[[#This Row],[JUMLAH]]="","",NOTA[[#This Row],[DISC 1-]]+NOTA[[#This Row],[DISC 2-]])</f>
        <v>330000</v>
      </c>
      <c r="AA746" s="51">
        <f>IF(NOTA[[#This Row],[JUMLAH]]="","",NOTA[[#This Row],[JUMLAH]]-NOTA[[#This Row],[DISC]])</f>
        <v>2970000</v>
      </c>
      <c r="AB746" s="51"/>
      <c r="AC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4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746" s="51">
        <f>IF(OR(NOTA[[#This Row],[QTY]]="",NOTA[[#This Row],[HARGA SATUAN]]="",),"",NOTA[[#This Row],[QTY]]*NOTA[[#This Row],[HARGA SATUAN]])</f>
        <v>3300000</v>
      </c>
      <c r="AG746" s="40">
        <f ca="1">IF(NOTA[ID_H]="","",INDEX(NOTA[TANGGAL],MATCH(,INDIRECT(ADDRESS(ROW(NOTA[TANGGAL]),COLUMN(NOTA[TANGGAL]))&amp;":"&amp;ADDRESS(ROW(),COLUMN(NOTA[TANGGAL]))),-1)))</f>
        <v>45134</v>
      </c>
      <c r="AH746" s="42" t="str">
        <f ca="1">IF(NOTA[[#This Row],[NAMA BARANG]]="","",INDEX(NOTA[SUPPLIER],MATCH(,INDIRECT(ADDRESS(ROW(NOTA[ID]),COLUMN(NOTA[ID]))&amp;":"&amp;ADDRESS(ROW(),COLUMN(NOTA[ID]))),-1)))</f>
        <v>YUSHINCA</v>
      </c>
      <c r="AI746" s="42" t="str">
        <f ca="1">IF(NOTA[[#This Row],[ID_H]]="","",IF(NOTA[[#This Row],[FAKTUR]]="",INDIRECT(ADDRESS(ROW()-1,COLUMN())),NOTA[[#This Row],[FAKTUR]]))</f>
        <v>UNTANA</v>
      </c>
      <c r="AJ746" s="39" t="str">
        <f ca="1">IF(NOTA[[#This Row],[ID]]="","",COUNTIF(NOTA[ID_H],NOTA[[#This Row],[ID_H]]))</f>
        <v/>
      </c>
      <c r="AK746" s="39">
        <f ca="1">IF(NOTA[[#This Row],[TGL.NOTA]]="",IF(NOTA[[#This Row],[SUPPLIER_H]]="","",AK745),MONTH(NOTA[[#This Row],[TGL.NOTA]]))</f>
        <v>7</v>
      </c>
      <c r="AL746" s="39" t="str">
        <f>LOWER(SUBSTITUTE(SUBSTITUTE(SUBSTITUTE(SUBSTITUTE(SUBSTITUTE(SUBSTITUTE(SUBSTITUTE(SUBSTITUTE(SUBSTITUTE(NOTA[NAMA BARANG]," ",),".",""),"-",""),"(",""),")",""),",",""),"/",""),"""",""),"+",""))</f>
        <v>mikakartunama009a2</v>
      </c>
      <c r="AM7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mikakartunama009a216500000.1</v>
      </c>
      <c r="AN7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mikakartunama009a216500000.1</v>
      </c>
      <c r="AO7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39" t="str">
        <f>IF(NOTA[[#This Row],[CONCAT4]]="","",_xlfn.IFNA(MATCH(NOTA[[#This Row],[CONCAT4]],[2]!RAW[CONCAT_H],0),FALSE))</f>
        <v/>
      </c>
      <c r="AQ746" s="39">
        <f>IF(NOTA[[#This Row],[CONCAT1]]="","",MATCH(NOTA[[#This Row],[CONCAT1]],[3]!db[NB NOTA_C],0))</f>
        <v>1272</v>
      </c>
      <c r="AR746" s="39" t="b">
        <f>IF(NOTA[[#This Row],[QTY/ CTN]]="","",TRUE)</f>
        <v>1</v>
      </c>
      <c r="AS746" s="39" t="str">
        <f ca="1">IF(NOTA[[#This Row],[ID_H]]="","",IF(NOTA[[#This Row],[Column3]]=TRUE,NOTA[[#This Row],[QTY/ CTN]],INDEX([3]!db[QTY/ CTN],NOTA[[#This Row],[//DB]])))</f>
        <v>5000 PCS</v>
      </c>
      <c r="AT7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mikakartunama009a25000pcsuntana</v>
      </c>
      <c r="AU746" s="39" t="e">
        <f ca="1">IF(NOTA[[#This Row],[ID_H]]="","",MATCH(NOTA[[#This Row],[NB NOTA_C_QTY]],[4]!db[NB NOTA_C_QTY+F],0))</f>
        <v>#REF!</v>
      </c>
      <c r="AV746" s="55">
        <f ca="1">IF(NOTA[[#This Row],[NB NOTA_C_QTY]]="","",ROW()-2)</f>
        <v>744</v>
      </c>
    </row>
    <row r="747" spans="1:48" ht="20.100000000000001" customHeight="1" x14ac:dyDescent="0.25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>
        <f ca="1">IF(NOTA[[#This Row],[NAMA BARANG]]="","",INDEX(NOTA[ID],MATCH(,INDIRECT(ADDRESS(ROW(NOTA[ID]),COLUMN(NOTA[ID]))&amp;":"&amp;ADDRESS(ROW(),COLUMN(NOTA[ID]))),-1)))</f>
        <v>145</v>
      </c>
      <c r="E747" s="47"/>
      <c r="H747" s="48"/>
      <c r="L747" s="38" t="s">
        <v>816</v>
      </c>
      <c r="N747" s="39">
        <v>1000</v>
      </c>
      <c r="O747" s="38" t="s">
        <v>117</v>
      </c>
      <c r="P747" s="42">
        <v>330</v>
      </c>
      <c r="Q747" s="43"/>
      <c r="R747" s="49" t="s">
        <v>858</v>
      </c>
      <c r="S747" s="50">
        <v>0.1</v>
      </c>
      <c r="U747" s="51"/>
      <c r="V747" s="46"/>
      <c r="W747" s="51">
        <f>IF(NOTA[[#This Row],[HARGA/ CTN]]="",NOTA[[#This Row],[JUMLAH_H]],NOTA[[#This Row],[HARGA/ CTN]]*IF(NOTA[[#This Row],[C]]="",0,NOTA[[#This Row],[C]]))</f>
        <v>330000</v>
      </c>
      <c r="X747" s="51">
        <f>IF(NOTA[[#This Row],[JUMLAH]]="","",NOTA[[#This Row],[JUMLAH]]*NOTA[[#This Row],[DISC 1]])</f>
        <v>33000</v>
      </c>
      <c r="Y747" s="51">
        <f>IF(NOTA[[#This Row],[JUMLAH]]="","",(NOTA[[#This Row],[JUMLAH]]-NOTA[[#This Row],[DISC 1-]])*NOTA[[#This Row],[DISC 2]])</f>
        <v>0</v>
      </c>
      <c r="Z747" s="51">
        <f>IF(NOTA[[#This Row],[JUMLAH]]="","",NOTA[[#This Row],[DISC 1-]]+NOTA[[#This Row],[DISC 2-]])</f>
        <v>33000</v>
      </c>
      <c r="AA747" s="51">
        <f>IF(NOTA[[#This Row],[JUMLAH]]="","",NOTA[[#This Row],[JUMLAH]]-NOTA[[#This Row],[DISC]])</f>
        <v>297000</v>
      </c>
      <c r="AB747" s="51"/>
      <c r="AC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42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F747" s="51">
        <f>IF(OR(NOTA[[#This Row],[QTY]]="",NOTA[[#This Row],[HARGA SATUAN]]="",),"",NOTA[[#This Row],[QTY]]*NOTA[[#This Row],[HARGA SATUAN]])</f>
        <v>330000</v>
      </c>
      <c r="AG747" s="40">
        <f ca="1">IF(NOTA[ID_H]="","",INDEX(NOTA[TANGGAL],MATCH(,INDIRECT(ADDRESS(ROW(NOTA[TANGGAL]),COLUMN(NOTA[TANGGAL]))&amp;":"&amp;ADDRESS(ROW(),COLUMN(NOTA[TANGGAL]))),-1)))</f>
        <v>45134</v>
      </c>
      <c r="AH747" s="42" t="str">
        <f ca="1">IF(NOTA[[#This Row],[NAMA BARANG]]="","",INDEX(NOTA[SUPPLIER],MATCH(,INDIRECT(ADDRESS(ROW(NOTA[ID]),COLUMN(NOTA[ID]))&amp;":"&amp;ADDRESS(ROW(),COLUMN(NOTA[ID]))),-1)))</f>
        <v>YUSHINCA</v>
      </c>
      <c r="AI747" s="42" t="str">
        <f ca="1">IF(NOTA[[#This Row],[ID_H]]="","",IF(NOTA[[#This Row],[FAKTUR]]="",INDIRECT(ADDRESS(ROW()-1,COLUMN())),NOTA[[#This Row],[FAKTUR]]))</f>
        <v>UNTANA</v>
      </c>
      <c r="AJ747" s="39" t="str">
        <f ca="1">IF(NOTA[[#This Row],[ID]]="","",COUNTIF(NOTA[ID_H],NOTA[[#This Row],[ID_H]]))</f>
        <v/>
      </c>
      <c r="AK747" s="39">
        <f ca="1">IF(NOTA[[#This Row],[TGL.NOTA]]="",IF(NOTA[[#This Row],[SUPPLIER_H]]="","",AK746),MONTH(NOTA[[#This Row],[TGL.NOTA]]))</f>
        <v>7</v>
      </c>
      <c r="AL747" s="39" t="str">
        <f>LOWER(SUBSTITUTE(SUBSTITUTE(SUBSTITUTE(SUBSTITUTE(SUBSTITUTE(SUBSTITUTE(SUBSTITUTE(SUBSTITUTE(SUBSTITUTE(NOTA[NAMA BARANG]," ",),".",""),"-",""),"(",""),")",""),",",""),"/",""),"""",""),"+",""))</f>
        <v>mikakartunama009a2</v>
      </c>
      <c r="AM7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mikakartunama009a23300000.1</v>
      </c>
      <c r="AN7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mikakartunama009a23300.1</v>
      </c>
      <c r="AO7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39" t="str">
        <f>IF(NOTA[[#This Row],[CONCAT4]]="","",_xlfn.IFNA(MATCH(NOTA[[#This Row],[CONCAT4]],[2]!RAW[CONCAT_H],0),FALSE))</f>
        <v/>
      </c>
      <c r="AQ747" s="39">
        <f>IF(NOTA[[#This Row],[CONCAT1]]="","",MATCH(NOTA[[#This Row],[CONCAT1]],[3]!db[NB NOTA_C],0))</f>
        <v>1272</v>
      </c>
      <c r="AR747" s="39" t="b">
        <f>IF(NOTA[[#This Row],[QTY/ CTN]]="","",TRUE)</f>
        <v>1</v>
      </c>
      <c r="AS747" s="39" t="str">
        <f ca="1">IF(NOTA[[#This Row],[ID_H]]="","",IF(NOTA[[#This Row],[Column3]]=TRUE,NOTA[[#This Row],[QTY/ CTN]],INDEX([3]!db[QTY/ CTN],NOTA[[#This Row],[//DB]])))</f>
        <v>5000 PCS</v>
      </c>
      <c r="AT7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mikakartunama009a25000pcsuntana</v>
      </c>
      <c r="AU747" s="39" t="e">
        <f ca="1">IF(NOTA[[#This Row],[ID_H]]="","",MATCH(NOTA[[#This Row],[NB NOTA_C_QTY]],[4]!db[NB NOTA_C_QTY+F],0))</f>
        <v>#REF!</v>
      </c>
      <c r="AV747" s="55">
        <f ca="1">IF(NOTA[[#This Row],[NB NOTA_C_QTY]]="","",ROW()-2)</f>
        <v>745</v>
      </c>
    </row>
    <row r="748" spans="1:48" ht="20.100000000000001" customHeight="1" x14ac:dyDescent="0.25">
      <c r="A7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>
        <f ca="1">IF(NOTA[[#This Row],[NAMA BARANG]]="","",INDEX(NOTA[ID],MATCH(,INDIRECT(ADDRESS(ROW(NOTA[ID]),COLUMN(NOTA[ID]))&amp;":"&amp;ADDRESS(ROW(),COLUMN(NOTA[ID]))),-1)))</f>
        <v>145</v>
      </c>
      <c r="E748" s="47"/>
      <c r="H748" s="48"/>
      <c r="K748" s="38">
        <v>1</v>
      </c>
      <c r="L748" s="38" t="s">
        <v>817</v>
      </c>
      <c r="M748" s="41">
        <v>1</v>
      </c>
      <c r="N748" s="39">
        <v>5000</v>
      </c>
      <c r="O748" s="38" t="s">
        <v>117</v>
      </c>
      <c r="P748" s="42">
        <v>470</v>
      </c>
      <c r="Q748" s="43"/>
      <c r="R748" s="49" t="s">
        <v>858</v>
      </c>
      <c r="S748" s="50">
        <v>0.1</v>
      </c>
      <c r="U748" s="51"/>
      <c r="V748" s="46"/>
      <c r="W748" s="51">
        <f>IF(NOTA[[#This Row],[HARGA/ CTN]]="",NOTA[[#This Row],[JUMLAH_H]],NOTA[[#This Row],[HARGA/ CTN]]*IF(NOTA[[#This Row],[C]]="",0,NOTA[[#This Row],[C]]))</f>
        <v>2350000</v>
      </c>
      <c r="X748" s="51">
        <f>IF(NOTA[[#This Row],[JUMLAH]]="","",NOTA[[#This Row],[JUMLAH]]*NOTA[[#This Row],[DISC 1]])</f>
        <v>235000</v>
      </c>
      <c r="Y748" s="51">
        <f>IF(NOTA[[#This Row],[JUMLAH]]="","",(NOTA[[#This Row],[JUMLAH]]-NOTA[[#This Row],[DISC 1-]])*NOTA[[#This Row],[DISC 2]])</f>
        <v>0</v>
      </c>
      <c r="Z748" s="51">
        <f>IF(NOTA[[#This Row],[JUMLAH]]="","",NOTA[[#This Row],[DISC 1-]]+NOTA[[#This Row],[DISC 2-]])</f>
        <v>235000</v>
      </c>
      <c r="AA748" s="51">
        <f>IF(NOTA[[#This Row],[JUMLAH]]="","",NOTA[[#This Row],[JUMLAH]]-NOTA[[#This Row],[DISC]])</f>
        <v>2115000</v>
      </c>
      <c r="AB748" s="51"/>
      <c r="AC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4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748" s="51">
        <f>IF(OR(NOTA[[#This Row],[QTY]]="",NOTA[[#This Row],[HARGA SATUAN]]="",),"",NOTA[[#This Row],[QTY]]*NOTA[[#This Row],[HARGA SATUAN]])</f>
        <v>2350000</v>
      </c>
      <c r="AG748" s="40">
        <f ca="1">IF(NOTA[ID_H]="","",INDEX(NOTA[TANGGAL],MATCH(,INDIRECT(ADDRESS(ROW(NOTA[TANGGAL]),COLUMN(NOTA[TANGGAL]))&amp;":"&amp;ADDRESS(ROW(),COLUMN(NOTA[TANGGAL]))),-1)))</f>
        <v>45134</v>
      </c>
      <c r="AH748" s="42" t="str">
        <f ca="1">IF(NOTA[[#This Row],[NAMA BARANG]]="","",INDEX(NOTA[SUPPLIER],MATCH(,INDIRECT(ADDRESS(ROW(NOTA[ID]),COLUMN(NOTA[ID]))&amp;":"&amp;ADDRESS(ROW(),COLUMN(NOTA[ID]))),-1)))</f>
        <v>YUSHINCA</v>
      </c>
      <c r="AI748" s="42" t="str">
        <f ca="1">IF(NOTA[[#This Row],[ID_H]]="","",IF(NOTA[[#This Row],[FAKTUR]]="",INDIRECT(ADDRESS(ROW()-1,COLUMN())),NOTA[[#This Row],[FAKTUR]]))</f>
        <v>UNTANA</v>
      </c>
      <c r="AJ748" s="39" t="str">
        <f ca="1">IF(NOTA[[#This Row],[ID]]="","",COUNTIF(NOTA[ID_H],NOTA[[#This Row],[ID_H]]))</f>
        <v/>
      </c>
      <c r="AK748" s="39">
        <f ca="1">IF(NOTA[[#This Row],[TGL.NOTA]]="",IF(NOTA[[#This Row],[SUPPLIER_H]]="","",AK747),MONTH(NOTA[[#This Row],[TGL.NOTA]]))</f>
        <v>7</v>
      </c>
      <c r="AL748" s="39" t="str">
        <f>LOWER(SUBSTITUTE(SUBSTITUTE(SUBSTITUTE(SUBSTITUTE(SUBSTITUTE(SUBSTITUTE(SUBSTITUTE(SUBSTITUTE(SUBSTITUTE(NOTA[NAMA BARANG]," ",),".",""),"-",""),"(",""),")",""),",",""),"/",""),"""",""),"+",""))</f>
        <v>mikakartunama009a3</v>
      </c>
      <c r="AM7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mikakartunama009a323500000.1</v>
      </c>
      <c r="AN7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mikakartunama009a323500000.1</v>
      </c>
      <c r="AO7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39" t="str">
        <f>IF(NOTA[[#This Row],[CONCAT4]]="","",_xlfn.IFNA(MATCH(NOTA[[#This Row],[CONCAT4]],[2]!RAW[CONCAT_H],0),FALSE))</f>
        <v/>
      </c>
      <c r="AQ748" s="39">
        <f>IF(NOTA[[#This Row],[CONCAT1]]="","",MATCH(NOTA[[#This Row],[CONCAT1]],[3]!db[NB NOTA_C],0))</f>
        <v>1273</v>
      </c>
      <c r="AR748" s="39" t="b">
        <f>IF(NOTA[[#This Row],[QTY/ CTN]]="","",TRUE)</f>
        <v>1</v>
      </c>
      <c r="AS748" s="39" t="str">
        <f ca="1">IF(NOTA[[#This Row],[ID_H]]="","",IF(NOTA[[#This Row],[Column3]]=TRUE,NOTA[[#This Row],[QTY/ CTN]],INDEX([3]!db[QTY/ CTN],NOTA[[#This Row],[//DB]])))</f>
        <v>5000 PCS</v>
      </c>
      <c r="AT7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mikakartunama009a35000pcsuntana</v>
      </c>
      <c r="AU748" s="39" t="e">
        <f ca="1">IF(NOTA[[#This Row],[ID_H]]="","",MATCH(NOTA[[#This Row],[NB NOTA_C_QTY]],[4]!db[NB NOTA_C_QTY+F],0))</f>
        <v>#REF!</v>
      </c>
      <c r="AV748" s="55">
        <f ca="1">IF(NOTA[[#This Row],[NB NOTA_C_QTY]]="","",ROW()-2)</f>
        <v>746</v>
      </c>
    </row>
    <row r="749" spans="1:48" ht="20.100000000000001" customHeight="1" x14ac:dyDescent="0.25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>
        <f ca="1">IF(NOTA[[#This Row],[NAMA BARANG]]="","",INDEX(NOTA[ID],MATCH(,INDIRECT(ADDRESS(ROW(NOTA[ID]),COLUMN(NOTA[ID]))&amp;":"&amp;ADDRESS(ROW(),COLUMN(NOTA[ID]))),-1)))</f>
        <v>145</v>
      </c>
      <c r="E749" s="47"/>
      <c r="H749" s="48"/>
      <c r="L749" s="38" t="s">
        <v>817</v>
      </c>
      <c r="N749" s="39">
        <v>1900</v>
      </c>
      <c r="O749" s="38" t="s">
        <v>117</v>
      </c>
      <c r="P749" s="42">
        <v>470</v>
      </c>
      <c r="Q749" s="43"/>
      <c r="R749" s="49" t="s">
        <v>858</v>
      </c>
      <c r="S749" s="50">
        <v>0.1</v>
      </c>
      <c r="U749" s="51"/>
      <c r="V749" s="46"/>
      <c r="W749" s="51">
        <f>IF(NOTA[[#This Row],[HARGA/ CTN]]="",NOTA[[#This Row],[JUMLAH_H]],NOTA[[#This Row],[HARGA/ CTN]]*IF(NOTA[[#This Row],[C]]="",0,NOTA[[#This Row],[C]]))</f>
        <v>893000</v>
      </c>
      <c r="X749" s="51">
        <f>IF(NOTA[[#This Row],[JUMLAH]]="","",NOTA[[#This Row],[JUMLAH]]*NOTA[[#This Row],[DISC 1]])</f>
        <v>89300</v>
      </c>
      <c r="Y749" s="51">
        <f>IF(NOTA[[#This Row],[JUMLAH]]="","",(NOTA[[#This Row],[JUMLAH]]-NOTA[[#This Row],[DISC 1-]])*NOTA[[#This Row],[DISC 2]])</f>
        <v>0</v>
      </c>
      <c r="Z749" s="51">
        <f>IF(NOTA[[#This Row],[JUMLAH]]="","",NOTA[[#This Row],[DISC 1-]]+NOTA[[#This Row],[DISC 2-]])</f>
        <v>89300</v>
      </c>
      <c r="AA749" s="51">
        <f>IF(NOTA[[#This Row],[JUMLAH]]="","",NOTA[[#This Row],[JUMLAH]]-NOTA[[#This Row],[DISC]])</f>
        <v>803700</v>
      </c>
      <c r="AB749" s="51"/>
      <c r="AC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42">
        <f>IF(NOTA[[#This Row],[NAMA BARANG]]="","",IF(NOTA[[#This Row],[JUMLAH_H]]="",NOTA[[#This Row],[HARGA/ CTN]],NOTA[[#This Row],[QTY]]*NOTA[[#This Row],[HARGA SATUAN]]/IF(ISNUMBER(NOTA[[#This Row],[C]]),NOTA[[#This Row],[C]],1)))</f>
        <v>893000</v>
      </c>
      <c r="AF749" s="51">
        <f>IF(OR(NOTA[[#This Row],[QTY]]="",NOTA[[#This Row],[HARGA SATUAN]]="",),"",NOTA[[#This Row],[QTY]]*NOTA[[#This Row],[HARGA SATUAN]])</f>
        <v>893000</v>
      </c>
      <c r="AG749" s="40">
        <f ca="1">IF(NOTA[ID_H]="","",INDEX(NOTA[TANGGAL],MATCH(,INDIRECT(ADDRESS(ROW(NOTA[TANGGAL]),COLUMN(NOTA[TANGGAL]))&amp;":"&amp;ADDRESS(ROW(),COLUMN(NOTA[TANGGAL]))),-1)))</f>
        <v>45134</v>
      </c>
      <c r="AH749" s="42" t="str">
        <f ca="1">IF(NOTA[[#This Row],[NAMA BARANG]]="","",INDEX(NOTA[SUPPLIER],MATCH(,INDIRECT(ADDRESS(ROW(NOTA[ID]),COLUMN(NOTA[ID]))&amp;":"&amp;ADDRESS(ROW(),COLUMN(NOTA[ID]))),-1)))</f>
        <v>YUSHINCA</v>
      </c>
      <c r="AI749" s="42" t="str">
        <f ca="1">IF(NOTA[[#This Row],[ID_H]]="","",IF(NOTA[[#This Row],[FAKTUR]]="",INDIRECT(ADDRESS(ROW()-1,COLUMN())),NOTA[[#This Row],[FAKTUR]]))</f>
        <v>UNTANA</v>
      </c>
      <c r="AJ749" s="39" t="str">
        <f ca="1">IF(NOTA[[#This Row],[ID]]="","",COUNTIF(NOTA[ID_H],NOTA[[#This Row],[ID_H]]))</f>
        <v/>
      </c>
      <c r="AK749" s="39">
        <f ca="1">IF(NOTA[[#This Row],[TGL.NOTA]]="",IF(NOTA[[#This Row],[SUPPLIER_H]]="","",AK748),MONTH(NOTA[[#This Row],[TGL.NOTA]]))</f>
        <v>7</v>
      </c>
      <c r="AL749" s="39" t="str">
        <f>LOWER(SUBSTITUTE(SUBSTITUTE(SUBSTITUTE(SUBSTITUTE(SUBSTITUTE(SUBSTITUTE(SUBSTITUTE(SUBSTITUTE(SUBSTITUTE(NOTA[NAMA BARANG]," ",),".",""),"-",""),"(",""),")",""),",",""),"/",""),"""",""),"+",""))</f>
        <v>mikakartunama009a3</v>
      </c>
      <c r="AM7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mikakartunama009a38930000.1</v>
      </c>
      <c r="AN7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mikakartunama009a34700.1</v>
      </c>
      <c r="AO7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39" t="str">
        <f>IF(NOTA[[#This Row],[CONCAT4]]="","",_xlfn.IFNA(MATCH(NOTA[[#This Row],[CONCAT4]],[2]!RAW[CONCAT_H],0),FALSE))</f>
        <v/>
      </c>
      <c r="AQ749" s="39">
        <f>IF(NOTA[[#This Row],[CONCAT1]]="","",MATCH(NOTA[[#This Row],[CONCAT1]],[3]!db[NB NOTA_C],0))</f>
        <v>1273</v>
      </c>
      <c r="AR749" s="39" t="b">
        <f>IF(NOTA[[#This Row],[QTY/ CTN]]="","",TRUE)</f>
        <v>1</v>
      </c>
      <c r="AS749" s="39" t="str">
        <f ca="1">IF(NOTA[[#This Row],[ID_H]]="","",IF(NOTA[[#This Row],[Column3]]=TRUE,NOTA[[#This Row],[QTY/ CTN]],INDEX([3]!db[QTY/ CTN],NOTA[[#This Row],[//DB]])))</f>
        <v>5000 PCS</v>
      </c>
      <c r="AT7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mikakartunama009a35000pcsuntana</v>
      </c>
      <c r="AU749" s="39" t="e">
        <f ca="1">IF(NOTA[[#This Row],[ID_H]]="","",MATCH(NOTA[[#This Row],[NB NOTA_C_QTY]],[4]!db[NB NOTA_C_QTY+F],0))</f>
        <v>#REF!</v>
      </c>
      <c r="AV749" s="55">
        <f ca="1">IF(NOTA[[#This Row],[NB NOTA_C_QTY]]="","",ROW()-2)</f>
        <v>747</v>
      </c>
    </row>
    <row r="750" spans="1:48" ht="20.100000000000001" customHeight="1" x14ac:dyDescent="0.25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>
        <f ca="1">IF(NOTA[[#This Row],[NAMA BARANG]]="","",INDEX(NOTA[ID],MATCH(,INDIRECT(ADDRESS(ROW(NOTA[ID]),COLUMN(NOTA[ID]))&amp;":"&amp;ADDRESS(ROW(),COLUMN(NOTA[ID]))),-1)))</f>
        <v>145</v>
      </c>
      <c r="E750" s="47"/>
      <c r="H750" s="48"/>
      <c r="L750" s="38" t="s">
        <v>818</v>
      </c>
      <c r="M750" s="41">
        <v>3</v>
      </c>
      <c r="N750" s="39">
        <v>15000</v>
      </c>
      <c r="O750" s="38" t="s">
        <v>117</v>
      </c>
      <c r="P750" s="42">
        <v>210</v>
      </c>
      <c r="Q750" s="43"/>
      <c r="R750" s="49" t="s">
        <v>858</v>
      </c>
      <c r="S750" s="50">
        <v>0.1</v>
      </c>
      <c r="U750" s="51"/>
      <c r="V750" s="46"/>
      <c r="W750" s="51">
        <f>IF(NOTA[[#This Row],[HARGA/ CTN]]="",NOTA[[#This Row],[JUMLAH_H]],NOTA[[#This Row],[HARGA/ CTN]]*IF(NOTA[[#This Row],[C]]="",0,NOTA[[#This Row],[C]]))</f>
        <v>3150000</v>
      </c>
      <c r="X750" s="51">
        <f>IF(NOTA[[#This Row],[JUMLAH]]="","",NOTA[[#This Row],[JUMLAH]]*NOTA[[#This Row],[DISC 1]])</f>
        <v>315000</v>
      </c>
      <c r="Y750" s="51">
        <f>IF(NOTA[[#This Row],[JUMLAH]]="","",(NOTA[[#This Row],[JUMLAH]]-NOTA[[#This Row],[DISC 1-]])*NOTA[[#This Row],[DISC 2]])</f>
        <v>0</v>
      </c>
      <c r="Z750" s="51">
        <f>IF(NOTA[[#This Row],[JUMLAH]]="","",NOTA[[#This Row],[DISC 1-]]+NOTA[[#This Row],[DISC 2-]])</f>
        <v>315000</v>
      </c>
      <c r="AA750" s="51">
        <f>IF(NOTA[[#This Row],[JUMLAH]]="","",NOTA[[#This Row],[JUMLAH]]-NOTA[[#This Row],[DISC]])</f>
        <v>2835000</v>
      </c>
      <c r="AB750" s="51"/>
      <c r="AC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750" s="51">
        <f>IF(OR(NOTA[[#This Row],[QTY]]="",NOTA[[#This Row],[HARGA SATUAN]]="",),"",NOTA[[#This Row],[QTY]]*NOTA[[#This Row],[HARGA SATUAN]])</f>
        <v>3150000</v>
      </c>
      <c r="AG750" s="40">
        <f ca="1">IF(NOTA[ID_H]="","",INDEX(NOTA[TANGGAL],MATCH(,INDIRECT(ADDRESS(ROW(NOTA[TANGGAL]),COLUMN(NOTA[TANGGAL]))&amp;":"&amp;ADDRESS(ROW(),COLUMN(NOTA[TANGGAL]))),-1)))</f>
        <v>45134</v>
      </c>
      <c r="AH750" s="42" t="str">
        <f ca="1">IF(NOTA[[#This Row],[NAMA BARANG]]="","",INDEX(NOTA[SUPPLIER],MATCH(,INDIRECT(ADDRESS(ROW(NOTA[ID]),COLUMN(NOTA[ID]))&amp;":"&amp;ADDRESS(ROW(),COLUMN(NOTA[ID]))),-1)))</f>
        <v>YUSHINCA</v>
      </c>
      <c r="AI750" s="42" t="str">
        <f ca="1">IF(NOTA[[#This Row],[ID_H]]="","",IF(NOTA[[#This Row],[FAKTUR]]="",INDIRECT(ADDRESS(ROW()-1,COLUMN())),NOTA[[#This Row],[FAKTUR]]))</f>
        <v>UNTANA</v>
      </c>
      <c r="AJ750" s="39" t="str">
        <f ca="1">IF(NOTA[[#This Row],[ID]]="","",COUNTIF(NOTA[ID_H],NOTA[[#This Row],[ID_H]]))</f>
        <v/>
      </c>
      <c r="AK750" s="39">
        <f ca="1">IF(NOTA[[#This Row],[TGL.NOTA]]="",IF(NOTA[[#This Row],[SUPPLIER_H]]="","",AK749),MONTH(NOTA[[#This Row],[TGL.NOTA]]))</f>
        <v>7</v>
      </c>
      <c r="AL750" s="39" t="str">
        <f>LOWER(SUBSTITUTE(SUBSTITUTE(SUBSTITUTE(SUBSTITUTE(SUBSTITUTE(SUBSTITUTE(SUBSTITUTE(SUBSTITUTE(SUBSTITUTE(NOTA[NAMA BARANG]," ",),".",""),"-",""),"(",""),")",""),",",""),"/",""),"""",""),"+",""))</f>
        <v>mikakartunama009b1</v>
      </c>
      <c r="AM7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mikakartunama009b110500000.1</v>
      </c>
      <c r="AN7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mikakartunama009b110500000.1</v>
      </c>
      <c r="AO7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39" t="str">
        <f>IF(NOTA[[#This Row],[CONCAT4]]="","",_xlfn.IFNA(MATCH(NOTA[[#This Row],[CONCAT4]],[2]!RAW[CONCAT_H],0),FALSE))</f>
        <v/>
      </c>
      <c r="AQ750" s="39">
        <f>IF(NOTA[[#This Row],[CONCAT1]]="","",MATCH(NOTA[[#This Row],[CONCAT1]],[3]!db[NB NOTA_C],0))</f>
        <v>1274</v>
      </c>
      <c r="AR750" s="39" t="b">
        <f>IF(NOTA[[#This Row],[QTY/ CTN]]="","",TRUE)</f>
        <v>1</v>
      </c>
      <c r="AS750" s="39" t="str">
        <f ca="1">IF(NOTA[[#This Row],[ID_H]]="","",IF(NOTA[[#This Row],[Column3]]=TRUE,NOTA[[#This Row],[QTY/ CTN]],INDEX([3]!db[QTY/ CTN],NOTA[[#This Row],[//DB]])))</f>
        <v>5000 PCS</v>
      </c>
      <c r="AT7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U750" s="39" t="e">
        <f ca="1">IF(NOTA[[#This Row],[ID_H]]="","",MATCH(NOTA[[#This Row],[NB NOTA_C_QTY]],[4]!db[NB NOTA_C_QTY+F],0))</f>
        <v>#REF!</v>
      </c>
      <c r="AV750" s="55">
        <f ca="1">IF(NOTA[[#This Row],[NB NOTA_C_QTY]]="","",ROW()-2)</f>
        <v>748</v>
      </c>
    </row>
    <row r="751" spans="1:48" ht="20.100000000000001" customHeight="1" x14ac:dyDescent="0.25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>
        <f ca="1">IF(NOTA[[#This Row],[NAMA BARANG]]="","",INDEX(NOTA[ID],MATCH(,INDIRECT(ADDRESS(ROW(NOTA[ID]),COLUMN(NOTA[ID]))&amp;":"&amp;ADDRESS(ROW(),COLUMN(NOTA[ID]))),-1)))</f>
        <v>145</v>
      </c>
      <c r="E751" s="47"/>
      <c r="H751" s="48"/>
      <c r="L751" s="38" t="s">
        <v>818</v>
      </c>
      <c r="N751" s="39">
        <v>3000</v>
      </c>
      <c r="O751" s="38" t="s">
        <v>117</v>
      </c>
      <c r="P751" s="42">
        <v>210</v>
      </c>
      <c r="Q751" s="43"/>
      <c r="R751" s="49" t="s">
        <v>858</v>
      </c>
      <c r="S751" s="50">
        <v>0.1</v>
      </c>
      <c r="U751" s="51"/>
      <c r="V751" s="46"/>
      <c r="W751" s="51">
        <f>IF(NOTA[[#This Row],[HARGA/ CTN]]="",NOTA[[#This Row],[JUMLAH_H]],NOTA[[#This Row],[HARGA/ CTN]]*IF(NOTA[[#This Row],[C]]="",0,NOTA[[#This Row],[C]]))</f>
        <v>630000</v>
      </c>
      <c r="X751" s="51">
        <f>IF(NOTA[[#This Row],[JUMLAH]]="","",NOTA[[#This Row],[JUMLAH]]*NOTA[[#This Row],[DISC 1]])</f>
        <v>63000</v>
      </c>
      <c r="Y751" s="51">
        <f>IF(NOTA[[#This Row],[JUMLAH]]="","",(NOTA[[#This Row],[JUMLAH]]-NOTA[[#This Row],[DISC 1-]])*NOTA[[#This Row],[DISC 2]])</f>
        <v>0</v>
      </c>
      <c r="Z751" s="51">
        <f>IF(NOTA[[#This Row],[JUMLAH]]="","",NOTA[[#This Row],[DISC 1-]]+NOTA[[#This Row],[DISC 2-]])</f>
        <v>63000</v>
      </c>
      <c r="AA751" s="51">
        <f>IF(NOTA[[#This Row],[JUMLAH]]="","",NOTA[[#This Row],[JUMLAH]]-NOTA[[#This Row],[DISC]])</f>
        <v>567000</v>
      </c>
      <c r="AB751" s="51"/>
      <c r="AC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42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F751" s="51">
        <f>IF(OR(NOTA[[#This Row],[QTY]]="",NOTA[[#This Row],[HARGA SATUAN]]="",),"",NOTA[[#This Row],[QTY]]*NOTA[[#This Row],[HARGA SATUAN]])</f>
        <v>630000</v>
      </c>
      <c r="AG751" s="40">
        <f ca="1">IF(NOTA[ID_H]="","",INDEX(NOTA[TANGGAL],MATCH(,INDIRECT(ADDRESS(ROW(NOTA[TANGGAL]),COLUMN(NOTA[TANGGAL]))&amp;":"&amp;ADDRESS(ROW(),COLUMN(NOTA[TANGGAL]))),-1)))</f>
        <v>45134</v>
      </c>
      <c r="AH751" s="42" t="str">
        <f ca="1">IF(NOTA[[#This Row],[NAMA BARANG]]="","",INDEX(NOTA[SUPPLIER],MATCH(,INDIRECT(ADDRESS(ROW(NOTA[ID]),COLUMN(NOTA[ID]))&amp;":"&amp;ADDRESS(ROW(),COLUMN(NOTA[ID]))),-1)))</f>
        <v>YUSHINCA</v>
      </c>
      <c r="AI751" s="42" t="str">
        <f ca="1">IF(NOTA[[#This Row],[ID_H]]="","",IF(NOTA[[#This Row],[FAKTUR]]="",INDIRECT(ADDRESS(ROW()-1,COLUMN())),NOTA[[#This Row],[FAKTUR]]))</f>
        <v>UNTANA</v>
      </c>
      <c r="AJ751" s="39" t="str">
        <f ca="1">IF(NOTA[[#This Row],[ID]]="","",COUNTIF(NOTA[ID_H],NOTA[[#This Row],[ID_H]]))</f>
        <v/>
      </c>
      <c r="AK751" s="39">
        <f ca="1">IF(NOTA[[#This Row],[TGL.NOTA]]="",IF(NOTA[[#This Row],[SUPPLIER_H]]="","",AK750),MONTH(NOTA[[#This Row],[TGL.NOTA]]))</f>
        <v>7</v>
      </c>
      <c r="AL751" s="39" t="str">
        <f>LOWER(SUBSTITUTE(SUBSTITUTE(SUBSTITUTE(SUBSTITUTE(SUBSTITUTE(SUBSTITUTE(SUBSTITUTE(SUBSTITUTE(SUBSTITUTE(NOTA[NAMA BARANG]," ",),".",""),"-",""),"(",""),")",""),",",""),"/",""),"""",""),"+",""))</f>
        <v>mikakartunama009b1</v>
      </c>
      <c r="AM7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mikakartunama009b16300000.1</v>
      </c>
      <c r="AN7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mikakartunama009b12100.1</v>
      </c>
      <c r="AO7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39" t="str">
        <f>IF(NOTA[[#This Row],[CONCAT4]]="","",_xlfn.IFNA(MATCH(NOTA[[#This Row],[CONCAT4]],[2]!RAW[CONCAT_H],0),FALSE))</f>
        <v/>
      </c>
      <c r="AQ751" s="39">
        <f>IF(NOTA[[#This Row],[CONCAT1]]="","",MATCH(NOTA[[#This Row],[CONCAT1]],[3]!db[NB NOTA_C],0))</f>
        <v>1274</v>
      </c>
      <c r="AR751" s="39" t="b">
        <f>IF(NOTA[[#This Row],[QTY/ CTN]]="","",TRUE)</f>
        <v>1</v>
      </c>
      <c r="AS751" s="39" t="str">
        <f ca="1">IF(NOTA[[#This Row],[ID_H]]="","",IF(NOTA[[#This Row],[Column3]]=TRUE,NOTA[[#This Row],[QTY/ CTN]],INDEX([3]!db[QTY/ CTN],NOTA[[#This Row],[//DB]])))</f>
        <v>5000 PCS</v>
      </c>
      <c r="AT7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U751" s="39" t="e">
        <f ca="1">IF(NOTA[[#This Row],[ID_H]]="","",MATCH(NOTA[[#This Row],[NB NOTA_C_QTY]],[4]!db[NB NOTA_C_QTY+F],0))</f>
        <v>#REF!</v>
      </c>
      <c r="AV751" s="55">
        <f ca="1">IF(NOTA[[#This Row],[NB NOTA_C_QTY]]="","",ROW()-2)</f>
        <v>749</v>
      </c>
    </row>
    <row r="752" spans="1:48" ht="20.100000000000001" customHeight="1" x14ac:dyDescent="0.25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>
        <f ca="1">IF(NOTA[[#This Row],[NAMA BARANG]]="","",INDEX(NOTA[ID],MATCH(,INDIRECT(ADDRESS(ROW(NOTA[ID]),COLUMN(NOTA[ID]))&amp;":"&amp;ADDRESS(ROW(),COLUMN(NOTA[ID]))),-1)))</f>
        <v>145</v>
      </c>
      <c r="E752" s="47"/>
      <c r="H752" s="48"/>
      <c r="L752" s="38" t="s">
        <v>819</v>
      </c>
      <c r="N752" s="39">
        <v>900</v>
      </c>
      <c r="O752" s="38" t="s">
        <v>117</v>
      </c>
      <c r="P752" s="42">
        <v>275</v>
      </c>
      <c r="Q752" s="43"/>
      <c r="R752" s="49" t="s">
        <v>858</v>
      </c>
      <c r="S752" s="50">
        <v>0.1</v>
      </c>
      <c r="U752" s="51"/>
      <c r="V752" s="46"/>
      <c r="W752" s="51">
        <f>IF(NOTA[[#This Row],[HARGA/ CTN]]="",NOTA[[#This Row],[JUMLAH_H]],NOTA[[#This Row],[HARGA/ CTN]]*IF(NOTA[[#This Row],[C]]="",0,NOTA[[#This Row],[C]]))</f>
        <v>247500</v>
      </c>
      <c r="X752" s="51">
        <f>IF(NOTA[[#This Row],[JUMLAH]]="","",NOTA[[#This Row],[JUMLAH]]*NOTA[[#This Row],[DISC 1]])</f>
        <v>24750</v>
      </c>
      <c r="Y752" s="51">
        <f>IF(NOTA[[#This Row],[JUMLAH]]="","",(NOTA[[#This Row],[JUMLAH]]-NOTA[[#This Row],[DISC 1-]])*NOTA[[#This Row],[DISC 2]])</f>
        <v>0</v>
      </c>
      <c r="Z752" s="51">
        <f>IF(NOTA[[#This Row],[JUMLAH]]="","",NOTA[[#This Row],[DISC 1-]]+NOTA[[#This Row],[DISC 2-]])</f>
        <v>24750</v>
      </c>
      <c r="AA752" s="51">
        <f>IF(NOTA[[#This Row],[JUMLAH]]="","",NOTA[[#This Row],[JUMLAH]]-NOTA[[#This Row],[DISC]])</f>
        <v>222750</v>
      </c>
      <c r="AB752" s="51"/>
      <c r="AC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42">
        <f>IF(NOTA[[#This Row],[NAMA BARANG]]="","",IF(NOTA[[#This Row],[JUMLAH_H]]="",NOTA[[#This Row],[HARGA/ CTN]],NOTA[[#This Row],[QTY]]*NOTA[[#This Row],[HARGA SATUAN]]/IF(ISNUMBER(NOTA[[#This Row],[C]]),NOTA[[#This Row],[C]],1)))</f>
        <v>247500</v>
      </c>
      <c r="AF752" s="51">
        <f>IF(OR(NOTA[[#This Row],[QTY]]="",NOTA[[#This Row],[HARGA SATUAN]]="",),"",NOTA[[#This Row],[QTY]]*NOTA[[#This Row],[HARGA SATUAN]])</f>
        <v>247500</v>
      </c>
      <c r="AG752" s="40">
        <f ca="1">IF(NOTA[ID_H]="","",INDEX(NOTA[TANGGAL],MATCH(,INDIRECT(ADDRESS(ROW(NOTA[TANGGAL]),COLUMN(NOTA[TANGGAL]))&amp;":"&amp;ADDRESS(ROW(),COLUMN(NOTA[TANGGAL]))),-1)))</f>
        <v>45134</v>
      </c>
      <c r="AH752" s="42" t="str">
        <f ca="1">IF(NOTA[[#This Row],[NAMA BARANG]]="","",INDEX(NOTA[SUPPLIER],MATCH(,INDIRECT(ADDRESS(ROW(NOTA[ID]),COLUMN(NOTA[ID]))&amp;":"&amp;ADDRESS(ROW(),COLUMN(NOTA[ID]))),-1)))</f>
        <v>YUSHINCA</v>
      </c>
      <c r="AI752" s="42" t="str">
        <f ca="1">IF(NOTA[[#This Row],[ID_H]]="","",IF(NOTA[[#This Row],[FAKTUR]]="",INDIRECT(ADDRESS(ROW()-1,COLUMN())),NOTA[[#This Row],[FAKTUR]]))</f>
        <v>UNTANA</v>
      </c>
      <c r="AJ752" s="39" t="str">
        <f ca="1">IF(NOTA[[#This Row],[ID]]="","",COUNTIF(NOTA[ID_H],NOTA[[#This Row],[ID_H]]))</f>
        <v/>
      </c>
      <c r="AK752" s="39">
        <f ca="1">IF(NOTA[[#This Row],[TGL.NOTA]]="",IF(NOTA[[#This Row],[SUPPLIER_H]]="","",AK751),MONTH(NOTA[[#This Row],[TGL.NOTA]]))</f>
        <v>7</v>
      </c>
      <c r="AL752" s="39" t="str">
        <f>LOWER(SUBSTITUTE(SUBSTITUTE(SUBSTITUTE(SUBSTITUTE(SUBSTITUTE(SUBSTITUTE(SUBSTITUTE(SUBSTITUTE(SUBSTITUTE(NOTA[NAMA BARANG]," ",),".",""),"-",""),"(",""),")",""),",",""),"/",""),"""",""),"+",""))</f>
        <v>mikakartunama009b2</v>
      </c>
      <c r="AM7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mikakartunama009b22475000.1</v>
      </c>
      <c r="AN7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mikakartunama009b22750.1</v>
      </c>
      <c r="AO7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39" t="str">
        <f>IF(NOTA[[#This Row],[CONCAT4]]="","",_xlfn.IFNA(MATCH(NOTA[[#This Row],[CONCAT4]],[2]!RAW[CONCAT_H],0),FALSE))</f>
        <v/>
      </c>
      <c r="AQ752" s="39">
        <f>IF(NOTA[[#This Row],[CONCAT1]]="","",MATCH(NOTA[[#This Row],[CONCAT1]],[3]!db[NB NOTA_C],0))</f>
        <v>1276</v>
      </c>
      <c r="AR752" s="39" t="b">
        <f>IF(NOTA[[#This Row],[QTY/ CTN]]="","",TRUE)</f>
        <v>1</v>
      </c>
      <c r="AS752" s="39" t="str">
        <f ca="1">IF(NOTA[[#This Row],[ID_H]]="","",IF(NOTA[[#This Row],[Column3]]=TRUE,NOTA[[#This Row],[QTY/ CTN]],INDEX([3]!db[QTY/ CTN],NOTA[[#This Row],[//DB]])))</f>
        <v>5000 PCS</v>
      </c>
      <c r="AT7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mikakartunama009b25000pcsuntana</v>
      </c>
      <c r="AU752" s="39" t="e">
        <f ca="1">IF(NOTA[[#This Row],[ID_H]]="","",MATCH(NOTA[[#This Row],[NB NOTA_C_QTY]],[4]!db[NB NOTA_C_QTY+F],0))</f>
        <v>#REF!</v>
      </c>
      <c r="AV752" s="55">
        <f ca="1">IF(NOTA[[#This Row],[NB NOTA_C_QTY]]="","",ROW()-2)</f>
        <v>750</v>
      </c>
    </row>
    <row r="753" spans="1:48" ht="20.100000000000001" customHeight="1" x14ac:dyDescent="0.25">
      <c r="A7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>
        <f ca="1">IF(NOTA[[#This Row],[NAMA BARANG]]="","",INDEX(NOTA[ID],MATCH(,INDIRECT(ADDRESS(ROW(NOTA[ID]),COLUMN(NOTA[ID]))&amp;":"&amp;ADDRESS(ROW(),COLUMN(NOTA[ID]))),-1)))</f>
        <v>145</v>
      </c>
      <c r="E753" s="47"/>
      <c r="H753" s="48"/>
      <c r="L753" s="38" t="s">
        <v>820</v>
      </c>
      <c r="M753" s="41">
        <v>5</v>
      </c>
      <c r="N753" s="39">
        <v>25000</v>
      </c>
      <c r="O753" s="38" t="s">
        <v>117</v>
      </c>
      <c r="P753" s="42">
        <v>425</v>
      </c>
      <c r="Q753" s="43"/>
      <c r="R753" s="49" t="s">
        <v>858</v>
      </c>
      <c r="S753" s="50">
        <v>0.1</v>
      </c>
      <c r="U753" s="51"/>
      <c r="V753" s="46"/>
      <c r="W753" s="51">
        <f>IF(NOTA[[#This Row],[HARGA/ CTN]]="",NOTA[[#This Row],[JUMLAH_H]],NOTA[[#This Row],[HARGA/ CTN]]*IF(NOTA[[#This Row],[C]]="",0,NOTA[[#This Row],[C]]))</f>
        <v>10625000</v>
      </c>
      <c r="X753" s="51">
        <f>IF(NOTA[[#This Row],[JUMLAH]]="","",NOTA[[#This Row],[JUMLAH]]*NOTA[[#This Row],[DISC 1]])</f>
        <v>1062500</v>
      </c>
      <c r="Y753" s="51">
        <f>IF(NOTA[[#This Row],[JUMLAH]]="","",(NOTA[[#This Row],[JUMLAH]]-NOTA[[#This Row],[DISC 1-]])*NOTA[[#This Row],[DISC 2]])</f>
        <v>0</v>
      </c>
      <c r="Z753" s="51">
        <f>IF(NOTA[[#This Row],[JUMLAH]]="","",NOTA[[#This Row],[DISC 1-]]+NOTA[[#This Row],[DISC 2-]])</f>
        <v>1062500</v>
      </c>
      <c r="AA753" s="51">
        <f>IF(NOTA[[#This Row],[JUMLAH]]="","",NOTA[[#This Row],[JUMLAH]]-NOTA[[#This Row],[DISC]])</f>
        <v>9562500</v>
      </c>
      <c r="AB753" s="51"/>
      <c r="AC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4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753" s="51">
        <f>IF(OR(NOTA[[#This Row],[QTY]]="",NOTA[[#This Row],[HARGA SATUAN]]="",),"",NOTA[[#This Row],[QTY]]*NOTA[[#This Row],[HARGA SATUAN]])</f>
        <v>10625000</v>
      </c>
      <c r="AG753" s="40">
        <f ca="1">IF(NOTA[ID_H]="","",INDEX(NOTA[TANGGAL],MATCH(,INDIRECT(ADDRESS(ROW(NOTA[TANGGAL]),COLUMN(NOTA[TANGGAL]))&amp;":"&amp;ADDRESS(ROW(),COLUMN(NOTA[TANGGAL]))),-1)))</f>
        <v>45134</v>
      </c>
      <c r="AH753" s="42" t="str">
        <f ca="1">IF(NOTA[[#This Row],[NAMA BARANG]]="","",INDEX(NOTA[SUPPLIER],MATCH(,INDIRECT(ADDRESS(ROW(NOTA[ID]),COLUMN(NOTA[ID]))&amp;":"&amp;ADDRESS(ROW(),COLUMN(NOTA[ID]))),-1)))</f>
        <v>YUSHINCA</v>
      </c>
      <c r="AI753" s="42" t="str">
        <f ca="1">IF(NOTA[[#This Row],[ID_H]]="","",IF(NOTA[[#This Row],[FAKTUR]]="",INDIRECT(ADDRESS(ROW()-1,COLUMN())),NOTA[[#This Row],[FAKTUR]]))</f>
        <v>UNTANA</v>
      </c>
      <c r="AJ753" s="39" t="str">
        <f ca="1">IF(NOTA[[#This Row],[ID]]="","",COUNTIF(NOTA[ID_H],NOTA[[#This Row],[ID_H]]))</f>
        <v/>
      </c>
      <c r="AK753" s="39">
        <f ca="1">IF(NOTA[[#This Row],[TGL.NOTA]]="",IF(NOTA[[#This Row],[SUPPLIER_H]]="","",AK752),MONTH(NOTA[[#This Row],[TGL.NOTA]]))</f>
        <v>7</v>
      </c>
      <c r="AL753" s="39" t="str">
        <f>LOWER(SUBSTITUTE(SUBSTITUTE(SUBSTITUTE(SUBSTITUTE(SUBSTITUTE(SUBSTITUTE(SUBSTITUTE(SUBSTITUTE(SUBSTITUTE(NOTA[NAMA BARANG]," ",),".",""),"-",""),"(",""),")",""),",",""),"/",""),"""",""),"+",""))</f>
        <v>mikakartunama009b4</v>
      </c>
      <c r="AM7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mikakartunama009b421250000.1</v>
      </c>
      <c r="AN7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mikakartunama009b421250000.1</v>
      </c>
      <c r="AO7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39" t="str">
        <f>IF(NOTA[[#This Row],[CONCAT4]]="","",_xlfn.IFNA(MATCH(NOTA[[#This Row],[CONCAT4]],[2]!RAW[CONCAT_H],0),FALSE))</f>
        <v/>
      </c>
      <c r="AQ753" s="39">
        <f>IF(NOTA[[#This Row],[CONCAT1]]="","",MATCH(NOTA[[#This Row],[CONCAT1]],[3]!db[NB NOTA_C],0))</f>
        <v>1278</v>
      </c>
      <c r="AR753" s="39" t="b">
        <f>IF(NOTA[[#This Row],[QTY/ CTN]]="","",TRUE)</f>
        <v>1</v>
      </c>
      <c r="AS753" s="39" t="str">
        <f ca="1">IF(NOTA[[#This Row],[ID_H]]="","",IF(NOTA[[#This Row],[Column3]]=TRUE,NOTA[[#This Row],[QTY/ CTN]],INDEX([3]!db[QTY/ CTN],NOTA[[#This Row],[//DB]])))</f>
        <v>5000 PCS</v>
      </c>
      <c r="AT7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mikakartunama009b45000pcsuntana</v>
      </c>
      <c r="AU753" s="39" t="e">
        <f ca="1">IF(NOTA[[#This Row],[ID_H]]="","",MATCH(NOTA[[#This Row],[NB NOTA_C_QTY]],[4]!db[NB NOTA_C_QTY+F],0))</f>
        <v>#REF!</v>
      </c>
      <c r="AV753" s="55">
        <f ca="1">IF(NOTA[[#This Row],[NB NOTA_C_QTY]]="","",ROW()-2)</f>
        <v>751</v>
      </c>
    </row>
    <row r="754" spans="1:48" ht="20.100000000000001" customHeight="1" x14ac:dyDescent="0.25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>
        <f ca="1">IF(NOTA[[#This Row],[NAMA BARANG]]="","",INDEX(NOTA[ID],MATCH(,INDIRECT(ADDRESS(ROW(NOTA[ID]),COLUMN(NOTA[ID]))&amp;":"&amp;ADDRESS(ROW(),COLUMN(NOTA[ID]))),-1)))</f>
        <v>145</v>
      </c>
      <c r="E754" s="47"/>
      <c r="H754" s="48"/>
      <c r="L754" s="38" t="s">
        <v>820</v>
      </c>
      <c r="N754" s="39">
        <v>3600</v>
      </c>
      <c r="O754" s="38" t="s">
        <v>117</v>
      </c>
      <c r="P754" s="42">
        <v>425</v>
      </c>
      <c r="Q754" s="43"/>
      <c r="R754" s="49" t="s">
        <v>858</v>
      </c>
      <c r="S754" s="50">
        <v>0.1</v>
      </c>
      <c r="U754" s="51"/>
      <c r="V754" s="46"/>
      <c r="W754" s="51">
        <f>IF(NOTA[[#This Row],[HARGA/ CTN]]="",NOTA[[#This Row],[JUMLAH_H]],NOTA[[#This Row],[HARGA/ CTN]]*IF(NOTA[[#This Row],[C]]="",0,NOTA[[#This Row],[C]]))</f>
        <v>1530000</v>
      </c>
      <c r="X754" s="51">
        <f>IF(NOTA[[#This Row],[JUMLAH]]="","",NOTA[[#This Row],[JUMLAH]]*NOTA[[#This Row],[DISC 1]])</f>
        <v>153000</v>
      </c>
      <c r="Y754" s="51">
        <f>IF(NOTA[[#This Row],[JUMLAH]]="","",(NOTA[[#This Row],[JUMLAH]]-NOTA[[#This Row],[DISC 1-]])*NOTA[[#This Row],[DISC 2]])</f>
        <v>0</v>
      </c>
      <c r="Z754" s="51">
        <f>IF(NOTA[[#This Row],[JUMLAH]]="","",NOTA[[#This Row],[DISC 1-]]+NOTA[[#This Row],[DISC 2-]])</f>
        <v>153000</v>
      </c>
      <c r="AA754" s="51">
        <f>IF(NOTA[[#This Row],[JUMLAH]]="","",NOTA[[#This Row],[JUMLAH]]-NOTA[[#This Row],[DISC]])</f>
        <v>1377000</v>
      </c>
      <c r="AB754" s="51"/>
      <c r="AC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42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F754" s="51">
        <f>IF(OR(NOTA[[#This Row],[QTY]]="",NOTA[[#This Row],[HARGA SATUAN]]="",),"",NOTA[[#This Row],[QTY]]*NOTA[[#This Row],[HARGA SATUAN]])</f>
        <v>1530000</v>
      </c>
      <c r="AG754" s="40">
        <f ca="1">IF(NOTA[ID_H]="","",INDEX(NOTA[TANGGAL],MATCH(,INDIRECT(ADDRESS(ROW(NOTA[TANGGAL]),COLUMN(NOTA[TANGGAL]))&amp;":"&amp;ADDRESS(ROW(),COLUMN(NOTA[TANGGAL]))),-1)))</f>
        <v>45134</v>
      </c>
      <c r="AH754" s="42" t="str">
        <f ca="1">IF(NOTA[[#This Row],[NAMA BARANG]]="","",INDEX(NOTA[SUPPLIER],MATCH(,INDIRECT(ADDRESS(ROW(NOTA[ID]),COLUMN(NOTA[ID]))&amp;":"&amp;ADDRESS(ROW(),COLUMN(NOTA[ID]))),-1)))</f>
        <v>YUSHINCA</v>
      </c>
      <c r="AI754" s="42" t="str">
        <f ca="1">IF(NOTA[[#This Row],[ID_H]]="","",IF(NOTA[[#This Row],[FAKTUR]]="",INDIRECT(ADDRESS(ROW()-1,COLUMN())),NOTA[[#This Row],[FAKTUR]]))</f>
        <v>UNTANA</v>
      </c>
      <c r="AJ754" s="39" t="str">
        <f ca="1">IF(NOTA[[#This Row],[ID]]="","",COUNTIF(NOTA[ID_H],NOTA[[#This Row],[ID_H]]))</f>
        <v/>
      </c>
      <c r="AK754" s="39">
        <f ca="1">IF(NOTA[[#This Row],[TGL.NOTA]]="",IF(NOTA[[#This Row],[SUPPLIER_H]]="","",AK753),MONTH(NOTA[[#This Row],[TGL.NOTA]]))</f>
        <v>7</v>
      </c>
      <c r="AL754" s="39" t="str">
        <f>LOWER(SUBSTITUTE(SUBSTITUTE(SUBSTITUTE(SUBSTITUTE(SUBSTITUTE(SUBSTITUTE(SUBSTITUTE(SUBSTITUTE(SUBSTITUTE(NOTA[NAMA BARANG]," ",),".",""),"-",""),"(",""),")",""),",",""),"/",""),"""",""),"+",""))</f>
        <v>mikakartunama009b4</v>
      </c>
      <c r="AM7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mikakartunama009b415300000.1</v>
      </c>
      <c r="AN7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mikakartunama009b44250.1</v>
      </c>
      <c r="AO7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39" t="str">
        <f>IF(NOTA[[#This Row],[CONCAT4]]="","",_xlfn.IFNA(MATCH(NOTA[[#This Row],[CONCAT4]],[2]!RAW[CONCAT_H],0),FALSE))</f>
        <v/>
      </c>
      <c r="AQ754" s="39">
        <f>IF(NOTA[[#This Row],[CONCAT1]]="","",MATCH(NOTA[[#This Row],[CONCAT1]],[3]!db[NB NOTA_C],0))</f>
        <v>1278</v>
      </c>
      <c r="AR754" s="39" t="b">
        <f>IF(NOTA[[#This Row],[QTY/ CTN]]="","",TRUE)</f>
        <v>1</v>
      </c>
      <c r="AS754" s="39" t="str">
        <f ca="1">IF(NOTA[[#This Row],[ID_H]]="","",IF(NOTA[[#This Row],[Column3]]=TRUE,NOTA[[#This Row],[QTY/ CTN]],INDEX([3]!db[QTY/ CTN],NOTA[[#This Row],[//DB]])))</f>
        <v>5000 PCS</v>
      </c>
      <c r="AT7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mikakartunama009b45000pcsuntana</v>
      </c>
      <c r="AU754" s="39" t="e">
        <f ca="1">IF(NOTA[[#This Row],[ID_H]]="","",MATCH(NOTA[[#This Row],[NB NOTA_C_QTY]],[4]!db[NB NOTA_C_QTY+F],0))</f>
        <v>#REF!</v>
      </c>
      <c r="AV754" s="55">
        <f ca="1">IF(NOTA[[#This Row],[NB NOTA_C_QTY]]="","",ROW()-2)</f>
        <v>752</v>
      </c>
    </row>
    <row r="755" spans="1:48" ht="20.100000000000001" customHeight="1" x14ac:dyDescent="0.25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>
        <f ca="1">IF(NOTA[[#This Row],[NAMA BARANG]]="","",INDEX(NOTA[ID],MATCH(,INDIRECT(ADDRESS(ROW(NOTA[ID]),COLUMN(NOTA[ID]))&amp;":"&amp;ADDRESS(ROW(),COLUMN(NOTA[ID]))),-1)))</f>
        <v>145</v>
      </c>
      <c r="E755" s="47"/>
      <c r="H755" s="48"/>
      <c r="L755" s="38" t="s">
        <v>821</v>
      </c>
      <c r="N755" s="39">
        <v>4900</v>
      </c>
      <c r="O755" s="38" t="s">
        <v>117</v>
      </c>
      <c r="P755" s="42">
        <v>560</v>
      </c>
      <c r="Q755" s="43"/>
      <c r="R755" s="49" t="s">
        <v>858</v>
      </c>
      <c r="S755" s="50">
        <v>0.1</v>
      </c>
      <c r="U755" s="51"/>
      <c r="V755" s="46"/>
      <c r="W755" s="51">
        <f>IF(NOTA[[#This Row],[HARGA/ CTN]]="",NOTA[[#This Row],[JUMLAH_H]],NOTA[[#This Row],[HARGA/ CTN]]*IF(NOTA[[#This Row],[C]]="",0,NOTA[[#This Row],[C]]))</f>
        <v>2744000</v>
      </c>
      <c r="X755" s="51">
        <f>IF(NOTA[[#This Row],[JUMLAH]]="","",NOTA[[#This Row],[JUMLAH]]*NOTA[[#This Row],[DISC 1]])</f>
        <v>274400</v>
      </c>
      <c r="Y755" s="51">
        <f>IF(NOTA[[#This Row],[JUMLAH]]="","",(NOTA[[#This Row],[JUMLAH]]-NOTA[[#This Row],[DISC 1-]])*NOTA[[#This Row],[DISC 2]])</f>
        <v>0</v>
      </c>
      <c r="Z755" s="51">
        <f>IF(NOTA[[#This Row],[JUMLAH]]="","",NOTA[[#This Row],[DISC 1-]]+NOTA[[#This Row],[DISC 2-]])</f>
        <v>274400</v>
      </c>
      <c r="AA755" s="51">
        <f>IF(NOTA[[#This Row],[JUMLAH]]="","",NOTA[[#This Row],[JUMLAH]]-NOTA[[#This Row],[DISC]])</f>
        <v>2469600</v>
      </c>
      <c r="AB755" s="51"/>
      <c r="AC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42">
        <f>IF(NOTA[[#This Row],[NAMA BARANG]]="","",IF(NOTA[[#This Row],[JUMLAH_H]]="",NOTA[[#This Row],[HARGA/ CTN]],NOTA[[#This Row],[QTY]]*NOTA[[#This Row],[HARGA SATUAN]]/IF(ISNUMBER(NOTA[[#This Row],[C]]),NOTA[[#This Row],[C]],1)))</f>
        <v>2744000</v>
      </c>
      <c r="AF755" s="51">
        <f>IF(OR(NOTA[[#This Row],[QTY]]="",NOTA[[#This Row],[HARGA SATUAN]]="",),"",NOTA[[#This Row],[QTY]]*NOTA[[#This Row],[HARGA SATUAN]])</f>
        <v>2744000</v>
      </c>
      <c r="AG755" s="40">
        <f ca="1">IF(NOTA[ID_H]="","",INDEX(NOTA[TANGGAL],MATCH(,INDIRECT(ADDRESS(ROW(NOTA[TANGGAL]),COLUMN(NOTA[TANGGAL]))&amp;":"&amp;ADDRESS(ROW(),COLUMN(NOTA[TANGGAL]))),-1)))</f>
        <v>45134</v>
      </c>
      <c r="AH755" s="42" t="str">
        <f ca="1">IF(NOTA[[#This Row],[NAMA BARANG]]="","",INDEX(NOTA[SUPPLIER],MATCH(,INDIRECT(ADDRESS(ROW(NOTA[ID]),COLUMN(NOTA[ID]))&amp;":"&amp;ADDRESS(ROW(),COLUMN(NOTA[ID]))),-1)))</f>
        <v>YUSHINCA</v>
      </c>
      <c r="AI755" s="42" t="str">
        <f ca="1">IF(NOTA[[#This Row],[ID_H]]="","",IF(NOTA[[#This Row],[FAKTUR]]="",INDIRECT(ADDRESS(ROW()-1,COLUMN())),NOTA[[#This Row],[FAKTUR]]))</f>
        <v>UNTANA</v>
      </c>
      <c r="AJ755" s="39" t="str">
        <f ca="1">IF(NOTA[[#This Row],[ID]]="","",COUNTIF(NOTA[ID_H],NOTA[[#This Row],[ID_H]]))</f>
        <v/>
      </c>
      <c r="AK755" s="39">
        <f ca="1">IF(NOTA[[#This Row],[TGL.NOTA]]="",IF(NOTA[[#This Row],[SUPPLIER_H]]="","",AK754),MONTH(NOTA[[#This Row],[TGL.NOTA]]))</f>
        <v>7</v>
      </c>
      <c r="AL755" s="39" t="str">
        <f>LOWER(SUBSTITUTE(SUBSTITUTE(SUBSTITUTE(SUBSTITUTE(SUBSTITUTE(SUBSTITUTE(SUBSTITUTE(SUBSTITUTE(SUBSTITUTE(NOTA[NAMA BARANG]," ",),".",""),"-",""),"(",""),")",""),",",""),"/",""),"""",""),"+",""))</f>
        <v>mikakartunama009b5</v>
      </c>
      <c r="AM7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mikakartunama009b527440000.1</v>
      </c>
      <c r="AN7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mikakartunama009b55600.1</v>
      </c>
      <c r="AO7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39" t="str">
        <f>IF(NOTA[[#This Row],[CONCAT4]]="","",_xlfn.IFNA(MATCH(NOTA[[#This Row],[CONCAT4]],[2]!RAW[CONCAT_H],0),FALSE))</f>
        <v/>
      </c>
      <c r="AQ755" s="39">
        <f>IF(NOTA[[#This Row],[CONCAT1]]="","",MATCH(NOTA[[#This Row],[CONCAT1]],[3]!db[NB NOTA_C],0))</f>
        <v>1279</v>
      </c>
      <c r="AR755" s="39" t="b">
        <f>IF(NOTA[[#This Row],[QTY/ CTN]]="","",TRUE)</f>
        <v>1</v>
      </c>
      <c r="AS755" s="39" t="str">
        <f ca="1">IF(NOTA[[#This Row],[ID_H]]="","",IF(NOTA[[#This Row],[Column3]]=TRUE,NOTA[[#This Row],[QTY/ CTN]],INDEX([3]!db[QTY/ CTN],NOTA[[#This Row],[//DB]])))</f>
        <v>5000 PCS</v>
      </c>
      <c r="AT7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mikakartunama009b55000pcsuntana</v>
      </c>
      <c r="AU755" s="39" t="e">
        <f ca="1">IF(NOTA[[#This Row],[ID_H]]="","",MATCH(NOTA[[#This Row],[NB NOTA_C_QTY]],[4]!db[NB NOTA_C_QTY+F],0))</f>
        <v>#REF!</v>
      </c>
      <c r="AV755" s="55">
        <f ca="1">IF(NOTA[[#This Row],[NB NOTA_C_QTY]]="","",ROW()-2)</f>
        <v>753</v>
      </c>
    </row>
    <row r="756" spans="1:48" ht="20.100000000000001" customHeight="1" x14ac:dyDescent="0.25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>
        <f ca="1">IF(NOTA[[#This Row],[NAMA BARANG]]="","",INDEX(NOTA[ID],MATCH(,INDIRECT(ADDRESS(ROW(NOTA[ID]),COLUMN(NOTA[ID]))&amp;":"&amp;ADDRESS(ROW(),COLUMN(NOTA[ID]))),-1)))</f>
        <v>145</v>
      </c>
      <c r="E756" s="47"/>
      <c r="H756" s="48"/>
      <c r="L756" s="38" t="s">
        <v>822</v>
      </c>
      <c r="N756" s="39">
        <v>1000</v>
      </c>
      <c r="O756" s="38" t="s">
        <v>117</v>
      </c>
      <c r="P756" s="42">
        <v>355</v>
      </c>
      <c r="Q756" s="43"/>
      <c r="R756" s="49" t="s">
        <v>858</v>
      </c>
      <c r="S756" s="50">
        <v>0.1</v>
      </c>
      <c r="U756" s="51"/>
      <c r="V756" s="46"/>
      <c r="W756" s="51">
        <f>IF(NOTA[[#This Row],[HARGA/ CTN]]="",NOTA[[#This Row],[JUMLAH_H]],NOTA[[#This Row],[HARGA/ CTN]]*IF(NOTA[[#This Row],[C]]="",0,NOTA[[#This Row],[C]]))</f>
        <v>355000</v>
      </c>
      <c r="X756" s="51">
        <f>IF(NOTA[[#This Row],[JUMLAH]]="","",NOTA[[#This Row],[JUMLAH]]*NOTA[[#This Row],[DISC 1]])</f>
        <v>35500</v>
      </c>
      <c r="Y756" s="51">
        <f>IF(NOTA[[#This Row],[JUMLAH]]="","",(NOTA[[#This Row],[JUMLAH]]-NOTA[[#This Row],[DISC 1-]])*NOTA[[#This Row],[DISC 2]])</f>
        <v>0</v>
      </c>
      <c r="Z756" s="51">
        <f>IF(NOTA[[#This Row],[JUMLAH]]="","",NOTA[[#This Row],[DISC 1-]]+NOTA[[#This Row],[DISC 2-]])</f>
        <v>35500</v>
      </c>
      <c r="AA756" s="51">
        <f>IF(NOTA[[#This Row],[JUMLAH]]="","",NOTA[[#This Row],[JUMLAH]]-NOTA[[#This Row],[DISC]])</f>
        <v>319500</v>
      </c>
      <c r="AB756" s="51"/>
      <c r="AC75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3278450</v>
      </c>
      <c r="AD75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29506050</v>
      </c>
      <c r="AE756" s="42">
        <f>IF(NOTA[[#This Row],[NAMA BARANG]]="","",IF(NOTA[[#This Row],[JUMLAH_H]]="",NOTA[[#This Row],[HARGA/ CTN]],NOTA[[#This Row],[QTY]]*NOTA[[#This Row],[HARGA SATUAN]]/IF(ISNUMBER(NOTA[[#This Row],[C]]),NOTA[[#This Row],[C]],1)))</f>
        <v>355000</v>
      </c>
      <c r="AF756" s="51">
        <f>IF(OR(NOTA[[#This Row],[QTY]]="",NOTA[[#This Row],[HARGA SATUAN]]="",),"",NOTA[[#This Row],[QTY]]*NOTA[[#This Row],[HARGA SATUAN]])</f>
        <v>355000</v>
      </c>
      <c r="AG756" s="40">
        <f ca="1">IF(NOTA[ID_H]="","",INDEX(NOTA[TANGGAL],MATCH(,INDIRECT(ADDRESS(ROW(NOTA[TANGGAL]),COLUMN(NOTA[TANGGAL]))&amp;":"&amp;ADDRESS(ROW(),COLUMN(NOTA[TANGGAL]))),-1)))</f>
        <v>45134</v>
      </c>
      <c r="AH756" s="42" t="str">
        <f ca="1">IF(NOTA[[#This Row],[NAMA BARANG]]="","",INDEX(NOTA[SUPPLIER],MATCH(,INDIRECT(ADDRESS(ROW(NOTA[ID]),COLUMN(NOTA[ID]))&amp;":"&amp;ADDRESS(ROW(),COLUMN(NOTA[ID]))),-1)))</f>
        <v>YUSHINCA</v>
      </c>
      <c r="AI756" s="42" t="str">
        <f ca="1">IF(NOTA[[#This Row],[ID_H]]="","",IF(NOTA[[#This Row],[FAKTUR]]="",INDIRECT(ADDRESS(ROW()-1,COLUMN())),NOTA[[#This Row],[FAKTUR]]))</f>
        <v>UNTANA</v>
      </c>
      <c r="AJ756" s="39" t="str">
        <f ca="1">IF(NOTA[[#This Row],[ID]]="","",COUNTIF(NOTA[ID_H],NOTA[[#This Row],[ID_H]]))</f>
        <v/>
      </c>
      <c r="AK756" s="39">
        <f ca="1">IF(NOTA[[#This Row],[TGL.NOTA]]="",IF(NOTA[[#This Row],[SUPPLIER_H]]="","",AK755),MONTH(NOTA[[#This Row],[TGL.NOTA]]))</f>
        <v>7</v>
      </c>
      <c r="AL756" s="39" t="str">
        <f>LOWER(SUBSTITUTE(SUBSTITUTE(SUBSTITUTE(SUBSTITUTE(SUBSTITUTE(SUBSTITUTE(SUBSTITUTE(SUBSTITUTE(SUBSTITUTE(NOTA[NAMA BARANG]," ",),".",""),"-",""),"(",""),")",""),",",""),"/",""),"""",""),"+",""))</f>
        <v>mikakartunama009b3</v>
      </c>
      <c r="AM7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mikakartunama009b33550000.1</v>
      </c>
      <c r="AN7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mikakartunama009b33550.1</v>
      </c>
      <c r="AO7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39" t="str">
        <f>IF(NOTA[[#This Row],[CONCAT4]]="","",_xlfn.IFNA(MATCH(NOTA[[#This Row],[CONCAT4]],[2]!RAW[CONCAT_H],0),FALSE))</f>
        <v/>
      </c>
      <c r="AQ756" s="39">
        <f>IF(NOTA[[#This Row],[CONCAT1]]="","",MATCH(NOTA[[#This Row],[CONCAT1]],[3]!db[NB NOTA_C],0))</f>
        <v>1277</v>
      </c>
      <c r="AR756" s="39" t="b">
        <f>IF(NOTA[[#This Row],[QTY/ CTN]]="","",TRUE)</f>
        <v>1</v>
      </c>
      <c r="AS756" s="39" t="str">
        <f ca="1">IF(NOTA[[#This Row],[ID_H]]="","",IF(NOTA[[#This Row],[Column3]]=TRUE,NOTA[[#This Row],[QTY/ CTN]],INDEX([3]!db[QTY/ CTN],NOTA[[#This Row],[//DB]])))</f>
        <v>5000 PCS</v>
      </c>
      <c r="AT7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mikakartunama009b35000pcsuntana</v>
      </c>
      <c r="AU756" s="39" t="e">
        <f ca="1">IF(NOTA[[#This Row],[ID_H]]="","",MATCH(NOTA[[#This Row],[NB NOTA_C_QTY]],[4]!db[NB NOTA_C_QTY+F],0))</f>
        <v>#REF!</v>
      </c>
      <c r="AV756" s="55">
        <f ca="1">IF(NOTA[[#This Row],[NB NOTA_C_QTY]]="","",ROW()-2)</f>
        <v>754</v>
      </c>
    </row>
    <row r="757" spans="1:48" ht="20.100000000000001" customHeight="1" x14ac:dyDescent="0.25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47"/>
      <c r="H757" s="48"/>
      <c r="N757" s="39"/>
      <c r="Q757" s="43"/>
      <c r="R757" s="49"/>
      <c r="S757" s="50"/>
      <c r="U757" s="51"/>
      <c r="V757" s="46"/>
      <c r="W757" s="51" t="str">
        <f>IF(NOTA[[#This Row],[HARGA/ CTN]]="",NOTA[[#This Row],[JUMLAH_H]],NOTA[[#This Row],[HARGA/ CTN]]*IF(NOTA[[#This Row],[C]]="",0,NOTA[[#This Row],[C]]))</f>
        <v/>
      </c>
      <c r="X757" s="51" t="str">
        <f>IF(NOTA[[#This Row],[JUMLAH]]="","",NOTA[[#This Row],[JUMLAH]]*NOTA[[#This Row],[DISC 1]])</f>
        <v/>
      </c>
      <c r="Y757" s="51" t="str">
        <f>IF(NOTA[[#This Row],[JUMLAH]]="","",(NOTA[[#This Row],[JUMLAH]]-NOTA[[#This Row],[DISC 1-]])*NOTA[[#This Row],[DISC 2]])</f>
        <v/>
      </c>
      <c r="Z757" s="51" t="str">
        <f>IF(NOTA[[#This Row],[JUMLAH]]="","",NOTA[[#This Row],[DISC 1-]]+NOTA[[#This Row],[DISC 2-]])</f>
        <v/>
      </c>
      <c r="AA757" s="51" t="str">
        <f>IF(NOTA[[#This Row],[JUMLAH]]="","",NOTA[[#This Row],[JUMLAH]]-NOTA[[#This Row],[DISC]])</f>
        <v/>
      </c>
      <c r="AB757" s="51"/>
      <c r="AC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51" t="str">
        <f>IF(OR(NOTA[[#This Row],[QTY]]="",NOTA[[#This Row],[HARGA SATUAN]]="",),"",NOTA[[#This Row],[QTY]]*NOTA[[#This Row],[HARGA SATUAN]])</f>
        <v/>
      </c>
      <c r="AG757" s="40" t="str">
        <f ca="1">IF(NOTA[ID_H]="","",INDEX(NOTA[TANGGAL],MATCH(,INDIRECT(ADDRESS(ROW(NOTA[TANGGAL]),COLUMN(NOTA[TANGGAL]))&amp;":"&amp;ADDRESS(ROW(),COLUMN(NOTA[TANGGAL]))),-1)))</f>
        <v/>
      </c>
      <c r="AH757" s="42" t="str">
        <f ca="1">IF(NOTA[[#This Row],[NAMA BARANG]]="","",INDEX(NOTA[SUPPLIER],MATCH(,INDIRECT(ADDRESS(ROW(NOTA[ID]),COLUMN(NOTA[ID]))&amp;":"&amp;ADDRESS(ROW(),COLUMN(NOTA[ID]))),-1)))</f>
        <v/>
      </c>
      <c r="AI757" s="42" t="str">
        <f ca="1">IF(NOTA[[#This Row],[ID_H]]="","",IF(NOTA[[#This Row],[FAKTUR]]="",INDIRECT(ADDRESS(ROW()-1,COLUMN())),NOTA[[#This Row],[FAKTUR]]))</f>
        <v/>
      </c>
      <c r="AJ757" s="39" t="str">
        <f ca="1">IF(NOTA[[#This Row],[ID]]="","",COUNTIF(NOTA[ID_H],NOTA[[#This Row],[ID_H]]))</f>
        <v/>
      </c>
      <c r="AK757" s="39" t="str">
        <f ca="1">IF(NOTA[[#This Row],[TGL.NOTA]]="",IF(NOTA[[#This Row],[SUPPLIER_H]]="","",AK756),MONTH(NOTA[[#This Row],[TGL.NOTA]]))</f>
        <v/>
      </c>
      <c r="AL757" s="39" t="str">
        <f>LOWER(SUBSTITUTE(SUBSTITUTE(SUBSTITUTE(SUBSTITUTE(SUBSTITUTE(SUBSTITUTE(SUBSTITUTE(SUBSTITUTE(SUBSTITUTE(NOTA[NAMA BARANG]," ",),".",""),"-",""),"(",""),")",""),",",""),"/",""),"""",""),"+",""))</f>
        <v/>
      </c>
      <c r="AM7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39" t="str">
        <f>IF(NOTA[[#This Row],[CONCAT4]]="","",_xlfn.IFNA(MATCH(NOTA[[#This Row],[CONCAT4]],[2]!RAW[CONCAT_H],0),FALSE))</f>
        <v/>
      </c>
      <c r="AQ757" s="39" t="str">
        <f>IF(NOTA[[#This Row],[CONCAT1]]="","",MATCH(NOTA[[#This Row],[CONCAT1]],[3]!db[NB NOTA_C],0))</f>
        <v/>
      </c>
      <c r="AR757" s="39" t="str">
        <f>IF(NOTA[[#This Row],[QTY/ CTN]]="","",TRUE)</f>
        <v/>
      </c>
      <c r="AS757" s="39" t="str">
        <f ca="1">IF(NOTA[[#This Row],[ID_H]]="","",IF(NOTA[[#This Row],[Column3]]=TRUE,NOTA[[#This Row],[QTY/ CTN]],INDEX([3]!db[QTY/ CTN],NOTA[[#This Row],[//DB]])))</f>
        <v/>
      </c>
      <c r="AT7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39" t="str">
        <f ca="1">IF(NOTA[[#This Row],[ID_H]]="","",MATCH(NOTA[[#This Row],[NB NOTA_C_QTY]],[4]!db[NB NOTA_C_QTY+F],0))</f>
        <v/>
      </c>
      <c r="AV757" s="55" t="str">
        <f ca="1">IF(NOTA[[#This Row],[NB NOTA_C_QTY]]="","",ROW()-2)</f>
        <v/>
      </c>
    </row>
    <row r="758" spans="1:48" ht="20.100000000000001" customHeight="1" x14ac:dyDescent="0.25">
      <c r="A758" s="42">
        <f ca="1">IF(INDIRECT(ADDRESS(ROW()-1,COLUMN(NOTA[[#Headers],[ID]])))="ID",1,IF(NOTA[[#This Row],[FAKTUR]]="","",COUNT(INDIRECT(ADDRESS(ROW(NOTA[ID]),COLUMN(NOTA[ID]))&amp;":"&amp;ADDRESS(ROW()-1,COLUMN(NOTA[ID]))))+1))</f>
        <v>146</v>
      </c>
      <c r="B7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COM_2807_752-1</v>
      </c>
      <c r="C758" s="39" t="e">
        <f ca="1">IF(NOTA[[#This Row],[ID_P]]="","",MATCH(NOTA[[#This Row],[ID_P]],[1]!B_MSK[N_ID],0))</f>
        <v>#REF!</v>
      </c>
      <c r="D758" s="39">
        <f ca="1">IF(NOTA[[#This Row],[NAMA BARANG]]="","",INDEX(NOTA[ID],MATCH(,INDIRECT(ADDRESS(ROW(NOTA[ID]),COLUMN(NOTA[ID]))&amp;":"&amp;ADDRESS(ROW(),COLUMN(NOTA[ID]))),-1)))</f>
        <v>146</v>
      </c>
      <c r="E758" s="47">
        <v>45135</v>
      </c>
      <c r="F758" s="38" t="s">
        <v>252</v>
      </c>
      <c r="G758" s="38" t="s">
        <v>145</v>
      </c>
      <c r="H758" s="48" t="s">
        <v>823</v>
      </c>
      <c r="J758" s="40">
        <v>45135</v>
      </c>
      <c r="L758" s="38" t="s">
        <v>824</v>
      </c>
      <c r="M758" s="41">
        <v>1</v>
      </c>
      <c r="N758" s="39">
        <v>8</v>
      </c>
      <c r="O758" s="38" t="s">
        <v>152</v>
      </c>
      <c r="P758" s="42">
        <v>168000</v>
      </c>
      <c r="Q758" s="43"/>
      <c r="R758" s="49" t="s">
        <v>486</v>
      </c>
      <c r="S758" s="50"/>
      <c r="U758" s="51"/>
      <c r="V758" s="46"/>
      <c r="W758" s="51">
        <f>IF(NOTA[[#This Row],[HARGA/ CTN]]="",NOTA[[#This Row],[JUMLAH_H]],NOTA[[#This Row],[HARGA/ CTN]]*IF(NOTA[[#This Row],[C]]="",0,NOTA[[#This Row],[C]]))</f>
        <v>1344000</v>
      </c>
      <c r="X758" s="51">
        <f>IF(NOTA[[#This Row],[JUMLAH]]="","",NOTA[[#This Row],[JUMLAH]]*NOTA[[#This Row],[DISC 1]])</f>
        <v>0</v>
      </c>
      <c r="Y758" s="51">
        <f>IF(NOTA[[#This Row],[JUMLAH]]="","",(NOTA[[#This Row],[JUMLAH]]-NOTA[[#This Row],[DISC 1-]])*NOTA[[#This Row],[DISC 2]])</f>
        <v>0</v>
      </c>
      <c r="Z758" s="51">
        <f>IF(NOTA[[#This Row],[JUMLAH]]="","",NOTA[[#This Row],[DISC 1-]]+NOTA[[#This Row],[DISC 2-]])</f>
        <v>0</v>
      </c>
      <c r="AA758" s="51">
        <f>IF(NOTA[[#This Row],[JUMLAH]]="","",NOTA[[#This Row],[JUMLAH]]-NOTA[[#This Row],[DISC]])</f>
        <v>1344000</v>
      </c>
      <c r="AB758" s="51"/>
      <c r="AC7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758" s="42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758" s="51">
        <f>IF(OR(NOTA[[#This Row],[QTY]]="",NOTA[[#This Row],[HARGA SATUAN]]="",),"",NOTA[[#This Row],[QTY]]*NOTA[[#This Row],[HARGA SATUAN]])</f>
        <v>1344000</v>
      </c>
      <c r="AG758" s="40">
        <f ca="1">IF(NOTA[ID_H]="","",INDEX(NOTA[TANGGAL],MATCH(,INDIRECT(ADDRESS(ROW(NOTA[TANGGAL]),COLUMN(NOTA[TANGGAL]))&amp;":"&amp;ADDRESS(ROW(),COLUMN(NOTA[TANGGAL]))),-1)))</f>
        <v>45135</v>
      </c>
      <c r="AH758" s="42" t="str">
        <f ca="1">IF(NOTA[[#This Row],[NAMA BARANG]]="","",INDEX(NOTA[SUPPLIER],MATCH(,INDIRECT(ADDRESS(ROW(NOTA[ID]),COLUMN(NOTA[ID]))&amp;":"&amp;ADDRESS(ROW(),COLUMN(NOTA[ID]))),-1)))</f>
        <v>COMBI</v>
      </c>
      <c r="AI758" s="42" t="str">
        <f ca="1">IF(NOTA[[#This Row],[ID_H]]="","",IF(NOTA[[#This Row],[FAKTUR]]="",INDIRECT(ADDRESS(ROW()-1,COLUMN())),NOTA[[#This Row],[FAKTUR]]))</f>
        <v>UNTANA</v>
      </c>
      <c r="AJ758" s="39">
        <f ca="1">IF(NOTA[[#This Row],[ID]]="","",COUNTIF(NOTA[ID_H],NOTA[[#This Row],[ID_H]]))</f>
        <v>1</v>
      </c>
      <c r="AK758" s="39">
        <f>IF(NOTA[[#This Row],[TGL.NOTA]]="",IF(NOTA[[#This Row],[SUPPLIER_H]]="","",AK757),MONTH(NOTA[[#This Row],[TGL.NOTA]]))</f>
        <v>7</v>
      </c>
      <c r="AL758" s="39" t="str">
        <f>LOWER(SUBSTITUTE(SUBSTITUTE(SUBSTITUTE(SUBSTITUTE(SUBSTITUTE(SUBSTITUTE(SUBSTITUTE(SUBSTITUTE(SUBSTITUTE(NOTA[NAMA BARANG]," ",),".",""),"-",""),"(",""),")",""),",",""),"/",""),"""",""),"+",""))</f>
        <v>docboxbatik</v>
      </c>
      <c r="AM7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docboxbatik1344000</v>
      </c>
      <c r="AN7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docboxbatik1344000</v>
      </c>
      <c r="AO758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COMBIUNTANA075245135docboxbatik</v>
      </c>
      <c r="AP758" s="39" t="e">
        <f>IF(NOTA[[#This Row],[CONCAT4]]="","",_xlfn.IFNA(MATCH(NOTA[[#This Row],[CONCAT4]],[2]!RAW[CONCAT_H],0),FALSE))</f>
        <v>#REF!</v>
      </c>
      <c r="AQ758" s="39">
        <f>IF(NOTA[[#This Row],[CONCAT1]]="","",MATCH(NOTA[[#This Row],[CONCAT1]],[3]!db[NB NOTA_C],0))</f>
        <v>1008</v>
      </c>
      <c r="AR758" s="39" t="b">
        <f>IF(NOTA[[#This Row],[QTY/ CTN]]="","",TRUE)</f>
        <v>1</v>
      </c>
      <c r="AS758" s="39" t="str">
        <f ca="1">IF(NOTA[[#This Row],[ID_H]]="","",IF(NOTA[[#This Row],[Column3]]=TRUE,NOTA[[#This Row],[QTY/ CTN]],INDEX([3]!db[QTY/ CTN],NOTA[[#This Row],[//DB]])))</f>
        <v>8 LSN</v>
      </c>
      <c r="AT7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U758" s="39" t="e">
        <f ca="1">IF(NOTA[[#This Row],[ID_H]]="","",MATCH(NOTA[[#This Row],[NB NOTA_C_QTY]],[4]!db[NB NOTA_C_QTY+F],0))</f>
        <v>#REF!</v>
      </c>
      <c r="AV758" s="55">
        <f ca="1">IF(NOTA[[#This Row],[NB NOTA_C_QTY]]="","",ROW()-2)</f>
        <v>756</v>
      </c>
    </row>
    <row r="759" spans="1:48" ht="20.100000000000001" customHeight="1" x14ac:dyDescent="0.25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47"/>
      <c r="H759" s="48"/>
      <c r="N759" s="39"/>
      <c r="Q759" s="43"/>
      <c r="R759" s="49"/>
      <c r="S759" s="50"/>
      <c r="U759" s="51"/>
      <c r="V759" s="46"/>
      <c r="W759" s="51" t="str">
        <f>IF(NOTA[[#This Row],[HARGA/ CTN]]="",NOTA[[#This Row],[JUMLAH_H]],NOTA[[#This Row],[HARGA/ CTN]]*IF(NOTA[[#This Row],[C]]="",0,NOTA[[#This Row],[C]]))</f>
        <v/>
      </c>
      <c r="X759" s="51" t="str">
        <f>IF(NOTA[[#This Row],[JUMLAH]]="","",NOTA[[#This Row],[JUMLAH]]*NOTA[[#This Row],[DISC 1]])</f>
        <v/>
      </c>
      <c r="Y759" s="51" t="str">
        <f>IF(NOTA[[#This Row],[JUMLAH]]="","",(NOTA[[#This Row],[JUMLAH]]-NOTA[[#This Row],[DISC 1-]])*NOTA[[#This Row],[DISC 2]])</f>
        <v/>
      </c>
      <c r="Z759" s="51" t="str">
        <f>IF(NOTA[[#This Row],[JUMLAH]]="","",NOTA[[#This Row],[DISC 1-]]+NOTA[[#This Row],[DISC 2-]])</f>
        <v/>
      </c>
      <c r="AA759" s="51" t="str">
        <f>IF(NOTA[[#This Row],[JUMLAH]]="","",NOTA[[#This Row],[JUMLAH]]-NOTA[[#This Row],[DISC]])</f>
        <v/>
      </c>
      <c r="AB759" s="51"/>
      <c r="AC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51" t="str">
        <f>IF(OR(NOTA[[#This Row],[QTY]]="",NOTA[[#This Row],[HARGA SATUAN]]="",),"",NOTA[[#This Row],[QTY]]*NOTA[[#This Row],[HARGA SATUAN]])</f>
        <v/>
      </c>
      <c r="AG759" s="40" t="str">
        <f ca="1">IF(NOTA[ID_H]="","",INDEX(NOTA[TANGGAL],MATCH(,INDIRECT(ADDRESS(ROW(NOTA[TANGGAL]),COLUMN(NOTA[TANGGAL]))&amp;":"&amp;ADDRESS(ROW(),COLUMN(NOTA[TANGGAL]))),-1)))</f>
        <v/>
      </c>
      <c r="AH759" s="42" t="str">
        <f ca="1">IF(NOTA[[#This Row],[NAMA BARANG]]="","",INDEX(NOTA[SUPPLIER],MATCH(,INDIRECT(ADDRESS(ROW(NOTA[ID]),COLUMN(NOTA[ID]))&amp;":"&amp;ADDRESS(ROW(),COLUMN(NOTA[ID]))),-1)))</f>
        <v/>
      </c>
      <c r="AI759" s="42" t="str">
        <f ca="1">IF(NOTA[[#This Row],[ID_H]]="","",IF(NOTA[[#This Row],[FAKTUR]]="",INDIRECT(ADDRESS(ROW()-1,COLUMN())),NOTA[[#This Row],[FAKTUR]]))</f>
        <v/>
      </c>
      <c r="AJ759" s="39" t="str">
        <f ca="1">IF(NOTA[[#This Row],[ID]]="","",COUNTIF(NOTA[ID_H],NOTA[[#This Row],[ID_H]]))</f>
        <v/>
      </c>
      <c r="AK759" s="39" t="str">
        <f ca="1">IF(NOTA[[#This Row],[TGL.NOTA]]="",IF(NOTA[[#This Row],[SUPPLIER_H]]="","",AK758),MONTH(NOTA[[#This Row],[TGL.NOTA]]))</f>
        <v/>
      </c>
      <c r="AL759" s="39" t="str">
        <f>LOWER(SUBSTITUTE(SUBSTITUTE(SUBSTITUTE(SUBSTITUTE(SUBSTITUTE(SUBSTITUTE(SUBSTITUTE(SUBSTITUTE(SUBSTITUTE(NOTA[NAMA BARANG]," ",),".",""),"-",""),"(",""),")",""),",",""),"/",""),"""",""),"+",""))</f>
        <v/>
      </c>
      <c r="AM7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39" t="str">
        <f>IF(NOTA[[#This Row],[CONCAT4]]="","",_xlfn.IFNA(MATCH(NOTA[[#This Row],[CONCAT4]],[2]!RAW[CONCAT_H],0),FALSE))</f>
        <v/>
      </c>
      <c r="AQ759" s="39" t="str">
        <f>IF(NOTA[[#This Row],[CONCAT1]]="","",MATCH(NOTA[[#This Row],[CONCAT1]],[3]!db[NB NOTA_C],0))</f>
        <v/>
      </c>
      <c r="AR759" s="39" t="str">
        <f>IF(NOTA[[#This Row],[QTY/ CTN]]="","",TRUE)</f>
        <v/>
      </c>
      <c r="AS759" s="39" t="str">
        <f ca="1">IF(NOTA[[#This Row],[ID_H]]="","",IF(NOTA[[#This Row],[Column3]]=TRUE,NOTA[[#This Row],[QTY/ CTN]],INDEX([3]!db[QTY/ CTN],NOTA[[#This Row],[//DB]])))</f>
        <v/>
      </c>
      <c r="AT7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39" t="str">
        <f ca="1">IF(NOTA[[#This Row],[ID_H]]="","",MATCH(NOTA[[#This Row],[NB NOTA_C_QTY]],[4]!db[NB NOTA_C_QTY+F],0))</f>
        <v/>
      </c>
      <c r="AV759" s="55" t="str">
        <f ca="1">IF(NOTA[[#This Row],[NB NOTA_C_QTY]]="","",ROW()-2)</f>
        <v/>
      </c>
    </row>
    <row r="760" spans="1:48" s="61" customFormat="1" ht="20.100000000000001" customHeight="1" x14ac:dyDescent="0.25">
      <c r="A760" s="58">
        <f ca="1">IF(INDIRECT(ADDRESS(ROW()-1,COLUMN(NOTA[[#Headers],[ID]])))="ID",1,IF(NOTA[[#This Row],[FAKTUR]]="","",COUNT(INDIRECT(ADDRESS(ROW(NOTA[ID]),COLUMN(NOTA[ID]))&amp;":"&amp;ADDRESS(ROW()-1,COLUMN(NOTA[ID]))))+1))</f>
        <v>147</v>
      </c>
      <c r="B760" s="5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ATA_2707_897-10</v>
      </c>
      <c r="C760" s="59" t="e">
        <f ca="1">IF(NOTA[[#This Row],[ID_P]]="","",MATCH(NOTA[[#This Row],[ID_P]],[1]!B_MSK[N_ID],0))</f>
        <v>#REF!</v>
      </c>
      <c r="D760" s="59">
        <f ca="1">IF(NOTA[[#This Row],[NAMA BARANG]]="","",INDEX(NOTA[ID],MATCH(,INDIRECT(ADDRESS(ROW(NOTA[ID]),COLUMN(NOTA[ID]))&amp;":"&amp;ADDRESS(ROW(),COLUMN(NOTA[ID]))),-1)))</f>
        <v>147</v>
      </c>
      <c r="E760" s="60">
        <v>45134</v>
      </c>
      <c r="F760" s="61" t="s">
        <v>24</v>
      </c>
      <c r="G760" s="61" t="s">
        <v>23</v>
      </c>
      <c r="H760" s="62" t="s">
        <v>825</v>
      </c>
      <c r="J760" s="63">
        <v>45129</v>
      </c>
      <c r="K760" s="61">
        <v>5</v>
      </c>
      <c r="L760" s="61" t="s">
        <v>265</v>
      </c>
      <c r="M760" s="64">
        <v>10</v>
      </c>
      <c r="N760" s="59">
        <v>480</v>
      </c>
      <c r="O760" s="61" t="s">
        <v>117</v>
      </c>
      <c r="P760" s="58">
        <v>29600</v>
      </c>
      <c r="Q760" s="65"/>
      <c r="R760" s="66"/>
      <c r="S760" s="67">
        <v>0.125</v>
      </c>
      <c r="T760" s="68">
        <v>0.05</v>
      </c>
      <c r="U760" s="69"/>
      <c r="V760" s="70"/>
      <c r="W760" s="69">
        <f>IF(NOTA[[#This Row],[HARGA/ CTN]]="",NOTA[[#This Row],[JUMLAH_H]],NOTA[[#This Row],[HARGA/ CTN]]*IF(NOTA[[#This Row],[C]]="",0,NOTA[[#This Row],[C]]))</f>
        <v>14208000</v>
      </c>
      <c r="X760" s="69">
        <f>IF(NOTA[[#This Row],[JUMLAH]]="","",NOTA[[#This Row],[JUMLAH]]*NOTA[[#This Row],[DISC 1]])</f>
        <v>1776000</v>
      </c>
      <c r="Y760" s="69">
        <f>IF(NOTA[[#This Row],[JUMLAH]]="","",(NOTA[[#This Row],[JUMLAH]]-NOTA[[#This Row],[DISC 1-]])*NOTA[[#This Row],[DISC 2]])</f>
        <v>621600</v>
      </c>
      <c r="Z760" s="69">
        <f>IF(NOTA[[#This Row],[JUMLAH]]="","",NOTA[[#This Row],[DISC 1-]]+NOTA[[#This Row],[DISC 2-]])</f>
        <v>2397600</v>
      </c>
      <c r="AA760" s="69">
        <f>IF(NOTA[[#This Row],[JUMLAH]]="","",NOTA[[#This Row],[JUMLAH]]-NOTA[[#This Row],[DISC]])</f>
        <v>11810400</v>
      </c>
      <c r="AB760" s="69"/>
      <c r="AC7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60" s="69">
        <f>IF(OR(NOTA[[#This Row],[QTY]]="",NOTA[[#This Row],[HARGA SATUAN]]="",),"",NOTA[[#This Row],[QTY]]*NOTA[[#This Row],[HARGA SATUAN]])</f>
        <v>14208000</v>
      </c>
      <c r="AG760" s="63">
        <f ca="1">IF(NOTA[ID_H]="","",INDEX(NOTA[TANGGAL],MATCH(,INDIRECT(ADDRESS(ROW(NOTA[TANGGAL]),COLUMN(NOTA[TANGGAL]))&amp;":"&amp;ADDRESS(ROW(),COLUMN(NOTA[TANGGAL]))),-1)))</f>
        <v>45134</v>
      </c>
      <c r="AH760" s="58" t="str">
        <f ca="1">IF(NOTA[[#This Row],[NAMA BARANG]]="","",INDEX(NOTA[SUPPLIER],MATCH(,INDIRECT(ADDRESS(ROW(NOTA[ID]),COLUMN(NOTA[ID]))&amp;":"&amp;ADDRESS(ROW(),COLUMN(NOTA[ID]))),-1)))</f>
        <v>ATALI MAKMUR</v>
      </c>
      <c r="AI760" s="58" t="str">
        <f ca="1">IF(NOTA[[#This Row],[ID_H]]="","",IF(NOTA[[#This Row],[FAKTUR]]="",INDIRECT(ADDRESS(ROW()-1,COLUMN())),NOTA[[#This Row],[FAKTUR]]))</f>
        <v>ARTO MORO</v>
      </c>
      <c r="AJ760" s="59">
        <f ca="1">IF(NOTA[[#This Row],[ID]]="","",COUNTIF(NOTA[ID_H],NOTA[[#This Row],[ID_H]]))</f>
        <v>10</v>
      </c>
      <c r="AK760" s="59">
        <f>IF(NOTA[[#This Row],[TGL.NOTA]]="",IF(NOTA[[#This Row],[SUPPLIER_H]]="","",AK759),MONTH(NOTA[[#This Row],[TGL.NOTA]]))</f>
        <v>7</v>
      </c>
      <c r="AL760" s="5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760" s="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760" s="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60" s="5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MOROSA23071289745129oilpastelop24sppcaseseaworldjk</v>
      </c>
      <c r="AP760" s="59" t="e">
        <f>IF(NOTA[[#This Row],[CONCAT4]]="","",_xlfn.IFNA(MATCH(NOTA[[#This Row],[CONCAT4]],[2]!RAW[CONCAT_H],0),FALSE))</f>
        <v>#REF!</v>
      </c>
      <c r="AQ760" s="59">
        <f>IF(NOTA[[#This Row],[CONCAT1]]="","",MATCH(NOTA[[#This Row],[CONCAT1]],[3]!db[NB NOTA_C],0))</f>
        <v>1778</v>
      </c>
      <c r="AR760" s="59" t="str">
        <f>IF(NOTA[[#This Row],[QTY/ CTN]]="","",TRUE)</f>
        <v/>
      </c>
      <c r="AS760" s="59" t="str">
        <f ca="1">IF(NOTA[[#This Row],[ID_H]]="","",IF(NOTA[[#This Row],[Column3]]=TRUE,NOTA[[#This Row],[QTY/ CTN]],INDEX([3]!db[QTY/ CTN],NOTA[[#This Row],[//DB]])))</f>
        <v>8 BOX (6 SET)</v>
      </c>
      <c r="AT760" s="5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760" s="59" t="e">
        <f ca="1">IF(NOTA[[#This Row],[ID_H]]="","",MATCH(NOTA[[#This Row],[NB NOTA_C_QTY]],[4]!db[NB NOTA_C_QTY+F],0))</f>
        <v>#REF!</v>
      </c>
      <c r="AV760" s="71">
        <f ca="1">IF(NOTA[[#This Row],[NB NOTA_C_QTY]]="","",ROW()-2)</f>
        <v>758</v>
      </c>
    </row>
    <row r="761" spans="1:48" ht="20.100000000000001" customHeight="1" x14ac:dyDescent="0.25">
      <c r="A7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>
        <f ca="1">IF(NOTA[[#This Row],[NAMA BARANG]]="","",INDEX(NOTA[ID],MATCH(,INDIRECT(ADDRESS(ROW(NOTA[ID]),COLUMN(NOTA[ID]))&amp;":"&amp;ADDRESS(ROW(),COLUMN(NOTA[ID]))),-1)))</f>
        <v>147</v>
      </c>
      <c r="E761" s="47"/>
      <c r="H761" s="48"/>
      <c r="L761" s="38" t="s">
        <v>718</v>
      </c>
      <c r="M761" s="41">
        <v>3</v>
      </c>
      <c r="N761" s="39">
        <v>2160</v>
      </c>
      <c r="O761" s="38" t="s">
        <v>117</v>
      </c>
      <c r="P761" s="42">
        <v>4800</v>
      </c>
      <c r="Q761" s="43"/>
      <c r="R761" s="49"/>
      <c r="S761" s="50">
        <v>0.125</v>
      </c>
      <c r="T761" s="45">
        <v>0.05</v>
      </c>
      <c r="U761" s="51"/>
      <c r="V761" s="46"/>
      <c r="W761" s="51">
        <f>IF(NOTA[[#This Row],[HARGA/ CTN]]="",NOTA[[#This Row],[JUMLAH_H]],NOTA[[#This Row],[HARGA/ CTN]]*IF(NOTA[[#This Row],[C]]="",0,NOTA[[#This Row],[C]]))</f>
        <v>10368000</v>
      </c>
      <c r="X761" s="51">
        <f>IF(NOTA[[#This Row],[JUMLAH]]="","",NOTA[[#This Row],[JUMLAH]]*NOTA[[#This Row],[DISC 1]])</f>
        <v>1296000</v>
      </c>
      <c r="Y761" s="51">
        <f>IF(NOTA[[#This Row],[JUMLAH]]="","",(NOTA[[#This Row],[JUMLAH]]-NOTA[[#This Row],[DISC 1-]])*NOTA[[#This Row],[DISC 2]])</f>
        <v>453600</v>
      </c>
      <c r="Z761" s="51">
        <f>IF(NOTA[[#This Row],[JUMLAH]]="","",NOTA[[#This Row],[DISC 1-]]+NOTA[[#This Row],[DISC 2-]])</f>
        <v>1749600</v>
      </c>
      <c r="AA761" s="51">
        <f>IF(NOTA[[#This Row],[JUMLAH]]="","",NOTA[[#This Row],[JUMLAH]]-NOTA[[#This Row],[DISC]])</f>
        <v>8618400</v>
      </c>
      <c r="AB761" s="51"/>
      <c r="AC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761" s="51">
        <f>IF(OR(NOTA[[#This Row],[QTY]]="",NOTA[[#This Row],[HARGA SATUAN]]="",),"",NOTA[[#This Row],[QTY]]*NOTA[[#This Row],[HARGA SATUAN]])</f>
        <v>10368000</v>
      </c>
      <c r="AG761" s="40">
        <f ca="1">IF(NOTA[ID_H]="","",INDEX(NOTA[TANGGAL],MATCH(,INDIRECT(ADDRESS(ROW(NOTA[TANGGAL]),COLUMN(NOTA[TANGGAL]))&amp;":"&amp;ADDRESS(ROW(),COLUMN(NOTA[TANGGAL]))),-1)))</f>
        <v>45134</v>
      </c>
      <c r="AH761" s="42" t="str">
        <f ca="1">IF(NOTA[[#This Row],[NAMA BARANG]]="","",INDEX(NOTA[SUPPLIER],MATCH(,INDIRECT(ADDRESS(ROW(NOTA[ID]),COLUMN(NOTA[ID]))&amp;":"&amp;ADDRESS(ROW(),COLUMN(NOTA[ID]))),-1)))</f>
        <v>ATALI MAKMUR</v>
      </c>
      <c r="AI761" s="42" t="str">
        <f ca="1">IF(NOTA[[#This Row],[ID_H]]="","",IF(NOTA[[#This Row],[FAKTUR]]="",INDIRECT(ADDRESS(ROW()-1,COLUMN())),NOTA[[#This Row],[FAKTUR]]))</f>
        <v>ARTO MORO</v>
      </c>
      <c r="AJ761" s="39" t="str">
        <f ca="1">IF(NOTA[[#This Row],[ID]]="","",COUNTIF(NOTA[ID_H],NOTA[[#This Row],[ID_H]]))</f>
        <v/>
      </c>
      <c r="AK761" s="39">
        <f ca="1">IF(NOTA[[#This Row],[TGL.NOTA]]="",IF(NOTA[[#This Row],[SUPPLIER_H]]="","",AK760),MONTH(NOTA[[#This Row],[TGL.NOTA]]))</f>
        <v>7</v>
      </c>
      <c r="AL761" s="39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7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7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7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39" t="str">
        <f>IF(NOTA[[#This Row],[CONCAT4]]="","",_xlfn.IFNA(MATCH(NOTA[[#This Row],[CONCAT4]],[2]!RAW[CONCAT_H],0),FALSE))</f>
        <v/>
      </c>
      <c r="AQ761" s="39">
        <f>IF(NOTA[[#This Row],[CONCAT1]]="","",MATCH(NOTA[[#This Row],[CONCAT1]],[3]!db[NB NOTA_C],0))</f>
        <v>2628</v>
      </c>
      <c r="AR761" s="39" t="str">
        <f>IF(NOTA[[#This Row],[QTY/ CTN]]="","",TRUE)</f>
        <v/>
      </c>
      <c r="AS761" s="39" t="str">
        <f ca="1">IF(NOTA[[#This Row],[ID_H]]="","",IF(NOTA[[#This Row],[Column3]]=TRUE,NOTA[[#This Row],[QTY/ CTN]],INDEX([3]!db[QTY/ CTN],NOTA[[#This Row],[//DB]])))</f>
        <v>60 LSN</v>
      </c>
      <c r="AT7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761" s="39" t="e">
        <f ca="1">IF(NOTA[[#This Row],[ID_H]]="","",MATCH(NOTA[[#This Row],[NB NOTA_C_QTY]],[4]!db[NB NOTA_C_QTY+F],0))</f>
        <v>#REF!</v>
      </c>
      <c r="AV761" s="55">
        <f ca="1">IF(NOTA[[#This Row],[NB NOTA_C_QTY]]="","",ROW()-2)</f>
        <v>759</v>
      </c>
    </row>
    <row r="762" spans="1:48" ht="20.100000000000001" customHeight="1" x14ac:dyDescent="0.25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>
        <f ca="1">IF(NOTA[[#This Row],[NAMA BARANG]]="","",INDEX(NOTA[ID],MATCH(,INDIRECT(ADDRESS(ROW(NOTA[ID]),COLUMN(NOTA[ID]))&amp;":"&amp;ADDRESS(ROW(),COLUMN(NOTA[ID]))),-1)))</f>
        <v>147</v>
      </c>
      <c r="E762" s="47"/>
      <c r="H762" s="48"/>
      <c r="L762" s="38" t="s">
        <v>826</v>
      </c>
      <c r="M762" s="41">
        <v>1</v>
      </c>
      <c r="N762" s="39">
        <v>144</v>
      </c>
      <c r="O762" s="38" t="s">
        <v>263</v>
      </c>
      <c r="P762" s="42">
        <v>13800</v>
      </c>
      <c r="Q762" s="43"/>
      <c r="R762" s="49"/>
      <c r="S762" s="50">
        <v>0.125</v>
      </c>
      <c r="T762" s="45">
        <v>0.05</v>
      </c>
      <c r="U762" s="51"/>
      <c r="V762" s="46"/>
      <c r="W762" s="51">
        <f>IF(NOTA[[#This Row],[HARGA/ CTN]]="",NOTA[[#This Row],[JUMLAH_H]],NOTA[[#This Row],[HARGA/ CTN]]*IF(NOTA[[#This Row],[C]]="",0,NOTA[[#This Row],[C]]))</f>
        <v>1987200</v>
      </c>
      <c r="X762" s="51">
        <f>IF(NOTA[[#This Row],[JUMLAH]]="","",NOTA[[#This Row],[JUMLAH]]*NOTA[[#This Row],[DISC 1]])</f>
        <v>248400</v>
      </c>
      <c r="Y762" s="51">
        <f>IF(NOTA[[#This Row],[JUMLAH]]="","",(NOTA[[#This Row],[JUMLAH]]-NOTA[[#This Row],[DISC 1-]])*NOTA[[#This Row],[DISC 2]])</f>
        <v>86940</v>
      </c>
      <c r="Z762" s="51">
        <f>IF(NOTA[[#This Row],[JUMLAH]]="","",NOTA[[#This Row],[DISC 1-]]+NOTA[[#This Row],[DISC 2-]])</f>
        <v>335340</v>
      </c>
      <c r="AA762" s="51">
        <f>IF(NOTA[[#This Row],[JUMLAH]]="","",NOTA[[#This Row],[JUMLAH]]-NOTA[[#This Row],[DISC]])</f>
        <v>1651860</v>
      </c>
      <c r="AB762" s="51"/>
      <c r="AC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762" s="51">
        <f>IF(OR(NOTA[[#This Row],[QTY]]="",NOTA[[#This Row],[HARGA SATUAN]]="",),"",NOTA[[#This Row],[QTY]]*NOTA[[#This Row],[HARGA SATUAN]])</f>
        <v>1987200</v>
      </c>
      <c r="AG762" s="40">
        <f ca="1">IF(NOTA[ID_H]="","",INDEX(NOTA[TANGGAL],MATCH(,INDIRECT(ADDRESS(ROW(NOTA[TANGGAL]),COLUMN(NOTA[TANGGAL]))&amp;":"&amp;ADDRESS(ROW(),COLUMN(NOTA[TANGGAL]))),-1)))</f>
        <v>45134</v>
      </c>
      <c r="AH762" s="42" t="str">
        <f ca="1">IF(NOTA[[#This Row],[NAMA BARANG]]="","",INDEX(NOTA[SUPPLIER],MATCH(,INDIRECT(ADDRESS(ROW(NOTA[ID]),COLUMN(NOTA[ID]))&amp;":"&amp;ADDRESS(ROW(),COLUMN(NOTA[ID]))),-1)))</f>
        <v>ATALI MAKMUR</v>
      </c>
      <c r="AI762" s="42" t="str">
        <f ca="1">IF(NOTA[[#This Row],[ID_H]]="","",IF(NOTA[[#This Row],[FAKTUR]]="",INDIRECT(ADDRESS(ROW()-1,COLUMN())),NOTA[[#This Row],[FAKTUR]]))</f>
        <v>ARTO MORO</v>
      </c>
      <c r="AJ762" s="39" t="str">
        <f ca="1">IF(NOTA[[#This Row],[ID]]="","",COUNTIF(NOTA[ID_H],NOTA[[#This Row],[ID_H]]))</f>
        <v/>
      </c>
      <c r="AK762" s="39">
        <f ca="1">IF(NOTA[[#This Row],[TGL.NOTA]]="",IF(NOTA[[#This Row],[SUPPLIER_H]]="","",AK761),MONTH(NOTA[[#This Row],[TGL.NOTA]]))</f>
        <v>7</v>
      </c>
      <c r="AL762" s="39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7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7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7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39" t="str">
        <f>IF(NOTA[[#This Row],[CONCAT4]]="","",_xlfn.IFNA(MATCH(NOTA[[#This Row],[CONCAT4]],[2]!RAW[CONCAT_H],0),FALSE))</f>
        <v/>
      </c>
      <c r="AQ762" s="39">
        <f>IF(NOTA[[#This Row],[CONCAT1]]="","",MATCH(NOTA[[#This Row],[CONCAT1]],[3]!db[NB NOTA_C],0))</f>
        <v>2327</v>
      </c>
      <c r="AR762" s="39" t="str">
        <f>IF(NOTA[[#This Row],[QTY/ CTN]]="","",TRUE)</f>
        <v/>
      </c>
      <c r="AS762" s="39" t="str">
        <f ca="1">IF(NOTA[[#This Row],[ID_H]]="","",IF(NOTA[[#This Row],[Column3]]=TRUE,NOTA[[#This Row],[QTY/ CTN]],INDEX([3]!db[QTY/ CTN],NOTA[[#This Row],[//DB]])))</f>
        <v>12 LSN</v>
      </c>
      <c r="AT7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U762" s="39" t="e">
        <f ca="1">IF(NOTA[[#This Row],[ID_H]]="","",MATCH(NOTA[[#This Row],[NB NOTA_C_QTY]],[4]!db[NB NOTA_C_QTY+F],0))</f>
        <v>#REF!</v>
      </c>
      <c r="AV762" s="55">
        <f ca="1">IF(NOTA[[#This Row],[NB NOTA_C_QTY]]="","",ROW()-2)</f>
        <v>760</v>
      </c>
    </row>
    <row r="763" spans="1:48" ht="20.100000000000001" customHeight="1" x14ac:dyDescent="0.25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>
        <f ca="1">IF(NOTA[[#This Row],[NAMA BARANG]]="","",INDEX(NOTA[ID],MATCH(,INDIRECT(ADDRESS(ROW(NOTA[ID]),COLUMN(NOTA[ID]))&amp;":"&amp;ADDRESS(ROW(),COLUMN(NOTA[ID]))),-1)))</f>
        <v>147</v>
      </c>
      <c r="E763" s="47"/>
      <c r="H763" s="48"/>
      <c r="K763" s="38">
        <v>1</v>
      </c>
      <c r="L763" s="38" t="s">
        <v>827</v>
      </c>
      <c r="M763" s="41">
        <v>1</v>
      </c>
      <c r="N763" s="39">
        <v>864</v>
      </c>
      <c r="O763" s="38" t="s">
        <v>117</v>
      </c>
      <c r="P763" s="42">
        <v>2450</v>
      </c>
      <c r="Q763" s="43"/>
      <c r="R763" s="49"/>
      <c r="S763" s="50">
        <v>0.125</v>
      </c>
      <c r="T763" s="45">
        <v>0.05</v>
      </c>
      <c r="U763" s="51"/>
      <c r="V763" s="46"/>
      <c r="W763" s="51">
        <f>IF(NOTA[[#This Row],[HARGA/ CTN]]="",NOTA[[#This Row],[JUMLAH_H]],NOTA[[#This Row],[HARGA/ CTN]]*IF(NOTA[[#This Row],[C]]="",0,NOTA[[#This Row],[C]]))</f>
        <v>2116800</v>
      </c>
      <c r="X763" s="51">
        <f>IF(NOTA[[#This Row],[JUMLAH]]="","",NOTA[[#This Row],[JUMLAH]]*NOTA[[#This Row],[DISC 1]])</f>
        <v>264600</v>
      </c>
      <c r="Y763" s="51">
        <f>IF(NOTA[[#This Row],[JUMLAH]]="","",(NOTA[[#This Row],[JUMLAH]]-NOTA[[#This Row],[DISC 1-]])*NOTA[[#This Row],[DISC 2]])</f>
        <v>92610</v>
      </c>
      <c r="Z763" s="51">
        <f>IF(NOTA[[#This Row],[JUMLAH]]="","",NOTA[[#This Row],[DISC 1-]]+NOTA[[#This Row],[DISC 2-]])</f>
        <v>357210</v>
      </c>
      <c r="AA763" s="51">
        <f>IF(NOTA[[#This Row],[JUMLAH]]="","",NOTA[[#This Row],[JUMLAH]]-NOTA[[#This Row],[DISC]])</f>
        <v>1759590</v>
      </c>
      <c r="AB763" s="51"/>
      <c r="AC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63" s="51">
        <f>IF(OR(NOTA[[#This Row],[QTY]]="",NOTA[[#This Row],[HARGA SATUAN]]="",),"",NOTA[[#This Row],[QTY]]*NOTA[[#This Row],[HARGA SATUAN]])</f>
        <v>2116800</v>
      </c>
      <c r="AG763" s="40">
        <f ca="1">IF(NOTA[ID_H]="","",INDEX(NOTA[TANGGAL],MATCH(,INDIRECT(ADDRESS(ROW(NOTA[TANGGAL]),COLUMN(NOTA[TANGGAL]))&amp;":"&amp;ADDRESS(ROW(),COLUMN(NOTA[TANGGAL]))),-1)))</f>
        <v>45134</v>
      </c>
      <c r="AH763" s="42" t="str">
        <f ca="1">IF(NOTA[[#This Row],[NAMA BARANG]]="","",INDEX(NOTA[SUPPLIER],MATCH(,INDIRECT(ADDRESS(ROW(NOTA[ID]),COLUMN(NOTA[ID]))&amp;":"&amp;ADDRESS(ROW(),COLUMN(NOTA[ID]))),-1)))</f>
        <v>ATALI MAKMUR</v>
      </c>
      <c r="AI763" s="42" t="str">
        <f ca="1">IF(NOTA[[#This Row],[ID_H]]="","",IF(NOTA[[#This Row],[FAKTUR]]="",INDIRECT(ADDRESS(ROW()-1,COLUMN())),NOTA[[#This Row],[FAKTUR]]))</f>
        <v>ARTO MORO</v>
      </c>
      <c r="AJ763" s="39" t="str">
        <f ca="1">IF(NOTA[[#This Row],[ID]]="","",COUNTIF(NOTA[ID_H],NOTA[[#This Row],[ID_H]]))</f>
        <v/>
      </c>
      <c r="AK763" s="39">
        <f ca="1">IF(NOTA[[#This Row],[TGL.NOTA]]="",IF(NOTA[[#This Row],[SUPPLIER_H]]="","",AK762),MONTH(NOTA[[#This Row],[TGL.NOTA]]))</f>
        <v>7</v>
      </c>
      <c r="AL763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7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7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7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39" t="str">
        <f>IF(NOTA[[#This Row],[CONCAT4]]="","",_xlfn.IFNA(MATCH(NOTA[[#This Row],[CONCAT4]],[2]!RAW[CONCAT_H],0),FALSE))</f>
        <v/>
      </c>
      <c r="AQ763" s="39">
        <f>IF(NOTA[[#This Row],[CONCAT1]]="","",MATCH(NOTA[[#This Row],[CONCAT1]],[3]!db[NB NOTA_C],0))</f>
        <v>1502</v>
      </c>
      <c r="AR763" s="39" t="str">
        <f>IF(NOTA[[#This Row],[QTY/ CTN]]="","",TRUE)</f>
        <v/>
      </c>
      <c r="AS763" s="39" t="str">
        <f ca="1">IF(NOTA[[#This Row],[ID_H]]="","",IF(NOTA[[#This Row],[Column3]]=TRUE,NOTA[[#This Row],[QTY/ CTN]],INDEX([3]!db[QTY/ CTN],NOTA[[#This Row],[//DB]])))</f>
        <v>36 BOX (24 PCS)</v>
      </c>
      <c r="AT7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763" s="39" t="e">
        <f ca="1">IF(NOTA[[#This Row],[ID_H]]="","",MATCH(NOTA[[#This Row],[NB NOTA_C_QTY]],[4]!db[NB NOTA_C_QTY+F],0))</f>
        <v>#REF!</v>
      </c>
      <c r="AV763" s="55">
        <f ca="1">IF(NOTA[[#This Row],[NB NOTA_C_QTY]]="","",ROW()-2)</f>
        <v>761</v>
      </c>
    </row>
    <row r="764" spans="1:48" ht="20.100000000000001" customHeight="1" x14ac:dyDescent="0.25">
      <c r="A7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>
        <f ca="1">IF(NOTA[[#This Row],[NAMA BARANG]]="","",INDEX(NOTA[ID],MATCH(,INDIRECT(ADDRESS(ROW(NOTA[ID]),COLUMN(NOTA[ID]))&amp;":"&amp;ADDRESS(ROW(),COLUMN(NOTA[ID]))),-1)))</f>
        <v>147</v>
      </c>
      <c r="E764" s="47"/>
      <c r="H764" s="48"/>
      <c r="L764" s="38" t="s">
        <v>828</v>
      </c>
      <c r="M764" s="41">
        <v>1</v>
      </c>
      <c r="N764" s="39">
        <v>30</v>
      </c>
      <c r="O764" s="38" t="s">
        <v>305</v>
      </c>
      <c r="P764" s="42">
        <v>144000</v>
      </c>
      <c r="Q764" s="43"/>
      <c r="R764" s="49"/>
      <c r="S764" s="50">
        <v>0.125</v>
      </c>
      <c r="T764" s="45">
        <v>0.05</v>
      </c>
      <c r="U764" s="51"/>
      <c r="V764" s="46"/>
      <c r="W764" s="51">
        <f>IF(NOTA[[#This Row],[HARGA/ CTN]]="",NOTA[[#This Row],[JUMLAH_H]],NOTA[[#This Row],[HARGA/ CTN]]*IF(NOTA[[#This Row],[C]]="",0,NOTA[[#This Row],[C]]))</f>
        <v>4320000</v>
      </c>
      <c r="X764" s="51">
        <f>IF(NOTA[[#This Row],[JUMLAH]]="","",NOTA[[#This Row],[JUMLAH]]*NOTA[[#This Row],[DISC 1]])</f>
        <v>540000</v>
      </c>
      <c r="Y764" s="51">
        <f>IF(NOTA[[#This Row],[JUMLAH]]="","",(NOTA[[#This Row],[JUMLAH]]-NOTA[[#This Row],[DISC 1-]])*NOTA[[#This Row],[DISC 2]])</f>
        <v>189000</v>
      </c>
      <c r="Z764" s="51">
        <f>IF(NOTA[[#This Row],[JUMLAH]]="","",NOTA[[#This Row],[DISC 1-]]+NOTA[[#This Row],[DISC 2-]])</f>
        <v>729000</v>
      </c>
      <c r="AA764" s="51">
        <f>IF(NOTA[[#This Row],[JUMLAH]]="","",NOTA[[#This Row],[JUMLAH]]-NOTA[[#This Row],[DISC]])</f>
        <v>3591000</v>
      </c>
      <c r="AB764" s="51"/>
      <c r="AC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42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764" s="51">
        <f>IF(OR(NOTA[[#This Row],[QTY]]="",NOTA[[#This Row],[HARGA SATUAN]]="",),"",NOTA[[#This Row],[QTY]]*NOTA[[#This Row],[HARGA SATUAN]])</f>
        <v>4320000</v>
      </c>
      <c r="AG764" s="40">
        <f ca="1">IF(NOTA[ID_H]="","",INDEX(NOTA[TANGGAL],MATCH(,INDIRECT(ADDRESS(ROW(NOTA[TANGGAL]),COLUMN(NOTA[TANGGAL]))&amp;":"&amp;ADDRESS(ROW(),COLUMN(NOTA[TANGGAL]))),-1)))</f>
        <v>45134</v>
      </c>
      <c r="AH764" s="42" t="str">
        <f ca="1">IF(NOTA[[#This Row],[NAMA BARANG]]="","",INDEX(NOTA[SUPPLIER],MATCH(,INDIRECT(ADDRESS(ROW(NOTA[ID]),COLUMN(NOTA[ID]))&amp;":"&amp;ADDRESS(ROW(),COLUMN(NOTA[ID]))),-1)))</f>
        <v>ATALI MAKMUR</v>
      </c>
      <c r="AI764" s="42" t="str">
        <f ca="1">IF(NOTA[[#This Row],[ID_H]]="","",IF(NOTA[[#This Row],[FAKTUR]]="",INDIRECT(ADDRESS(ROW()-1,COLUMN())),NOTA[[#This Row],[FAKTUR]]))</f>
        <v>ARTO MORO</v>
      </c>
      <c r="AJ764" s="39" t="str">
        <f ca="1">IF(NOTA[[#This Row],[ID]]="","",COUNTIF(NOTA[ID_H],NOTA[[#This Row],[ID_H]]))</f>
        <v/>
      </c>
      <c r="AK764" s="39">
        <f ca="1">IF(NOTA[[#This Row],[TGL.NOTA]]="",IF(NOTA[[#This Row],[SUPPLIER_H]]="","",AK763),MONTH(NOTA[[#This Row],[TGL.NOTA]]))</f>
        <v>7</v>
      </c>
      <c r="AL764" s="39" t="str">
        <f>LOWER(SUBSTITUTE(SUBSTITUTE(SUBSTITUTE(SUBSTITUTE(SUBSTITUTE(SUBSTITUTE(SUBSTITUTE(SUBSTITUTE(SUBSTITUTE(NOTA[NAMA BARANG]," ",),".",""),"-",""),"(",""),")",""),",",""),"/",""),"""",""),"+",""))</f>
        <v>pencilp1012banimalkingdom2jk</v>
      </c>
      <c r="AM7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N7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O7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39" t="str">
        <f>IF(NOTA[[#This Row],[CONCAT4]]="","",_xlfn.IFNA(MATCH(NOTA[[#This Row],[CONCAT4]],[2]!RAW[CONCAT_H],0),FALSE))</f>
        <v/>
      </c>
      <c r="AQ764" s="39">
        <f>IF(NOTA[[#This Row],[CONCAT1]]="","",MATCH(NOTA[[#This Row],[CONCAT1]],[3]!db[NB NOTA_C],0))</f>
        <v>2193</v>
      </c>
      <c r="AR764" s="39" t="str">
        <f>IF(NOTA[[#This Row],[QTY/ CTN]]="","",TRUE)</f>
        <v/>
      </c>
      <c r="AS764" s="39" t="str">
        <f ca="1">IF(NOTA[[#This Row],[ID_H]]="","",IF(NOTA[[#This Row],[Column3]]=TRUE,NOTA[[#This Row],[QTY/ CTN]],INDEX([3]!db[QTY/ CTN],NOTA[[#This Row],[//DB]])))</f>
        <v>30 GRS</v>
      </c>
      <c r="AT7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pencilp1012banimalkingdom2jk30grsartomoro</v>
      </c>
      <c r="AU764" s="39" t="e">
        <f ca="1">IF(NOTA[[#This Row],[ID_H]]="","",MATCH(NOTA[[#This Row],[NB NOTA_C_QTY]],[4]!db[NB NOTA_C_QTY+F],0))</f>
        <v>#REF!</v>
      </c>
      <c r="AV764" s="55">
        <f ca="1">IF(NOTA[[#This Row],[NB NOTA_C_QTY]]="","",ROW()-2)</f>
        <v>762</v>
      </c>
    </row>
    <row r="765" spans="1:48" ht="20.100000000000001" customHeight="1" x14ac:dyDescent="0.25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>
        <f ca="1">IF(NOTA[[#This Row],[NAMA BARANG]]="","",INDEX(NOTA[ID],MATCH(,INDIRECT(ADDRESS(ROW(NOTA[ID]),COLUMN(NOTA[ID]))&amp;":"&amp;ADDRESS(ROW(),COLUMN(NOTA[ID]))),-1)))</f>
        <v>147</v>
      </c>
      <c r="E765" s="47"/>
      <c r="H765" s="48"/>
      <c r="L765" s="38" t="s">
        <v>631</v>
      </c>
      <c r="M765" s="41">
        <v>1</v>
      </c>
      <c r="N765" s="39">
        <v>30</v>
      </c>
      <c r="O765" s="38" t="s">
        <v>305</v>
      </c>
      <c r="P765" s="42">
        <v>96000</v>
      </c>
      <c r="Q765" s="43"/>
      <c r="R765" s="49"/>
      <c r="S765" s="50">
        <v>0.125</v>
      </c>
      <c r="T765" s="45">
        <v>0.05</v>
      </c>
      <c r="U765" s="51"/>
      <c r="V765" s="46"/>
      <c r="W765" s="51">
        <f>IF(NOTA[[#This Row],[HARGA/ CTN]]="",NOTA[[#This Row],[JUMLAH_H]],NOTA[[#This Row],[HARGA/ CTN]]*IF(NOTA[[#This Row],[C]]="",0,NOTA[[#This Row],[C]]))</f>
        <v>2880000</v>
      </c>
      <c r="X765" s="51">
        <f>IF(NOTA[[#This Row],[JUMLAH]]="","",NOTA[[#This Row],[JUMLAH]]*NOTA[[#This Row],[DISC 1]])</f>
        <v>360000</v>
      </c>
      <c r="Y765" s="51">
        <f>IF(NOTA[[#This Row],[JUMLAH]]="","",(NOTA[[#This Row],[JUMLAH]]-NOTA[[#This Row],[DISC 1-]])*NOTA[[#This Row],[DISC 2]])</f>
        <v>126000</v>
      </c>
      <c r="Z765" s="51">
        <f>IF(NOTA[[#This Row],[JUMLAH]]="","",NOTA[[#This Row],[DISC 1-]]+NOTA[[#This Row],[DISC 2-]])</f>
        <v>486000</v>
      </c>
      <c r="AA765" s="51">
        <f>IF(NOTA[[#This Row],[JUMLAH]]="","",NOTA[[#This Row],[JUMLAH]]-NOTA[[#This Row],[DISC]])</f>
        <v>2394000</v>
      </c>
      <c r="AB765" s="51"/>
      <c r="AC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65" s="51">
        <f>IF(OR(NOTA[[#This Row],[QTY]]="",NOTA[[#This Row],[HARGA SATUAN]]="",),"",NOTA[[#This Row],[QTY]]*NOTA[[#This Row],[HARGA SATUAN]])</f>
        <v>2880000</v>
      </c>
      <c r="AG765" s="40">
        <f ca="1">IF(NOTA[ID_H]="","",INDEX(NOTA[TANGGAL],MATCH(,INDIRECT(ADDRESS(ROW(NOTA[TANGGAL]),COLUMN(NOTA[TANGGAL]))&amp;":"&amp;ADDRESS(ROW(),COLUMN(NOTA[TANGGAL]))),-1)))</f>
        <v>45134</v>
      </c>
      <c r="AH765" s="42" t="str">
        <f ca="1">IF(NOTA[[#This Row],[NAMA BARANG]]="","",INDEX(NOTA[SUPPLIER],MATCH(,INDIRECT(ADDRESS(ROW(NOTA[ID]),COLUMN(NOTA[ID]))&amp;":"&amp;ADDRESS(ROW(),COLUMN(NOTA[ID]))),-1)))</f>
        <v>ATALI MAKMUR</v>
      </c>
      <c r="AI765" s="42" t="str">
        <f ca="1">IF(NOTA[[#This Row],[ID_H]]="","",IF(NOTA[[#This Row],[FAKTUR]]="",INDIRECT(ADDRESS(ROW()-1,COLUMN())),NOTA[[#This Row],[FAKTUR]]))</f>
        <v>ARTO MORO</v>
      </c>
      <c r="AJ765" s="39" t="str">
        <f ca="1">IF(NOTA[[#This Row],[ID]]="","",COUNTIF(NOTA[ID_H],NOTA[[#This Row],[ID_H]]))</f>
        <v/>
      </c>
      <c r="AK765" s="39">
        <f ca="1">IF(NOTA[[#This Row],[TGL.NOTA]]="",IF(NOTA[[#This Row],[SUPPLIER_H]]="","",AK764),MONTH(NOTA[[#This Row],[TGL.NOTA]]))</f>
        <v>7</v>
      </c>
      <c r="AL765" s="39" t="str">
        <f>LOWER(SUBSTITUTE(SUBSTITUTE(SUBSTITUTE(SUBSTITUTE(SUBSTITUTE(SUBSTITUTE(SUBSTITUTE(SUBSTITUTE(SUBSTITUTE(NOTA[NAMA BARANG]," ",),".",""),"-",""),"(",""),")",""),",",""),"/",""),"""",""),"+",""))</f>
        <v>pencilp932bjk</v>
      </c>
      <c r="AM7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7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7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39" t="str">
        <f>IF(NOTA[[#This Row],[CONCAT4]]="","",_xlfn.IFNA(MATCH(NOTA[[#This Row],[CONCAT4]],[2]!RAW[CONCAT_H],0),FALSE))</f>
        <v/>
      </c>
      <c r="AQ765" s="39">
        <f>IF(NOTA[[#This Row],[CONCAT1]]="","",MATCH(NOTA[[#This Row],[CONCAT1]],[3]!db[NB NOTA_C],0))</f>
        <v>2198</v>
      </c>
      <c r="AR765" s="39" t="str">
        <f>IF(NOTA[[#This Row],[QTY/ CTN]]="","",TRUE)</f>
        <v/>
      </c>
      <c r="AS765" s="39" t="str">
        <f ca="1">IF(NOTA[[#This Row],[ID_H]]="","",IF(NOTA[[#This Row],[Column3]]=TRUE,NOTA[[#This Row],[QTY/ CTN]],INDEX([3]!db[QTY/ CTN],NOTA[[#This Row],[//DB]])))</f>
        <v>30 GRS</v>
      </c>
      <c r="AT7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U765" s="39" t="e">
        <f ca="1">IF(NOTA[[#This Row],[ID_H]]="","",MATCH(NOTA[[#This Row],[NB NOTA_C_QTY]],[4]!db[NB NOTA_C_QTY+F],0))</f>
        <v>#REF!</v>
      </c>
      <c r="AV765" s="55">
        <f ca="1">IF(NOTA[[#This Row],[NB NOTA_C_QTY]]="","",ROW()-2)</f>
        <v>763</v>
      </c>
    </row>
    <row r="766" spans="1:48" ht="20.100000000000001" customHeight="1" x14ac:dyDescent="0.25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>
        <f ca="1">IF(NOTA[[#This Row],[NAMA BARANG]]="","",INDEX(NOTA[ID],MATCH(,INDIRECT(ADDRESS(ROW(NOTA[ID]),COLUMN(NOTA[ID]))&amp;":"&amp;ADDRESS(ROW(),COLUMN(NOTA[ID]))),-1)))</f>
        <v>147</v>
      </c>
      <c r="E766" s="47"/>
      <c r="H766" s="48"/>
      <c r="L766" s="38" t="s">
        <v>829</v>
      </c>
      <c r="M766" s="41">
        <v>1</v>
      </c>
      <c r="N766" s="39">
        <v>30</v>
      </c>
      <c r="O766" s="38" t="s">
        <v>305</v>
      </c>
      <c r="P766" s="42">
        <v>109200</v>
      </c>
      <c r="Q766" s="43"/>
      <c r="R766" s="49"/>
      <c r="S766" s="50">
        <v>0.125</v>
      </c>
      <c r="T766" s="45">
        <v>0.05</v>
      </c>
      <c r="U766" s="51"/>
      <c r="V766" s="46"/>
      <c r="W766" s="51">
        <f>IF(NOTA[[#This Row],[HARGA/ CTN]]="",NOTA[[#This Row],[JUMLAH_H]],NOTA[[#This Row],[HARGA/ CTN]]*IF(NOTA[[#This Row],[C]]="",0,NOTA[[#This Row],[C]]))</f>
        <v>3276000</v>
      </c>
      <c r="X766" s="51">
        <f>IF(NOTA[[#This Row],[JUMLAH]]="","",NOTA[[#This Row],[JUMLAH]]*NOTA[[#This Row],[DISC 1]])</f>
        <v>409500</v>
      </c>
      <c r="Y766" s="51">
        <f>IF(NOTA[[#This Row],[JUMLAH]]="","",(NOTA[[#This Row],[JUMLAH]]-NOTA[[#This Row],[DISC 1-]])*NOTA[[#This Row],[DISC 2]])</f>
        <v>143325</v>
      </c>
      <c r="Z766" s="51">
        <f>IF(NOTA[[#This Row],[JUMLAH]]="","",NOTA[[#This Row],[DISC 1-]]+NOTA[[#This Row],[DISC 2-]])</f>
        <v>552825</v>
      </c>
      <c r="AA766" s="51">
        <f>IF(NOTA[[#This Row],[JUMLAH]]="","",NOTA[[#This Row],[JUMLAH]]-NOTA[[#This Row],[DISC]])</f>
        <v>2723175</v>
      </c>
      <c r="AB766" s="51"/>
      <c r="AC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42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766" s="51">
        <f>IF(OR(NOTA[[#This Row],[QTY]]="",NOTA[[#This Row],[HARGA SATUAN]]="",),"",NOTA[[#This Row],[QTY]]*NOTA[[#This Row],[HARGA SATUAN]])</f>
        <v>3276000</v>
      </c>
      <c r="AG766" s="40">
        <f ca="1">IF(NOTA[ID_H]="","",INDEX(NOTA[TANGGAL],MATCH(,INDIRECT(ADDRESS(ROW(NOTA[TANGGAL]),COLUMN(NOTA[TANGGAL]))&amp;":"&amp;ADDRESS(ROW(),COLUMN(NOTA[TANGGAL]))),-1)))</f>
        <v>45134</v>
      </c>
      <c r="AH766" s="42" t="str">
        <f ca="1">IF(NOTA[[#This Row],[NAMA BARANG]]="","",INDEX(NOTA[SUPPLIER],MATCH(,INDIRECT(ADDRESS(ROW(NOTA[ID]),COLUMN(NOTA[ID]))&amp;":"&amp;ADDRESS(ROW(),COLUMN(NOTA[ID]))),-1)))</f>
        <v>ATALI MAKMUR</v>
      </c>
      <c r="AI766" s="42" t="str">
        <f ca="1">IF(NOTA[[#This Row],[ID_H]]="","",IF(NOTA[[#This Row],[FAKTUR]]="",INDIRECT(ADDRESS(ROW()-1,COLUMN())),NOTA[[#This Row],[FAKTUR]]))</f>
        <v>ARTO MORO</v>
      </c>
      <c r="AJ766" s="39" t="str">
        <f ca="1">IF(NOTA[[#This Row],[ID]]="","",COUNTIF(NOTA[ID_H],NOTA[[#This Row],[ID_H]]))</f>
        <v/>
      </c>
      <c r="AK766" s="39">
        <f ca="1">IF(NOTA[[#This Row],[TGL.NOTA]]="",IF(NOTA[[#This Row],[SUPPLIER_H]]="","",AK765),MONTH(NOTA[[#This Row],[TGL.NOTA]]))</f>
        <v>7</v>
      </c>
      <c r="AL766" s="39" t="str">
        <f>LOWER(SUBSTITUTE(SUBSTITUTE(SUBSTITUTE(SUBSTITUTE(SUBSTITUTE(SUBSTITUTE(SUBSTITUTE(SUBSTITUTE(SUBSTITUTE(NOTA[NAMA BARANG]," ",),".",""),"-",""),"(",""),")",""),",",""),"/",""),"""",""),"+",""))</f>
        <v>pencilp902bjk</v>
      </c>
      <c r="AM7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7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7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39" t="str">
        <f>IF(NOTA[[#This Row],[CONCAT4]]="","",_xlfn.IFNA(MATCH(NOTA[[#This Row],[CONCAT4]],[2]!RAW[CONCAT_H],0),FALSE))</f>
        <v/>
      </c>
      <c r="AQ766" s="39">
        <f>IF(NOTA[[#This Row],[CONCAT1]]="","",MATCH(NOTA[[#This Row],[CONCAT1]],[3]!db[NB NOTA_C],0))</f>
        <v>2195</v>
      </c>
      <c r="AR766" s="39" t="str">
        <f>IF(NOTA[[#This Row],[QTY/ CTN]]="","",TRUE)</f>
        <v/>
      </c>
      <c r="AS766" s="39" t="str">
        <f ca="1">IF(NOTA[[#This Row],[ID_H]]="","",IF(NOTA[[#This Row],[Column3]]=TRUE,NOTA[[#This Row],[QTY/ CTN]],INDEX([3]!db[QTY/ CTN],NOTA[[#This Row],[//DB]])))</f>
        <v>30 GRS</v>
      </c>
      <c r="AT7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U766" s="39" t="e">
        <f ca="1">IF(NOTA[[#This Row],[ID_H]]="","",MATCH(NOTA[[#This Row],[NB NOTA_C_QTY]],[4]!db[NB NOTA_C_QTY+F],0))</f>
        <v>#REF!</v>
      </c>
      <c r="AV766" s="55">
        <f ca="1">IF(NOTA[[#This Row],[NB NOTA_C_QTY]]="","",ROW()-2)</f>
        <v>764</v>
      </c>
    </row>
    <row r="767" spans="1:48" ht="20.100000000000001" customHeight="1" x14ac:dyDescent="0.25">
      <c r="A7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>
        <f ca="1">IF(NOTA[[#This Row],[NAMA BARANG]]="","",INDEX(NOTA[ID],MATCH(,INDIRECT(ADDRESS(ROW(NOTA[ID]),COLUMN(NOTA[ID]))&amp;":"&amp;ADDRESS(ROW(),COLUMN(NOTA[ID]))),-1)))</f>
        <v>147</v>
      </c>
      <c r="E767" s="47"/>
      <c r="H767" s="48"/>
      <c r="K767" s="38">
        <v>1</v>
      </c>
      <c r="L767" s="38" t="s">
        <v>830</v>
      </c>
      <c r="M767" s="41">
        <v>1</v>
      </c>
      <c r="N767" s="39">
        <v>60</v>
      </c>
      <c r="O767" s="38" t="s">
        <v>305</v>
      </c>
      <c r="P767" s="42">
        <v>27600</v>
      </c>
      <c r="Q767" s="43"/>
      <c r="R767" s="49"/>
      <c r="S767" s="50">
        <v>0.125</v>
      </c>
      <c r="T767" s="45">
        <v>0.05</v>
      </c>
      <c r="U767" s="51"/>
      <c r="V767" s="46"/>
      <c r="W767" s="51">
        <f>IF(NOTA[[#This Row],[HARGA/ CTN]]="",NOTA[[#This Row],[JUMLAH_H]],NOTA[[#This Row],[HARGA/ CTN]]*IF(NOTA[[#This Row],[C]]="",0,NOTA[[#This Row],[C]]))</f>
        <v>1656000</v>
      </c>
      <c r="X767" s="51">
        <f>IF(NOTA[[#This Row],[JUMLAH]]="","",NOTA[[#This Row],[JUMLAH]]*NOTA[[#This Row],[DISC 1]])</f>
        <v>207000</v>
      </c>
      <c r="Y767" s="51">
        <f>IF(NOTA[[#This Row],[JUMLAH]]="","",(NOTA[[#This Row],[JUMLAH]]-NOTA[[#This Row],[DISC 1-]])*NOTA[[#This Row],[DISC 2]])</f>
        <v>72450</v>
      </c>
      <c r="Z767" s="51">
        <f>IF(NOTA[[#This Row],[JUMLAH]]="","",NOTA[[#This Row],[DISC 1-]]+NOTA[[#This Row],[DISC 2-]])</f>
        <v>279450</v>
      </c>
      <c r="AA767" s="51">
        <f>IF(NOTA[[#This Row],[JUMLAH]]="","",NOTA[[#This Row],[JUMLAH]]-NOTA[[#This Row],[DISC]])</f>
        <v>1376550</v>
      </c>
      <c r="AB767" s="51"/>
      <c r="AC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67" s="51">
        <f>IF(OR(NOTA[[#This Row],[QTY]]="",NOTA[[#This Row],[HARGA SATUAN]]="",),"",NOTA[[#This Row],[QTY]]*NOTA[[#This Row],[HARGA SATUAN]])</f>
        <v>1656000</v>
      </c>
      <c r="AG767" s="40">
        <f ca="1">IF(NOTA[ID_H]="","",INDEX(NOTA[TANGGAL],MATCH(,INDIRECT(ADDRESS(ROW(NOTA[TANGGAL]),COLUMN(NOTA[TANGGAL]))&amp;":"&amp;ADDRESS(ROW(),COLUMN(NOTA[TANGGAL]))),-1)))</f>
        <v>45134</v>
      </c>
      <c r="AH767" s="42" t="str">
        <f ca="1">IF(NOTA[[#This Row],[NAMA BARANG]]="","",INDEX(NOTA[SUPPLIER],MATCH(,INDIRECT(ADDRESS(ROW(NOTA[ID]),COLUMN(NOTA[ID]))&amp;":"&amp;ADDRESS(ROW(),COLUMN(NOTA[ID]))),-1)))</f>
        <v>ATALI MAKMUR</v>
      </c>
      <c r="AI767" s="42" t="str">
        <f ca="1">IF(NOTA[[#This Row],[ID_H]]="","",IF(NOTA[[#This Row],[FAKTUR]]="",INDIRECT(ADDRESS(ROW()-1,COLUMN())),NOTA[[#This Row],[FAKTUR]]))</f>
        <v>ARTO MORO</v>
      </c>
      <c r="AJ767" s="39" t="str">
        <f ca="1">IF(NOTA[[#This Row],[ID]]="","",COUNTIF(NOTA[ID_H],NOTA[[#This Row],[ID_H]]))</f>
        <v/>
      </c>
      <c r="AK767" s="39">
        <f ca="1">IF(NOTA[[#This Row],[TGL.NOTA]]="",IF(NOTA[[#This Row],[SUPPLIER_H]]="","",AK766),MONTH(NOTA[[#This Row],[TGL.NOTA]]))</f>
        <v>7</v>
      </c>
      <c r="AL767" s="39" t="str">
        <f>LOWER(SUBSTITUTE(SUBSTITUTE(SUBSTITUTE(SUBSTITUTE(SUBSTITUTE(SUBSTITUTE(SUBSTITUTE(SUBSTITUTE(SUBSTITUTE(NOTA[NAMA BARANG]," ",),".",""),"-",""),"(",""),")",""),",",""),"/",""),"""",""),"+",""))</f>
        <v>binderclip105jk</v>
      </c>
      <c r="AM7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N7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O7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39" t="str">
        <f>IF(NOTA[[#This Row],[CONCAT4]]="","",_xlfn.IFNA(MATCH(NOTA[[#This Row],[CONCAT4]],[2]!RAW[CONCAT_H],0),FALSE))</f>
        <v/>
      </c>
      <c r="AQ767" s="39">
        <f>IF(NOTA[[#This Row],[CONCAT1]]="","",MATCH(NOTA[[#This Row],[CONCAT1]],[3]!db[NB NOTA_C],0))</f>
        <v>212</v>
      </c>
      <c r="AR767" s="39" t="str">
        <f>IF(NOTA[[#This Row],[QTY/ CTN]]="","",TRUE)</f>
        <v/>
      </c>
      <c r="AS767" s="39" t="str">
        <f ca="1">IF(NOTA[[#This Row],[ID_H]]="","",IF(NOTA[[#This Row],[Column3]]=TRUE,NOTA[[#This Row],[QTY/ CTN]],INDEX([3]!db[QTY/ CTN],NOTA[[#This Row],[//DB]])))</f>
        <v>60 GRS</v>
      </c>
      <c r="AT7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U767" s="39" t="e">
        <f ca="1">IF(NOTA[[#This Row],[ID_H]]="","",MATCH(NOTA[[#This Row],[NB NOTA_C_QTY]],[4]!db[NB NOTA_C_QTY+F],0))</f>
        <v>#REF!</v>
      </c>
      <c r="AV767" s="55">
        <f ca="1">IF(NOTA[[#This Row],[NB NOTA_C_QTY]]="","",ROW()-2)</f>
        <v>765</v>
      </c>
    </row>
    <row r="768" spans="1:48" ht="20.100000000000001" customHeight="1" x14ac:dyDescent="0.25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>
        <f ca="1">IF(NOTA[[#This Row],[NAMA BARANG]]="","",INDEX(NOTA[ID],MATCH(,INDIRECT(ADDRESS(ROW(NOTA[ID]),COLUMN(NOTA[ID]))&amp;":"&amp;ADDRESS(ROW(),COLUMN(NOTA[ID]))),-1)))</f>
        <v>147</v>
      </c>
      <c r="E768" s="47"/>
      <c r="H768" s="48"/>
      <c r="K768" s="38">
        <v>1</v>
      </c>
      <c r="L768" s="38" t="s">
        <v>831</v>
      </c>
      <c r="M768" s="41">
        <v>1</v>
      </c>
      <c r="N768" s="39">
        <v>20</v>
      </c>
      <c r="O768" s="38" t="s">
        <v>305</v>
      </c>
      <c r="P768" s="42">
        <v>67800</v>
      </c>
      <c r="Q768" s="43"/>
      <c r="R768" s="49"/>
      <c r="S768" s="50">
        <v>0.125</v>
      </c>
      <c r="T768" s="45">
        <v>0.05</v>
      </c>
      <c r="U768" s="51"/>
      <c r="V768" s="46"/>
      <c r="W768" s="51">
        <f>IF(NOTA[[#This Row],[HARGA/ CTN]]="",NOTA[[#This Row],[JUMLAH_H]],NOTA[[#This Row],[HARGA/ CTN]]*IF(NOTA[[#This Row],[C]]="",0,NOTA[[#This Row],[C]]))</f>
        <v>1356000</v>
      </c>
      <c r="X768" s="51">
        <f>IF(NOTA[[#This Row],[JUMLAH]]="","",NOTA[[#This Row],[JUMLAH]]*NOTA[[#This Row],[DISC 1]])</f>
        <v>169500</v>
      </c>
      <c r="Y768" s="51">
        <f>IF(NOTA[[#This Row],[JUMLAH]]="","",(NOTA[[#This Row],[JUMLAH]]-NOTA[[#This Row],[DISC 1-]])*NOTA[[#This Row],[DISC 2]])</f>
        <v>59325</v>
      </c>
      <c r="Z768" s="51">
        <f>IF(NOTA[[#This Row],[JUMLAH]]="","",NOTA[[#This Row],[DISC 1-]]+NOTA[[#This Row],[DISC 2-]])</f>
        <v>228825</v>
      </c>
      <c r="AA768" s="51">
        <f>IF(NOTA[[#This Row],[JUMLAH]]="","",NOTA[[#This Row],[JUMLAH]]-NOTA[[#This Row],[DISC]])</f>
        <v>1127175</v>
      </c>
      <c r="AB768" s="51"/>
      <c r="AC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768" s="51">
        <f>IF(OR(NOTA[[#This Row],[QTY]]="",NOTA[[#This Row],[HARGA SATUAN]]="",),"",NOTA[[#This Row],[QTY]]*NOTA[[#This Row],[HARGA SATUAN]])</f>
        <v>1356000</v>
      </c>
      <c r="AG768" s="40">
        <f ca="1">IF(NOTA[ID_H]="","",INDEX(NOTA[TANGGAL],MATCH(,INDIRECT(ADDRESS(ROW(NOTA[TANGGAL]),COLUMN(NOTA[TANGGAL]))&amp;":"&amp;ADDRESS(ROW(),COLUMN(NOTA[TANGGAL]))),-1)))</f>
        <v>45134</v>
      </c>
      <c r="AH768" s="42" t="str">
        <f ca="1">IF(NOTA[[#This Row],[NAMA BARANG]]="","",INDEX(NOTA[SUPPLIER],MATCH(,INDIRECT(ADDRESS(ROW(NOTA[ID]),COLUMN(NOTA[ID]))&amp;":"&amp;ADDRESS(ROW(),COLUMN(NOTA[ID]))),-1)))</f>
        <v>ATALI MAKMUR</v>
      </c>
      <c r="AI768" s="42" t="str">
        <f ca="1">IF(NOTA[[#This Row],[ID_H]]="","",IF(NOTA[[#This Row],[FAKTUR]]="",INDIRECT(ADDRESS(ROW()-1,COLUMN())),NOTA[[#This Row],[FAKTUR]]))</f>
        <v>ARTO MORO</v>
      </c>
      <c r="AJ768" s="39" t="str">
        <f ca="1">IF(NOTA[[#This Row],[ID]]="","",COUNTIF(NOTA[ID_H],NOTA[[#This Row],[ID_H]]))</f>
        <v/>
      </c>
      <c r="AK768" s="39">
        <f ca="1">IF(NOTA[[#This Row],[TGL.NOTA]]="",IF(NOTA[[#This Row],[SUPPLIER_H]]="","",AK767),MONTH(NOTA[[#This Row],[TGL.NOTA]]))</f>
        <v>7</v>
      </c>
      <c r="AL768" s="39" t="str">
        <f>LOWER(SUBSTITUTE(SUBSTITUTE(SUBSTITUTE(SUBSTITUTE(SUBSTITUTE(SUBSTITUTE(SUBSTITUTE(SUBSTITUTE(SUBSTITUTE(NOTA[NAMA BARANG]," ",),".",""),"-",""),"(",""),")",""),",",""),"/",""),"""",""),"+",""))</f>
        <v>binderclip155jk</v>
      </c>
      <c r="AM7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N7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O7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39" t="str">
        <f>IF(NOTA[[#This Row],[CONCAT4]]="","",_xlfn.IFNA(MATCH(NOTA[[#This Row],[CONCAT4]],[2]!RAW[CONCAT_H],0),FALSE))</f>
        <v/>
      </c>
      <c r="AQ768" s="39">
        <f>IF(NOTA[[#This Row],[CONCAT1]]="","",MATCH(NOTA[[#This Row],[CONCAT1]],[3]!db[NB NOTA_C],0))</f>
        <v>219</v>
      </c>
      <c r="AR768" s="39" t="str">
        <f>IF(NOTA[[#This Row],[QTY/ CTN]]="","",TRUE)</f>
        <v/>
      </c>
      <c r="AS768" s="39" t="str">
        <f ca="1">IF(NOTA[[#This Row],[ID_H]]="","",IF(NOTA[[#This Row],[Column3]]=TRUE,NOTA[[#This Row],[QTY/ CTN]],INDEX([3]!db[QTY/ CTN],NOTA[[#This Row],[//DB]])))</f>
        <v>20 GRS</v>
      </c>
      <c r="AT7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U768" s="39" t="e">
        <f ca="1">IF(NOTA[[#This Row],[ID_H]]="","",MATCH(NOTA[[#This Row],[NB NOTA_C_QTY]],[4]!db[NB NOTA_C_QTY+F],0))</f>
        <v>#REF!</v>
      </c>
      <c r="AV768" s="55">
        <f ca="1">IF(NOTA[[#This Row],[NB NOTA_C_QTY]]="","",ROW()-2)</f>
        <v>766</v>
      </c>
    </row>
    <row r="769" spans="1:48" ht="20.100000000000001" customHeight="1" x14ac:dyDescent="0.25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>
        <f ca="1">IF(NOTA[[#This Row],[NAMA BARANG]]="","",INDEX(NOTA[ID],MATCH(,INDIRECT(ADDRESS(ROW(NOTA[ID]),COLUMN(NOTA[ID]))&amp;":"&amp;ADDRESS(ROW(),COLUMN(NOTA[ID]))),-1)))</f>
        <v>147</v>
      </c>
      <c r="E769" s="47"/>
      <c r="H769" s="48"/>
      <c r="L769" s="38" t="s">
        <v>124</v>
      </c>
      <c r="N769" s="39">
        <v>12</v>
      </c>
      <c r="O769" s="38" t="s">
        <v>152</v>
      </c>
      <c r="P769" s="42">
        <v>13200</v>
      </c>
      <c r="Q769" s="43"/>
      <c r="R769" s="49"/>
      <c r="S769" s="50">
        <v>0.125</v>
      </c>
      <c r="T769" s="45">
        <v>0.05</v>
      </c>
      <c r="U769" s="51"/>
      <c r="V769" s="46"/>
      <c r="W769" s="51">
        <f>IF(NOTA[[#This Row],[HARGA/ CTN]]="",NOTA[[#This Row],[JUMLAH_H]],NOTA[[#This Row],[HARGA/ CTN]]*IF(NOTA[[#This Row],[C]]="",0,NOTA[[#This Row],[C]]))</f>
        <v>158400</v>
      </c>
      <c r="X769" s="51">
        <f>IF(NOTA[[#This Row],[JUMLAH]]="","",NOTA[[#This Row],[JUMLAH]]*NOTA[[#This Row],[DISC 1]])</f>
        <v>19800</v>
      </c>
      <c r="Y769" s="51">
        <f>IF(NOTA[[#This Row],[JUMLAH]]="","",(NOTA[[#This Row],[JUMLAH]]-NOTA[[#This Row],[DISC 1-]])*NOTA[[#This Row],[DISC 2]])</f>
        <v>6930</v>
      </c>
      <c r="Z769" s="51">
        <f>IF(NOTA[[#This Row],[JUMLAH]]="","",NOTA[[#This Row],[DISC 1-]]+NOTA[[#This Row],[DISC 2-]])</f>
        <v>26730</v>
      </c>
      <c r="AA769" s="51">
        <f>IF(NOTA[[#This Row],[JUMLAH]]="","",NOTA[[#This Row],[JUMLAH]]-NOTA[[#This Row],[DISC]])</f>
        <v>131670</v>
      </c>
      <c r="AB769" s="51"/>
      <c r="AC7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7142580</v>
      </c>
      <c r="AD7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35183820</v>
      </c>
      <c r="AE769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9" s="51">
        <f>IF(OR(NOTA[[#This Row],[QTY]]="",NOTA[[#This Row],[HARGA SATUAN]]="",),"",NOTA[[#This Row],[QTY]]*NOTA[[#This Row],[HARGA SATUAN]])</f>
        <v>158400</v>
      </c>
      <c r="AG769" s="40">
        <f ca="1">IF(NOTA[ID_H]="","",INDEX(NOTA[TANGGAL],MATCH(,INDIRECT(ADDRESS(ROW(NOTA[TANGGAL]),COLUMN(NOTA[TANGGAL]))&amp;":"&amp;ADDRESS(ROW(),COLUMN(NOTA[TANGGAL]))),-1)))</f>
        <v>45134</v>
      </c>
      <c r="AH769" s="42" t="str">
        <f ca="1">IF(NOTA[[#This Row],[NAMA BARANG]]="","",INDEX(NOTA[SUPPLIER],MATCH(,INDIRECT(ADDRESS(ROW(NOTA[ID]),COLUMN(NOTA[ID]))&amp;":"&amp;ADDRESS(ROW(),COLUMN(NOTA[ID]))),-1)))</f>
        <v>ATALI MAKMUR</v>
      </c>
      <c r="AI769" s="42" t="str">
        <f ca="1">IF(NOTA[[#This Row],[ID_H]]="","",IF(NOTA[[#This Row],[FAKTUR]]="",INDIRECT(ADDRESS(ROW()-1,COLUMN())),NOTA[[#This Row],[FAKTUR]]))</f>
        <v>ARTO MORO</v>
      </c>
      <c r="AJ769" s="39" t="str">
        <f ca="1">IF(NOTA[[#This Row],[ID]]="","",COUNTIF(NOTA[ID_H],NOTA[[#This Row],[ID_H]]))</f>
        <v/>
      </c>
      <c r="AK769" s="39">
        <f ca="1">IF(NOTA[[#This Row],[TGL.NOTA]]="",IF(NOTA[[#This Row],[SUPPLIER_H]]="","",AK768),MONTH(NOTA[[#This Row],[TGL.NOTA]]))</f>
        <v>7</v>
      </c>
      <c r="AL769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7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N7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O7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39" t="str">
        <f>IF(NOTA[[#This Row],[CONCAT4]]="","",_xlfn.IFNA(MATCH(NOTA[[#This Row],[CONCAT4]],[2]!RAW[CONCAT_H],0),FALSE))</f>
        <v/>
      </c>
      <c r="AQ769" s="39">
        <f>IF(NOTA[[#This Row],[CONCAT1]]="","",MATCH(NOTA[[#This Row],[CONCAT1]],[3]!db[NB NOTA_C],0))</f>
        <v>635</v>
      </c>
      <c r="AR769" s="39" t="str">
        <f>IF(NOTA[[#This Row],[QTY/ CTN]]="","",TRUE)</f>
        <v/>
      </c>
      <c r="AS769" s="39" t="str">
        <f ca="1">IF(NOTA[[#This Row],[ID_H]]="","",IF(NOTA[[#This Row],[Column3]]=TRUE,NOTA[[#This Row],[QTY/ CTN]],INDEX([3]!db[QTY/ CTN],NOTA[[#This Row],[//DB]])))</f>
        <v>144 LSN</v>
      </c>
      <c r="AT7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U769" s="39" t="e">
        <f ca="1">IF(NOTA[[#This Row],[ID_H]]="","",MATCH(NOTA[[#This Row],[NB NOTA_C_QTY]],[4]!db[NB NOTA_C_QTY+F],0))</f>
        <v>#REF!</v>
      </c>
      <c r="AV769" s="55">
        <f ca="1">IF(NOTA[[#This Row],[NB NOTA_C_QTY]]="","",ROW()-2)</f>
        <v>767</v>
      </c>
    </row>
    <row r="770" spans="1:48" ht="20.100000000000001" customHeight="1" x14ac:dyDescent="0.25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47"/>
      <c r="H770" s="48"/>
      <c r="N770" s="39"/>
      <c r="Q770" s="43"/>
      <c r="R770" s="49"/>
      <c r="S770" s="50"/>
      <c r="U770" s="51"/>
      <c r="V770" s="46"/>
      <c r="W770" s="51" t="str">
        <f>IF(NOTA[[#This Row],[HARGA/ CTN]]="",NOTA[[#This Row],[JUMLAH_H]],NOTA[[#This Row],[HARGA/ CTN]]*IF(NOTA[[#This Row],[C]]="",0,NOTA[[#This Row],[C]]))</f>
        <v/>
      </c>
      <c r="X770" s="51" t="str">
        <f>IF(NOTA[[#This Row],[JUMLAH]]="","",NOTA[[#This Row],[JUMLAH]]*NOTA[[#This Row],[DISC 1]])</f>
        <v/>
      </c>
      <c r="Y770" s="51" t="str">
        <f>IF(NOTA[[#This Row],[JUMLAH]]="","",(NOTA[[#This Row],[JUMLAH]]-NOTA[[#This Row],[DISC 1-]])*NOTA[[#This Row],[DISC 2]])</f>
        <v/>
      </c>
      <c r="Z770" s="51" t="str">
        <f>IF(NOTA[[#This Row],[JUMLAH]]="","",NOTA[[#This Row],[DISC 1-]]+NOTA[[#This Row],[DISC 2-]])</f>
        <v/>
      </c>
      <c r="AA770" s="51" t="str">
        <f>IF(NOTA[[#This Row],[JUMLAH]]="","",NOTA[[#This Row],[JUMLAH]]-NOTA[[#This Row],[DISC]])</f>
        <v/>
      </c>
      <c r="AB770" s="51"/>
      <c r="AC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51" t="str">
        <f>IF(OR(NOTA[[#This Row],[QTY]]="",NOTA[[#This Row],[HARGA SATUAN]]="",),"",NOTA[[#This Row],[QTY]]*NOTA[[#This Row],[HARGA SATUAN]])</f>
        <v/>
      </c>
      <c r="AG770" s="40" t="str">
        <f ca="1">IF(NOTA[ID_H]="","",INDEX(NOTA[TANGGAL],MATCH(,INDIRECT(ADDRESS(ROW(NOTA[TANGGAL]),COLUMN(NOTA[TANGGAL]))&amp;":"&amp;ADDRESS(ROW(),COLUMN(NOTA[TANGGAL]))),-1)))</f>
        <v/>
      </c>
      <c r="AH770" s="42" t="str">
        <f ca="1">IF(NOTA[[#This Row],[NAMA BARANG]]="","",INDEX(NOTA[SUPPLIER],MATCH(,INDIRECT(ADDRESS(ROW(NOTA[ID]),COLUMN(NOTA[ID]))&amp;":"&amp;ADDRESS(ROW(),COLUMN(NOTA[ID]))),-1)))</f>
        <v/>
      </c>
      <c r="AI770" s="42" t="str">
        <f ca="1">IF(NOTA[[#This Row],[ID_H]]="","",IF(NOTA[[#This Row],[FAKTUR]]="",INDIRECT(ADDRESS(ROW()-1,COLUMN())),NOTA[[#This Row],[FAKTUR]]))</f>
        <v/>
      </c>
      <c r="AJ770" s="39" t="str">
        <f ca="1">IF(NOTA[[#This Row],[ID]]="","",COUNTIF(NOTA[ID_H],NOTA[[#This Row],[ID_H]]))</f>
        <v/>
      </c>
      <c r="AK770" s="39" t="str">
        <f ca="1">IF(NOTA[[#This Row],[TGL.NOTA]]="",IF(NOTA[[#This Row],[SUPPLIER_H]]="","",AK769),MONTH(NOTA[[#This Row],[TGL.NOTA]]))</f>
        <v/>
      </c>
      <c r="AL770" s="39" t="str">
        <f>LOWER(SUBSTITUTE(SUBSTITUTE(SUBSTITUTE(SUBSTITUTE(SUBSTITUTE(SUBSTITUTE(SUBSTITUTE(SUBSTITUTE(SUBSTITUTE(NOTA[NAMA BARANG]," ",),".",""),"-",""),"(",""),")",""),",",""),"/",""),"""",""),"+",""))</f>
        <v/>
      </c>
      <c r="AM7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39" t="str">
        <f>IF(NOTA[[#This Row],[CONCAT4]]="","",_xlfn.IFNA(MATCH(NOTA[[#This Row],[CONCAT4]],[2]!RAW[CONCAT_H],0),FALSE))</f>
        <v/>
      </c>
      <c r="AQ770" s="39" t="str">
        <f>IF(NOTA[[#This Row],[CONCAT1]]="","",MATCH(NOTA[[#This Row],[CONCAT1]],[3]!db[NB NOTA_C],0))</f>
        <v/>
      </c>
      <c r="AR770" s="39" t="str">
        <f>IF(NOTA[[#This Row],[QTY/ CTN]]="","",TRUE)</f>
        <v/>
      </c>
      <c r="AS770" s="39" t="str">
        <f ca="1">IF(NOTA[[#This Row],[ID_H]]="","",IF(NOTA[[#This Row],[Column3]]=TRUE,NOTA[[#This Row],[QTY/ CTN]],INDEX([3]!db[QTY/ CTN],NOTA[[#This Row],[//DB]])))</f>
        <v/>
      </c>
      <c r="AT7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39" t="str">
        <f ca="1">IF(NOTA[[#This Row],[ID_H]]="","",MATCH(NOTA[[#This Row],[NB NOTA_C_QTY]],[4]!db[NB NOTA_C_QTY+F],0))</f>
        <v/>
      </c>
      <c r="AV770" s="55" t="str">
        <f ca="1">IF(NOTA[[#This Row],[NB NOTA_C_QTY]]="","",ROW()-2)</f>
        <v/>
      </c>
    </row>
    <row r="771" spans="1:48" ht="20.100000000000001" customHeight="1" x14ac:dyDescent="0.25">
      <c r="A771" s="42">
        <f ca="1">IF(INDIRECT(ADDRESS(ROW()-1,COLUMN(NOTA[[#Headers],[ID]])))="ID",1,IF(NOTA[[#This Row],[FAKTUR]]="","",COUNT(INDIRECT(ADDRESS(ROW(NOTA[ID]),COLUMN(NOTA[ID]))&amp;":"&amp;ADDRESS(ROW()-1,COLUMN(NOTA[ID]))))+1))</f>
        <v>148</v>
      </c>
      <c r="B7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ATA_2707_989-2</v>
      </c>
      <c r="C771" s="39" t="e">
        <f ca="1">IF(NOTA[[#This Row],[ID_P]]="","",MATCH(NOTA[[#This Row],[ID_P]],[1]!B_MSK[N_ID],0))</f>
        <v>#REF!</v>
      </c>
      <c r="D771" s="39">
        <f ca="1">IF(NOTA[[#This Row],[NAMA BARANG]]="","",INDEX(NOTA[ID],MATCH(,INDIRECT(ADDRESS(ROW(NOTA[ID]),COLUMN(NOTA[ID]))&amp;":"&amp;ADDRESS(ROW(),COLUMN(NOTA[ID]))),-1)))</f>
        <v>148</v>
      </c>
      <c r="E771" s="47"/>
      <c r="F771" s="38" t="s">
        <v>24</v>
      </c>
      <c r="G771" s="38" t="s">
        <v>23</v>
      </c>
      <c r="H771" s="48" t="s">
        <v>832</v>
      </c>
      <c r="J771" s="40">
        <v>45131</v>
      </c>
      <c r="K771" s="38">
        <v>1</v>
      </c>
      <c r="L771" s="38" t="s">
        <v>312</v>
      </c>
      <c r="M771" s="41">
        <v>2</v>
      </c>
      <c r="N771" s="39">
        <v>576</v>
      </c>
      <c r="O771" s="38" t="s">
        <v>117</v>
      </c>
      <c r="P771" s="42">
        <v>4800</v>
      </c>
      <c r="Q771" s="43"/>
      <c r="R771" s="49"/>
      <c r="S771" s="50">
        <v>0.125</v>
      </c>
      <c r="T771" s="45">
        <v>0.05</v>
      </c>
      <c r="U771" s="51"/>
      <c r="V771" s="46"/>
      <c r="W771" s="51">
        <f>IF(NOTA[[#This Row],[HARGA/ CTN]]="",NOTA[[#This Row],[JUMLAH_H]],NOTA[[#This Row],[HARGA/ CTN]]*IF(NOTA[[#This Row],[C]]="",0,NOTA[[#This Row],[C]]))</f>
        <v>2764800</v>
      </c>
      <c r="X771" s="51">
        <f>IF(NOTA[[#This Row],[JUMLAH]]="","",NOTA[[#This Row],[JUMLAH]]*NOTA[[#This Row],[DISC 1]])</f>
        <v>345600</v>
      </c>
      <c r="Y771" s="51">
        <f>IF(NOTA[[#This Row],[JUMLAH]]="","",(NOTA[[#This Row],[JUMLAH]]-NOTA[[#This Row],[DISC 1-]])*NOTA[[#This Row],[DISC 2]])</f>
        <v>120960</v>
      </c>
      <c r="Z771" s="51">
        <f>IF(NOTA[[#This Row],[JUMLAH]]="","",NOTA[[#This Row],[DISC 1-]]+NOTA[[#This Row],[DISC 2-]])</f>
        <v>466560</v>
      </c>
      <c r="AA771" s="51">
        <f>IF(NOTA[[#This Row],[JUMLAH]]="","",NOTA[[#This Row],[JUMLAH]]-NOTA[[#This Row],[DISC]])</f>
        <v>2298240</v>
      </c>
      <c r="AB771" s="51"/>
      <c r="AC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771" s="51">
        <f>IF(OR(NOTA[[#This Row],[QTY]]="",NOTA[[#This Row],[HARGA SATUAN]]="",),"",NOTA[[#This Row],[QTY]]*NOTA[[#This Row],[HARGA SATUAN]])</f>
        <v>2764800</v>
      </c>
      <c r="AG771" s="40">
        <f ca="1">IF(NOTA[ID_H]="","",INDEX(NOTA[TANGGAL],MATCH(,INDIRECT(ADDRESS(ROW(NOTA[TANGGAL]),COLUMN(NOTA[TANGGAL]))&amp;":"&amp;ADDRESS(ROW(),COLUMN(NOTA[TANGGAL]))),-1)))</f>
        <v>45134</v>
      </c>
      <c r="AH771" s="42" t="str">
        <f ca="1">IF(NOTA[[#This Row],[NAMA BARANG]]="","",INDEX(NOTA[SUPPLIER],MATCH(,INDIRECT(ADDRESS(ROW(NOTA[ID]),COLUMN(NOTA[ID]))&amp;":"&amp;ADDRESS(ROW(),COLUMN(NOTA[ID]))),-1)))</f>
        <v>ATALI MAKMUR</v>
      </c>
      <c r="AI771" s="42" t="str">
        <f ca="1">IF(NOTA[[#This Row],[ID_H]]="","",IF(NOTA[[#This Row],[FAKTUR]]="",INDIRECT(ADDRESS(ROW()-1,COLUMN())),NOTA[[#This Row],[FAKTUR]]))</f>
        <v>ARTO MORO</v>
      </c>
      <c r="AJ771" s="39">
        <f ca="1">IF(NOTA[[#This Row],[ID]]="","",COUNTIF(NOTA[ID_H],NOTA[[#This Row],[ID_H]]))</f>
        <v>2</v>
      </c>
      <c r="AK771" s="39">
        <f>IF(NOTA[[#This Row],[TGL.NOTA]]="",IF(NOTA[[#This Row],[SUPPLIER_H]]="","",AK770),MONTH(NOTA[[#This Row],[TGL.NOTA]]))</f>
        <v>7</v>
      </c>
      <c r="AL771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7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7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771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MOROSA23071298945131pencilcasepc0719tv33aftraveljk</v>
      </c>
      <c r="AP771" s="39" t="e">
        <f>IF(NOTA[[#This Row],[CONCAT4]]="","",_xlfn.IFNA(MATCH(NOTA[[#This Row],[CONCAT4]],[2]!RAW[CONCAT_H],0),FALSE))</f>
        <v>#REF!</v>
      </c>
      <c r="AQ771" s="39">
        <f>IF(NOTA[[#This Row],[CONCAT1]]="","",MATCH(NOTA[[#This Row],[CONCAT1]],[3]!db[NB NOTA_C],0))</f>
        <v>1905</v>
      </c>
      <c r="AR771" s="39" t="str">
        <f>IF(NOTA[[#This Row],[QTY/ CTN]]="","",TRUE)</f>
        <v/>
      </c>
      <c r="AS771" s="39" t="str">
        <f ca="1">IF(NOTA[[#This Row],[ID_H]]="","",IF(NOTA[[#This Row],[Column3]]=TRUE,NOTA[[#This Row],[QTY/ CTN]],INDEX([3]!db[QTY/ CTN],NOTA[[#This Row],[//DB]])))</f>
        <v>288 PCS</v>
      </c>
      <c r="AT7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771" s="39" t="e">
        <f ca="1">IF(NOTA[[#This Row],[ID_H]]="","",MATCH(NOTA[[#This Row],[NB NOTA_C_QTY]],[4]!db[NB NOTA_C_QTY+F],0))</f>
        <v>#REF!</v>
      </c>
      <c r="AV771" s="55">
        <f ca="1">IF(NOTA[[#This Row],[NB NOTA_C_QTY]]="","",ROW()-2)</f>
        <v>769</v>
      </c>
    </row>
    <row r="772" spans="1:48" ht="20.100000000000001" customHeight="1" x14ac:dyDescent="0.25">
      <c r="A7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>
        <f ca="1">IF(NOTA[[#This Row],[NAMA BARANG]]="","",INDEX(NOTA[ID],MATCH(,INDIRECT(ADDRESS(ROW(NOTA[ID]),COLUMN(NOTA[ID]))&amp;":"&amp;ADDRESS(ROW(),COLUMN(NOTA[ID]))),-1)))</f>
        <v>148</v>
      </c>
      <c r="E772" s="47"/>
      <c r="H772" s="48"/>
      <c r="K772" s="38">
        <v>1</v>
      </c>
      <c r="L772" s="38" t="s">
        <v>833</v>
      </c>
      <c r="M772" s="41">
        <v>1</v>
      </c>
      <c r="N772" s="39">
        <v>288</v>
      </c>
      <c r="O772" s="38" t="s">
        <v>117</v>
      </c>
      <c r="P772" s="42">
        <v>4800</v>
      </c>
      <c r="Q772" s="43"/>
      <c r="R772" s="49"/>
      <c r="S772" s="50">
        <v>0.125</v>
      </c>
      <c r="T772" s="45">
        <v>0.05</v>
      </c>
      <c r="U772" s="51"/>
      <c r="V772" s="46"/>
      <c r="W772" s="51">
        <f>IF(NOTA[[#This Row],[HARGA/ CTN]]="",NOTA[[#This Row],[JUMLAH_H]],NOTA[[#This Row],[HARGA/ CTN]]*IF(NOTA[[#This Row],[C]]="",0,NOTA[[#This Row],[C]]))</f>
        <v>1382400</v>
      </c>
      <c r="X772" s="51">
        <f>IF(NOTA[[#This Row],[JUMLAH]]="","",NOTA[[#This Row],[JUMLAH]]*NOTA[[#This Row],[DISC 1]])</f>
        <v>172800</v>
      </c>
      <c r="Y772" s="51">
        <f>IF(NOTA[[#This Row],[JUMLAH]]="","",(NOTA[[#This Row],[JUMLAH]]-NOTA[[#This Row],[DISC 1-]])*NOTA[[#This Row],[DISC 2]])</f>
        <v>60480</v>
      </c>
      <c r="Z772" s="51">
        <f>IF(NOTA[[#This Row],[JUMLAH]]="","",NOTA[[#This Row],[DISC 1-]]+NOTA[[#This Row],[DISC 2-]])</f>
        <v>233280</v>
      </c>
      <c r="AA772" s="51">
        <f>IF(NOTA[[#This Row],[JUMLAH]]="","",NOTA[[#This Row],[JUMLAH]]-NOTA[[#This Row],[DISC]])</f>
        <v>1149120</v>
      </c>
      <c r="AB772" s="51"/>
      <c r="AC77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699840</v>
      </c>
      <c r="AD77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3447360</v>
      </c>
      <c r="AE77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772" s="51">
        <f>IF(OR(NOTA[[#This Row],[QTY]]="",NOTA[[#This Row],[HARGA SATUAN]]="",),"",NOTA[[#This Row],[QTY]]*NOTA[[#This Row],[HARGA SATUAN]])</f>
        <v>1382400</v>
      </c>
      <c r="AG772" s="40">
        <f ca="1">IF(NOTA[ID_H]="","",INDEX(NOTA[TANGGAL],MATCH(,INDIRECT(ADDRESS(ROW(NOTA[TANGGAL]),COLUMN(NOTA[TANGGAL]))&amp;":"&amp;ADDRESS(ROW(),COLUMN(NOTA[TANGGAL]))),-1)))</f>
        <v>45134</v>
      </c>
      <c r="AH772" s="42" t="str">
        <f ca="1">IF(NOTA[[#This Row],[NAMA BARANG]]="","",INDEX(NOTA[SUPPLIER],MATCH(,INDIRECT(ADDRESS(ROW(NOTA[ID]),COLUMN(NOTA[ID]))&amp;":"&amp;ADDRESS(ROW(),COLUMN(NOTA[ID]))),-1)))</f>
        <v>ATALI MAKMUR</v>
      </c>
      <c r="AI772" s="42" t="str">
        <f ca="1">IF(NOTA[[#This Row],[ID_H]]="","",IF(NOTA[[#This Row],[FAKTUR]]="",INDIRECT(ADDRESS(ROW()-1,COLUMN())),NOTA[[#This Row],[FAKTUR]]))</f>
        <v>ARTO MORO</v>
      </c>
      <c r="AJ772" s="39" t="str">
        <f ca="1">IF(NOTA[[#This Row],[ID]]="","",COUNTIF(NOTA[ID_H],NOTA[[#This Row],[ID_H]]))</f>
        <v/>
      </c>
      <c r="AK772" s="39">
        <f ca="1">IF(NOTA[[#This Row],[TGL.NOTA]]="",IF(NOTA[[#This Row],[SUPPLIER_H]]="","",AK771),MONTH(NOTA[[#This Row],[TGL.NOTA]]))</f>
        <v>7</v>
      </c>
      <c r="AL772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7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7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7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39" t="str">
        <f>IF(NOTA[[#This Row],[CONCAT4]]="","",_xlfn.IFNA(MATCH(NOTA[[#This Row],[CONCAT4]],[2]!RAW[CONCAT_H],0),FALSE))</f>
        <v/>
      </c>
      <c r="AQ772" s="39">
        <f>IF(NOTA[[#This Row],[CONCAT1]]="","",MATCH(NOTA[[#This Row],[CONCAT1]],[3]!db[NB NOTA_C],0))</f>
        <v>1894</v>
      </c>
      <c r="AR772" s="39" t="str">
        <f>IF(NOTA[[#This Row],[QTY/ CTN]]="","",TRUE)</f>
        <v/>
      </c>
      <c r="AS772" s="39" t="str">
        <f ca="1">IF(NOTA[[#This Row],[ID_H]]="","",IF(NOTA[[#This Row],[Column3]]=TRUE,NOTA[[#This Row],[QTY/ CTN]],INDEX([3]!db[QTY/ CTN],NOTA[[#This Row],[//DB]])))</f>
        <v>288 PCS</v>
      </c>
      <c r="AT7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772" s="39" t="e">
        <f ca="1">IF(NOTA[[#This Row],[ID_H]]="","",MATCH(NOTA[[#This Row],[NB NOTA_C_QTY]],[4]!db[NB NOTA_C_QTY+F],0))</f>
        <v>#REF!</v>
      </c>
      <c r="AV772" s="55">
        <f ca="1">IF(NOTA[[#This Row],[NB NOTA_C_QTY]]="","",ROW()-2)</f>
        <v>770</v>
      </c>
    </row>
    <row r="773" spans="1:48" ht="20.100000000000001" customHeight="1" x14ac:dyDescent="0.25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47"/>
      <c r="H773" s="48"/>
      <c r="N773" s="39"/>
      <c r="Q773" s="43"/>
      <c r="R773" s="49"/>
      <c r="S773" s="50"/>
      <c r="U773" s="51"/>
      <c r="V773" s="46"/>
      <c r="W773" s="51" t="str">
        <f>IF(NOTA[[#This Row],[HARGA/ CTN]]="",NOTA[[#This Row],[JUMLAH_H]],NOTA[[#This Row],[HARGA/ CTN]]*IF(NOTA[[#This Row],[C]]="",0,NOTA[[#This Row],[C]]))</f>
        <v/>
      </c>
      <c r="X773" s="51" t="str">
        <f>IF(NOTA[[#This Row],[JUMLAH]]="","",NOTA[[#This Row],[JUMLAH]]*NOTA[[#This Row],[DISC 1]])</f>
        <v/>
      </c>
      <c r="Y773" s="51" t="str">
        <f>IF(NOTA[[#This Row],[JUMLAH]]="","",(NOTA[[#This Row],[JUMLAH]]-NOTA[[#This Row],[DISC 1-]])*NOTA[[#This Row],[DISC 2]])</f>
        <v/>
      </c>
      <c r="Z773" s="51" t="str">
        <f>IF(NOTA[[#This Row],[JUMLAH]]="","",NOTA[[#This Row],[DISC 1-]]+NOTA[[#This Row],[DISC 2-]])</f>
        <v/>
      </c>
      <c r="AA773" s="51" t="str">
        <f>IF(NOTA[[#This Row],[JUMLAH]]="","",NOTA[[#This Row],[JUMLAH]]-NOTA[[#This Row],[DISC]])</f>
        <v/>
      </c>
      <c r="AB773" s="51"/>
      <c r="AC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51" t="str">
        <f>IF(OR(NOTA[[#This Row],[QTY]]="",NOTA[[#This Row],[HARGA SATUAN]]="",),"",NOTA[[#This Row],[QTY]]*NOTA[[#This Row],[HARGA SATUAN]])</f>
        <v/>
      </c>
      <c r="AG773" s="40" t="str">
        <f ca="1">IF(NOTA[ID_H]="","",INDEX(NOTA[TANGGAL],MATCH(,INDIRECT(ADDRESS(ROW(NOTA[TANGGAL]),COLUMN(NOTA[TANGGAL]))&amp;":"&amp;ADDRESS(ROW(),COLUMN(NOTA[TANGGAL]))),-1)))</f>
        <v/>
      </c>
      <c r="AH773" s="42" t="str">
        <f ca="1">IF(NOTA[[#This Row],[NAMA BARANG]]="","",INDEX(NOTA[SUPPLIER],MATCH(,INDIRECT(ADDRESS(ROW(NOTA[ID]),COLUMN(NOTA[ID]))&amp;":"&amp;ADDRESS(ROW(),COLUMN(NOTA[ID]))),-1)))</f>
        <v/>
      </c>
      <c r="AI773" s="42" t="str">
        <f ca="1">IF(NOTA[[#This Row],[ID_H]]="","",IF(NOTA[[#This Row],[FAKTUR]]="",INDIRECT(ADDRESS(ROW()-1,COLUMN())),NOTA[[#This Row],[FAKTUR]]))</f>
        <v/>
      </c>
      <c r="AJ773" s="39" t="str">
        <f ca="1">IF(NOTA[[#This Row],[ID]]="","",COUNTIF(NOTA[ID_H],NOTA[[#This Row],[ID_H]]))</f>
        <v/>
      </c>
      <c r="AK773" s="39" t="str">
        <f ca="1">IF(NOTA[[#This Row],[TGL.NOTA]]="",IF(NOTA[[#This Row],[SUPPLIER_H]]="","",AK772),MONTH(NOTA[[#This Row],[TGL.NOTA]]))</f>
        <v/>
      </c>
      <c r="AL773" s="39" t="str">
        <f>LOWER(SUBSTITUTE(SUBSTITUTE(SUBSTITUTE(SUBSTITUTE(SUBSTITUTE(SUBSTITUTE(SUBSTITUTE(SUBSTITUTE(SUBSTITUTE(NOTA[NAMA BARANG]," ",),".",""),"-",""),"(",""),")",""),",",""),"/",""),"""",""),"+",""))</f>
        <v/>
      </c>
      <c r="AM7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39" t="str">
        <f>IF(NOTA[[#This Row],[CONCAT4]]="","",_xlfn.IFNA(MATCH(NOTA[[#This Row],[CONCAT4]],[2]!RAW[CONCAT_H],0),FALSE))</f>
        <v/>
      </c>
      <c r="AQ773" s="39" t="str">
        <f>IF(NOTA[[#This Row],[CONCAT1]]="","",MATCH(NOTA[[#This Row],[CONCAT1]],[3]!db[NB NOTA_C],0))</f>
        <v/>
      </c>
      <c r="AR773" s="39" t="str">
        <f>IF(NOTA[[#This Row],[QTY/ CTN]]="","",TRUE)</f>
        <v/>
      </c>
      <c r="AS773" s="39" t="str">
        <f ca="1">IF(NOTA[[#This Row],[ID_H]]="","",IF(NOTA[[#This Row],[Column3]]=TRUE,NOTA[[#This Row],[QTY/ CTN]],INDEX([3]!db[QTY/ CTN],NOTA[[#This Row],[//DB]])))</f>
        <v/>
      </c>
      <c r="AT7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39" t="str">
        <f ca="1">IF(NOTA[[#This Row],[ID_H]]="","",MATCH(NOTA[[#This Row],[NB NOTA_C_QTY]],[4]!db[NB NOTA_C_QTY+F],0))</f>
        <v/>
      </c>
      <c r="AV773" s="55" t="str">
        <f ca="1">IF(NOTA[[#This Row],[NB NOTA_C_QTY]]="","",ROW()-2)</f>
        <v/>
      </c>
    </row>
    <row r="774" spans="1:48" ht="20.100000000000001" customHeight="1" x14ac:dyDescent="0.25">
      <c r="A774" s="4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KEN_2707_121-9</v>
      </c>
      <c r="C774" s="39" t="e">
        <f ca="1">IF(NOTA[[#This Row],[ID_P]]="","",MATCH(NOTA[[#This Row],[ID_P]],[1]!B_MSK[N_ID],0))</f>
        <v>#REF!</v>
      </c>
      <c r="D774" s="39">
        <f ca="1">IF(NOTA[[#This Row],[NAMA BARANG]]="","",INDEX(NOTA[ID],MATCH(,INDIRECT(ADDRESS(ROW(NOTA[ID]),COLUMN(NOTA[ID]))&amp;":"&amp;ADDRESS(ROW(),COLUMN(NOTA[ID]))),-1)))</f>
        <v>149</v>
      </c>
      <c r="E774" s="47"/>
      <c r="F774" s="38" t="s">
        <v>22</v>
      </c>
      <c r="G774" s="38" t="s">
        <v>23</v>
      </c>
      <c r="H774" s="48" t="s">
        <v>834</v>
      </c>
      <c r="J774" s="40">
        <v>45131</v>
      </c>
      <c r="L774" s="38" t="s">
        <v>131</v>
      </c>
      <c r="M774" s="41">
        <v>1</v>
      </c>
      <c r="N774" s="39"/>
      <c r="Q774" s="43">
        <v>1497600</v>
      </c>
      <c r="R774" s="49"/>
      <c r="S774" s="50">
        <v>0.17</v>
      </c>
      <c r="U774" s="51"/>
      <c r="V774" s="46"/>
      <c r="W774" s="51">
        <f>IF(NOTA[[#This Row],[HARGA/ CTN]]="",NOTA[[#This Row],[JUMLAH_H]],NOTA[[#This Row],[HARGA/ CTN]]*IF(NOTA[[#This Row],[C]]="",0,NOTA[[#This Row],[C]]))</f>
        <v>1497600</v>
      </c>
      <c r="X774" s="51">
        <f>IF(NOTA[[#This Row],[JUMLAH]]="","",NOTA[[#This Row],[JUMLAH]]*NOTA[[#This Row],[DISC 1]])</f>
        <v>254592.00000000003</v>
      </c>
      <c r="Y774" s="51">
        <f>IF(NOTA[[#This Row],[JUMLAH]]="","",(NOTA[[#This Row],[JUMLAH]]-NOTA[[#This Row],[DISC 1-]])*NOTA[[#This Row],[DISC 2]])</f>
        <v>0</v>
      </c>
      <c r="Z774" s="51">
        <f>IF(NOTA[[#This Row],[JUMLAH]]="","",NOTA[[#This Row],[DISC 1-]]+NOTA[[#This Row],[DISC 2-]])</f>
        <v>254592.00000000003</v>
      </c>
      <c r="AA774" s="51">
        <f>IF(NOTA[[#This Row],[JUMLAH]]="","",NOTA[[#This Row],[JUMLAH]]-NOTA[[#This Row],[DISC]])</f>
        <v>1243008</v>
      </c>
      <c r="AB774" s="51"/>
      <c r="AC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774" s="51" t="str">
        <f>IF(OR(NOTA[[#This Row],[QTY]]="",NOTA[[#This Row],[HARGA SATUAN]]="",),"",NOTA[[#This Row],[QTY]]*NOTA[[#This Row],[HARGA SATUAN]])</f>
        <v/>
      </c>
      <c r="AG774" s="40">
        <f ca="1">IF(NOTA[ID_H]="","",INDEX(NOTA[TANGGAL],MATCH(,INDIRECT(ADDRESS(ROW(NOTA[TANGGAL]),COLUMN(NOTA[TANGGAL]))&amp;":"&amp;ADDRESS(ROW(),COLUMN(NOTA[TANGGAL]))),-1)))</f>
        <v>45134</v>
      </c>
      <c r="AH774" s="42" t="str">
        <f ca="1">IF(NOTA[[#This Row],[NAMA BARANG]]="","",INDEX(NOTA[SUPPLIER],MATCH(,INDIRECT(ADDRESS(ROW(NOTA[ID]),COLUMN(NOTA[ID]))&amp;":"&amp;ADDRESS(ROW(),COLUMN(NOTA[ID]))),-1)))</f>
        <v>KENKO SINAR INDONESIA</v>
      </c>
      <c r="AI774" s="42" t="str">
        <f ca="1">IF(NOTA[[#This Row],[ID_H]]="","",IF(NOTA[[#This Row],[FAKTUR]]="",INDIRECT(ADDRESS(ROW()-1,COLUMN())),NOTA[[#This Row],[FAKTUR]]))</f>
        <v>ARTO MORO</v>
      </c>
      <c r="AJ774" s="39">
        <f ca="1">IF(NOTA[[#This Row],[ID]]="","",COUNTIF(NOTA[ID_H],NOTA[[#This Row],[ID_H]]))</f>
        <v>9</v>
      </c>
      <c r="AK774" s="39">
        <f>IF(NOTA[[#This Row],[TGL.NOTA]]="",IF(NOTA[[#This Row],[SUPPLIER_H]]="","",AK773),MONTH(NOTA[[#This Row],[TGL.NOTA]]))</f>
        <v>7</v>
      </c>
      <c r="AL774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7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7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77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MORO2307212145131kenkopencilcasepc0719ur</v>
      </c>
      <c r="AP774" s="39" t="e">
        <f>IF(NOTA[[#This Row],[CONCAT4]]="","",_xlfn.IFNA(MATCH(NOTA[[#This Row],[CONCAT4]],[2]!RAW[CONCAT_H],0),FALSE))</f>
        <v>#REF!</v>
      </c>
      <c r="AQ774" s="39">
        <f>IF(NOTA[[#This Row],[CONCAT1]]="","",MATCH(NOTA[[#This Row],[CONCAT1]],[3]!db[NB NOTA_C],0))</f>
        <v>1916</v>
      </c>
      <c r="AR774" s="39" t="str">
        <f>IF(NOTA[[#This Row],[QTY/ CTN]]="","",TRUE)</f>
        <v/>
      </c>
      <c r="AS774" s="39" t="str">
        <f ca="1">IF(NOTA[[#This Row],[ID_H]]="","",IF(NOTA[[#This Row],[Column3]]=TRUE,NOTA[[#This Row],[QTY/ CTN]],INDEX([3]!db[QTY/ CTN],NOTA[[#This Row],[//DB]])))</f>
        <v>24 LSN</v>
      </c>
      <c r="AT7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774" s="39" t="e">
        <f ca="1">IF(NOTA[[#This Row],[ID_H]]="","",MATCH(NOTA[[#This Row],[NB NOTA_C_QTY]],[4]!db[NB NOTA_C_QTY+F],0))</f>
        <v>#REF!</v>
      </c>
      <c r="AV774" s="55">
        <f ca="1">IF(NOTA[[#This Row],[NB NOTA_C_QTY]]="","",ROW()-2)</f>
        <v>772</v>
      </c>
    </row>
    <row r="775" spans="1:48" ht="20.100000000000001" customHeight="1" x14ac:dyDescent="0.25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>
        <f ca="1">IF(NOTA[[#This Row],[NAMA BARANG]]="","",INDEX(NOTA[ID],MATCH(,INDIRECT(ADDRESS(ROW(NOTA[ID]),COLUMN(NOTA[ID]))&amp;":"&amp;ADDRESS(ROW(),COLUMN(NOTA[ID]))),-1)))</f>
        <v>149</v>
      </c>
      <c r="E775" s="47"/>
      <c r="H775" s="48"/>
      <c r="K775" s="38">
        <v>2</v>
      </c>
      <c r="L775" s="38" t="s">
        <v>289</v>
      </c>
      <c r="M775" s="41">
        <v>2</v>
      </c>
      <c r="N775" s="39"/>
      <c r="Q775" s="43">
        <v>2952000</v>
      </c>
      <c r="R775" s="49"/>
      <c r="S775" s="50">
        <v>0.17</v>
      </c>
      <c r="U775" s="51"/>
      <c r="V775" s="46"/>
      <c r="W775" s="51">
        <f>IF(NOTA[[#This Row],[HARGA/ CTN]]="",NOTA[[#This Row],[JUMLAH_H]],NOTA[[#This Row],[HARGA/ CTN]]*IF(NOTA[[#This Row],[C]]="",0,NOTA[[#This Row],[C]]))</f>
        <v>5904000</v>
      </c>
      <c r="X775" s="51">
        <f>IF(NOTA[[#This Row],[JUMLAH]]="","",NOTA[[#This Row],[JUMLAH]]*NOTA[[#This Row],[DISC 1]])</f>
        <v>1003680.0000000001</v>
      </c>
      <c r="Y775" s="51">
        <f>IF(NOTA[[#This Row],[JUMLAH]]="","",(NOTA[[#This Row],[JUMLAH]]-NOTA[[#This Row],[DISC 1-]])*NOTA[[#This Row],[DISC 2]])</f>
        <v>0</v>
      </c>
      <c r="Z775" s="51">
        <f>IF(NOTA[[#This Row],[JUMLAH]]="","",NOTA[[#This Row],[DISC 1-]]+NOTA[[#This Row],[DISC 2-]])</f>
        <v>1003680.0000000001</v>
      </c>
      <c r="AA775" s="51">
        <f>IF(NOTA[[#This Row],[JUMLAH]]="","",NOTA[[#This Row],[JUMLAH]]-NOTA[[#This Row],[DISC]])</f>
        <v>4900320</v>
      </c>
      <c r="AB775" s="51"/>
      <c r="AC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75" s="51" t="str">
        <f>IF(OR(NOTA[[#This Row],[QTY]]="",NOTA[[#This Row],[HARGA SATUAN]]="",),"",NOTA[[#This Row],[QTY]]*NOTA[[#This Row],[HARGA SATUAN]])</f>
        <v/>
      </c>
      <c r="AG775" s="40">
        <f ca="1">IF(NOTA[ID_H]="","",INDEX(NOTA[TANGGAL],MATCH(,INDIRECT(ADDRESS(ROW(NOTA[TANGGAL]),COLUMN(NOTA[TANGGAL]))&amp;":"&amp;ADDRESS(ROW(),COLUMN(NOTA[TANGGAL]))),-1)))</f>
        <v>45134</v>
      </c>
      <c r="AH775" s="42" t="str">
        <f ca="1">IF(NOTA[[#This Row],[NAMA BARANG]]="","",INDEX(NOTA[SUPPLIER],MATCH(,INDIRECT(ADDRESS(ROW(NOTA[ID]),COLUMN(NOTA[ID]))&amp;":"&amp;ADDRESS(ROW(),COLUMN(NOTA[ID]))),-1)))</f>
        <v>KENKO SINAR INDONESIA</v>
      </c>
      <c r="AI775" s="42" t="str">
        <f ca="1">IF(NOTA[[#This Row],[ID_H]]="","",IF(NOTA[[#This Row],[FAKTUR]]="",INDIRECT(ADDRESS(ROW()-1,COLUMN())),NOTA[[#This Row],[FAKTUR]]))</f>
        <v>ARTO MORO</v>
      </c>
      <c r="AJ775" s="39" t="str">
        <f ca="1">IF(NOTA[[#This Row],[ID]]="","",COUNTIF(NOTA[ID_H],NOTA[[#This Row],[ID_H]]))</f>
        <v/>
      </c>
      <c r="AK775" s="39">
        <f ca="1">IF(NOTA[[#This Row],[TGL.NOTA]]="",IF(NOTA[[#This Row],[SUPPLIER_H]]="","",AK774),MONTH(NOTA[[#This Row],[TGL.NOTA]]))</f>
        <v>7</v>
      </c>
      <c r="AL775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7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7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7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39" t="str">
        <f>IF(NOTA[[#This Row],[CONCAT4]]="","",_xlfn.IFNA(MATCH(NOTA[[#This Row],[CONCAT4]],[2]!RAW[CONCAT_H],0),FALSE))</f>
        <v/>
      </c>
      <c r="AQ775" s="39">
        <f>IF(NOTA[[#This Row],[CONCAT1]]="","",MATCH(NOTA[[#This Row],[CONCAT1]],[3]!db[NB NOTA_C],0))</f>
        <v>950</v>
      </c>
      <c r="AR775" s="39" t="str">
        <f>IF(NOTA[[#This Row],[QTY/ CTN]]="","",TRUE)</f>
        <v/>
      </c>
      <c r="AS775" s="39" t="str">
        <f ca="1">IF(NOTA[[#This Row],[ID_H]]="","",IF(NOTA[[#This Row],[Column3]]=TRUE,NOTA[[#This Row],[QTY/ CTN]],INDEX([3]!db[QTY/ CTN],NOTA[[#This Row],[//DB]])))</f>
        <v>20 LSN</v>
      </c>
      <c r="AT7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775" s="39" t="e">
        <f ca="1">IF(NOTA[[#This Row],[ID_H]]="","",MATCH(NOTA[[#This Row],[NB NOTA_C_QTY]],[4]!db[NB NOTA_C_QTY+F],0))</f>
        <v>#REF!</v>
      </c>
      <c r="AV775" s="55">
        <f ca="1">IF(NOTA[[#This Row],[NB NOTA_C_QTY]]="","",ROW()-2)</f>
        <v>773</v>
      </c>
    </row>
    <row r="776" spans="1:48" ht="20.100000000000001" customHeight="1" x14ac:dyDescent="0.25">
      <c r="A7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>
        <f ca="1">IF(NOTA[[#This Row],[NAMA BARANG]]="","",INDEX(NOTA[ID],MATCH(,INDIRECT(ADDRESS(ROW(NOTA[ID]),COLUMN(NOTA[ID]))&amp;":"&amp;ADDRESS(ROW(),COLUMN(NOTA[ID]))),-1)))</f>
        <v>149</v>
      </c>
      <c r="E776" s="47"/>
      <c r="H776" s="48"/>
      <c r="K776" s="38">
        <v>5</v>
      </c>
      <c r="L776" s="38" t="s">
        <v>835</v>
      </c>
      <c r="M776" s="41">
        <v>5</v>
      </c>
      <c r="N776" s="39"/>
      <c r="Q776" s="43">
        <v>2088000</v>
      </c>
      <c r="R776" s="49"/>
      <c r="S776" s="50">
        <v>0.17</v>
      </c>
      <c r="U776" s="51"/>
      <c r="V776" s="46"/>
      <c r="W776" s="51">
        <f>IF(NOTA[[#This Row],[HARGA/ CTN]]="",NOTA[[#This Row],[JUMLAH_H]],NOTA[[#This Row],[HARGA/ CTN]]*IF(NOTA[[#This Row],[C]]="",0,NOTA[[#This Row],[C]]))</f>
        <v>10440000</v>
      </c>
      <c r="X776" s="51">
        <f>IF(NOTA[[#This Row],[JUMLAH]]="","",NOTA[[#This Row],[JUMLAH]]*NOTA[[#This Row],[DISC 1]])</f>
        <v>1774800.0000000002</v>
      </c>
      <c r="Y776" s="51">
        <f>IF(NOTA[[#This Row],[JUMLAH]]="","",(NOTA[[#This Row],[JUMLAH]]-NOTA[[#This Row],[DISC 1-]])*NOTA[[#This Row],[DISC 2]])</f>
        <v>0</v>
      </c>
      <c r="Z776" s="51">
        <f>IF(NOTA[[#This Row],[JUMLAH]]="","",NOTA[[#This Row],[DISC 1-]]+NOTA[[#This Row],[DISC 2-]])</f>
        <v>1774800.0000000002</v>
      </c>
      <c r="AA776" s="51">
        <f>IF(NOTA[[#This Row],[JUMLAH]]="","",NOTA[[#This Row],[JUMLAH]]-NOTA[[#This Row],[DISC]])</f>
        <v>8665200</v>
      </c>
      <c r="AB776" s="51"/>
      <c r="AC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76" s="51" t="str">
        <f>IF(OR(NOTA[[#This Row],[QTY]]="",NOTA[[#This Row],[HARGA SATUAN]]="",),"",NOTA[[#This Row],[QTY]]*NOTA[[#This Row],[HARGA SATUAN]])</f>
        <v/>
      </c>
      <c r="AG776" s="40">
        <f ca="1">IF(NOTA[ID_H]="","",INDEX(NOTA[TANGGAL],MATCH(,INDIRECT(ADDRESS(ROW(NOTA[TANGGAL]),COLUMN(NOTA[TANGGAL]))&amp;":"&amp;ADDRESS(ROW(),COLUMN(NOTA[TANGGAL]))),-1)))</f>
        <v>45134</v>
      </c>
      <c r="AH776" s="42" t="str">
        <f ca="1">IF(NOTA[[#This Row],[NAMA BARANG]]="","",INDEX(NOTA[SUPPLIER],MATCH(,INDIRECT(ADDRESS(ROW(NOTA[ID]),COLUMN(NOTA[ID]))&amp;":"&amp;ADDRESS(ROW(),COLUMN(NOTA[ID]))),-1)))</f>
        <v>KENKO SINAR INDONESIA</v>
      </c>
      <c r="AI776" s="42" t="str">
        <f ca="1">IF(NOTA[[#This Row],[ID_H]]="","",IF(NOTA[[#This Row],[FAKTUR]]="",INDIRECT(ADDRESS(ROW()-1,COLUMN())),NOTA[[#This Row],[FAKTUR]]))</f>
        <v>ARTO MORO</v>
      </c>
      <c r="AJ776" s="39" t="str">
        <f ca="1">IF(NOTA[[#This Row],[ID]]="","",COUNTIF(NOTA[ID_H],NOTA[[#This Row],[ID_H]]))</f>
        <v/>
      </c>
      <c r="AK776" s="39">
        <f ca="1">IF(NOTA[[#This Row],[TGL.NOTA]]="",IF(NOTA[[#This Row],[SUPPLIER_H]]="","",AK775),MONTH(NOTA[[#This Row],[TGL.NOTA]]))</f>
        <v>7</v>
      </c>
      <c r="AL776" s="39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39" t="str">
        <f>IF(NOTA[[#This Row],[CONCAT4]]="","",_xlfn.IFNA(MATCH(NOTA[[#This Row],[CONCAT4]],[2]!RAW[CONCAT_H],0),FALSE))</f>
        <v/>
      </c>
      <c r="AQ776" s="39">
        <f>IF(NOTA[[#This Row],[CONCAT1]]="","",MATCH(NOTA[[#This Row],[CONCAT1]],[3]!db[NB NOTA_C],0))</f>
        <v>1787</v>
      </c>
      <c r="AR776" s="39" t="str">
        <f>IF(NOTA[[#This Row],[QTY/ CTN]]="","",TRUE)</f>
        <v/>
      </c>
      <c r="AS776" s="39" t="str">
        <f ca="1">IF(NOTA[[#This Row],[ID_H]]="","",IF(NOTA[[#This Row],[Column3]]=TRUE,NOTA[[#This Row],[QTY/ CTN]],INDEX([3]!db[QTY/ CTN],NOTA[[#This Row],[//DB]])))</f>
        <v>12 LSN</v>
      </c>
      <c r="AT7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U776" s="39" t="e">
        <f ca="1">IF(NOTA[[#This Row],[ID_H]]="","",MATCH(NOTA[[#This Row],[NB NOTA_C_QTY]],[4]!db[NB NOTA_C_QTY+F],0))</f>
        <v>#REF!</v>
      </c>
      <c r="AV776" s="55">
        <f ca="1">IF(NOTA[[#This Row],[NB NOTA_C_QTY]]="","",ROW()-2)</f>
        <v>774</v>
      </c>
    </row>
    <row r="777" spans="1:48" ht="20.100000000000001" customHeight="1" x14ac:dyDescent="0.25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>
        <f ca="1">IF(NOTA[[#This Row],[NAMA BARANG]]="","",INDEX(NOTA[ID],MATCH(,INDIRECT(ADDRESS(ROW(NOTA[ID]),COLUMN(NOTA[ID]))&amp;":"&amp;ADDRESS(ROW(),COLUMN(NOTA[ID]))),-1)))</f>
        <v>149</v>
      </c>
      <c r="E777" s="47"/>
      <c r="H777" s="48"/>
      <c r="K777" s="38">
        <v>2</v>
      </c>
      <c r="L777" s="38" t="s">
        <v>841</v>
      </c>
      <c r="M777" s="41">
        <v>2</v>
      </c>
      <c r="N777" s="39"/>
      <c r="Q777" s="43">
        <v>1944000</v>
      </c>
      <c r="R777" s="49"/>
      <c r="S777" s="50">
        <v>0.17</v>
      </c>
      <c r="U777" s="51"/>
      <c r="V777" s="46"/>
      <c r="W777" s="51">
        <f>IF(NOTA[[#This Row],[HARGA/ CTN]]="",NOTA[[#This Row],[JUMLAH_H]],NOTA[[#This Row],[HARGA/ CTN]]*IF(NOTA[[#This Row],[C]]="",0,NOTA[[#This Row],[C]]))</f>
        <v>3888000</v>
      </c>
      <c r="X777" s="51">
        <f>IF(NOTA[[#This Row],[JUMLAH]]="","",NOTA[[#This Row],[JUMLAH]]*NOTA[[#This Row],[DISC 1]])</f>
        <v>660960</v>
      </c>
      <c r="Y777" s="51">
        <f>IF(NOTA[[#This Row],[JUMLAH]]="","",(NOTA[[#This Row],[JUMLAH]]-NOTA[[#This Row],[DISC 1-]])*NOTA[[#This Row],[DISC 2]])</f>
        <v>0</v>
      </c>
      <c r="Z777" s="51">
        <f>IF(NOTA[[#This Row],[JUMLAH]]="","",NOTA[[#This Row],[DISC 1-]]+NOTA[[#This Row],[DISC 2-]])</f>
        <v>660960</v>
      </c>
      <c r="AA777" s="51">
        <f>IF(NOTA[[#This Row],[JUMLAH]]="","",NOTA[[#This Row],[JUMLAH]]-NOTA[[#This Row],[DISC]])</f>
        <v>3227040</v>
      </c>
      <c r="AB777" s="51"/>
      <c r="AC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777" s="51" t="str">
        <f>IF(OR(NOTA[[#This Row],[QTY]]="",NOTA[[#This Row],[HARGA SATUAN]]="",),"",NOTA[[#This Row],[QTY]]*NOTA[[#This Row],[HARGA SATUAN]])</f>
        <v/>
      </c>
      <c r="AG777" s="40">
        <f ca="1">IF(NOTA[ID_H]="","",INDEX(NOTA[TANGGAL],MATCH(,INDIRECT(ADDRESS(ROW(NOTA[TANGGAL]),COLUMN(NOTA[TANGGAL]))&amp;":"&amp;ADDRESS(ROW(),COLUMN(NOTA[TANGGAL]))),-1)))</f>
        <v>45134</v>
      </c>
      <c r="AH777" s="42" t="str">
        <f ca="1">IF(NOTA[[#This Row],[NAMA BARANG]]="","",INDEX(NOTA[SUPPLIER],MATCH(,INDIRECT(ADDRESS(ROW(NOTA[ID]),COLUMN(NOTA[ID]))&amp;":"&amp;ADDRESS(ROW(),COLUMN(NOTA[ID]))),-1)))</f>
        <v>KENKO SINAR INDONESIA</v>
      </c>
      <c r="AI777" s="42" t="str">
        <f ca="1">IF(NOTA[[#This Row],[ID_H]]="","",IF(NOTA[[#This Row],[FAKTUR]]="",INDIRECT(ADDRESS(ROW()-1,COLUMN())),NOTA[[#This Row],[FAKTUR]]))</f>
        <v>ARTO MORO</v>
      </c>
      <c r="AJ777" s="39" t="str">
        <f ca="1">IF(NOTA[[#This Row],[ID]]="","",COUNTIF(NOTA[ID_H],NOTA[[#This Row],[ID_H]]))</f>
        <v/>
      </c>
      <c r="AK777" s="39">
        <f ca="1">IF(NOTA[[#This Row],[TGL.NOTA]]="",IF(NOTA[[#This Row],[SUPPLIER_H]]="","",AK776),MONTH(NOTA[[#This Row],[TGL.NOTA]]))</f>
        <v>7</v>
      </c>
      <c r="AL777" s="39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7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7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7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39" t="str">
        <f>IF(NOTA[[#This Row],[CONCAT4]]="","",_xlfn.IFNA(MATCH(NOTA[[#This Row],[CONCAT4]],[2]!RAW[CONCAT_H],0),FALSE))</f>
        <v/>
      </c>
      <c r="AQ777" s="39">
        <f>IF(NOTA[[#This Row],[CONCAT1]]="","",MATCH(NOTA[[#This Row],[CONCAT1]],[3]!db[NB NOTA_C],0))</f>
        <v>1788</v>
      </c>
      <c r="AR777" s="39" t="str">
        <f>IF(NOTA[[#This Row],[QTY/ CTN]]="","",TRUE)</f>
        <v/>
      </c>
      <c r="AS777" s="39" t="str">
        <f ca="1">IF(NOTA[[#This Row],[ID_H]]="","",IF(NOTA[[#This Row],[Column3]]=TRUE,NOTA[[#This Row],[QTY/ CTN]],INDEX([3]!db[QTY/ CTN],NOTA[[#This Row],[//DB]])))</f>
        <v>6 LSN</v>
      </c>
      <c r="AT7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U777" s="39" t="e">
        <f ca="1">IF(NOTA[[#This Row],[ID_H]]="","",MATCH(NOTA[[#This Row],[NB NOTA_C_QTY]],[4]!db[NB NOTA_C_QTY+F],0))</f>
        <v>#REF!</v>
      </c>
      <c r="AV777" s="55">
        <f ca="1">IF(NOTA[[#This Row],[NB NOTA_C_QTY]]="","",ROW()-2)</f>
        <v>775</v>
      </c>
    </row>
    <row r="778" spans="1:48" ht="20.100000000000001" customHeight="1" x14ac:dyDescent="0.25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>
        <f ca="1">IF(NOTA[[#This Row],[NAMA BARANG]]="","",INDEX(NOTA[ID],MATCH(,INDIRECT(ADDRESS(ROW(NOTA[ID]),COLUMN(NOTA[ID]))&amp;":"&amp;ADDRESS(ROW(),COLUMN(NOTA[ID]))),-1)))</f>
        <v>149</v>
      </c>
      <c r="E778" s="47"/>
      <c r="H778" s="48"/>
      <c r="K778" s="38">
        <v>2</v>
      </c>
      <c r="L778" s="38" t="s">
        <v>836</v>
      </c>
      <c r="M778" s="41">
        <v>2</v>
      </c>
      <c r="N778" s="39"/>
      <c r="Q778" s="43">
        <v>1632000</v>
      </c>
      <c r="R778" s="49"/>
      <c r="S778" s="50">
        <v>0.17</v>
      </c>
      <c r="U778" s="51"/>
      <c r="V778" s="46"/>
      <c r="W778" s="51">
        <f>IF(NOTA[[#This Row],[HARGA/ CTN]]="",NOTA[[#This Row],[JUMLAH_H]],NOTA[[#This Row],[HARGA/ CTN]]*IF(NOTA[[#This Row],[C]]="",0,NOTA[[#This Row],[C]]))</f>
        <v>3264000</v>
      </c>
      <c r="X778" s="51">
        <f>IF(NOTA[[#This Row],[JUMLAH]]="","",NOTA[[#This Row],[JUMLAH]]*NOTA[[#This Row],[DISC 1]])</f>
        <v>554880</v>
      </c>
      <c r="Y778" s="51">
        <f>IF(NOTA[[#This Row],[JUMLAH]]="","",(NOTA[[#This Row],[JUMLAH]]-NOTA[[#This Row],[DISC 1-]])*NOTA[[#This Row],[DISC 2]])</f>
        <v>0</v>
      </c>
      <c r="Z778" s="51">
        <f>IF(NOTA[[#This Row],[JUMLAH]]="","",NOTA[[#This Row],[DISC 1-]]+NOTA[[#This Row],[DISC 2-]])</f>
        <v>554880</v>
      </c>
      <c r="AA778" s="51">
        <f>IF(NOTA[[#This Row],[JUMLAH]]="","",NOTA[[#This Row],[JUMLAH]]-NOTA[[#This Row],[DISC]])</f>
        <v>2709120</v>
      </c>
      <c r="AB778" s="51"/>
      <c r="AC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4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8" s="51" t="str">
        <f>IF(OR(NOTA[[#This Row],[QTY]]="",NOTA[[#This Row],[HARGA SATUAN]]="",),"",NOTA[[#This Row],[QTY]]*NOTA[[#This Row],[HARGA SATUAN]])</f>
        <v/>
      </c>
      <c r="AG778" s="40">
        <f ca="1">IF(NOTA[ID_H]="","",INDEX(NOTA[TANGGAL],MATCH(,INDIRECT(ADDRESS(ROW(NOTA[TANGGAL]),COLUMN(NOTA[TANGGAL]))&amp;":"&amp;ADDRESS(ROW(),COLUMN(NOTA[TANGGAL]))),-1)))</f>
        <v>45134</v>
      </c>
      <c r="AH778" s="42" t="str">
        <f ca="1">IF(NOTA[[#This Row],[NAMA BARANG]]="","",INDEX(NOTA[SUPPLIER],MATCH(,INDIRECT(ADDRESS(ROW(NOTA[ID]),COLUMN(NOTA[ID]))&amp;":"&amp;ADDRESS(ROW(),COLUMN(NOTA[ID]))),-1)))</f>
        <v>KENKO SINAR INDONESIA</v>
      </c>
      <c r="AI778" s="42" t="str">
        <f ca="1">IF(NOTA[[#This Row],[ID_H]]="","",IF(NOTA[[#This Row],[FAKTUR]]="",INDIRECT(ADDRESS(ROW()-1,COLUMN())),NOTA[[#This Row],[FAKTUR]]))</f>
        <v>ARTO MORO</v>
      </c>
      <c r="AJ778" s="39" t="str">
        <f ca="1">IF(NOTA[[#This Row],[ID]]="","",COUNTIF(NOTA[ID_H],NOTA[[#This Row],[ID_H]]))</f>
        <v/>
      </c>
      <c r="AK778" s="39">
        <f ca="1">IF(NOTA[[#This Row],[TGL.NOTA]]="",IF(NOTA[[#This Row],[SUPPLIER_H]]="","",AK777),MONTH(NOTA[[#This Row],[TGL.NOTA]]))</f>
        <v>7</v>
      </c>
      <c r="AL778" s="39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7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7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7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39" t="str">
        <f>IF(NOTA[[#This Row],[CONCAT4]]="","",_xlfn.IFNA(MATCH(NOTA[[#This Row],[CONCAT4]],[2]!RAW[CONCAT_H],0),FALSE))</f>
        <v/>
      </c>
      <c r="AQ778" s="39">
        <f>IF(NOTA[[#This Row],[CONCAT1]]="","",MATCH(NOTA[[#This Row],[CONCAT1]],[3]!db[NB NOTA_C],0))</f>
        <v>1789</v>
      </c>
      <c r="AR778" s="39" t="str">
        <f>IF(NOTA[[#This Row],[QTY/ CTN]]="","",TRUE)</f>
        <v/>
      </c>
      <c r="AS778" s="39" t="str">
        <f ca="1">IF(NOTA[[#This Row],[ID_H]]="","",IF(NOTA[[#This Row],[Column3]]=TRUE,NOTA[[#This Row],[QTY/ CTN]],INDEX([3]!db[QTY/ CTN],NOTA[[#This Row],[//DB]])))</f>
        <v>8 BOX (6 SET)</v>
      </c>
      <c r="AT7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U778" s="39" t="e">
        <f ca="1">IF(NOTA[[#This Row],[ID_H]]="","",MATCH(NOTA[[#This Row],[NB NOTA_C_QTY]],[4]!db[NB NOTA_C_QTY+F],0))</f>
        <v>#REF!</v>
      </c>
      <c r="AV778" s="55">
        <f ca="1">IF(NOTA[[#This Row],[NB NOTA_C_QTY]]="","",ROW()-2)</f>
        <v>776</v>
      </c>
    </row>
    <row r="779" spans="1:48" ht="20.100000000000001" customHeight="1" x14ac:dyDescent="0.25">
      <c r="A7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>
        <f ca="1">IF(NOTA[[#This Row],[NAMA BARANG]]="","",INDEX(NOTA[ID],MATCH(,INDIRECT(ADDRESS(ROW(NOTA[ID]),COLUMN(NOTA[ID]))&amp;":"&amp;ADDRESS(ROW(),COLUMN(NOTA[ID]))),-1)))</f>
        <v>149</v>
      </c>
      <c r="E779" s="47"/>
      <c r="H779" s="48"/>
      <c r="K779" s="38">
        <v>1</v>
      </c>
      <c r="L779" s="38" t="s">
        <v>837</v>
      </c>
      <c r="M779" s="41">
        <v>2</v>
      </c>
      <c r="N779" s="39"/>
      <c r="Q779" s="43">
        <v>1710000</v>
      </c>
      <c r="R779" s="49"/>
      <c r="S779" s="50">
        <v>0.17</v>
      </c>
      <c r="U779" s="51"/>
      <c r="V779" s="46"/>
      <c r="W779" s="51">
        <f>IF(NOTA[[#This Row],[HARGA/ CTN]]="",NOTA[[#This Row],[JUMLAH_H]],NOTA[[#This Row],[HARGA/ CTN]]*IF(NOTA[[#This Row],[C]]="",0,NOTA[[#This Row],[C]]))</f>
        <v>3420000</v>
      </c>
      <c r="X779" s="51">
        <f>IF(NOTA[[#This Row],[JUMLAH]]="","",NOTA[[#This Row],[JUMLAH]]*NOTA[[#This Row],[DISC 1]])</f>
        <v>581400</v>
      </c>
      <c r="Y779" s="51">
        <f>IF(NOTA[[#This Row],[JUMLAH]]="","",(NOTA[[#This Row],[JUMLAH]]-NOTA[[#This Row],[DISC 1-]])*NOTA[[#This Row],[DISC 2]])</f>
        <v>0</v>
      </c>
      <c r="Z779" s="51">
        <f>IF(NOTA[[#This Row],[JUMLAH]]="","",NOTA[[#This Row],[DISC 1-]]+NOTA[[#This Row],[DISC 2-]])</f>
        <v>581400</v>
      </c>
      <c r="AA779" s="51">
        <f>IF(NOTA[[#This Row],[JUMLAH]]="","",NOTA[[#This Row],[JUMLAH]]-NOTA[[#This Row],[DISC]])</f>
        <v>2838600</v>
      </c>
      <c r="AB779" s="51"/>
      <c r="AC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779" s="51" t="str">
        <f>IF(OR(NOTA[[#This Row],[QTY]]="",NOTA[[#This Row],[HARGA SATUAN]]="",),"",NOTA[[#This Row],[QTY]]*NOTA[[#This Row],[HARGA SATUAN]])</f>
        <v/>
      </c>
      <c r="AG779" s="40">
        <f ca="1">IF(NOTA[ID_H]="","",INDEX(NOTA[TANGGAL],MATCH(,INDIRECT(ADDRESS(ROW(NOTA[TANGGAL]),COLUMN(NOTA[TANGGAL]))&amp;":"&amp;ADDRESS(ROW(),COLUMN(NOTA[TANGGAL]))),-1)))</f>
        <v>45134</v>
      </c>
      <c r="AH779" s="42" t="str">
        <f ca="1">IF(NOTA[[#This Row],[NAMA BARANG]]="","",INDEX(NOTA[SUPPLIER],MATCH(,INDIRECT(ADDRESS(ROW(NOTA[ID]),COLUMN(NOTA[ID]))&amp;":"&amp;ADDRESS(ROW(),COLUMN(NOTA[ID]))),-1)))</f>
        <v>KENKO SINAR INDONESIA</v>
      </c>
      <c r="AI779" s="42" t="str">
        <f ca="1">IF(NOTA[[#This Row],[ID_H]]="","",IF(NOTA[[#This Row],[FAKTUR]]="",INDIRECT(ADDRESS(ROW()-1,COLUMN())),NOTA[[#This Row],[FAKTUR]]))</f>
        <v>ARTO MORO</v>
      </c>
      <c r="AJ779" s="39" t="str">
        <f ca="1">IF(NOTA[[#This Row],[ID]]="","",COUNTIF(NOTA[ID_H],NOTA[[#This Row],[ID_H]]))</f>
        <v/>
      </c>
      <c r="AK779" s="39">
        <f ca="1">IF(NOTA[[#This Row],[TGL.NOTA]]="",IF(NOTA[[#This Row],[SUPPLIER_H]]="","",AK778),MONTH(NOTA[[#This Row],[TGL.NOTA]]))</f>
        <v>7</v>
      </c>
      <c r="AL779" s="39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7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7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7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39" t="str">
        <f>IF(NOTA[[#This Row],[CONCAT4]]="","",_xlfn.IFNA(MATCH(NOTA[[#This Row],[CONCAT4]],[2]!RAW[CONCAT_H],0),FALSE))</f>
        <v/>
      </c>
      <c r="AQ779" s="39">
        <f>IF(NOTA[[#This Row],[CONCAT1]]="","",MATCH(NOTA[[#This Row],[CONCAT1]],[3]!db[NB NOTA_C],0))</f>
        <v>1790</v>
      </c>
      <c r="AR779" s="39" t="str">
        <f>IF(NOTA[[#This Row],[QTY/ CTN]]="","",TRUE)</f>
        <v/>
      </c>
      <c r="AS779" s="39" t="str">
        <f ca="1">IF(NOTA[[#This Row],[ID_H]]="","",IF(NOTA[[#This Row],[Column3]]=TRUE,NOTA[[#This Row],[QTY/ CTN]],INDEX([3]!db[QTY/ CTN],NOTA[[#This Row],[//DB]])))</f>
        <v>6 BOX (6 SET)</v>
      </c>
      <c r="AT7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U779" s="39" t="e">
        <f ca="1">IF(NOTA[[#This Row],[ID_H]]="","",MATCH(NOTA[[#This Row],[NB NOTA_C_QTY]],[4]!db[NB NOTA_C_QTY+F],0))</f>
        <v>#REF!</v>
      </c>
      <c r="AV779" s="55">
        <f ca="1">IF(NOTA[[#This Row],[NB NOTA_C_QTY]]="","",ROW()-2)</f>
        <v>777</v>
      </c>
    </row>
    <row r="780" spans="1:48" ht="20.100000000000001" customHeight="1" x14ac:dyDescent="0.25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>
        <f ca="1">IF(NOTA[[#This Row],[NAMA BARANG]]="","",INDEX(NOTA[ID],MATCH(,INDIRECT(ADDRESS(ROW(NOTA[ID]),COLUMN(NOTA[ID]))&amp;":"&amp;ADDRESS(ROW(),COLUMN(NOTA[ID]))),-1)))</f>
        <v>149</v>
      </c>
      <c r="E780" s="47"/>
      <c r="H780" s="48"/>
      <c r="L780" s="38" t="s">
        <v>838</v>
      </c>
      <c r="M780" s="41">
        <v>1</v>
      </c>
      <c r="N780" s="39"/>
      <c r="Q780" s="43">
        <v>1656000</v>
      </c>
      <c r="R780" s="49"/>
      <c r="S780" s="50">
        <v>0.17</v>
      </c>
      <c r="U780" s="51"/>
      <c r="V780" s="46"/>
      <c r="W780" s="51">
        <f>IF(NOTA[[#This Row],[HARGA/ CTN]]="",NOTA[[#This Row],[JUMLAH_H]],NOTA[[#This Row],[HARGA/ CTN]]*IF(NOTA[[#This Row],[C]]="",0,NOTA[[#This Row],[C]]))</f>
        <v>1656000</v>
      </c>
      <c r="X780" s="51">
        <f>IF(NOTA[[#This Row],[JUMLAH]]="","",NOTA[[#This Row],[JUMLAH]]*NOTA[[#This Row],[DISC 1]])</f>
        <v>281520</v>
      </c>
      <c r="Y780" s="51">
        <f>IF(NOTA[[#This Row],[JUMLAH]]="","",(NOTA[[#This Row],[JUMLAH]]-NOTA[[#This Row],[DISC 1-]])*NOTA[[#This Row],[DISC 2]])</f>
        <v>0</v>
      </c>
      <c r="Z780" s="51">
        <f>IF(NOTA[[#This Row],[JUMLAH]]="","",NOTA[[#This Row],[DISC 1-]]+NOTA[[#This Row],[DISC 2-]])</f>
        <v>281520</v>
      </c>
      <c r="AA780" s="51">
        <f>IF(NOTA[[#This Row],[JUMLAH]]="","",NOTA[[#This Row],[JUMLAH]]-NOTA[[#This Row],[DISC]])</f>
        <v>1374480</v>
      </c>
      <c r="AB780" s="51"/>
      <c r="AC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0" s="51" t="str">
        <f>IF(OR(NOTA[[#This Row],[QTY]]="",NOTA[[#This Row],[HARGA SATUAN]]="",),"",NOTA[[#This Row],[QTY]]*NOTA[[#This Row],[HARGA SATUAN]])</f>
        <v/>
      </c>
      <c r="AG780" s="40">
        <f ca="1">IF(NOTA[ID_H]="","",INDEX(NOTA[TANGGAL],MATCH(,INDIRECT(ADDRESS(ROW(NOTA[TANGGAL]),COLUMN(NOTA[TANGGAL]))&amp;":"&amp;ADDRESS(ROW(),COLUMN(NOTA[TANGGAL]))),-1)))</f>
        <v>45134</v>
      </c>
      <c r="AH780" s="42" t="str">
        <f ca="1">IF(NOTA[[#This Row],[NAMA BARANG]]="","",INDEX(NOTA[SUPPLIER],MATCH(,INDIRECT(ADDRESS(ROW(NOTA[ID]),COLUMN(NOTA[ID]))&amp;":"&amp;ADDRESS(ROW(),COLUMN(NOTA[ID]))),-1)))</f>
        <v>KENKO SINAR INDONESIA</v>
      </c>
      <c r="AI780" s="42" t="str">
        <f ca="1">IF(NOTA[[#This Row],[ID_H]]="","",IF(NOTA[[#This Row],[FAKTUR]]="",INDIRECT(ADDRESS(ROW()-1,COLUMN())),NOTA[[#This Row],[FAKTUR]]))</f>
        <v>ARTO MORO</v>
      </c>
      <c r="AJ780" s="39" t="str">
        <f ca="1">IF(NOTA[[#This Row],[ID]]="","",COUNTIF(NOTA[ID_H],NOTA[[#This Row],[ID_H]]))</f>
        <v/>
      </c>
      <c r="AK780" s="39">
        <f ca="1">IF(NOTA[[#This Row],[TGL.NOTA]]="",IF(NOTA[[#This Row],[SUPPLIER_H]]="","",AK779),MONTH(NOTA[[#This Row],[TGL.NOTA]]))</f>
        <v>7</v>
      </c>
      <c r="AL780" s="39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7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7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7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39" t="str">
        <f>IF(NOTA[[#This Row],[CONCAT4]]="","",_xlfn.IFNA(MATCH(NOTA[[#This Row],[CONCAT4]],[2]!RAW[CONCAT_H],0),FALSE))</f>
        <v/>
      </c>
      <c r="AQ780" s="39">
        <f>IF(NOTA[[#This Row],[CONCAT1]]="","",MATCH(NOTA[[#This Row],[CONCAT1]],[3]!db[NB NOTA_C],0))</f>
        <v>1791</v>
      </c>
      <c r="AR780" s="39" t="str">
        <f>IF(NOTA[[#This Row],[QTY/ CTN]]="","",TRUE)</f>
        <v/>
      </c>
      <c r="AS780" s="39" t="str">
        <f ca="1">IF(NOTA[[#This Row],[ID_H]]="","",IF(NOTA[[#This Row],[Column3]]=TRUE,NOTA[[#This Row],[QTY/ CTN]],INDEX([3]!db[QTY/ CTN],NOTA[[#This Row],[//DB]])))</f>
        <v>4 BOX (6 SET)</v>
      </c>
      <c r="AT7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U780" s="39" t="e">
        <f ca="1">IF(NOTA[[#This Row],[ID_H]]="","",MATCH(NOTA[[#This Row],[NB NOTA_C_QTY]],[4]!db[NB NOTA_C_QTY+F],0))</f>
        <v>#REF!</v>
      </c>
      <c r="AV780" s="55">
        <f ca="1">IF(NOTA[[#This Row],[NB NOTA_C_QTY]]="","",ROW()-2)</f>
        <v>778</v>
      </c>
    </row>
    <row r="781" spans="1:48" ht="20.100000000000001" customHeight="1" x14ac:dyDescent="0.25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>
        <f ca="1">IF(NOTA[[#This Row],[NAMA BARANG]]="","",INDEX(NOTA[ID],MATCH(,INDIRECT(ADDRESS(ROW(NOTA[ID]),COLUMN(NOTA[ID]))&amp;":"&amp;ADDRESS(ROW(),COLUMN(NOTA[ID]))),-1)))</f>
        <v>149</v>
      </c>
      <c r="E781" s="47"/>
      <c r="H781" s="48"/>
      <c r="K781" s="38">
        <v>2</v>
      </c>
      <c r="L781" s="38" t="s">
        <v>839</v>
      </c>
      <c r="M781" s="41">
        <v>2</v>
      </c>
      <c r="N781" s="39"/>
      <c r="Q781" s="43">
        <v>1824000</v>
      </c>
      <c r="R781" s="49"/>
      <c r="S781" s="50">
        <v>0.17</v>
      </c>
      <c r="U781" s="51"/>
      <c r="V781" s="46"/>
      <c r="W781" s="51">
        <f>IF(NOTA[[#This Row],[HARGA/ CTN]]="",NOTA[[#This Row],[JUMLAH_H]],NOTA[[#This Row],[HARGA/ CTN]]*IF(NOTA[[#This Row],[C]]="",0,NOTA[[#This Row],[C]]))</f>
        <v>3648000</v>
      </c>
      <c r="X781" s="51">
        <f>IF(NOTA[[#This Row],[JUMLAH]]="","",NOTA[[#This Row],[JUMLAH]]*NOTA[[#This Row],[DISC 1]])</f>
        <v>620160</v>
      </c>
      <c r="Y781" s="51">
        <f>IF(NOTA[[#This Row],[JUMLAH]]="","",(NOTA[[#This Row],[JUMLAH]]-NOTA[[#This Row],[DISC 1-]])*NOTA[[#This Row],[DISC 2]])</f>
        <v>0</v>
      </c>
      <c r="Z781" s="51">
        <f>IF(NOTA[[#This Row],[JUMLAH]]="","",NOTA[[#This Row],[DISC 1-]]+NOTA[[#This Row],[DISC 2-]])</f>
        <v>620160</v>
      </c>
      <c r="AA781" s="51">
        <f>IF(NOTA[[#This Row],[JUMLAH]]="","",NOTA[[#This Row],[JUMLAH]]-NOTA[[#This Row],[DISC]])</f>
        <v>3027840</v>
      </c>
      <c r="AB781" s="51"/>
      <c r="AC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4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781" s="51" t="str">
        <f>IF(OR(NOTA[[#This Row],[QTY]]="",NOTA[[#This Row],[HARGA SATUAN]]="",),"",NOTA[[#This Row],[QTY]]*NOTA[[#This Row],[HARGA SATUAN]])</f>
        <v/>
      </c>
      <c r="AG781" s="40">
        <f ca="1">IF(NOTA[ID_H]="","",INDEX(NOTA[TANGGAL],MATCH(,INDIRECT(ADDRESS(ROW(NOTA[TANGGAL]),COLUMN(NOTA[TANGGAL]))&amp;":"&amp;ADDRESS(ROW(),COLUMN(NOTA[TANGGAL]))),-1)))</f>
        <v>45134</v>
      </c>
      <c r="AH781" s="42" t="str">
        <f ca="1">IF(NOTA[[#This Row],[NAMA BARANG]]="","",INDEX(NOTA[SUPPLIER],MATCH(,INDIRECT(ADDRESS(ROW(NOTA[ID]),COLUMN(NOTA[ID]))&amp;":"&amp;ADDRESS(ROW(),COLUMN(NOTA[ID]))),-1)))</f>
        <v>KENKO SINAR INDONESIA</v>
      </c>
      <c r="AI781" s="42" t="str">
        <f ca="1">IF(NOTA[[#This Row],[ID_H]]="","",IF(NOTA[[#This Row],[FAKTUR]]="",INDIRECT(ADDRESS(ROW()-1,COLUMN())),NOTA[[#This Row],[FAKTUR]]))</f>
        <v>ARTO MORO</v>
      </c>
      <c r="AJ781" s="39" t="str">
        <f ca="1">IF(NOTA[[#This Row],[ID]]="","",COUNTIF(NOTA[ID_H],NOTA[[#This Row],[ID_H]]))</f>
        <v/>
      </c>
      <c r="AK781" s="39">
        <f ca="1">IF(NOTA[[#This Row],[TGL.NOTA]]="",IF(NOTA[[#This Row],[SUPPLIER_H]]="","",AK780),MONTH(NOTA[[#This Row],[TGL.NOTA]]))</f>
        <v>7</v>
      </c>
      <c r="AL781" s="39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7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7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7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39" t="str">
        <f>IF(NOTA[[#This Row],[CONCAT4]]="","",_xlfn.IFNA(MATCH(NOTA[[#This Row],[CONCAT4]],[2]!RAW[CONCAT_H],0),FALSE))</f>
        <v/>
      </c>
      <c r="AQ781" s="39">
        <f>IF(NOTA[[#This Row],[CONCAT1]]="","",MATCH(NOTA[[#This Row],[CONCAT1]],[3]!db[NB NOTA_C],0))</f>
        <v>1792</v>
      </c>
      <c r="AR781" s="39" t="str">
        <f>IF(NOTA[[#This Row],[QTY/ CTN]]="","",TRUE)</f>
        <v/>
      </c>
      <c r="AS781" s="39" t="str">
        <f ca="1">IF(NOTA[[#This Row],[ID_H]]="","",IF(NOTA[[#This Row],[Column3]]=TRUE,NOTA[[#This Row],[QTY/ CTN]],INDEX([3]!db[QTY/ CTN],NOTA[[#This Row],[//DB]])))</f>
        <v>4 BOX (6 SET)</v>
      </c>
      <c r="AT7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U781" s="39" t="e">
        <f ca="1">IF(NOTA[[#This Row],[ID_H]]="","",MATCH(NOTA[[#This Row],[NB NOTA_C_QTY]],[4]!db[NB NOTA_C_QTY+F],0))</f>
        <v>#REF!</v>
      </c>
      <c r="AV781" s="55">
        <f ca="1">IF(NOTA[[#This Row],[NB NOTA_C_QTY]]="","",ROW()-2)</f>
        <v>779</v>
      </c>
    </row>
    <row r="782" spans="1:48" ht="20.100000000000001" customHeight="1" x14ac:dyDescent="0.25">
      <c r="A7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>
        <f ca="1">IF(NOTA[[#This Row],[NAMA BARANG]]="","",INDEX(NOTA[ID],MATCH(,INDIRECT(ADDRESS(ROW(NOTA[ID]),COLUMN(NOTA[ID]))&amp;":"&amp;ADDRESS(ROW(),COLUMN(NOTA[ID]))),-1)))</f>
        <v>149</v>
      </c>
      <c r="E782" s="47"/>
      <c r="H782" s="48"/>
      <c r="K782" s="38">
        <v>2</v>
      </c>
      <c r="L782" s="38" t="s">
        <v>840</v>
      </c>
      <c r="M782" s="41">
        <v>2</v>
      </c>
      <c r="N782" s="39"/>
      <c r="Q782" s="43">
        <v>2448000</v>
      </c>
      <c r="R782" s="49"/>
      <c r="S782" s="50">
        <v>0.17</v>
      </c>
      <c r="U782" s="51"/>
      <c r="V782" s="46"/>
      <c r="W782" s="51">
        <f>IF(NOTA[[#This Row],[HARGA/ CTN]]="",NOTA[[#This Row],[JUMLAH_H]],NOTA[[#This Row],[HARGA/ CTN]]*IF(NOTA[[#This Row],[C]]="",0,NOTA[[#This Row],[C]]))</f>
        <v>4896000</v>
      </c>
      <c r="X782" s="51">
        <f>IF(NOTA[[#This Row],[JUMLAH]]="","",NOTA[[#This Row],[JUMLAH]]*NOTA[[#This Row],[DISC 1]])</f>
        <v>832320.00000000012</v>
      </c>
      <c r="Y782" s="51">
        <f>IF(NOTA[[#This Row],[JUMLAH]]="","",(NOTA[[#This Row],[JUMLAH]]-NOTA[[#This Row],[DISC 1-]])*NOTA[[#This Row],[DISC 2]])</f>
        <v>0</v>
      </c>
      <c r="Z782" s="51">
        <f>IF(NOTA[[#This Row],[JUMLAH]]="","",NOTA[[#This Row],[DISC 1-]]+NOTA[[#This Row],[DISC 2-]])</f>
        <v>832320.00000000012</v>
      </c>
      <c r="AA782" s="51">
        <f>IF(NOTA[[#This Row],[JUMLAH]]="","",NOTA[[#This Row],[JUMLAH]]-NOTA[[#This Row],[DISC]])</f>
        <v>4063680</v>
      </c>
      <c r="AB782" s="51"/>
      <c r="AC7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6564312</v>
      </c>
      <c r="AD7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32049288</v>
      </c>
      <c r="AE782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782" s="51" t="str">
        <f>IF(OR(NOTA[[#This Row],[QTY]]="",NOTA[[#This Row],[HARGA SATUAN]]="",),"",NOTA[[#This Row],[QTY]]*NOTA[[#This Row],[HARGA SATUAN]])</f>
        <v/>
      </c>
      <c r="AG782" s="40">
        <f ca="1">IF(NOTA[ID_H]="","",INDEX(NOTA[TANGGAL],MATCH(,INDIRECT(ADDRESS(ROW(NOTA[TANGGAL]),COLUMN(NOTA[TANGGAL]))&amp;":"&amp;ADDRESS(ROW(),COLUMN(NOTA[TANGGAL]))),-1)))</f>
        <v>45134</v>
      </c>
      <c r="AH782" s="42" t="str">
        <f ca="1">IF(NOTA[[#This Row],[NAMA BARANG]]="","",INDEX(NOTA[SUPPLIER],MATCH(,INDIRECT(ADDRESS(ROW(NOTA[ID]),COLUMN(NOTA[ID]))&amp;":"&amp;ADDRESS(ROW(),COLUMN(NOTA[ID]))),-1)))</f>
        <v>KENKO SINAR INDONESIA</v>
      </c>
      <c r="AI782" s="42" t="str">
        <f ca="1">IF(NOTA[[#This Row],[ID_H]]="","",IF(NOTA[[#This Row],[FAKTUR]]="",INDIRECT(ADDRESS(ROW()-1,COLUMN())),NOTA[[#This Row],[FAKTUR]]))</f>
        <v>ARTO MORO</v>
      </c>
      <c r="AJ782" s="39" t="str">
        <f ca="1">IF(NOTA[[#This Row],[ID]]="","",COUNTIF(NOTA[ID_H],NOTA[[#This Row],[ID_H]]))</f>
        <v/>
      </c>
      <c r="AK782" s="39">
        <f ca="1">IF(NOTA[[#This Row],[TGL.NOTA]]="",IF(NOTA[[#This Row],[SUPPLIER_H]]="","",AK781),MONTH(NOTA[[#This Row],[TGL.NOTA]]))</f>
        <v>7</v>
      </c>
      <c r="AL782" s="39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M7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N7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7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39" t="str">
        <f>IF(NOTA[[#This Row],[CONCAT4]]="","",_xlfn.IFNA(MATCH(NOTA[[#This Row],[CONCAT4]],[2]!RAW[CONCAT_H],0),FALSE))</f>
        <v/>
      </c>
      <c r="AQ782" s="39">
        <f>IF(NOTA[[#This Row],[CONCAT1]]="","",MATCH(NOTA[[#This Row],[CONCAT1]],[3]!db[NB NOTA_C],0))</f>
        <v>2336</v>
      </c>
      <c r="AR782" s="39" t="str">
        <f>IF(NOTA[[#This Row],[QTY/ CTN]]="","",TRUE)</f>
        <v/>
      </c>
      <c r="AS782" s="39" t="str">
        <f ca="1">IF(NOTA[[#This Row],[ID_H]]="","",IF(NOTA[[#This Row],[Column3]]=TRUE,NOTA[[#This Row],[QTY/ CTN]],INDEX([3]!db[QTY/ CTN],NOTA[[#This Row],[//DB]])))</f>
        <v>24 LSN</v>
      </c>
      <c r="AT7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U782" s="39" t="e">
        <f ca="1">IF(NOTA[[#This Row],[ID_H]]="","",MATCH(NOTA[[#This Row],[NB NOTA_C_QTY]],[4]!db[NB NOTA_C_QTY+F],0))</f>
        <v>#REF!</v>
      </c>
      <c r="AV782" s="55">
        <f ca="1">IF(NOTA[[#This Row],[NB NOTA_C_QTY]]="","",ROW()-2)</f>
        <v>780</v>
      </c>
    </row>
    <row r="783" spans="1:48" ht="20.100000000000001" customHeight="1" x14ac:dyDescent="0.25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47"/>
      <c r="H783" s="48"/>
      <c r="N783" s="39"/>
      <c r="Q783" s="43"/>
      <c r="R783" s="49"/>
      <c r="S783" s="50"/>
      <c r="U783" s="51"/>
      <c r="V783" s="46"/>
      <c r="W783" s="51" t="str">
        <f>IF(NOTA[[#This Row],[HARGA/ CTN]]="",NOTA[[#This Row],[JUMLAH_H]],NOTA[[#This Row],[HARGA/ CTN]]*IF(NOTA[[#This Row],[C]]="",0,NOTA[[#This Row],[C]]))</f>
        <v/>
      </c>
      <c r="X783" s="51" t="str">
        <f>IF(NOTA[[#This Row],[JUMLAH]]="","",NOTA[[#This Row],[JUMLAH]]*NOTA[[#This Row],[DISC 1]])</f>
        <v/>
      </c>
      <c r="Y783" s="51" t="str">
        <f>IF(NOTA[[#This Row],[JUMLAH]]="","",(NOTA[[#This Row],[JUMLAH]]-NOTA[[#This Row],[DISC 1-]])*NOTA[[#This Row],[DISC 2]])</f>
        <v/>
      </c>
      <c r="Z783" s="51" t="str">
        <f>IF(NOTA[[#This Row],[JUMLAH]]="","",NOTA[[#This Row],[DISC 1-]]+NOTA[[#This Row],[DISC 2-]])</f>
        <v/>
      </c>
      <c r="AA783" s="51" t="str">
        <f>IF(NOTA[[#This Row],[JUMLAH]]="","",NOTA[[#This Row],[JUMLAH]]-NOTA[[#This Row],[DISC]])</f>
        <v/>
      </c>
      <c r="AB783" s="51"/>
      <c r="AC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51" t="str">
        <f>IF(OR(NOTA[[#This Row],[QTY]]="",NOTA[[#This Row],[HARGA SATUAN]]="",),"",NOTA[[#This Row],[QTY]]*NOTA[[#This Row],[HARGA SATUAN]])</f>
        <v/>
      </c>
      <c r="AG783" s="40" t="str">
        <f ca="1">IF(NOTA[ID_H]="","",INDEX(NOTA[TANGGAL],MATCH(,INDIRECT(ADDRESS(ROW(NOTA[TANGGAL]),COLUMN(NOTA[TANGGAL]))&amp;":"&amp;ADDRESS(ROW(),COLUMN(NOTA[TANGGAL]))),-1)))</f>
        <v/>
      </c>
      <c r="AH783" s="42" t="str">
        <f ca="1">IF(NOTA[[#This Row],[NAMA BARANG]]="","",INDEX(NOTA[SUPPLIER],MATCH(,INDIRECT(ADDRESS(ROW(NOTA[ID]),COLUMN(NOTA[ID]))&amp;":"&amp;ADDRESS(ROW(),COLUMN(NOTA[ID]))),-1)))</f>
        <v/>
      </c>
      <c r="AI783" s="42" t="str">
        <f ca="1">IF(NOTA[[#This Row],[ID_H]]="","",IF(NOTA[[#This Row],[FAKTUR]]="",INDIRECT(ADDRESS(ROW()-1,COLUMN())),NOTA[[#This Row],[FAKTUR]]))</f>
        <v/>
      </c>
      <c r="AJ783" s="39" t="str">
        <f ca="1">IF(NOTA[[#This Row],[ID]]="","",COUNTIF(NOTA[ID_H],NOTA[[#This Row],[ID_H]]))</f>
        <v/>
      </c>
      <c r="AK783" s="39" t="str">
        <f ca="1">IF(NOTA[[#This Row],[TGL.NOTA]]="",IF(NOTA[[#This Row],[SUPPLIER_H]]="","",AK782),MONTH(NOTA[[#This Row],[TGL.NOTA]]))</f>
        <v/>
      </c>
      <c r="AL783" s="39" t="str">
        <f>LOWER(SUBSTITUTE(SUBSTITUTE(SUBSTITUTE(SUBSTITUTE(SUBSTITUTE(SUBSTITUTE(SUBSTITUTE(SUBSTITUTE(SUBSTITUTE(NOTA[NAMA BARANG]," ",),".",""),"-",""),"(",""),")",""),",",""),"/",""),"""",""),"+",""))</f>
        <v/>
      </c>
      <c r="AM7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39" t="str">
        <f>IF(NOTA[[#This Row],[CONCAT4]]="","",_xlfn.IFNA(MATCH(NOTA[[#This Row],[CONCAT4]],[2]!RAW[CONCAT_H],0),FALSE))</f>
        <v/>
      </c>
      <c r="AQ783" s="39" t="str">
        <f>IF(NOTA[[#This Row],[CONCAT1]]="","",MATCH(NOTA[[#This Row],[CONCAT1]],[3]!db[NB NOTA_C],0))</f>
        <v/>
      </c>
      <c r="AR783" s="39" t="str">
        <f>IF(NOTA[[#This Row],[QTY/ CTN]]="","",TRUE)</f>
        <v/>
      </c>
      <c r="AS783" s="39" t="str">
        <f ca="1">IF(NOTA[[#This Row],[ID_H]]="","",IF(NOTA[[#This Row],[Column3]]=TRUE,NOTA[[#This Row],[QTY/ CTN]],INDEX([3]!db[QTY/ CTN],NOTA[[#This Row],[//DB]])))</f>
        <v/>
      </c>
      <c r="AT7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39" t="str">
        <f ca="1">IF(NOTA[[#This Row],[ID_H]]="","",MATCH(NOTA[[#This Row],[NB NOTA_C_QTY]],[4]!db[NB NOTA_C_QTY+F],0))</f>
        <v/>
      </c>
      <c r="AV783" s="55" t="str">
        <f ca="1">IF(NOTA[[#This Row],[NB NOTA_C_QTY]]="","",ROW()-2)</f>
        <v/>
      </c>
    </row>
    <row r="784" spans="1:48" ht="20.100000000000001" customHeight="1" x14ac:dyDescent="0.25">
      <c r="A784" s="42">
        <f ca="1">IF(INDIRECT(ADDRESS(ROW()-1,COLUMN(NOTA[[#Headers],[ID]])))="ID",1,IF(NOTA[[#This Row],[FAKTUR]]="","",COUNT(INDIRECT(ADDRESS(ROW(NOTA[ID]),COLUMN(NOTA[ID]))&amp;":"&amp;ADDRESS(ROW()-1,COLUMN(NOTA[ID]))))+1))</f>
        <v>150</v>
      </c>
      <c r="B7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KEN_2707_403-8</v>
      </c>
      <c r="C784" s="39" t="e">
        <f ca="1">IF(NOTA[[#This Row],[ID_P]]="","",MATCH(NOTA[[#This Row],[ID_P]],[1]!B_MSK[N_ID],0))</f>
        <v>#REF!</v>
      </c>
      <c r="D784" s="39">
        <f ca="1">IF(NOTA[[#This Row],[NAMA BARANG]]="","",INDEX(NOTA[ID],MATCH(,INDIRECT(ADDRESS(ROW(NOTA[ID]),COLUMN(NOTA[ID]))&amp;":"&amp;ADDRESS(ROW(),COLUMN(NOTA[ID]))),-1)))</f>
        <v>150</v>
      </c>
      <c r="E784" s="47"/>
      <c r="F784" s="38" t="s">
        <v>22</v>
      </c>
      <c r="G784" s="38" t="s">
        <v>23</v>
      </c>
      <c r="H784" s="48" t="s">
        <v>842</v>
      </c>
      <c r="J784" s="40">
        <v>45133</v>
      </c>
      <c r="K784" s="38">
        <v>1</v>
      </c>
      <c r="L784" s="38" t="s">
        <v>843</v>
      </c>
      <c r="M784" s="41">
        <v>1</v>
      </c>
      <c r="N784" s="39"/>
      <c r="Q784" s="43">
        <v>2208000</v>
      </c>
      <c r="R784" s="49"/>
      <c r="S784" s="50">
        <v>0.17</v>
      </c>
      <c r="U784" s="51"/>
      <c r="V784" s="46"/>
      <c r="W784" s="51">
        <f>IF(NOTA[[#This Row],[HARGA/ CTN]]="",NOTA[[#This Row],[JUMLAH_H]],NOTA[[#This Row],[HARGA/ CTN]]*IF(NOTA[[#This Row],[C]]="",0,NOTA[[#This Row],[C]]))</f>
        <v>2208000</v>
      </c>
      <c r="X784" s="51">
        <f>IF(NOTA[[#This Row],[JUMLAH]]="","",NOTA[[#This Row],[JUMLAH]]*NOTA[[#This Row],[DISC 1]])</f>
        <v>375360</v>
      </c>
      <c r="Y784" s="51">
        <f>IF(NOTA[[#This Row],[JUMLAH]]="","",(NOTA[[#This Row],[JUMLAH]]-NOTA[[#This Row],[DISC 1-]])*NOTA[[#This Row],[DISC 2]])</f>
        <v>0</v>
      </c>
      <c r="Z784" s="51">
        <f>IF(NOTA[[#This Row],[JUMLAH]]="","",NOTA[[#This Row],[DISC 1-]]+NOTA[[#This Row],[DISC 2-]])</f>
        <v>375360</v>
      </c>
      <c r="AA784" s="51">
        <f>IF(NOTA[[#This Row],[JUMLAH]]="","",NOTA[[#This Row],[JUMLAH]]-NOTA[[#This Row],[DISC]])</f>
        <v>1832640</v>
      </c>
      <c r="AB784" s="51"/>
      <c r="AC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84" s="51" t="str">
        <f>IF(OR(NOTA[[#This Row],[QTY]]="",NOTA[[#This Row],[HARGA SATUAN]]="",),"",NOTA[[#This Row],[QTY]]*NOTA[[#This Row],[HARGA SATUAN]])</f>
        <v/>
      </c>
      <c r="AG784" s="40">
        <f ca="1">IF(NOTA[ID_H]="","",INDEX(NOTA[TANGGAL],MATCH(,INDIRECT(ADDRESS(ROW(NOTA[TANGGAL]),COLUMN(NOTA[TANGGAL]))&amp;":"&amp;ADDRESS(ROW(),COLUMN(NOTA[TANGGAL]))),-1)))</f>
        <v>45134</v>
      </c>
      <c r="AH784" s="42" t="str">
        <f ca="1">IF(NOTA[[#This Row],[NAMA BARANG]]="","",INDEX(NOTA[SUPPLIER],MATCH(,INDIRECT(ADDRESS(ROW(NOTA[ID]),COLUMN(NOTA[ID]))&amp;":"&amp;ADDRESS(ROW(),COLUMN(NOTA[ID]))),-1)))</f>
        <v>KENKO SINAR INDONESIA</v>
      </c>
      <c r="AI784" s="42" t="str">
        <f ca="1">IF(NOTA[[#This Row],[ID_H]]="","",IF(NOTA[[#This Row],[FAKTUR]]="",INDIRECT(ADDRESS(ROW()-1,COLUMN())),NOTA[[#This Row],[FAKTUR]]))</f>
        <v>ARTO MORO</v>
      </c>
      <c r="AJ784" s="39">
        <f ca="1">IF(NOTA[[#This Row],[ID]]="","",COUNTIF(NOTA[ID_H],NOTA[[#This Row],[ID_H]]))</f>
        <v>8</v>
      </c>
      <c r="AK784" s="39">
        <f>IF(NOTA[[#This Row],[TGL.NOTA]]="",IF(NOTA[[#This Row],[SUPPLIER_H]]="","",AK783),MONTH(NOTA[[#This Row],[TGL.NOTA]]))</f>
        <v>7</v>
      </c>
      <c r="AL784" s="39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7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7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78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MORO2307240345133kenkopencil2b6191hijaucaphitam</v>
      </c>
      <c r="AP784" s="39" t="e">
        <f>IF(NOTA[[#This Row],[CONCAT4]]="","",_xlfn.IFNA(MATCH(NOTA[[#This Row],[CONCAT4]],[2]!RAW[CONCAT_H],0),FALSE))</f>
        <v>#REF!</v>
      </c>
      <c r="AQ784" s="39">
        <f>IF(NOTA[[#This Row],[CONCAT1]]="","",MATCH(NOTA[[#This Row],[CONCAT1]],[3]!db[NB NOTA_C],0))</f>
        <v>2210</v>
      </c>
      <c r="AR784" s="39" t="str">
        <f>IF(NOTA[[#This Row],[QTY/ CTN]]="","",TRUE)</f>
        <v/>
      </c>
      <c r="AS784" s="39" t="str">
        <f ca="1">IF(NOTA[[#This Row],[ID_H]]="","",IF(NOTA[[#This Row],[Column3]]=TRUE,NOTA[[#This Row],[QTY/ CTN]],INDEX([3]!db[QTY/ CTN],NOTA[[#This Row],[//DB]])))</f>
        <v>20 GRS</v>
      </c>
      <c r="AT7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U784" s="39" t="e">
        <f ca="1">IF(NOTA[[#This Row],[ID_H]]="","",MATCH(NOTA[[#This Row],[NB NOTA_C_QTY]],[4]!db[NB NOTA_C_QTY+F],0))</f>
        <v>#REF!</v>
      </c>
      <c r="AV784" s="55">
        <f ca="1">IF(NOTA[[#This Row],[NB NOTA_C_QTY]]="","",ROW()-2)</f>
        <v>782</v>
      </c>
    </row>
    <row r="785" spans="1:48" ht="20.100000000000001" customHeight="1" x14ac:dyDescent="0.25">
      <c r="A7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>
        <f ca="1">IF(NOTA[[#This Row],[NAMA BARANG]]="","",INDEX(NOTA[ID],MATCH(,INDIRECT(ADDRESS(ROW(NOTA[ID]),COLUMN(NOTA[ID]))&amp;":"&amp;ADDRESS(ROW(),COLUMN(NOTA[ID]))),-1)))</f>
        <v>150</v>
      </c>
      <c r="E785" s="47"/>
      <c r="H785" s="48"/>
      <c r="K785" s="38">
        <v>1</v>
      </c>
      <c r="L785" s="38" t="s">
        <v>844</v>
      </c>
      <c r="M785" s="41">
        <v>2</v>
      </c>
      <c r="N785" s="39"/>
      <c r="Q785" s="43">
        <v>2304000</v>
      </c>
      <c r="R785" s="49"/>
      <c r="S785" s="50">
        <v>0.17</v>
      </c>
      <c r="U785" s="51"/>
      <c r="V785" s="46"/>
      <c r="W785" s="51">
        <f>IF(NOTA[[#This Row],[HARGA/ CTN]]="",NOTA[[#This Row],[JUMLAH_H]],NOTA[[#This Row],[HARGA/ CTN]]*IF(NOTA[[#This Row],[C]]="",0,NOTA[[#This Row],[C]]))</f>
        <v>4608000</v>
      </c>
      <c r="X785" s="51">
        <f>IF(NOTA[[#This Row],[JUMLAH]]="","",NOTA[[#This Row],[JUMLAH]]*NOTA[[#This Row],[DISC 1]])</f>
        <v>783360</v>
      </c>
      <c r="Y785" s="51">
        <f>IF(NOTA[[#This Row],[JUMLAH]]="","",(NOTA[[#This Row],[JUMLAH]]-NOTA[[#This Row],[DISC 1-]])*NOTA[[#This Row],[DISC 2]])</f>
        <v>0</v>
      </c>
      <c r="Z785" s="51">
        <f>IF(NOTA[[#This Row],[JUMLAH]]="","",NOTA[[#This Row],[DISC 1-]]+NOTA[[#This Row],[DISC 2-]])</f>
        <v>783360</v>
      </c>
      <c r="AA785" s="51">
        <f>IF(NOTA[[#This Row],[JUMLAH]]="","",NOTA[[#This Row],[JUMLAH]]-NOTA[[#This Row],[DISC]])</f>
        <v>3824640</v>
      </c>
      <c r="AB785" s="51"/>
      <c r="AC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785" s="51" t="str">
        <f>IF(OR(NOTA[[#This Row],[QTY]]="",NOTA[[#This Row],[HARGA SATUAN]]="",),"",NOTA[[#This Row],[QTY]]*NOTA[[#This Row],[HARGA SATUAN]])</f>
        <v/>
      </c>
      <c r="AG785" s="40">
        <f ca="1">IF(NOTA[ID_H]="","",INDEX(NOTA[TANGGAL],MATCH(,INDIRECT(ADDRESS(ROW(NOTA[TANGGAL]),COLUMN(NOTA[TANGGAL]))&amp;":"&amp;ADDRESS(ROW(),COLUMN(NOTA[TANGGAL]))),-1)))</f>
        <v>45134</v>
      </c>
      <c r="AH785" s="42" t="str">
        <f ca="1">IF(NOTA[[#This Row],[NAMA BARANG]]="","",INDEX(NOTA[SUPPLIER],MATCH(,INDIRECT(ADDRESS(ROW(NOTA[ID]),COLUMN(NOTA[ID]))&amp;":"&amp;ADDRESS(ROW(),COLUMN(NOTA[ID]))),-1)))</f>
        <v>KENKO SINAR INDONESIA</v>
      </c>
      <c r="AI785" s="42" t="str">
        <f ca="1">IF(NOTA[[#This Row],[ID_H]]="","",IF(NOTA[[#This Row],[FAKTUR]]="",INDIRECT(ADDRESS(ROW()-1,COLUMN())),NOTA[[#This Row],[FAKTUR]]))</f>
        <v>ARTO MORO</v>
      </c>
      <c r="AJ785" s="39" t="str">
        <f ca="1">IF(NOTA[[#This Row],[ID]]="","",COUNTIF(NOTA[ID_H],NOTA[[#This Row],[ID_H]]))</f>
        <v/>
      </c>
      <c r="AK785" s="39">
        <f ca="1">IF(NOTA[[#This Row],[TGL.NOTA]]="",IF(NOTA[[#This Row],[SUPPLIER_H]]="","",AK784),MONTH(NOTA[[#This Row],[TGL.NOTA]]))</f>
        <v>7</v>
      </c>
      <c r="AL785" s="39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7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7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7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39" t="str">
        <f>IF(NOTA[[#This Row],[CONCAT4]]="","",_xlfn.IFNA(MATCH(NOTA[[#This Row],[CONCAT4]],[2]!RAW[CONCAT_H],0),FALSE))</f>
        <v/>
      </c>
      <c r="AQ785" s="39">
        <f>IF(NOTA[[#This Row],[CONCAT1]]="","",MATCH(NOTA[[#This Row],[CONCAT1]],[3]!db[NB NOTA_C],0))</f>
        <v>2202</v>
      </c>
      <c r="AR785" s="39" t="str">
        <f>IF(NOTA[[#This Row],[QTY/ CTN]]="","",TRUE)</f>
        <v/>
      </c>
      <c r="AS785" s="39" t="str">
        <f ca="1">IF(NOTA[[#This Row],[ID_H]]="","",IF(NOTA[[#This Row],[Column3]]=TRUE,NOTA[[#This Row],[QTY/ CTN]],INDEX([3]!db[QTY/ CTN],NOTA[[#This Row],[//DB]])))</f>
        <v>20 GRS</v>
      </c>
      <c r="AT7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kenkopencil2b0810fluorescent20grsartomoro</v>
      </c>
      <c r="AU785" s="39" t="e">
        <f ca="1">IF(NOTA[[#This Row],[ID_H]]="","",MATCH(NOTA[[#This Row],[NB NOTA_C_QTY]],[4]!db[NB NOTA_C_QTY+F],0))</f>
        <v>#REF!</v>
      </c>
      <c r="AV785" s="55">
        <f ca="1">IF(NOTA[[#This Row],[NB NOTA_C_QTY]]="","",ROW()-2)</f>
        <v>783</v>
      </c>
    </row>
    <row r="786" spans="1:48" ht="20.100000000000001" customHeight="1" x14ac:dyDescent="0.25">
      <c r="A7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>
        <f ca="1">IF(NOTA[[#This Row],[NAMA BARANG]]="","",INDEX(NOTA[ID],MATCH(,INDIRECT(ADDRESS(ROW(NOTA[ID]),COLUMN(NOTA[ID]))&amp;":"&amp;ADDRESS(ROW(),COLUMN(NOTA[ID]))),-1)))</f>
        <v>150</v>
      </c>
      <c r="E786" s="47"/>
      <c r="H786" s="48"/>
      <c r="K786" s="38">
        <v>1</v>
      </c>
      <c r="L786" s="38" t="s">
        <v>845</v>
      </c>
      <c r="M786" s="41">
        <v>2</v>
      </c>
      <c r="N786" s="39"/>
      <c r="Q786" s="43">
        <v>2448000</v>
      </c>
      <c r="R786" s="49"/>
      <c r="S786" s="50">
        <v>0.17</v>
      </c>
      <c r="U786" s="51"/>
      <c r="V786" s="46"/>
      <c r="W786" s="51">
        <f>IF(NOTA[[#This Row],[HARGA/ CTN]]="",NOTA[[#This Row],[JUMLAH_H]],NOTA[[#This Row],[HARGA/ CTN]]*IF(NOTA[[#This Row],[C]]="",0,NOTA[[#This Row],[C]]))</f>
        <v>4896000</v>
      </c>
      <c r="X786" s="51">
        <f>IF(NOTA[[#This Row],[JUMLAH]]="","",NOTA[[#This Row],[JUMLAH]]*NOTA[[#This Row],[DISC 1]])</f>
        <v>832320.00000000012</v>
      </c>
      <c r="Y786" s="51">
        <f>IF(NOTA[[#This Row],[JUMLAH]]="","",(NOTA[[#This Row],[JUMLAH]]-NOTA[[#This Row],[DISC 1-]])*NOTA[[#This Row],[DISC 2]])</f>
        <v>0</v>
      </c>
      <c r="Z786" s="51">
        <f>IF(NOTA[[#This Row],[JUMLAH]]="","",NOTA[[#This Row],[DISC 1-]]+NOTA[[#This Row],[DISC 2-]])</f>
        <v>832320.00000000012</v>
      </c>
      <c r="AA786" s="51">
        <f>IF(NOTA[[#This Row],[JUMLAH]]="","",NOTA[[#This Row],[JUMLAH]]-NOTA[[#This Row],[DISC]])</f>
        <v>4063680</v>
      </c>
      <c r="AB786" s="51"/>
      <c r="AC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786" s="51" t="str">
        <f>IF(OR(NOTA[[#This Row],[QTY]]="",NOTA[[#This Row],[HARGA SATUAN]]="",),"",NOTA[[#This Row],[QTY]]*NOTA[[#This Row],[HARGA SATUAN]])</f>
        <v/>
      </c>
      <c r="AG786" s="40">
        <f ca="1">IF(NOTA[ID_H]="","",INDEX(NOTA[TANGGAL],MATCH(,INDIRECT(ADDRESS(ROW(NOTA[TANGGAL]),COLUMN(NOTA[TANGGAL]))&amp;":"&amp;ADDRESS(ROW(),COLUMN(NOTA[TANGGAL]))),-1)))</f>
        <v>45134</v>
      </c>
      <c r="AH786" s="42" t="str">
        <f ca="1">IF(NOTA[[#This Row],[NAMA BARANG]]="","",INDEX(NOTA[SUPPLIER],MATCH(,INDIRECT(ADDRESS(ROW(NOTA[ID]),COLUMN(NOTA[ID]))&amp;":"&amp;ADDRESS(ROW(),COLUMN(NOTA[ID]))),-1)))</f>
        <v>KENKO SINAR INDONESIA</v>
      </c>
      <c r="AI786" s="42" t="str">
        <f ca="1">IF(NOTA[[#This Row],[ID_H]]="","",IF(NOTA[[#This Row],[FAKTUR]]="",INDIRECT(ADDRESS(ROW()-1,COLUMN())),NOTA[[#This Row],[FAKTUR]]))</f>
        <v>ARTO MORO</v>
      </c>
      <c r="AJ786" s="39" t="str">
        <f ca="1">IF(NOTA[[#This Row],[ID]]="","",COUNTIF(NOTA[ID_H],NOTA[[#This Row],[ID_H]]))</f>
        <v/>
      </c>
      <c r="AK786" s="39">
        <f ca="1">IF(NOTA[[#This Row],[TGL.NOTA]]="",IF(NOTA[[#This Row],[SUPPLIER_H]]="","",AK785),MONTH(NOTA[[#This Row],[TGL.NOTA]]))</f>
        <v>7</v>
      </c>
      <c r="AL786" s="39" t="str">
        <f>LOWER(SUBSTITUTE(SUBSTITUTE(SUBSTITUTE(SUBSTITUTE(SUBSTITUTE(SUBSTITUTE(SUBSTITUTE(SUBSTITUTE(SUBSTITUTE(NOTA[NAMA BARANG]," ",),".",""),"-",""),"(",""),")",""),",",""),"/",""),"""",""),"+",""))</f>
        <v>kenkopencil2b3030</v>
      </c>
      <c r="AM7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kenkopencil2b303024480000.17</v>
      </c>
      <c r="AN7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kenkopencil2b303024480000.17</v>
      </c>
      <c r="AO7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39" t="str">
        <f>IF(NOTA[[#This Row],[CONCAT4]]="","",_xlfn.IFNA(MATCH(NOTA[[#This Row],[CONCAT4]],[2]!RAW[CONCAT_H],0),FALSE))</f>
        <v/>
      </c>
      <c r="AQ786" s="39">
        <f>IF(NOTA[[#This Row],[CONCAT1]]="","",MATCH(NOTA[[#This Row],[CONCAT1]],[3]!db[NB NOTA_C],0))</f>
        <v>2204</v>
      </c>
      <c r="AR786" s="39" t="str">
        <f>IF(NOTA[[#This Row],[QTY/ CTN]]="","",TRUE)</f>
        <v/>
      </c>
      <c r="AS786" s="39" t="str">
        <f ca="1">IF(NOTA[[#This Row],[ID_H]]="","",IF(NOTA[[#This Row],[Column3]]=TRUE,NOTA[[#This Row],[QTY/ CTN]],INDEX([3]!db[QTY/ CTN],NOTA[[#This Row],[//DB]])))</f>
        <v>20 GRS</v>
      </c>
      <c r="AT7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kenkopencil2b303020grsartomoro</v>
      </c>
      <c r="AU786" s="39" t="e">
        <f ca="1">IF(NOTA[[#This Row],[ID_H]]="","",MATCH(NOTA[[#This Row],[NB NOTA_C_QTY]],[4]!db[NB NOTA_C_QTY+F],0))</f>
        <v>#REF!</v>
      </c>
      <c r="AV786" s="55">
        <f ca="1">IF(NOTA[[#This Row],[NB NOTA_C_QTY]]="","",ROW()-2)</f>
        <v>784</v>
      </c>
    </row>
    <row r="787" spans="1:48" ht="20.100000000000001" customHeight="1" x14ac:dyDescent="0.25">
      <c r="A7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>
        <f ca="1">IF(NOTA[[#This Row],[NAMA BARANG]]="","",INDEX(NOTA[ID],MATCH(,INDIRECT(ADDRESS(ROW(NOTA[ID]),COLUMN(NOTA[ID]))&amp;":"&amp;ADDRESS(ROW(),COLUMN(NOTA[ID]))),-1)))</f>
        <v>150</v>
      </c>
      <c r="E787" s="47"/>
      <c r="H787" s="48"/>
      <c r="K787" s="38">
        <v>2</v>
      </c>
      <c r="L787" s="38" t="s">
        <v>850</v>
      </c>
      <c r="M787" s="41">
        <v>2</v>
      </c>
      <c r="N787" s="39"/>
      <c r="Q787" s="43">
        <v>2112000</v>
      </c>
      <c r="R787" s="49"/>
      <c r="S787" s="50">
        <v>0.17</v>
      </c>
      <c r="U787" s="51"/>
      <c r="V787" s="46"/>
      <c r="W787" s="51">
        <f>IF(NOTA[[#This Row],[HARGA/ CTN]]="",NOTA[[#This Row],[JUMLAH_H]],NOTA[[#This Row],[HARGA/ CTN]]*IF(NOTA[[#This Row],[C]]="",0,NOTA[[#This Row],[C]]))</f>
        <v>4224000</v>
      </c>
      <c r="X787" s="51">
        <f>IF(NOTA[[#This Row],[JUMLAH]]="","",NOTA[[#This Row],[JUMLAH]]*NOTA[[#This Row],[DISC 1]])</f>
        <v>718080</v>
      </c>
      <c r="Y787" s="51">
        <f>IF(NOTA[[#This Row],[JUMLAH]]="","",(NOTA[[#This Row],[JUMLAH]]-NOTA[[#This Row],[DISC 1-]])*NOTA[[#This Row],[DISC 2]])</f>
        <v>0</v>
      </c>
      <c r="Z787" s="51">
        <f>IF(NOTA[[#This Row],[JUMLAH]]="","",NOTA[[#This Row],[DISC 1-]]+NOTA[[#This Row],[DISC 2-]])</f>
        <v>718080</v>
      </c>
      <c r="AA787" s="51">
        <f>IF(NOTA[[#This Row],[JUMLAH]]="","",NOTA[[#This Row],[JUMLAH]]-NOTA[[#This Row],[DISC]])</f>
        <v>3505920</v>
      </c>
      <c r="AB787" s="51"/>
      <c r="AC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87" s="51" t="str">
        <f>IF(OR(NOTA[[#This Row],[QTY]]="",NOTA[[#This Row],[HARGA SATUAN]]="",),"",NOTA[[#This Row],[QTY]]*NOTA[[#This Row],[HARGA SATUAN]])</f>
        <v/>
      </c>
      <c r="AG787" s="40">
        <f ca="1">IF(NOTA[ID_H]="","",INDEX(NOTA[TANGGAL],MATCH(,INDIRECT(ADDRESS(ROW(NOTA[TANGGAL]),COLUMN(NOTA[TANGGAL]))&amp;":"&amp;ADDRESS(ROW(),COLUMN(NOTA[TANGGAL]))),-1)))</f>
        <v>45134</v>
      </c>
      <c r="AH787" s="42" t="str">
        <f ca="1">IF(NOTA[[#This Row],[NAMA BARANG]]="","",INDEX(NOTA[SUPPLIER],MATCH(,INDIRECT(ADDRESS(ROW(NOTA[ID]),COLUMN(NOTA[ID]))&amp;":"&amp;ADDRESS(ROW(),COLUMN(NOTA[ID]))),-1)))</f>
        <v>KENKO SINAR INDONESIA</v>
      </c>
      <c r="AI787" s="42" t="str">
        <f ca="1">IF(NOTA[[#This Row],[ID_H]]="","",IF(NOTA[[#This Row],[FAKTUR]]="",INDIRECT(ADDRESS(ROW()-1,COLUMN())),NOTA[[#This Row],[FAKTUR]]))</f>
        <v>ARTO MORO</v>
      </c>
      <c r="AJ787" s="39" t="str">
        <f ca="1">IF(NOTA[[#This Row],[ID]]="","",COUNTIF(NOTA[ID_H],NOTA[[#This Row],[ID_H]]))</f>
        <v/>
      </c>
      <c r="AK787" s="39">
        <f ca="1">IF(NOTA[[#This Row],[TGL.NOTA]]="",IF(NOTA[[#This Row],[SUPPLIER_H]]="","",AK786),MONTH(NOTA[[#This Row],[TGL.NOTA]]))</f>
        <v>7</v>
      </c>
      <c r="AL787" s="39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7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7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7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39" t="str">
        <f>IF(NOTA[[#This Row],[CONCAT4]]="","",_xlfn.IFNA(MATCH(NOTA[[#This Row],[CONCAT4]],[2]!RAW[CONCAT_H],0),FALSE))</f>
        <v/>
      </c>
      <c r="AQ787" s="39">
        <f>IF(NOTA[[#This Row],[CONCAT1]]="","",MATCH(NOTA[[#This Row],[CONCAT1]],[3]!db[NB NOTA_C],0))</f>
        <v>2205</v>
      </c>
      <c r="AR787" s="39" t="str">
        <f>IF(NOTA[[#This Row],[QTY/ CTN]]="","",TRUE)</f>
        <v/>
      </c>
      <c r="AS787" s="39" t="str">
        <f ca="1">IF(NOTA[[#This Row],[ID_H]]="","",IF(NOTA[[#This Row],[Column3]]=TRUE,NOTA[[#This Row],[QTY/ CTN]],INDEX([3]!db[QTY/ CTN],NOTA[[#This Row],[//DB]])))</f>
        <v>20 GRS</v>
      </c>
      <c r="AT7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U787" s="39" t="e">
        <f ca="1">IF(NOTA[[#This Row],[ID_H]]="","",MATCH(NOTA[[#This Row],[NB NOTA_C_QTY]],[4]!db[NB NOTA_C_QTY+F],0))</f>
        <v>#REF!</v>
      </c>
      <c r="AV787" s="55">
        <f ca="1">IF(NOTA[[#This Row],[NB NOTA_C_QTY]]="","",ROW()-2)</f>
        <v>785</v>
      </c>
    </row>
    <row r="788" spans="1:48" ht="20.100000000000001" customHeight="1" x14ac:dyDescent="0.25">
      <c r="A7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>
        <f ca="1">IF(NOTA[[#This Row],[NAMA BARANG]]="","",INDEX(NOTA[ID],MATCH(,INDIRECT(ADDRESS(ROW(NOTA[ID]),COLUMN(NOTA[ID]))&amp;":"&amp;ADDRESS(ROW(),COLUMN(NOTA[ID]))),-1)))</f>
        <v>150</v>
      </c>
      <c r="E788" s="47"/>
      <c r="H788" s="48"/>
      <c r="K788" s="38">
        <v>2</v>
      </c>
      <c r="L788" s="38" t="s">
        <v>846</v>
      </c>
      <c r="M788" s="41">
        <v>2</v>
      </c>
      <c r="N788" s="39"/>
      <c r="Q788" s="43">
        <v>2208000</v>
      </c>
      <c r="R788" s="49"/>
      <c r="S788" s="50">
        <v>0.17</v>
      </c>
      <c r="U788" s="51"/>
      <c r="V788" s="46"/>
      <c r="W788" s="51">
        <f>IF(NOTA[[#This Row],[HARGA/ CTN]]="",NOTA[[#This Row],[JUMLAH_H]],NOTA[[#This Row],[HARGA/ CTN]]*IF(NOTA[[#This Row],[C]]="",0,NOTA[[#This Row],[C]]))</f>
        <v>4416000</v>
      </c>
      <c r="X788" s="51">
        <f>IF(NOTA[[#This Row],[JUMLAH]]="","",NOTA[[#This Row],[JUMLAH]]*NOTA[[#This Row],[DISC 1]])</f>
        <v>750720</v>
      </c>
      <c r="Y788" s="51">
        <f>IF(NOTA[[#This Row],[JUMLAH]]="","",(NOTA[[#This Row],[JUMLAH]]-NOTA[[#This Row],[DISC 1-]])*NOTA[[#This Row],[DISC 2]])</f>
        <v>0</v>
      </c>
      <c r="Z788" s="51">
        <f>IF(NOTA[[#This Row],[JUMLAH]]="","",NOTA[[#This Row],[DISC 1-]]+NOTA[[#This Row],[DISC 2-]])</f>
        <v>750720</v>
      </c>
      <c r="AA788" s="51">
        <f>IF(NOTA[[#This Row],[JUMLAH]]="","",NOTA[[#This Row],[JUMLAH]]-NOTA[[#This Row],[DISC]])</f>
        <v>3665280</v>
      </c>
      <c r="AB788" s="51"/>
      <c r="AC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88" s="51" t="str">
        <f>IF(OR(NOTA[[#This Row],[QTY]]="",NOTA[[#This Row],[HARGA SATUAN]]="",),"",NOTA[[#This Row],[QTY]]*NOTA[[#This Row],[HARGA SATUAN]])</f>
        <v/>
      </c>
      <c r="AG788" s="40">
        <f ca="1">IF(NOTA[ID_H]="","",INDEX(NOTA[TANGGAL],MATCH(,INDIRECT(ADDRESS(ROW(NOTA[TANGGAL]),COLUMN(NOTA[TANGGAL]))&amp;":"&amp;ADDRESS(ROW(),COLUMN(NOTA[TANGGAL]))),-1)))</f>
        <v>45134</v>
      </c>
      <c r="AH788" s="42" t="str">
        <f ca="1">IF(NOTA[[#This Row],[NAMA BARANG]]="","",INDEX(NOTA[SUPPLIER],MATCH(,INDIRECT(ADDRESS(ROW(NOTA[ID]),COLUMN(NOTA[ID]))&amp;":"&amp;ADDRESS(ROW(),COLUMN(NOTA[ID]))),-1)))</f>
        <v>KENKO SINAR INDONESIA</v>
      </c>
      <c r="AI788" s="42" t="str">
        <f ca="1">IF(NOTA[[#This Row],[ID_H]]="","",IF(NOTA[[#This Row],[FAKTUR]]="",INDIRECT(ADDRESS(ROW()-1,COLUMN())),NOTA[[#This Row],[FAKTUR]]))</f>
        <v>ARTO MORO</v>
      </c>
      <c r="AJ788" s="39" t="str">
        <f ca="1">IF(NOTA[[#This Row],[ID]]="","",COUNTIF(NOTA[ID_H],NOTA[[#This Row],[ID_H]]))</f>
        <v/>
      </c>
      <c r="AK788" s="39">
        <f ca="1">IF(NOTA[[#This Row],[TGL.NOTA]]="",IF(NOTA[[#This Row],[SUPPLIER_H]]="","",AK787),MONTH(NOTA[[#This Row],[TGL.NOTA]]))</f>
        <v>7</v>
      </c>
      <c r="AL788" s="39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7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7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39" t="str">
        <f>IF(NOTA[[#This Row],[CONCAT4]]="","",_xlfn.IFNA(MATCH(NOTA[[#This Row],[CONCAT4]],[2]!RAW[CONCAT_H],0),FALSE))</f>
        <v/>
      </c>
      <c r="AQ788" s="39">
        <f>IF(NOTA[[#This Row],[CONCAT1]]="","",MATCH(NOTA[[#This Row],[CONCAT1]],[3]!db[NB NOTA_C],0))</f>
        <v>2208</v>
      </c>
      <c r="AR788" s="39" t="str">
        <f>IF(NOTA[[#This Row],[QTY/ CTN]]="","",TRUE)</f>
        <v/>
      </c>
      <c r="AS788" s="39" t="str">
        <f ca="1">IF(NOTA[[#This Row],[ID_H]]="","",IF(NOTA[[#This Row],[Column3]]=TRUE,NOTA[[#This Row],[QTY/ CTN]],INDEX([3]!db[QTY/ CTN],NOTA[[#This Row],[//DB]])))</f>
        <v>20 GRS</v>
      </c>
      <c r="AT7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U788" s="39" t="e">
        <f ca="1">IF(NOTA[[#This Row],[ID_H]]="","",MATCH(NOTA[[#This Row],[NB NOTA_C_QTY]],[4]!db[NB NOTA_C_QTY+F],0))</f>
        <v>#REF!</v>
      </c>
      <c r="AV788" s="55">
        <f ca="1">IF(NOTA[[#This Row],[NB NOTA_C_QTY]]="","",ROW()-2)</f>
        <v>786</v>
      </c>
    </row>
    <row r="789" spans="1:48" ht="20.100000000000001" customHeight="1" x14ac:dyDescent="0.25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>
        <f ca="1">IF(NOTA[[#This Row],[NAMA BARANG]]="","",INDEX(NOTA[ID],MATCH(,INDIRECT(ADDRESS(ROW(NOTA[ID]),COLUMN(NOTA[ID]))&amp;":"&amp;ADDRESS(ROW(),COLUMN(NOTA[ID]))),-1)))</f>
        <v>150</v>
      </c>
      <c r="E789" s="47"/>
      <c r="H789" s="48"/>
      <c r="K789" s="38">
        <v>1</v>
      </c>
      <c r="L789" s="38" t="s">
        <v>849</v>
      </c>
      <c r="M789" s="41">
        <v>2</v>
      </c>
      <c r="N789" s="39"/>
      <c r="Q789" s="43">
        <v>2112000</v>
      </c>
      <c r="R789" s="49" t="s">
        <v>298</v>
      </c>
      <c r="S789" s="50">
        <v>0.17</v>
      </c>
      <c r="U789" s="51"/>
      <c r="V789" s="46"/>
      <c r="W789" s="51">
        <f>IF(NOTA[[#This Row],[HARGA/ CTN]]="",NOTA[[#This Row],[JUMLAH_H]],NOTA[[#This Row],[HARGA/ CTN]]*IF(NOTA[[#This Row],[C]]="",0,NOTA[[#This Row],[C]]))</f>
        <v>4224000</v>
      </c>
      <c r="X789" s="51">
        <f>IF(NOTA[[#This Row],[JUMLAH]]="","",NOTA[[#This Row],[JUMLAH]]*NOTA[[#This Row],[DISC 1]])</f>
        <v>718080</v>
      </c>
      <c r="Y789" s="51">
        <f>IF(NOTA[[#This Row],[JUMLAH]]="","",(NOTA[[#This Row],[JUMLAH]]-NOTA[[#This Row],[DISC 1-]])*NOTA[[#This Row],[DISC 2]])</f>
        <v>0</v>
      </c>
      <c r="Z789" s="51">
        <f>IF(NOTA[[#This Row],[JUMLAH]]="","",NOTA[[#This Row],[DISC 1-]]+NOTA[[#This Row],[DISC 2-]])</f>
        <v>718080</v>
      </c>
      <c r="AA789" s="51">
        <f>IF(NOTA[[#This Row],[JUMLAH]]="","",NOTA[[#This Row],[JUMLAH]]-NOTA[[#This Row],[DISC]])</f>
        <v>3505920</v>
      </c>
      <c r="AB789" s="51"/>
      <c r="AC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89" s="51" t="str">
        <f>IF(OR(NOTA[[#This Row],[QTY]]="",NOTA[[#This Row],[HARGA SATUAN]]="",),"",NOTA[[#This Row],[QTY]]*NOTA[[#This Row],[HARGA SATUAN]])</f>
        <v/>
      </c>
      <c r="AG789" s="40">
        <f ca="1">IF(NOTA[ID_H]="","",INDEX(NOTA[TANGGAL],MATCH(,INDIRECT(ADDRESS(ROW(NOTA[TANGGAL]),COLUMN(NOTA[TANGGAL]))&amp;":"&amp;ADDRESS(ROW(),COLUMN(NOTA[TANGGAL]))),-1)))</f>
        <v>45134</v>
      </c>
      <c r="AH789" s="42" t="str">
        <f ca="1">IF(NOTA[[#This Row],[NAMA BARANG]]="","",INDEX(NOTA[SUPPLIER],MATCH(,INDIRECT(ADDRESS(ROW(NOTA[ID]),COLUMN(NOTA[ID]))&amp;":"&amp;ADDRESS(ROW(),COLUMN(NOTA[ID]))),-1)))</f>
        <v>KENKO SINAR INDONESIA</v>
      </c>
      <c r="AI789" s="42" t="str">
        <f ca="1">IF(NOTA[[#This Row],[ID_H]]="","",IF(NOTA[[#This Row],[FAKTUR]]="",INDIRECT(ADDRESS(ROW()-1,COLUMN())),NOTA[[#This Row],[FAKTUR]]))</f>
        <v>ARTO MORO</v>
      </c>
      <c r="AJ789" s="39" t="str">
        <f ca="1">IF(NOTA[[#This Row],[ID]]="","",COUNTIF(NOTA[ID_H],NOTA[[#This Row],[ID_H]]))</f>
        <v/>
      </c>
      <c r="AK789" s="39">
        <f ca="1">IF(NOTA[[#This Row],[TGL.NOTA]]="",IF(NOTA[[#This Row],[SUPPLIER_H]]="","",AK788),MONTH(NOTA[[#This Row],[TGL.NOTA]]))</f>
        <v>7</v>
      </c>
      <c r="AL789" s="39" t="str">
        <f>LOWER(SUBSTITUTE(SUBSTITUTE(SUBSTITUTE(SUBSTITUTE(SUBSTITUTE(SUBSTITUTE(SUBSTITUTE(SUBSTITUTE(SUBSTITUTE(NOTA[NAMA BARANG]," ",),".",""),"-",""),"(",""),")",""),",",""),"/",""),"""",""),"+",""))</f>
        <v>kenkopencil2b6120doodle</v>
      </c>
      <c r="AM7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kenkopencil2b6120doodle21120000.17</v>
      </c>
      <c r="AN7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kenkopencil2b6120doodle21120000.17</v>
      </c>
      <c r="AO7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39" t="str">
        <f>IF(NOTA[[#This Row],[CONCAT4]]="","",_xlfn.IFNA(MATCH(NOTA[[#This Row],[CONCAT4]],[2]!RAW[CONCAT_H],0),FALSE))</f>
        <v/>
      </c>
      <c r="AQ789" s="39">
        <f>IF(NOTA[[#This Row],[CONCAT1]]="","",MATCH(NOTA[[#This Row],[CONCAT1]],[3]!db[NB NOTA_C],0))</f>
        <v>2207</v>
      </c>
      <c r="AR789" s="39" t="b">
        <f>IF(NOTA[[#This Row],[QTY/ CTN]]="","",TRUE)</f>
        <v>1</v>
      </c>
      <c r="AS789" s="39" t="str">
        <f ca="1">IF(NOTA[[#This Row],[ID_H]]="","",IF(NOTA[[#This Row],[Column3]]=TRUE,NOTA[[#This Row],[QTY/ CTN]],INDEX([3]!db[QTY/ CTN],NOTA[[#This Row],[//DB]])))</f>
        <v>20 GRS</v>
      </c>
      <c r="AT7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kenkopencil2b6120doodle20grsartomoro</v>
      </c>
      <c r="AU789" s="39" t="e">
        <f ca="1">IF(NOTA[[#This Row],[ID_H]]="","",MATCH(NOTA[[#This Row],[NB NOTA_C_QTY]],[4]!db[NB NOTA_C_QTY+F],0))</f>
        <v>#REF!</v>
      </c>
      <c r="AV789" s="55">
        <f ca="1">IF(NOTA[[#This Row],[NB NOTA_C_QTY]]="","",ROW()-2)</f>
        <v>787</v>
      </c>
    </row>
    <row r="790" spans="1:48" ht="20.100000000000001" customHeight="1" x14ac:dyDescent="0.25">
      <c r="A7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>
        <f ca="1">IF(NOTA[[#This Row],[NAMA BARANG]]="","",INDEX(NOTA[ID],MATCH(,INDIRECT(ADDRESS(ROW(NOTA[ID]),COLUMN(NOTA[ID]))&amp;":"&amp;ADDRESS(ROW(),COLUMN(NOTA[ID]))),-1)))</f>
        <v>150</v>
      </c>
      <c r="E790" s="47"/>
      <c r="H790" s="48"/>
      <c r="K790" s="38">
        <v>1</v>
      </c>
      <c r="L790" s="38" t="s">
        <v>847</v>
      </c>
      <c r="M790" s="41">
        <v>2</v>
      </c>
      <c r="N790" s="39"/>
      <c r="Q790" s="43">
        <v>2160000</v>
      </c>
      <c r="R790" s="49"/>
      <c r="S790" s="50">
        <v>0.17</v>
      </c>
      <c r="U790" s="51"/>
      <c r="V790" s="46"/>
      <c r="W790" s="51">
        <f>IF(NOTA[[#This Row],[HARGA/ CTN]]="",NOTA[[#This Row],[JUMLAH_H]],NOTA[[#This Row],[HARGA/ CTN]]*IF(NOTA[[#This Row],[C]]="",0,NOTA[[#This Row],[C]]))</f>
        <v>4320000</v>
      </c>
      <c r="X790" s="51">
        <f>IF(NOTA[[#This Row],[JUMLAH]]="","",NOTA[[#This Row],[JUMLAH]]*NOTA[[#This Row],[DISC 1]])</f>
        <v>734400</v>
      </c>
      <c r="Y790" s="51">
        <f>IF(NOTA[[#This Row],[JUMLAH]]="","",(NOTA[[#This Row],[JUMLAH]]-NOTA[[#This Row],[DISC 1-]])*NOTA[[#This Row],[DISC 2]])</f>
        <v>0</v>
      </c>
      <c r="Z790" s="51">
        <f>IF(NOTA[[#This Row],[JUMLAH]]="","",NOTA[[#This Row],[DISC 1-]]+NOTA[[#This Row],[DISC 2-]])</f>
        <v>734400</v>
      </c>
      <c r="AA790" s="51">
        <f>IF(NOTA[[#This Row],[JUMLAH]]="","",NOTA[[#This Row],[JUMLAH]]-NOTA[[#This Row],[DISC]])</f>
        <v>3585600</v>
      </c>
      <c r="AB790" s="51"/>
      <c r="AC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90" s="51" t="str">
        <f>IF(OR(NOTA[[#This Row],[QTY]]="",NOTA[[#This Row],[HARGA SATUAN]]="",),"",NOTA[[#This Row],[QTY]]*NOTA[[#This Row],[HARGA SATUAN]])</f>
        <v/>
      </c>
      <c r="AG790" s="40">
        <f ca="1">IF(NOTA[ID_H]="","",INDEX(NOTA[TANGGAL],MATCH(,INDIRECT(ADDRESS(ROW(NOTA[TANGGAL]),COLUMN(NOTA[TANGGAL]))&amp;":"&amp;ADDRESS(ROW(),COLUMN(NOTA[TANGGAL]))),-1)))</f>
        <v>45134</v>
      </c>
      <c r="AH790" s="42" t="str">
        <f ca="1">IF(NOTA[[#This Row],[NAMA BARANG]]="","",INDEX(NOTA[SUPPLIER],MATCH(,INDIRECT(ADDRESS(ROW(NOTA[ID]),COLUMN(NOTA[ID]))&amp;":"&amp;ADDRESS(ROW(),COLUMN(NOTA[ID]))),-1)))</f>
        <v>KENKO SINAR INDONESIA</v>
      </c>
      <c r="AI790" s="42" t="str">
        <f ca="1">IF(NOTA[[#This Row],[ID_H]]="","",IF(NOTA[[#This Row],[FAKTUR]]="",INDIRECT(ADDRESS(ROW()-1,COLUMN())),NOTA[[#This Row],[FAKTUR]]))</f>
        <v>ARTO MORO</v>
      </c>
      <c r="AJ790" s="39" t="str">
        <f ca="1">IF(NOTA[[#This Row],[ID]]="","",COUNTIF(NOTA[ID_H],NOTA[[#This Row],[ID_H]]))</f>
        <v/>
      </c>
      <c r="AK790" s="39">
        <f ca="1">IF(NOTA[[#This Row],[TGL.NOTA]]="",IF(NOTA[[#This Row],[SUPPLIER_H]]="","",AK789),MONTH(NOTA[[#This Row],[TGL.NOTA]]))</f>
        <v>7</v>
      </c>
      <c r="AL790" s="39" t="str">
        <f>LOWER(SUBSTITUTE(SUBSTITUTE(SUBSTITUTE(SUBSTITUTE(SUBSTITUTE(SUBSTITUTE(SUBSTITUTE(SUBSTITUTE(SUBSTITUTE(NOTA[NAMA BARANG]," ",),".",""),"-",""),"(",""),")",""),",",""),"/",""),"""",""),"+",""))</f>
        <v>kenkopencil2b6371silvercapbiru</v>
      </c>
      <c r="AM7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kenkopencil2b6371silvercapbiru21600000.17</v>
      </c>
      <c r="AN7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kenkopencil2b6371silvercapbiru21600000.17</v>
      </c>
      <c r="AO7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39" t="str">
        <f>IF(NOTA[[#This Row],[CONCAT4]]="","",_xlfn.IFNA(MATCH(NOTA[[#This Row],[CONCAT4]],[2]!RAW[CONCAT_H],0),FALSE))</f>
        <v/>
      </c>
      <c r="AQ790" s="39">
        <f>IF(NOTA[[#This Row],[CONCAT1]]="","",MATCH(NOTA[[#This Row],[CONCAT1]],[3]!db[NB NOTA_C],0))</f>
        <v>2212</v>
      </c>
      <c r="AR790" s="39" t="str">
        <f>IF(NOTA[[#This Row],[QTY/ CTN]]="","",TRUE)</f>
        <v/>
      </c>
      <c r="AS790" s="39" t="str">
        <f ca="1">IF(NOTA[[#This Row],[ID_H]]="","",IF(NOTA[[#This Row],[Column3]]=TRUE,NOTA[[#This Row],[QTY/ CTN]],INDEX([3]!db[QTY/ CTN],NOTA[[#This Row],[//DB]])))</f>
        <v>20 GRS</v>
      </c>
      <c r="AT7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kenkopencil2b6371silvercapbiru20grsartomoro</v>
      </c>
      <c r="AU790" s="39" t="e">
        <f ca="1">IF(NOTA[[#This Row],[ID_H]]="","",MATCH(NOTA[[#This Row],[NB NOTA_C_QTY]],[4]!db[NB NOTA_C_QTY+F],0))</f>
        <v>#REF!</v>
      </c>
      <c r="AV790" s="55">
        <f ca="1">IF(NOTA[[#This Row],[NB NOTA_C_QTY]]="","",ROW()-2)</f>
        <v>788</v>
      </c>
    </row>
    <row r="791" spans="1:48" ht="20.100000000000001" customHeight="1" x14ac:dyDescent="0.25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>
        <f ca="1">IF(NOTA[[#This Row],[NAMA BARANG]]="","",INDEX(NOTA[ID],MATCH(,INDIRECT(ADDRESS(ROW(NOTA[ID]),COLUMN(NOTA[ID]))&amp;":"&amp;ADDRESS(ROW(),COLUMN(NOTA[ID]))),-1)))</f>
        <v>150</v>
      </c>
      <c r="E791" s="47"/>
      <c r="H791" s="48"/>
      <c r="K791" s="38">
        <v>1</v>
      </c>
      <c r="L791" s="38" t="s">
        <v>848</v>
      </c>
      <c r="M791" s="41">
        <v>2</v>
      </c>
      <c r="N791" s="39"/>
      <c r="Q791" s="43">
        <v>2400000</v>
      </c>
      <c r="R791" s="49" t="s">
        <v>298</v>
      </c>
      <c r="S791" s="50">
        <v>0.17</v>
      </c>
      <c r="U791" s="51"/>
      <c r="V791" s="46"/>
      <c r="W791" s="51">
        <f>IF(NOTA[[#This Row],[HARGA/ CTN]]="",NOTA[[#This Row],[JUMLAH_H]],NOTA[[#This Row],[HARGA/ CTN]]*IF(NOTA[[#This Row],[C]]="",0,NOTA[[#This Row],[C]]))</f>
        <v>4800000</v>
      </c>
      <c r="X791" s="51">
        <f>IF(NOTA[[#This Row],[JUMLAH]]="","",NOTA[[#This Row],[JUMLAH]]*NOTA[[#This Row],[DISC 1]])</f>
        <v>816000.00000000012</v>
      </c>
      <c r="Y791" s="51">
        <f>IF(NOTA[[#This Row],[JUMLAH]]="","",(NOTA[[#This Row],[JUMLAH]]-NOTA[[#This Row],[DISC 1-]])*NOTA[[#This Row],[DISC 2]])</f>
        <v>0</v>
      </c>
      <c r="Z791" s="51">
        <f>IF(NOTA[[#This Row],[JUMLAH]]="","",NOTA[[#This Row],[DISC 1-]]+NOTA[[#This Row],[DISC 2-]])</f>
        <v>816000.00000000012</v>
      </c>
      <c r="AA791" s="51">
        <f>IF(NOTA[[#This Row],[JUMLAH]]="","",NOTA[[#This Row],[JUMLAH]]-NOTA[[#This Row],[DISC]])</f>
        <v>3984000</v>
      </c>
      <c r="AB791" s="51"/>
      <c r="AC7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5728320</v>
      </c>
      <c r="AD7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27967680</v>
      </c>
      <c r="AE791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1" s="51" t="str">
        <f>IF(OR(NOTA[[#This Row],[QTY]]="",NOTA[[#This Row],[HARGA SATUAN]]="",),"",NOTA[[#This Row],[QTY]]*NOTA[[#This Row],[HARGA SATUAN]])</f>
        <v/>
      </c>
      <c r="AG791" s="40">
        <f ca="1">IF(NOTA[ID_H]="","",INDEX(NOTA[TANGGAL],MATCH(,INDIRECT(ADDRESS(ROW(NOTA[TANGGAL]),COLUMN(NOTA[TANGGAL]))&amp;":"&amp;ADDRESS(ROW(),COLUMN(NOTA[TANGGAL]))),-1)))</f>
        <v>45134</v>
      </c>
      <c r="AH791" s="42" t="str">
        <f ca="1">IF(NOTA[[#This Row],[NAMA BARANG]]="","",INDEX(NOTA[SUPPLIER],MATCH(,INDIRECT(ADDRESS(ROW(NOTA[ID]),COLUMN(NOTA[ID]))&amp;":"&amp;ADDRESS(ROW(),COLUMN(NOTA[ID]))),-1)))</f>
        <v>KENKO SINAR INDONESIA</v>
      </c>
      <c r="AI791" s="42" t="str">
        <f ca="1">IF(NOTA[[#This Row],[ID_H]]="","",IF(NOTA[[#This Row],[FAKTUR]]="",INDIRECT(ADDRESS(ROW()-1,COLUMN())),NOTA[[#This Row],[FAKTUR]]))</f>
        <v>ARTO MORO</v>
      </c>
      <c r="AJ791" s="39" t="str">
        <f ca="1">IF(NOTA[[#This Row],[ID]]="","",COUNTIF(NOTA[ID_H],NOTA[[#This Row],[ID_H]]))</f>
        <v/>
      </c>
      <c r="AK791" s="39">
        <f ca="1">IF(NOTA[[#This Row],[TGL.NOTA]]="",IF(NOTA[[#This Row],[SUPPLIER_H]]="","",AK790),MONTH(NOTA[[#This Row],[TGL.NOTA]]))</f>
        <v>7</v>
      </c>
      <c r="AL791" s="39" t="str">
        <f>LOWER(SUBSTITUTE(SUBSTITUTE(SUBSTITUTE(SUBSTITUTE(SUBSTITUTE(SUBSTITUTE(SUBSTITUTE(SUBSTITUTE(SUBSTITUTE(NOTA[NAMA BARANG]," ",),".",""),"-",""),"(",""),")",""),",",""),"/",""),"""",""),"+",""))</f>
        <v>kenkopencil2b6393fluorescent</v>
      </c>
      <c r="AM7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kenkopencil2b6393fluorescent24000000.17</v>
      </c>
      <c r="AN7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kenkopencil2b6393fluorescent24000000.17</v>
      </c>
      <c r="AO7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39" t="str">
        <f>IF(NOTA[[#This Row],[CONCAT4]]="","",_xlfn.IFNA(MATCH(NOTA[[#This Row],[CONCAT4]],[2]!RAW[CONCAT_H],0),FALSE))</f>
        <v/>
      </c>
      <c r="AQ791" s="39">
        <f>IF(NOTA[[#This Row],[CONCAT1]]="","",MATCH(NOTA[[#This Row],[CONCAT1]],[3]!db[NB NOTA_C],0))</f>
        <v>2215</v>
      </c>
      <c r="AR791" s="39" t="b">
        <f>IF(NOTA[[#This Row],[QTY/ CTN]]="","",TRUE)</f>
        <v>1</v>
      </c>
      <c r="AS791" s="39" t="str">
        <f ca="1">IF(NOTA[[#This Row],[ID_H]]="","",IF(NOTA[[#This Row],[Column3]]=TRUE,NOTA[[#This Row],[QTY/ CTN]],INDEX([3]!db[QTY/ CTN],NOTA[[#This Row],[//DB]])))</f>
        <v>20 GRS</v>
      </c>
      <c r="AT7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kenkopencil2b6393fluorescent20grsartomoro</v>
      </c>
      <c r="AU791" s="39" t="e">
        <f ca="1">IF(NOTA[[#This Row],[ID_H]]="","",MATCH(NOTA[[#This Row],[NB NOTA_C_QTY]],[4]!db[NB NOTA_C_QTY+F],0))</f>
        <v>#REF!</v>
      </c>
      <c r="AV791" s="55">
        <f ca="1">IF(NOTA[[#This Row],[NB NOTA_C_QTY]]="","",ROW()-2)</f>
        <v>789</v>
      </c>
    </row>
    <row r="792" spans="1:48" ht="20.100000000000001" customHeight="1" x14ac:dyDescent="0.25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47"/>
      <c r="H792" s="48"/>
      <c r="N792" s="39"/>
      <c r="Q792" s="43"/>
      <c r="R792" s="49"/>
      <c r="S792" s="50"/>
      <c r="U792" s="51"/>
      <c r="V792" s="46"/>
      <c r="W792" s="51" t="str">
        <f>IF(NOTA[[#This Row],[HARGA/ CTN]]="",NOTA[[#This Row],[JUMLAH_H]],NOTA[[#This Row],[HARGA/ CTN]]*IF(NOTA[[#This Row],[C]]="",0,NOTA[[#This Row],[C]]))</f>
        <v/>
      </c>
      <c r="X792" s="51" t="str">
        <f>IF(NOTA[[#This Row],[JUMLAH]]="","",NOTA[[#This Row],[JUMLAH]]*NOTA[[#This Row],[DISC 1]])</f>
        <v/>
      </c>
      <c r="Y792" s="51" t="str">
        <f>IF(NOTA[[#This Row],[JUMLAH]]="","",(NOTA[[#This Row],[JUMLAH]]-NOTA[[#This Row],[DISC 1-]])*NOTA[[#This Row],[DISC 2]])</f>
        <v/>
      </c>
      <c r="Z792" s="51" t="str">
        <f>IF(NOTA[[#This Row],[JUMLAH]]="","",NOTA[[#This Row],[DISC 1-]]+NOTA[[#This Row],[DISC 2-]])</f>
        <v/>
      </c>
      <c r="AA792" s="51" t="str">
        <f>IF(NOTA[[#This Row],[JUMLAH]]="","",NOTA[[#This Row],[JUMLAH]]-NOTA[[#This Row],[DISC]])</f>
        <v/>
      </c>
      <c r="AB792" s="51"/>
      <c r="AC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51" t="str">
        <f>IF(OR(NOTA[[#This Row],[QTY]]="",NOTA[[#This Row],[HARGA SATUAN]]="",),"",NOTA[[#This Row],[QTY]]*NOTA[[#This Row],[HARGA SATUAN]])</f>
        <v/>
      </c>
      <c r="AG792" s="40" t="str">
        <f ca="1">IF(NOTA[ID_H]="","",INDEX(NOTA[TANGGAL],MATCH(,INDIRECT(ADDRESS(ROW(NOTA[TANGGAL]),COLUMN(NOTA[TANGGAL]))&amp;":"&amp;ADDRESS(ROW(),COLUMN(NOTA[TANGGAL]))),-1)))</f>
        <v/>
      </c>
      <c r="AH792" s="42" t="str">
        <f ca="1">IF(NOTA[[#This Row],[NAMA BARANG]]="","",INDEX(NOTA[SUPPLIER],MATCH(,INDIRECT(ADDRESS(ROW(NOTA[ID]),COLUMN(NOTA[ID]))&amp;":"&amp;ADDRESS(ROW(),COLUMN(NOTA[ID]))),-1)))</f>
        <v/>
      </c>
      <c r="AI792" s="42" t="str">
        <f ca="1">IF(NOTA[[#This Row],[ID_H]]="","",IF(NOTA[[#This Row],[FAKTUR]]="",INDIRECT(ADDRESS(ROW()-1,COLUMN())),NOTA[[#This Row],[FAKTUR]]))</f>
        <v/>
      </c>
      <c r="AJ792" s="39" t="str">
        <f ca="1">IF(NOTA[[#This Row],[ID]]="","",COUNTIF(NOTA[ID_H],NOTA[[#This Row],[ID_H]]))</f>
        <v/>
      </c>
      <c r="AK792" s="39" t="str">
        <f ca="1">IF(NOTA[[#This Row],[TGL.NOTA]]="",IF(NOTA[[#This Row],[SUPPLIER_H]]="","",AK791),MONTH(NOTA[[#This Row],[TGL.NOTA]]))</f>
        <v/>
      </c>
      <c r="AL792" s="39" t="str">
        <f>LOWER(SUBSTITUTE(SUBSTITUTE(SUBSTITUTE(SUBSTITUTE(SUBSTITUTE(SUBSTITUTE(SUBSTITUTE(SUBSTITUTE(SUBSTITUTE(NOTA[NAMA BARANG]," ",),".",""),"-",""),"(",""),")",""),",",""),"/",""),"""",""),"+",""))</f>
        <v/>
      </c>
      <c r="AM7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39" t="str">
        <f>IF(NOTA[[#This Row],[CONCAT4]]="","",_xlfn.IFNA(MATCH(NOTA[[#This Row],[CONCAT4]],[2]!RAW[CONCAT_H],0),FALSE))</f>
        <v/>
      </c>
      <c r="AQ792" s="39" t="str">
        <f>IF(NOTA[[#This Row],[CONCAT1]]="","",MATCH(NOTA[[#This Row],[CONCAT1]],[3]!db[NB NOTA_C],0))</f>
        <v/>
      </c>
      <c r="AR792" s="39" t="str">
        <f>IF(NOTA[[#This Row],[QTY/ CTN]]="","",TRUE)</f>
        <v/>
      </c>
      <c r="AS792" s="39" t="str">
        <f ca="1">IF(NOTA[[#This Row],[ID_H]]="","",IF(NOTA[[#This Row],[Column3]]=TRUE,NOTA[[#This Row],[QTY/ CTN]],INDEX([3]!db[QTY/ CTN],NOTA[[#This Row],[//DB]])))</f>
        <v/>
      </c>
      <c r="AT7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39" t="str">
        <f ca="1">IF(NOTA[[#This Row],[ID_H]]="","",MATCH(NOTA[[#This Row],[NB NOTA_C_QTY]],[4]!db[NB NOTA_C_QTY+F],0))</f>
        <v/>
      </c>
      <c r="AV792" s="55" t="str">
        <f ca="1">IF(NOTA[[#This Row],[NB NOTA_C_QTY]]="","",ROW()-2)</f>
        <v/>
      </c>
    </row>
    <row r="793" spans="1:48" ht="20.100000000000001" customHeight="1" x14ac:dyDescent="0.25">
      <c r="A793" s="42">
        <f ca="1">IF(INDIRECT(ADDRESS(ROW()-1,COLUMN(NOTA[[#Headers],[ID]])))="ID",1,IF(NOTA[[#This Row],[FAKTUR]]="","",COUNT(INDIRECT(ADDRESS(ROW(NOTA[ID]),COLUMN(NOTA[ID]))&amp;":"&amp;ADDRESS(ROW()-1,COLUMN(NOTA[ID]))))+1))</f>
        <v>151</v>
      </c>
      <c r="B7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KEN_2707_393-6</v>
      </c>
      <c r="C793" s="39" t="e">
        <f ca="1">IF(NOTA[[#This Row],[ID_P]]="","",MATCH(NOTA[[#This Row],[ID_P]],[1]!B_MSK[N_ID],0))</f>
        <v>#REF!</v>
      </c>
      <c r="D793" s="39">
        <f ca="1">IF(NOTA[[#This Row],[NAMA BARANG]]="","",INDEX(NOTA[ID],MATCH(,INDIRECT(ADDRESS(ROW(NOTA[ID]),COLUMN(NOTA[ID]))&amp;":"&amp;ADDRESS(ROW(),COLUMN(NOTA[ID]))),-1)))</f>
        <v>151</v>
      </c>
      <c r="E793" s="47"/>
      <c r="F793" s="38" t="s">
        <v>22</v>
      </c>
      <c r="G793" s="38" t="s">
        <v>23</v>
      </c>
      <c r="H793" s="48" t="s">
        <v>851</v>
      </c>
      <c r="J793" s="40">
        <v>45133</v>
      </c>
      <c r="L793" s="38" t="s">
        <v>760</v>
      </c>
      <c r="M793" s="41">
        <v>1</v>
      </c>
      <c r="N793" s="39"/>
      <c r="Q793" s="43">
        <v>2208000</v>
      </c>
      <c r="R793" s="49"/>
      <c r="S793" s="50">
        <v>0.17</v>
      </c>
      <c r="U793" s="51"/>
      <c r="V793" s="46"/>
      <c r="W793" s="51">
        <f>IF(NOTA[[#This Row],[HARGA/ CTN]]="",NOTA[[#This Row],[JUMLAH_H]],NOTA[[#This Row],[HARGA/ CTN]]*IF(NOTA[[#This Row],[C]]="",0,NOTA[[#This Row],[C]]))</f>
        <v>2208000</v>
      </c>
      <c r="X793" s="51">
        <f>IF(NOTA[[#This Row],[JUMLAH]]="","",NOTA[[#This Row],[JUMLAH]]*NOTA[[#This Row],[DISC 1]])</f>
        <v>375360</v>
      </c>
      <c r="Y793" s="51">
        <f>IF(NOTA[[#This Row],[JUMLAH]]="","",(NOTA[[#This Row],[JUMLAH]]-NOTA[[#This Row],[DISC 1-]])*NOTA[[#This Row],[DISC 2]])</f>
        <v>0</v>
      </c>
      <c r="Z793" s="51">
        <f>IF(NOTA[[#This Row],[JUMLAH]]="","",NOTA[[#This Row],[DISC 1-]]+NOTA[[#This Row],[DISC 2-]])</f>
        <v>375360</v>
      </c>
      <c r="AA793" s="51">
        <f>IF(NOTA[[#This Row],[JUMLAH]]="","",NOTA[[#This Row],[JUMLAH]]-NOTA[[#This Row],[DISC]])</f>
        <v>1832640</v>
      </c>
      <c r="AB793" s="51"/>
      <c r="AC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4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93" s="51" t="str">
        <f>IF(OR(NOTA[[#This Row],[QTY]]="",NOTA[[#This Row],[HARGA SATUAN]]="",),"",NOTA[[#This Row],[QTY]]*NOTA[[#This Row],[HARGA SATUAN]])</f>
        <v/>
      </c>
      <c r="AG793" s="40">
        <f ca="1">IF(NOTA[ID_H]="","",INDEX(NOTA[TANGGAL],MATCH(,INDIRECT(ADDRESS(ROW(NOTA[TANGGAL]),COLUMN(NOTA[TANGGAL]))&amp;":"&amp;ADDRESS(ROW(),COLUMN(NOTA[TANGGAL]))),-1)))</f>
        <v>45134</v>
      </c>
      <c r="AH793" s="42" t="str">
        <f ca="1">IF(NOTA[[#This Row],[NAMA BARANG]]="","",INDEX(NOTA[SUPPLIER],MATCH(,INDIRECT(ADDRESS(ROW(NOTA[ID]),COLUMN(NOTA[ID]))&amp;":"&amp;ADDRESS(ROW(),COLUMN(NOTA[ID]))),-1)))</f>
        <v>KENKO SINAR INDONESIA</v>
      </c>
      <c r="AI793" s="42" t="str">
        <f ca="1">IF(NOTA[[#This Row],[ID_H]]="","",IF(NOTA[[#This Row],[FAKTUR]]="",INDIRECT(ADDRESS(ROW()-1,COLUMN())),NOTA[[#This Row],[FAKTUR]]))</f>
        <v>ARTO MORO</v>
      </c>
      <c r="AJ793" s="39">
        <f ca="1">IF(NOTA[[#This Row],[ID]]="","",COUNTIF(NOTA[ID_H],NOTA[[#This Row],[ID_H]]))</f>
        <v>6</v>
      </c>
      <c r="AK793" s="39">
        <f>IF(NOTA[[#This Row],[TGL.NOTA]]="",IF(NOTA[[#This Row],[SUPPLIER_H]]="","",AK792),MONTH(NOTA[[#This Row],[TGL.NOTA]]))</f>
        <v>7</v>
      </c>
      <c r="AL793" s="39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7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7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9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MORO2307239345133kenkopencil2b6181birucaphitam</v>
      </c>
      <c r="AP793" s="39" t="e">
        <f>IF(NOTA[[#This Row],[CONCAT4]]="","",_xlfn.IFNA(MATCH(NOTA[[#This Row],[CONCAT4]],[2]!RAW[CONCAT_H],0),FALSE))</f>
        <v>#REF!</v>
      </c>
      <c r="AQ793" s="39">
        <f>IF(NOTA[[#This Row],[CONCAT1]]="","",MATCH(NOTA[[#This Row],[CONCAT1]],[3]!db[NB NOTA_C],0))</f>
        <v>2208</v>
      </c>
      <c r="AR793" s="39" t="str">
        <f>IF(NOTA[[#This Row],[QTY/ CTN]]="","",TRUE)</f>
        <v/>
      </c>
      <c r="AS793" s="39" t="str">
        <f ca="1">IF(NOTA[[#This Row],[ID_H]]="","",IF(NOTA[[#This Row],[Column3]]=TRUE,NOTA[[#This Row],[QTY/ CTN]],INDEX([3]!db[QTY/ CTN],NOTA[[#This Row],[//DB]])))</f>
        <v>20 GRS</v>
      </c>
      <c r="AT7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U793" s="39" t="e">
        <f ca="1">IF(NOTA[[#This Row],[ID_H]]="","",MATCH(NOTA[[#This Row],[NB NOTA_C_QTY]],[4]!db[NB NOTA_C_QTY+F],0))</f>
        <v>#REF!</v>
      </c>
      <c r="AV793" s="55">
        <f ca="1">IF(NOTA[[#This Row],[NB NOTA_C_QTY]]="","",ROW()-2)</f>
        <v>791</v>
      </c>
    </row>
    <row r="794" spans="1:48" ht="20.100000000000001" customHeight="1" x14ac:dyDescent="0.25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>
        <f ca="1">IF(NOTA[[#This Row],[NAMA BARANG]]="","",INDEX(NOTA[ID],MATCH(,INDIRECT(ADDRESS(ROW(NOTA[ID]),COLUMN(NOTA[ID]))&amp;":"&amp;ADDRESS(ROW(),COLUMN(NOTA[ID]))),-1)))</f>
        <v>151</v>
      </c>
      <c r="E794" s="47"/>
      <c r="H794" s="48"/>
      <c r="L794" s="38" t="s">
        <v>852</v>
      </c>
      <c r="M794" s="41">
        <v>3</v>
      </c>
      <c r="N794" s="39"/>
      <c r="Q794" s="43">
        <v>2160000</v>
      </c>
      <c r="R794" s="49"/>
      <c r="S794" s="50">
        <v>0.17</v>
      </c>
      <c r="U794" s="51"/>
      <c r="V794" s="46"/>
      <c r="W794" s="51">
        <f>IF(NOTA[[#This Row],[HARGA/ CTN]]="",NOTA[[#This Row],[JUMLAH_H]],NOTA[[#This Row],[HARGA/ CTN]]*IF(NOTA[[#This Row],[C]]="",0,NOTA[[#This Row],[C]]))</f>
        <v>6480000</v>
      </c>
      <c r="X794" s="51">
        <f>IF(NOTA[[#This Row],[JUMLAH]]="","",NOTA[[#This Row],[JUMLAH]]*NOTA[[#This Row],[DISC 1]])</f>
        <v>1101600</v>
      </c>
      <c r="Y794" s="51">
        <f>IF(NOTA[[#This Row],[JUMLAH]]="","",(NOTA[[#This Row],[JUMLAH]]-NOTA[[#This Row],[DISC 1-]])*NOTA[[#This Row],[DISC 2]])</f>
        <v>0</v>
      </c>
      <c r="Z794" s="51">
        <f>IF(NOTA[[#This Row],[JUMLAH]]="","",NOTA[[#This Row],[DISC 1-]]+NOTA[[#This Row],[DISC 2-]])</f>
        <v>1101600</v>
      </c>
      <c r="AA794" s="51">
        <f>IF(NOTA[[#This Row],[JUMLAH]]="","",NOTA[[#This Row],[JUMLAH]]-NOTA[[#This Row],[DISC]])</f>
        <v>5378400</v>
      </c>
      <c r="AB794" s="51"/>
      <c r="AC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94" s="51" t="str">
        <f>IF(OR(NOTA[[#This Row],[QTY]]="",NOTA[[#This Row],[HARGA SATUAN]]="",),"",NOTA[[#This Row],[QTY]]*NOTA[[#This Row],[HARGA SATUAN]])</f>
        <v/>
      </c>
      <c r="AG794" s="40">
        <f ca="1">IF(NOTA[ID_H]="","",INDEX(NOTA[TANGGAL],MATCH(,INDIRECT(ADDRESS(ROW(NOTA[TANGGAL]),COLUMN(NOTA[TANGGAL]))&amp;":"&amp;ADDRESS(ROW(),COLUMN(NOTA[TANGGAL]))),-1)))</f>
        <v>45134</v>
      </c>
      <c r="AH794" s="42" t="str">
        <f ca="1">IF(NOTA[[#This Row],[NAMA BARANG]]="","",INDEX(NOTA[SUPPLIER],MATCH(,INDIRECT(ADDRESS(ROW(NOTA[ID]),COLUMN(NOTA[ID]))&amp;":"&amp;ADDRESS(ROW(),COLUMN(NOTA[ID]))),-1)))</f>
        <v>KENKO SINAR INDONESIA</v>
      </c>
      <c r="AI794" s="42" t="str">
        <f ca="1">IF(NOTA[[#This Row],[ID_H]]="","",IF(NOTA[[#This Row],[FAKTUR]]="",INDIRECT(ADDRESS(ROW()-1,COLUMN())),NOTA[[#This Row],[FAKTUR]]))</f>
        <v>ARTO MORO</v>
      </c>
      <c r="AJ794" s="39" t="str">
        <f ca="1">IF(NOTA[[#This Row],[ID]]="","",COUNTIF(NOTA[ID_H],NOTA[[#This Row],[ID_H]]))</f>
        <v/>
      </c>
      <c r="AK794" s="39">
        <f ca="1">IF(NOTA[[#This Row],[TGL.NOTA]]="",IF(NOTA[[#This Row],[SUPPLIER_H]]="","",AK793),MONTH(NOTA[[#This Row],[TGL.NOTA]]))</f>
        <v>7</v>
      </c>
      <c r="AL794" s="39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M7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N7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O7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39" t="str">
        <f>IF(NOTA[[#This Row],[CONCAT4]]="","",_xlfn.IFNA(MATCH(NOTA[[#This Row],[CONCAT4]],[2]!RAW[CONCAT_H],0),FALSE))</f>
        <v/>
      </c>
      <c r="AQ794" s="39">
        <f>IF(NOTA[[#This Row],[CONCAT1]]="","",MATCH(NOTA[[#This Row],[CONCAT1]],[3]!db[NB NOTA_C],0))</f>
        <v>2213</v>
      </c>
      <c r="AR794" s="39" t="str">
        <f>IF(NOTA[[#This Row],[QTY/ CTN]]="","",TRUE)</f>
        <v/>
      </c>
      <c r="AS794" s="39" t="str">
        <f ca="1">IF(NOTA[[#This Row],[ID_H]]="","",IF(NOTA[[#This Row],[Column3]]=TRUE,NOTA[[#This Row],[QTY/ CTN]],INDEX([3]!db[QTY/ CTN],NOTA[[#This Row],[//DB]])))</f>
        <v>20 GRS</v>
      </c>
      <c r="AT7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U794" s="39" t="e">
        <f ca="1">IF(NOTA[[#This Row],[ID_H]]="","",MATCH(NOTA[[#This Row],[NB NOTA_C_QTY]],[4]!db[NB NOTA_C_QTY+F],0))</f>
        <v>#REF!</v>
      </c>
      <c r="AV794" s="55">
        <f ca="1">IF(NOTA[[#This Row],[NB NOTA_C_QTY]]="","",ROW()-2)</f>
        <v>792</v>
      </c>
    </row>
    <row r="795" spans="1:48" ht="20.100000000000001" customHeight="1" x14ac:dyDescent="0.25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>
        <f ca="1">IF(NOTA[[#This Row],[NAMA BARANG]]="","",INDEX(NOTA[ID],MATCH(,INDIRECT(ADDRESS(ROW(NOTA[ID]),COLUMN(NOTA[ID]))&amp;":"&amp;ADDRESS(ROW(),COLUMN(NOTA[ID]))),-1)))</f>
        <v>151</v>
      </c>
      <c r="E795" s="47"/>
      <c r="H795" s="48"/>
      <c r="L795" s="38" t="s">
        <v>845</v>
      </c>
      <c r="M795" s="41">
        <v>3</v>
      </c>
      <c r="N795" s="39"/>
      <c r="Q795" s="43">
        <v>2448000</v>
      </c>
      <c r="R795" s="49"/>
      <c r="S795" s="50">
        <v>0.17</v>
      </c>
      <c r="U795" s="51"/>
      <c r="V795" s="46"/>
      <c r="W795" s="51">
        <f>IF(NOTA[[#This Row],[HARGA/ CTN]]="",NOTA[[#This Row],[JUMLAH_H]],NOTA[[#This Row],[HARGA/ CTN]]*IF(NOTA[[#This Row],[C]]="",0,NOTA[[#This Row],[C]]))</f>
        <v>7344000</v>
      </c>
      <c r="X795" s="51">
        <f>IF(NOTA[[#This Row],[JUMLAH]]="","",NOTA[[#This Row],[JUMLAH]]*NOTA[[#This Row],[DISC 1]])</f>
        <v>1248480</v>
      </c>
      <c r="Y795" s="51">
        <f>IF(NOTA[[#This Row],[JUMLAH]]="","",(NOTA[[#This Row],[JUMLAH]]-NOTA[[#This Row],[DISC 1-]])*NOTA[[#This Row],[DISC 2]])</f>
        <v>0</v>
      </c>
      <c r="Z795" s="51">
        <f>IF(NOTA[[#This Row],[JUMLAH]]="","",NOTA[[#This Row],[DISC 1-]]+NOTA[[#This Row],[DISC 2-]])</f>
        <v>1248480</v>
      </c>
      <c r="AA795" s="51">
        <f>IF(NOTA[[#This Row],[JUMLAH]]="","",NOTA[[#This Row],[JUMLAH]]-NOTA[[#This Row],[DISC]])</f>
        <v>6095520</v>
      </c>
      <c r="AB795" s="51"/>
      <c r="AC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795" s="51" t="str">
        <f>IF(OR(NOTA[[#This Row],[QTY]]="",NOTA[[#This Row],[HARGA SATUAN]]="",),"",NOTA[[#This Row],[QTY]]*NOTA[[#This Row],[HARGA SATUAN]])</f>
        <v/>
      </c>
      <c r="AG795" s="40">
        <f ca="1">IF(NOTA[ID_H]="","",INDEX(NOTA[TANGGAL],MATCH(,INDIRECT(ADDRESS(ROW(NOTA[TANGGAL]),COLUMN(NOTA[TANGGAL]))&amp;":"&amp;ADDRESS(ROW(),COLUMN(NOTA[TANGGAL]))),-1)))</f>
        <v>45134</v>
      </c>
      <c r="AH795" s="42" t="str">
        <f ca="1">IF(NOTA[[#This Row],[NAMA BARANG]]="","",INDEX(NOTA[SUPPLIER],MATCH(,INDIRECT(ADDRESS(ROW(NOTA[ID]),COLUMN(NOTA[ID]))&amp;":"&amp;ADDRESS(ROW(),COLUMN(NOTA[ID]))),-1)))</f>
        <v>KENKO SINAR INDONESIA</v>
      </c>
      <c r="AI795" s="42" t="str">
        <f ca="1">IF(NOTA[[#This Row],[ID_H]]="","",IF(NOTA[[#This Row],[FAKTUR]]="",INDIRECT(ADDRESS(ROW()-1,COLUMN())),NOTA[[#This Row],[FAKTUR]]))</f>
        <v>ARTO MORO</v>
      </c>
      <c r="AJ795" s="39" t="str">
        <f ca="1">IF(NOTA[[#This Row],[ID]]="","",COUNTIF(NOTA[ID_H],NOTA[[#This Row],[ID_H]]))</f>
        <v/>
      </c>
      <c r="AK795" s="39">
        <f ca="1">IF(NOTA[[#This Row],[TGL.NOTA]]="",IF(NOTA[[#This Row],[SUPPLIER_H]]="","",AK794),MONTH(NOTA[[#This Row],[TGL.NOTA]]))</f>
        <v>7</v>
      </c>
      <c r="AL795" s="39" t="str">
        <f>LOWER(SUBSTITUTE(SUBSTITUTE(SUBSTITUTE(SUBSTITUTE(SUBSTITUTE(SUBSTITUTE(SUBSTITUTE(SUBSTITUTE(SUBSTITUTE(NOTA[NAMA BARANG]," ",),".",""),"-",""),"(",""),")",""),",",""),"/",""),"""",""),"+",""))</f>
        <v>kenkopencil2b3030</v>
      </c>
      <c r="AM7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kenkopencil2b303024480000.17</v>
      </c>
      <c r="AN7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kenkopencil2b303024480000.17</v>
      </c>
      <c r="AO7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39" t="str">
        <f>IF(NOTA[[#This Row],[CONCAT4]]="","",_xlfn.IFNA(MATCH(NOTA[[#This Row],[CONCAT4]],[2]!RAW[CONCAT_H],0),FALSE))</f>
        <v/>
      </c>
      <c r="AQ795" s="39">
        <f>IF(NOTA[[#This Row],[CONCAT1]]="","",MATCH(NOTA[[#This Row],[CONCAT1]],[3]!db[NB NOTA_C],0))</f>
        <v>2204</v>
      </c>
      <c r="AR795" s="39" t="str">
        <f>IF(NOTA[[#This Row],[QTY/ CTN]]="","",TRUE)</f>
        <v/>
      </c>
      <c r="AS795" s="39" t="str">
        <f ca="1">IF(NOTA[[#This Row],[ID_H]]="","",IF(NOTA[[#This Row],[Column3]]=TRUE,NOTA[[#This Row],[QTY/ CTN]],INDEX([3]!db[QTY/ CTN],NOTA[[#This Row],[//DB]])))</f>
        <v>20 GRS</v>
      </c>
      <c r="AT7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kenkopencil2b303020grsartomoro</v>
      </c>
      <c r="AU795" s="39" t="e">
        <f ca="1">IF(NOTA[[#This Row],[ID_H]]="","",MATCH(NOTA[[#This Row],[NB NOTA_C_QTY]],[4]!db[NB NOTA_C_QTY+F],0))</f>
        <v>#REF!</v>
      </c>
      <c r="AV795" s="55">
        <f ca="1">IF(NOTA[[#This Row],[NB NOTA_C_QTY]]="","",ROW()-2)</f>
        <v>793</v>
      </c>
    </row>
    <row r="796" spans="1:48" ht="20.100000000000001" customHeight="1" x14ac:dyDescent="0.25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>
        <f ca="1">IF(NOTA[[#This Row],[NAMA BARANG]]="","",INDEX(NOTA[ID],MATCH(,INDIRECT(ADDRESS(ROW(NOTA[ID]),COLUMN(NOTA[ID]))&amp;":"&amp;ADDRESS(ROW(),COLUMN(NOTA[ID]))),-1)))</f>
        <v>151</v>
      </c>
      <c r="E796" s="47"/>
      <c r="H796" s="48"/>
      <c r="K796" s="38">
        <v>2</v>
      </c>
      <c r="L796" s="38" t="s">
        <v>850</v>
      </c>
      <c r="M796" s="41">
        <v>2</v>
      </c>
      <c r="N796" s="39"/>
      <c r="Q796" s="43">
        <v>2112000</v>
      </c>
      <c r="R796" s="49"/>
      <c r="S796" s="50">
        <v>0.17</v>
      </c>
      <c r="U796" s="51"/>
      <c r="V796" s="46"/>
      <c r="W796" s="51">
        <f>IF(NOTA[[#This Row],[HARGA/ CTN]]="",NOTA[[#This Row],[JUMLAH_H]],NOTA[[#This Row],[HARGA/ CTN]]*IF(NOTA[[#This Row],[C]]="",0,NOTA[[#This Row],[C]]))</f>
        <v>4224000</v>
      </c>
      <c r="X796" s="51">
        <f>IF(NOTA[[#This Row],[JUMLAH]]="","",NOTA[[#This Row],[JUMLAH]]*NOTA[[#This Row],[DISC 1]])</f>
        <v>718080</v>
      </c>
      <c r="Y796" s="51">
        <f>IF(NOTA[[#This Row],[JUMLAH]]="","",(NOTA[[#This Row],[JUMLAH]]-NOTA[[#This Row],[DISC 1-]])*NOTA[[#This Row],[DISC 2]])</f>
        <v>0</v>
      </c>
      <c r="Z796" s="51">
        <f>IF(NOTA[[#This Row],[JUMLAH]]="","",NOTA[[#This Row],[DISC 1-]]+NOTA[[#This Row],[DISC 2-]])</f>
        <v>718080</v>
      </c>
      <c r="AA796" s="51">
        <f>IF(NOTA[[#This Row],[JUMLAH]]="","",NOTA[[#This Row],[JUMLAH]]-NOTA[[#This Row],[DISC]])</f>
        <v>3505920</v>
      </c>
      <c r="AB796" s="51"/>
      <c r="AC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96" s="51" t="str">
        <f>IF(OR(NOTA[[#This Row],[QTY]]="",NOTA[[#This Row],[HARGA SATUAN]]="",),"",NOTA[[#This Row],[QTY]]*NOTA[[#This Row],[HARGA SATUAN]])</f>
        <v/>
      </c>
      <c r="AG796" s="40">
        <f ca="1">IF(NOTA[ID_H]="","",INDEX(NOTA[TANGGAL],MATCH(,INDIRECT(ADDRESS(ROW(NOTA[TANGGAL]),COLUMN(NOTA[TANGGAL]))&amp;":"&amp;ADDRESS(ROW(),COLUMN(NOTA[TANGGAL]))),-1)))</f>
        <v>45134</v>
      </c>
      <c r="AH796" s="42" t="str">
        <f ca="1">IF(NOTA[[#This Row],[NAMA BARANG]]="","",INDEX(NOTA[SUPPLIER],MATCH(,INDIRECT(ADDRESS(ROW(NOTA[ID]),COLUMN(NOTA[ID]))&amp;":"&amp;ADDRESS(ROW(),COLUMN(NOTA[ID]))),-1)))</f>
        <v>KENKO SINAR INDONESIA</v>
      </c>
      <c r="AI796" s="42" t="str">
        <f ca="1">IF(NOTA[[#This Row],[ID_H]]="","",IF(NOTA[[#This Row],[FAKTUR]]="",INDIRECT(ADDRESS(ROW()-1,COLUMN())),NOTA[[#This Row],[FAKTUR]]))</f>
        <v>ARTO MORO</v>
      </c>
      <c r="AJ796" s="39" t="str">
        <f ca="1">IF(NOTA[[#This Row],[ID]]="","",COUNTIF(NOTA[ID_H],NOTA[[#This Row],[ID_H]]))</f>
        <v/>
      </c>
      <c r="AK796" s="39">
        <f ca="1">IF(NOTA[[#This Row],[TGL.NOTA]]="",IF(NOTA[[#This Row],[SUPPLIER_H]]="","",AK795),MONTH(NOTA[[#This Row],[TGL.NOTA]]))</f>
        <v>7</v>
      </c>
      <c r="AL796" s="39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7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7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7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39" t="str">
        <f>IF(NOTA[[#This Row],[CONCAT4]]="","",_xlfn.IFNA(MATCH(NOTA[[#This Row],[CONCAT4]],[2]!RAW[CONCAT_H],0),FALSE))</f>
        <v/>
      </c>
      <c r="AQ796" s="39">
        <f>IF(NOTA[[#This Row],[CONCAT1]]="","",MATCH(NOTA[[#This Row],[CONCAT1]],[3]!db[NB NOTA_C],0))</f>
        <v>2205</v>
      </c>
      <c r="AR796" s="39" t="str">
        <f>IF(NOTA[[#This Row],[QTY/ CTN]]="","",TRUE)</f>
        <v/>
      </c>
      <c r="AS796" s="39" t="str">
        <f ca="1">IF(NOTA[[#This Row],[ID_H]]="","",IF(NOTA[[#This Row],[Column3]]=TRUE,NOTA[[#This Row],[QTY/ CTN]],INDEX([3]!db[QTY/ CTN],NOTA[[#This Row],[//DB]])))</f>
        <v>20 GRS</v>
      </c>
      <c r="AT7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U796" s="39" t="e">
        <f ca="1">IF(NOTA[[#This Row],[ID_H]]="","",MATCH(NOTA[[#This Row],[NB NOTA_C_QTY]],[4]!db[NB NOTA_C_QTY+F],0))</f>
        <v>#REF!</v>
      </c>
      <c r="AV796" s="55">
        <f ca="1">IF(NOTA[[#This Row],[NB NOTA_C_QTY]]="","",ROW()-2)</f>
        <v>794</v>
      </c>
    </row>
    <row r="797" spans="1:48" ht="20.100000000000001" customHeight="1" x14ac:dyDescent="0.25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>
        <f ca="1">IF(NOTA[[#This Row],[NAMA BARANG]]="","",INDEX(NOTA[ID],MATCH(,INDIRECT(ADDRESS(ROW(NOTA[ID]),COLUMN(NOTA[ID]))&amp;":"&amp;ADDRESS(ROW(),COLUMN(NOTA[ID]))),-1)))</f>
        <v>151</v>
      </c>
      <c r="E797" s="47"/>
      <c r="H797" s="48"/>
      <c r="K797" s="38">
        <v>7</v>
      </c>
      <c r="L797" s="38" t="s">
        <v>755</v>
      </c>
      <c r="M797" s="41">
        <v>7</v>
      </c>
      <c r="N797" s="39"/>
      <c r="Q797" s="43">
        <v>2980800</v>
      </c>
      <c r="R797" s="49"/>
      <c r="S797" s="50">
        <v>0.17</v>
      </c>
      <c r="U797" s="51"/>
      <c r="V797" s="46"/>
      <c r="W797" s="51">
        <f>IF(NOTA[[#This Row],[HARGA/ CTN]]="",NOTA[[#This Row],[JUMLAH_H]],NOTA[[#This Row],[HARGA/ CTN]]*IF(NOTA[[#This Row],[C]]="",0,NOTA[[#This Row],[C]]))</f>
        <v>20865600</v>
      </c>
      <c r="X797" s="51">
        <f>IF(NOTA[[#This Row],[JUMLAH]]="","",NOTA[[#This Row],[JUMLAH]]*NOTA[[#This Row],[DISC 1]])</f>
        <v>3547152.0000000005</v>
      </c>
      <c r="Y797" s="51">
        <f>IF(NOTA[[#This Row],[JUMLAH]]="","",(NOTA[[#This Row],[JUMLAH]]-NOTA[[#This Row],[DISC 1-]])*NOTA[[#This Row],[DISC 2]])</f>
        <v>0</v>
      </c>
      <c r="Z797" s="51">
        <f>IF(NOTA[[#This Row],[JUMLAH]]="","",NOTA[[#This Row],[DISC 1-]]+NOTA[[#This Row],[DISC 2-]])</f>
        <v>3547152.0000000005</v>
      </c>
      <c r="AA797" s="51">
        <f>IF(NOTA[[#This Row],[JUMLAH]]="","",NOTA[[#This Row],[JUMLAH]]-NOTA[[#This Row],[DISC]])</f>
        <v>17318448</v>
      </c>
      <c r="AB797" s="51"/>
      <c r="AC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797" s="51" t="str">
        <f>IF(OR(NOTA[[#This Row],[QTY]]="",NOTA[[#This Row],[HARGA SATUAN]]="",),"",NOTA[[#This Row],[QTY]]*NOTA[[#This Row],[HARGA SATUAN]])</f>
        <v/>
      </c>
      <c r="AG797" s="40">
        <f ca="1">IF(NOTA[ID_H]="","",INDEX(NOTA[TANGGAL],MATCH(,INDIRECT(ADDRESS(ROW(NOTA[TANGGAL]),COLUMN(NOTA[TANGGAL]))&amp;":"&amp;ADDRESS(ROW(),COLUMN(NOTA[TANGGAL]))),-1)))</f>
        <v>45134</v>
      </c>
      <c r="AH797" s="42" t="str">
        <f ca="1">IF(NOTA[[#This Row],[NAMA BARANG]]="","",INDEX(NOTA[SUPPLIER],MATCH(,INDIRECT(ADDRESS(ROW(NOTA[ID]),COLUMN(NOTA[ID]))&amp;":"&amp;ADDRESS(ROW(),COLUMN(NOTA[ID]))),-1)))</f>
        <v>KENKO SINAR INDONESIA</v>
      </c>
      <c r="AI797" s="42" t="str">
        <f ca="1">IF(NOTA[[#This Row],[ID_H]]="","",IF(NOTA[[#This Row],[FAKTUR]]="",INDIRECT(ADDRESS(ROW()-1,COLUMN())),NOTA[[#This Row],[FAKTUR]]))</f>
        <v>ARTO MORO</v>
      </c>
      <c r="AJ797" s="39" t="str">
        <f ca="1">IF(NOTA[[#This Row],[ID]]="","",COUNTIF(NOTA[ID_H],NOTA[[#This Row],[ID_H]]))</f>
        <v/>
      </c>
      <c r="AK797" s="39">
        <f ca="1">IF(NOTA[[#This Row],[TGL.NOTA]]="",IF(NOTA[[#This Row],[SUPPLIER_H]]="","",AK796),MONTH(NOTA[[#This Row],[TGL.NOTA]]))</f>
        <v>7</v>
      </c>
      <c r="AL797" s="39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7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7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7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39" t="str">
        <f>IF(NOTA[[#This Row],[CONCAT4]]="","",_xlfn.IFNA(MATCH(NOTA[[#This Row],[CONCAT4]],[2]!RAW[CONCAT_H],0),FALSE))</f>
        <v/>
      </c>
      <c r="AQ797" s="39">
        <f>IF(NOTA[[#This Row],[CONCAT1]]="","",MATCH(NOTA[[#This Row],[CONCAT1]],[3]!db[NB NOTA_C],0))</f>
        <v>2333</v>
      </c>
      <c r="AR797" s="39" t="str">
        <f>IF(NOTA[[#This Row],[QTY/ CTN]]="","",TRUE)</f>
        <v/>
      </c>
      <c r="AS797" s="39" t="str">
        <f ca="1">IF(NOTA[[#This Row],[ID_H]]="","",IF(NOTA[[#This Row],[Column3]]=TRUE,NOTA[[#This Row],[QTY/ CTN]],INDEX([3]!db[QTY/ CTN],NOTA[[#This Row],[//DB]])))</f>
        <v>24 LSN</v>
      </c>
      <c r="AT7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797" s="39" t="e">
        <f ca="1">IF(NOTA[[#This Row],[ID_H]]="","",MATCH(NOTA[[#This Row],[NB NOTA_C_QTY]],[4]!db[NB NOTA_C_QTY+F],0))</f>
        <v>#REF!</v>
      </c>
      <c r="AV797" s="55">
        <f ca="1">IF(NOTA[[#This Row],[NB NOTA_C_QTY]]="","",ROW()-2)</f>
        <v>795</v>
      </c>
    </row>
    <row r="798" spans="1:48" ht="20.100000000000001" customHeight="1" x14ac:dyDescent="0.25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>
        <f ca="1">IF(NOTA[[#This Row],[NAMA BARANG]]="","",INDEX(NOTA[ID],MATCH(,INDIRECT(ADDRESS(ROW(NOTA[ID]),COLUMN(NOTA[ID]))&amp;":"&amp;ADDRESS(ROW(),COLUMN(NOTA[ID]))),-1)))</f>
        <v>151</v>
      </c>
      <c r="E798" s="47"/>
      <c r="H798" s="48"/>
      <c r="K798" s="38">
        <v>1</v>
      </c>
      <c r="L798" s="38" t="s">
        <v>853</v>
      </c>
      <c r="M798" s="41">
        <v>1</v>
      </c>
      <c r="N798" s="39"/>
      <c r="Q798" s="43">
        <v>2980800</v>
      </c>
      <c r="R798" s="49"/>
      <c r="S798" s="50">
        <v>0.17</v>
      </c>
      <c r="U798" s="51"/>
      <c r="V798" s="46"/>
      <c r="W798" s="51">
        <f>IF(NOTA[[#This Row],[HARGA/ CTN]]="",NOTA[[#This Row],[JUMLAH_H]],NOTA[[#This Row],[HARGA/ CTN]]*IF(NOTA[[#This Row],[C]]="",0,NOTA[[#This Row],[C]]))</f>
        <v>2980800</v>
      </c>
      <c r="X798" s="51">
        <f>IF(NOTA[[#This Row],[JUMLAH]]="","",NOTA[[#This Row],[JUMLAH]]*NOTA[[#This Row],[DISC 1]])</f>
        <v>506736.00000000006</v>
      </c>
      <c r="Y798" s="51">
        <f>IF(NOTA[[#This Row],[JUMLAH]]="","",(NOTA[[#This Row],[JUMLAH]]-NOTA[[#This Row],[DISC 1-]])*NOTA[[#This Row],[DISC 2]])</f>
        <v>0</v>
      </c>
      <c r="Z798" s="51">
        <f>IF(NOTA[[#This Row],[JUMLAH]]="","",NOTA[[#This Row],[DISC 1-]]+NOTA[[#This Row],[DISC 2-]])</f>
        <v>506736.00000000006</v>
      </c>
      <c r="AA798" s="51">
        <f>IF(NOTA[[#This Row],[JUMLAH]]="","",NOTA[[#This Row],[JUMLAH]]-NOTA[[#This Row],[DISC]])</f>
        <v>2474064</v>
      </c>
      <c r="AB798" s="51"/>
      <c r="AC7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7497408</v>
      </c>
      <c r="AD7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36604992</v>
      </c>
      <c r="AE798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798" s="51" t="str">
        <f>IF(OR(NOTA[[#This Row],[QTY]]="",NOTA[[#This Row],[HARGA SATUAN]]="",),"",NOTA[[#This Row],[QTY]]*NOTA[[#This Row],[HARGA SATUAN]])</f>
        <v/>
      </c>
      <c r="AG798" s="40">
        <f ca="1">IF(NOTA[ID_H]="","",INDEX(NOTA[TANGGAL],MATCH(,INDIRECT(ADDRESS(ROW(NOTA[TANGGAL]),COLUMN(NOTA[TANGGAL]))&amp;":"&amp;ADDRESS(ROW(),COLUMN(NOTA[TANGGAL]))),-1)))</f>
        <v>45134</v>
      </c>
      <c r="AH798" s="42" t="str">
        <f ca="1">IF(NOTA[[#This Row],[NAMA BARANG]]="","",INDEX(NOTA[SUPPLIER],MATCH(,INDIRECT(ADDRESS(ROW(NOTA[ID]),COLUMN(NOTA[ID]))&amp;":"&amp;ADDRESS(ROW(),COLUMN(NOTA[ID]))),-1)))</f>
        <v>KENKO SINAR INDONESIA</v>
      </c>
      <c r="AI798" s="42" t="str">
        <f ca="1">IF(NOTA[[#This Row],[ID_H]]="","",IF(NOTA[[#This Row],[FAKTUR]]="",INDIRECT(ADDRESS(ROW()-1,COLUMN())),NOTA[[#This Row],[FAKTUR]]))</f>
        <v>ARTO MORO</v>
      </c>
      <c r="AJ798" s="39" t="str">
        <f ca="1">IF(NOTA[[#This Row],[ID]]="","",COUNTIF(NOTA[ID_H],NOTA[[#This Row],[ID_H]]))</f>
        <v/>
      </c>
      <c r="AK798" s="39">
        <f ca="1">IF(NOTA[[#This Row],[TGL.NOTA]]="",IF(NOTA[[#This Row],[SUPPLIER_H]]="","",AK797),MONTH(NOTA[[#This Row],[TGL.NOTA]]))</f>
        <v>7</v>
      </c>
      <c r="AL798" s="39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7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7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7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39" t="str">
        <f>IF(NOTA[[#This Row],[CONCAT4]]="","",_xlfn.IFNA(MATCH(NOTA[[#This Row],[CONCAT4]],[2]!RAW[CONCAT_H],0),FALSE))</f>
        <v/>
      </c>
      <c r="AQ798" s="39">
        <f>IF(NOTA[[#This Row],[CONCAT1]]="","",MATCH(NOTA[[#This Row],[CONCAT1]],[3]!db[NB NOTA_C],0))</f>
        <v>2344</v>
      </c>
      <c r="AR798" s="39" t="str">
        <f>IF(NOTA[[#This Row],[QTY/ CTN]]="","",TRUE)</f>
        <v/>
      </c>
      <c r="AS798" s="39" t="str">
        <f ca="1">IF(NOTA[[#This Row],[ID_H]]="","",IF(NOTA[[#This Row],[Column3]]=TRUE,NOTA[[#This Row],[QTY/ CTN]],INDEX([3]!db[QTY/ CTN],NOTA[[#This Row],[//DB]])))</f>
        <v>24 BOX (6 SET)</v>
      </c>
      <c r="AT7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U798" s="39" t="e">
        <f ca="1">IF(NOTA[[#This Row],[ID_H]]="","",MATCH(NOTA[[#This Row],[NB NOTA_C_QTY]],[4]!db[NB NOTA_C_QTY+F],0))</f>
        <v>#REF!</v>
      </c>
      <c r="AV798" s="55">
        <f ca="1">IF(NOTA[[#This Row],[NB NOTA_C_QTY]]="","",ROW()-2)</f>
        <v>796</v>
      </c>
    </row>
    <row r="799" spans="1:48" ht="20.100000000000001" customHeight="1" x14ac:dyDescent="0.25">
      <c r="A7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47"/>
      <c r="H799" s="48"/>
      <c r="N799" s="39"/>
      <c r="Q799" s="43"/>
      <c r="R799" s="49"/>
      <c r="S799" s="50"/>
      <c r="U799" s="51"/>
      <c r="V799" s="46"/>
      <c r="W799" s="51" t="str">
        <f>IF(NOTA[[#This Row],[HARGA/ CTN]]="",NOTA[[#This Row],[JUMLAH_H]],NOTA[[#This Row],[HARGA/ CTN]]*IF(NOTA[[#This Row],[C]]="",0,NOTA[[#This Row],[C]]))</f>
        <v/>
      </c>
      <c r="X799" s="51" t="str">
        <f>IF(NOTA[[#This Row],[JUMLAH]]="","",NOTA[[#This Row],[JUMLAH]]*NOTA[[#This Row],[DISC 1]])</f>
        <v/>
      </c>
      <c r="Y799" s="51" t="str">
        <f>IF(NOTA[[#This Row],[JUMLAH]]="","",(NOTA[[#This Row],[JUMLAH]]-NOTA[[#This Row],[DISC 1-]])*NOTA[[#This Row],[DISC 2]])</f>
        <v/>
      </c>
      <c r="Z799" s="51" t="str">
        <f>IF(NOTA[[#This Row],[JUMLAH]]="","",NOTA[[#This Row],[DISC 1-]]+NOTA[[#This Row],[DISC 2-]])</f>
        <v/>
      </c>
      <c r="AA799" s="51" t="str">
        <f>IF(NOTA[[#This Row],[JUMLAH]]="","",NOTA[[#This Row],[JUMLAH]]-NOTA[[#This Row],[DISC]])</f>
        <v/>
      </c>
      <c r="AB799" s="51"/>
      <c r="AC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51" t="str">
        <f>IF(OR(NOTA[[#This Row],[QTY]]="",NOTA[[#This Row],[HARGA SATUAN]]="",),"",NOTA[[#This Row],[QTY]]*NOTA[[#This Row],[HARGA SATUAN]])</f>
        <v/>
      </c>
      <c r="AG799" s="40" t="str">
        <f ca="1">IF(NOTA[ID_H]="","",INDEX(NOTA[TANGGAL],MATCH(,INDIRECT(ADDRESS(ROW(NOTA[TANGGAL]),COLUMN(NOTA[TANGGAL]))&amp;":"&amp;ADDRESS(ROW(),COLUMN(NOTA[TANGGAL]))),-1)))</f>
        <v/>
      </c>
      <c r="AH799" s="42" t="str">
        <f ca="1">IF(NOTA[[#This Row],[NAMA BARANG]]="","",INDEX(NOTA[SUPPLIER],MATCH(,INDIRECT(ADDRESS(ROW(NOTA[ID]),COLUMN(NOTA[ID]))&amp;":"&amp;ADDRESS(ROW(),COLUMN(NOTA[ID]))),-1)))</f>
        <v/>
      </c>
      <c r="AI799" s="42" t="str">
        <f ca="1">IF(NOTA[[#This Row],[ID_H]]="","",IF(NOTA[[#This Row],[FAKTUR]]="",INDIRECT(ADDRESS(ROW()-1,COLUMN())),NOTA[[#This Row],[FAKTUR]]))</f>
        <v/>
      </c>
      <c r="AJ799" s="39" t="str">
        <f ca="1">IF(NOTA[[#This Row],[ID]]="","",COUNTIF(NOTA[ID_H],NOTA[[#This Row],[ID_H]]))</f>
        <v/>
      </c>
      <c r="AK799" s="39" t="str">
        <f ca="1">IF(NOTA[[#This Row],[TGL.NOTA]]="",IF(NOTA[[#This Row],[SUPPLIER_H]]="","",AK798),MONTH(NOTA[[#This Row],[TGL.NOTA]]))</f>
        <v/>
      </c>
      <c r="AL799" s="39" t="str">
        <f>LOWER(SUBSTITUTE(SUBSTITUTE(SUBSTITUTE(SUBSTITUTE(SUBSTITUTE(SUBSTITUTE(SUBSTITUTE(SUBSTITUTE(SUBSTITUTE(NOTA[NAMA BARANG]," ",),".",""),"-",""),"(",""),")",""),",",""),"/",""),"""",""),"+",""))</f>
        <v/>
      </c>
      <c r="AM7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39" t="str">
        <f>IF(NOTA[[#This Row],[CONCAT4]]="","",_xlfn.IFNA(MATCH(NOTA[[#This Row],[CONCAT4]],[2]!RAW[CONCAT_H],0),FALSE))</f>
        <v/>
      </c>
      <c r="AQ799" s="39" t="str">
        <f>IF(NOTA[[#This Row],[CONCAT1]]="","",MATCH(NOTA[[#This Row],[CONCAT1]],[3]!db[NB NOTA_C],0))</f>
        <v/>
      </c>
      <c r="AR799" s="39" t="str">
        <f>IF(NOTA[[#This Row],[QTY/ CTN]]="","",TRUE)</f>
        <v/>
      </c>
      <c r="AS799" s="39" t="str">
        <f ca="1">IF(NOTA[[#This Row],[ID_H]]="","",IF(NOTA[[#This Row],[Column3]]=TRUE,NOTA[[#This Row],[QTY/ CTN]],INDEX([3]!db[QTY/ CTN],NOTA[[#This Row],[//DB]])))</f>
        <v/>
      </c>
      <c r="AT7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39" t="str">
        <f ca="1">IF(NOTA[[#This Row],[ID_H]]="","",MATCH(NOTA[[#This Row],[NB NOTA_C_QTY]],[4]!db[NB NOTA_C_QTY+F],0))</f>
        <v/>
      </c>
      <c r="AV799" s="55" t="str">
        <f ca="1">IF(NOTA[[#This Row],[NB NOTA_C_QTY]]="","",ROW()-2)</f>
        <v/>
      </c>
    </row>
    <row r="800" spans="1:48" ht="20.100000000000001" customHeight="1" x14ac:dyDescent="0.25">
      <c r="A800" s="42">
        <f ca="1">IF(INDIRECT(ADDRESS(ROW()-1,COLUMN(NOTA[[#Headers],[ID]])))="ID",1,IF(NOTA[[#This Row],[FAKTUR]]="","",COUNT(INDIRECT(ADDRESS(ROW(NOTA[ID]),COLUMN(NOTA[ID]))&amp;":"&amp;ADDRESS(ROW()-1,COLUMN(NOTA[ID]))))+1))</f>
        <v>152</v>
      </c>
      <c r="B8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ETJ_2807_723-3</v>
      </c>
      <c r="C800" s="39" t="e">
        <f ca="1">IF(NOTA[[#This Row],[ID_P]]="","",MATCH(NOTA[[#This Row],[ID_P]],[1]!B_MSK[N_ID],0))</f>
        <v>#REF!</v>
      </c>
      <c r="D800" s="39">
        <f ca="1">IF(NOTA[[#This Row],[NAMA BARANG]]="","",INDEX(NOTA[ID],MATCH(,INDIRECT(ADDRESS(ROW(NOTA[ID]),COLUMN(NOTA[ID]))&amp;":"&amp;ADDRESS(ROW(),COLUMN(NOTA[ID]))),-1)))</f>
        <v>152</v>
      </c>
      <c r="E800" s="47">
        <v>45135</v>
      </c>
      <c r="F800" s="38" t="s">
        <v>151</v>
      </c>
      <c r="G800" s="38" t="s">
        <v>145</v>
      </c>
      <c r="H800" s="48" t="s">
        <v>854</v>
      </c>
      <c r="J800" s="40">
        <v>45132</v>
      </c>
      <c r="L800" s="38" t="s">
        <v>855</v>
      </c>
      <c r="M800" s="41">
        <v>2</v>
      </c>
      <c r="N800" s="39">
        <v>960</v>
      </c>
      <c r="O800" s="38" t="s">
        <v>152</v>
      </c>
      <c r="P800" s="42">
        <v>7500</v>
      </c>
      <c r="Q800" s="43"/>
      <c r="R800" s="49" t="s">
        <v>856</v>
      </c>
      <c r="S800" s="50"/>
      <c r="U800" s="51"/>
      <c r="V800" s="46"/>
      <c r="W800" s="51">
        <f>IF(NOTA[[#This Row],[HARGA/ CTN]]="",NOTA[[#This Row],[JUMLAH_H]],NOTA[[#This Row],[HARGA/ CTN]]*IF(NOTA[[#This Row],[C]]="",0,NOTA[[#This Row],[C]]))</f>
        <v>7200000</v>
      </c>
      <c r="X800" s="51">
        <f>IF(NOTA[[#This Row],[JUMLAH]]="","",NOTA[[#This Row],[JUMLAH]]*NOTA[[#This Row],[DISC 1]])</f>
        <v>0</v>
      </c>
      <c r="Y800" s="51">
        <f>IF(NOTA[[#This Row],[JUMLAH]]="","",(NOTA[[#This Row],[JUMLAH]]-NOTA[[#This Row],[DISC 1-]])*NOTA[[#This Row],[DISC 2]])</f>
        <v>0</v>
      </c>
      <c r="Z800" s="51">
        <f>IF(NOTA[[#This Row],[JUMLAH]]="","",NOTA[[#This Row],[DISC 1-]]+NOTA[[#This Row],[DISC 2-]])</f>
        <v>0</v>
      </c>
      <c r="AA800" s="51">
        <f>IF(NOTA[[#This Row],[JUMLAH]]="","",NOTA[[#This Row],[JUMLAH]]-NOTA[[#This Row],[DISC]])</f>
        <v>7200000</v>
      </c>
      <c r="AB800" s="51"/>
      <c r="AC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800" s="51">
        <f>IF(OR(NOTA[[#This Row],[QTY]]="",NOTA[[#This Row],[HARGA SATUAN]]="",),"",NOTA[[#This Row],[QTY]]*NOTA[[#This Row],[HARGA SATUAN]])</f>
        <v>7200000</v>
      </c>
      <c r="AG800" s="40">
        <f ca="1">IF(NOTA[ID_H]="","",INDEX(NOTA[TANGGAL],MATCH(,INDIRECT(ADDRESS(ROW(NOTA[TANGGAL]),COLUMN(NOTA[TANGGAL]))&amp;":"&amp;ADDRESS(ROW(),COLUMN(NOTA[TANGGAL]))),-1)))</f>
        <v>45135</v>
      </c>
      <c r="AH800" s="42" t="str">
        <f ca="1">IF(NOTA[[#This Row],[NAMA BARANG]]="","",INDEX(NOTA[SUPPLIER],MATCH(,INDIRECT(ADDRESS(ROW(NOTA[ID]),COLUMN(NOTA[ID]))&amp;":"&amp;ADDRESS(ROW(),COLUMN(NOTA[ID]))),-1)))</f>
        <v>ETJ</v>
      </c>
      <c r="AI800" s="42" t="str">
        <f ca="1">IF(NOTA[[#This Row],[ID_H]]="","",IF(NOTA[[#This Row],[FAKTUR]]="",INDIRECT(ADDRESS(ROW()-1,COLUMN())),NOTA[[#This Row],[FAKTUR]]))</f>
        <v>UNTANA</v>
      </c>
      <c r="AJ800" s="39">
        <f ca="1">IF(NOTA[[#This Row],[ID]]="","",COUNTIF(NOTA[ID_H],NOTA[[#This Row],[ID_H]]))</f>
        <v>3</v>
      </c>
      <c r="AK800" s="39">
        <f>IF(NOTA[[#This Row],[TGL.NOTA]]="",IF(NOTA[[#This Row],[SUPPLIER_H]]="","",AK799),MONTH(NOTA[[#This Row],[TGL.NOTA]]))</f>
        <v>7</v>
      </c>
      <c r="AL800" s="39" t="str">
        <f>LOWER(SUBSTITUTE(SUBSTITUTE(SUBSTITUTE(SUBSTITUTE(SUBSTITUTE(SUBSTITUTE(SUBSTITUTE(SUBSTITUTE(SUBSTITUTE(NOTA[NAMA BARANG]," ",),".",""),"-",""),"(",""),")",""),",",""),"/",""),"""",""),"+",""))</f>
        <v>enterbusurno4tbl</v>
      </c>
      <c r="AM8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8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80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ETJUNTANAM17.2345132enterbusurno4tbl</v>
      </c>
      <c r="AP800" s="39" t="e">
        <f>IF(NOTA[[#This Row],[CONCAT4]]="","",_xlfn.IFNA(MATCH(NOTA[[#This Row],[CONCAT4]],[2]!RAW[CONCAT_H],0),FALSE))</f>
        <v>#REF!</v>
      </c>
      <c r="AQ800" s="39">
        <f>IF(NOTA[[#This Row],[CONCAT1]]="","",MATCH(NOTA[[#This Row],[CONCAT1]],[3]!db[NB NOTA_C],0))</f>
        <v>1115</v>
      </c>
      <c r="AR800" s="39" t="b">
        <f>IF(NOTA[[#This Row],[QTY/ CTN]]="","",TRUE)</f>
        <v>1</v>
      </c>
      <c r="AS800" s="39" t="str">
        <f ca="1">IF(NOTA[[#This Row],[ID_H]]="","",IF(NOTA[[#This Row],[Column3]]=TRUE,NOTA[[#This Row],[QTY/ CTN]],INDEX([3]!db[QTY/ CTN],NOTA[[#This Row],[//DB]])))</f>
        <v>480 LSN</v>
      </c>
      <c r="AT8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enterbusurno4tbl480lsnuntana</v>
      </c>
      <c r="AU800" s="39" t="e">
        <f ca="1">IF(NOTA[[#This Row],[ID_H]]="","",MATCH(NOTA[[#This Row],[NB NOTA_C_QTY]],[4]!db[NB NOTA_C_QTY+F],0))</f>
        <v>#REF!</v>
      </c>
      <c r="AV800" s="55">
        <f ca="1">IF(NOTA[[#This Row],[NB NOTA_C_QTY]]="","",ROW()-2)</f>
        <v>798</v>
      </c>
    </row>
    <row r="801" spans="1:48" ht="20.100000000000001" customHeight="1" x14ac:dyDescent="0.25">
      <c r="A8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>
        <f ca="1">IF(NOTA[[#This Row],[NAMA BARANG]]="","",INDEX(NOTA[ID],MATCH(,INDIRECT(ADDRESS(ROW(NOTA[ID]),COLUMN(NOTA[ID]))&amp;":"&amp;ADDRESS(ROW(),COLUMN(NOTA[ID]))),-1)))</f>
        <v>152</v>
      </c>
      <c r="E801" s="47"/>
      <c r="H801" s="48"/>
      <c r="L801" s="38" t="s">
        <v>495</v>
      </c>
      <c r="M801" s="41">
        <v>5</v>
      </c>
      <c r="N801" s="39">
        <v>60</v>
      </c>
      <c r="O801" s="38" t="s">
        <v>152</v>
      </c>
      <c r="P801" s="42">
        <v>38000</v>
      </c>
      <c r="Q801" s="43"/>
      <c r="R801" s="49" t="s">
        <v>513</v>
      </c>
      <c r="S801" s="50"/>
      <c r="U801" s="51"/>
      <c r="V801" s="46"/>
      <c r="W801" s="51">
        <f>IF(NOTA[[#This Row],[HARGA/ CTN]]="",NOTA[[#This Row],[JUMLAH_H]],NOTA[[#This Row],[HARGA/ CTN]]*IF(NOTA[[#This Row],[C]]="",0,NOTA[[#This Row],[C]]))</f>
        <v>2280000</v>
      </c>
      <c r="X801" s="51">
        <f>IF(NOTA[[#This Row],[JUMLAH]]="","",NOTA[[#This Row],[JUMLAH]]*NOTA[[#This Row],[DISC 1]])</f>
        <v>0</v>
      </c>
      <c r="Y801" s="51">
        <f>IF(NOTA[[#This Row],[JUMLAH]]="","",(NOTA[[#This Row],[JUMLAH]]-NOTA[[#This Row],[DISC 1-]])*NOTA[[#This Row],[DISC 2]])</f>
        <v>0</v>
      </c>
      <c r="Z801" s="51">
        <f>IF(NOTA[[#This Row],[JUMLAH]]="","",NOTA[[#This Row],[DISC 1-]]+NOTA[[#This Row],[DISC 2-]])</f>
        <v>0</v>
      </c>
      <c r="AA801" s="51">
        <f>IF(NOTA[[#This Row],[JUMLAH]]="","",NOTA[[#This Row],[JUMLAH]]-NOTA[[#This Row],[DISC]])</f>
        <v>2280000</v>
      </c>
      <c r="AB801" s="51"/>
      <c r="AC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801" s="51">
        <f>IF(OR(NOTA[[#This Row],[QTY]]="",NOTA[[#This Row],[HARGA SATUAN]]="",),"",NOTA[[#This Row],[QTY]]*NOTA[[#This Row],[HARGA SATUAN]])</f>
        <v>2280000</v>
      </c>
      <c r="AG801" s="40">
        <f ca="1">IF(NOTA[ID_H]="","",INDEX(NOTA[TANGGAL],MATCH(,INDIRECT(ADDRESS(ROW(NOTA[TANGGAL]),COLUMN(NOTA[TANGGAL]))&amp;":"&amp;ADDRESS(ROW(),COLUMN(NOTA[TANGGAL]))),-1)))</f>
        <v>45135</v>
      </c>
      <c r="AH801" s="42" t="str">
        <f ca="1">IF(NOTA[[#This Row],[NAMA BARANG]]="","",INDEX(NOTA[SUPPLIER],MATCH(,INDIRECT(ADDRESS(ROW(NOTA[ID]),COLUMN(NOTA[ID]))&amp;":"&amp;ADDRESS(ROW(),COLUMN(NOTA[ID]))),-1)))</f>
        <v>ETJ</v>
      </c>
      <c r="AI801" s="42" t="str">
        <f ca="1">IF(NOTA[[#This Row],[ID_H]]="","",IF(NOTA[[#This Row],[FAKTUR]]="",INDIRECT(ADDRESS(ROW()-1,COLUMN())),NOTA[[#This Row],[FAKTUR]]))</f>
        <v>UNTANA</v>
      </c>
      <c r="AJ801" s="39" t="str">
        <f ca="1">IF(NOTA[[#This Row],[ID]]="","",COUNTIF(NOTA[ID_H],NOTA[[#This Row],[ID_H]]))</f>
        <v/>
      </c>
      <c r="AK801" s="39">
        <f ca="1">IF(NOTA[[#This Row],[TGL.NOTA]]="",IF(NOTA[[#This Row],[SUPPLIER_H]]="","",AK800),MONTH(NOTA[[#This Row],[TGL.NOTA]]))</f>
        <v>7</v>
      </c>
      <c r="AL801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8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8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8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39" t="str">
        <f>IF(NOTA[[#This Row],[CONCAT4]]="","",_xlfn.IFNA(MATCH(NOTA[[#This Row],[CONCAT4]],[2]!RAW[CONCAT_H],0),FALSE))</f>
        <v/>
      </c>
      <c r="AQ801" s="39">
        <f>IF(NOTA[[#This Row],[CONCAT1]]="","",MATCH(NOTA[[#This Row],[CONCAT1]],[3]!db[NB NOTA_C],0))</f>
        <v>879</v>
      </c>
      <c r="AR801" s="39" t="b">
        <f>IF(NOTA[[#This Row],[QTY/ CTN]]="","",TRUE)</f>
        <v>1</v>
      </c>
      <c r="AS801" s="39" t="str">
        <f ca="1">IF(NOTA[[#This Row],[ID_H]]="","",IF(NOTA[[#This Row],[Column3]]=TRUE,NOTA[[#This Row],[QTY/ CTN]],INDEX([3]!db[QTY/ CTN],NOTA[[#This Row],[//DB]])))</f>
        <v>12 LSN</v>
      </c>
      <c r="AT8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801" s="39" t="e">
        <f ca="1">IF(NOTA[[#This Row],[ID_H]]="","",MATCH(NOTA[[#This Row],[NB NOTA_C_QTY]],[4]!db[NB NOTA_C_QTY+F],0))</f>
        <v>#REF!</v>
      </c>
      <c r="AV801" s="55">
        <f ca="1">IF(NOTA[[#This Row],[NB NOTA_C_QTY]]="","",ROW()-2)</f>
        <v>799</v>
      </c>
    </row>
    <row r="802" spans="1:48" ht="20.100000000000001" customHeight="1" x14ac:dyDescent="0.25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>
        <f ca="1">IF(NOTA[[#This Row],[NAMA BARANG]]="","",INDEX(NOTA[ID],MATCH(,INDIRECT(ADDRESS(ROW(NOTA[ID]),COLUMN(NOTA[ID]))&amp;":"&amp;ADDRESS(ROW(),COLUMN(NOTA[ID]))),-1)))</f>
        <v>152</v>
      </c>
      <c r="E802" s="47"/>
      <c r="H802" s="48"/>
      <c r="L802" s="38" t="s">
        <v>857</v>
      </c>
      <c r="M802" s="41">
        <v>3</v>
      </c>
      <c r="N802" s="39">
        <v>180</v>
      </c>
      <c r="O802" s="38" t="s">
        <v>152</v>
      </c>
      <c r="P802" s="42">
        <v>17500</v>
      </c>
      <c r="Q802" s="43"/>
      <c r="R802" s="49" t="s">
        <v>153</v>
      </c>
      <c r="S802" s="50"/>
      <c r="U802" s="51"/>
      <c r="V802" s="46"/>
      <c r="W802" s="51">
        <f>IF(NOTA[[#This Row],[HARGA/ CTN]]="",NOTA[[#This Row],[JUMLAH_H]],NOTA[[#This Row],[HARGA/ CTN]]*IF(NOTA[[#This Row],[C]]="",0,NOTA[[#This Row],[C]]))</f>
        <v>3150000</v>
      </c>
      <c r="X802" s="51">
        <f>IF(NOTA[[#This Row],[JUMLAH]]="","",NOTA[[#This Row],[JUMLAH]]*NOTA[[#This Row],[DISC 1]])</f>
        <v>0</v>
      </c>
      <c r="Y802" s="51">
        <f>IF(NOTA[[#This Row],[JUMLAH]]="","",(NOTA[[#This Row],[JUMLAH]]-NOTA[[#This Row],[DISC 1-]])*NOTA[[#This Row],[DISC 2]])</f>
        <v>0</v>
      </c>
      <c r="Z802" s="51">
        <f>IF(NOTA[[#This Row],[JUMLAH]]="","",NOTA[[#This Row],[DISC 1-]]+NOTA[[#This Row],[DISC 2-]])</f>
        <v>0</v>
      </c>
      <c r="AA802" s="51">
        <f>IF(NOTA[[#This Row],[JUMLAH]]="","",NOTA[[#This Row],[JUMLAH]]-NOTA[[#This Row],[DISC]])</f>
        <v>3150000</v>
      </c>
      <c r="AB802" s="51"/>
      <c r="AC8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12630000</v>
      </c>
      <c r="AE802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802" s="51">
        <f>IF(OR(NOTA[[#This Row],[QTY]]="",NOTA[[#This Row],[HARGA SATUAN]]="",),"",NOTA[[#This Row],[QTY]]*NOTA[[#This Row],[HARGA SATUAN]])</f>
        <v>3150000</v>
      </c>
      <c r="AG802" s="40">
        <f ca="1">IF(NOTA[ID_H]="","",INDEX(NOTA[TANGGAL],MATCH(,INDIRECT(ADDRESS(ROW(NOTA[TANGGAL]),COLUMN(NOTA[TANGGAL]))&amp;":"&amp;ADDRESS(ROW(),COLUMN(NOTA[TANGGAL]))),-1)))</f>
        <v>45135</v>
      </c>
      <c r="AH802" s="42" t="str">
        <f ca="1">IF(NOTA[[#This Row],[NAMA BARANG]]="","",INDEX(NOTA[SUPPLIER],MATCH(,INDIRECT(ADDRESS(ROW(NOTA[ID]),COLUMN(NOTA[ID]))&amp;":"&amp;ADDRESS(ROW(),COLUMN(NOTA[ID]))),-1)))</f>
        <v>ETJ</v>
      </c>
      <c r="AI802" s="42" t="str">
        <f ca="1">IF(NOTA[[#This Row],[ID_H]]="","",IF(NOTA[[#This Row],[FAKTUR]]="",INDIRECT(ADDRESS(ROW()-1,COLUMN())),NOTA[[#This Row],[FAKTUR]]))</f>
        <v>UNTANA</v>
      </c>
      <c r="AJ802" s="39" t="str">
        <f ca="1">IF(NOTA[[#This Row],[ID]]="","",COUNTIF(NOTA[ID_H],NOTA[[#This Row],[ID_H]]))</f>
        <v/>
      </c>
      <c r="AK802" s="39">
        <f ca="1">IF(NOTA[[#This Row],[TGL.NOTA]]="",IF(NOTA[[#This Row],[SUPPLIER_H]]="","",AK801),MONTH(NOTA[[#This Row],[TGL.NOTA]]))</f>
        <v>7</v>
      </c>
      <c r="AL802" s="39" t="str">
        <f>LOWER(SUBSTITUTE(SUBSTITUTE(SUBSTITUTE(SUBSTITUTE(SUBSTITUTE(SUBSTITUTE(SUBSTITUTE(SUBSTITUTE(SUBSTITUTE(NOTA[NAMA BARANG]," ",),".",""),"-",""),"(",""),")",""),",",""),"/",""),"""",""),"+",""))</f>
        <v>enterwbk823lubang</v>
      </c>
      <c r="AM8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N8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O8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39" t="str">
        <f>IF(NOTA[[#This Row],[CONCAT4]]="","",_xlfn.IFNA(MATCH(NOTA[[#This Row],[CONCAT4]],[2]!RAW[CONCAT_H],0),FALSE))</f>
        <v/>
      </c>
      <c r="AQ802" s="39">
        <f>IF(NOTA[[#This Row],[CONCAT1]]="","",MATCH(NOTA[[#This Row],[CONCAT1]],[3]!db[NB NOTA_C],0))</f>
        <v>2147</v>
      </c>
      <c r="AR802" s="39" t="b">
        <f>IF(NOTA[[#This Row],[QTY/ CTN]]="","",TRUE)</f>
        <v>1</v>
      </c>
      <c r="AS802" s="39" t="str">
        <f ca="1">IF(NOTA[[#This Row],[ID_H]]="","",IF(NOTA[[#This Row],[Column3]]=TRUE,NOTA[[#This Row],[QTY/ CTN]],INDEX([3]!db[QTY/ CTN],NOTA[[#This Row],[//DB]])))</f>
        <v>60 LSN</v>
      </c>
      <c r="AT8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U802" s="39" t="e">
        <f ca="1">IF(NOTA[[#This Row],[ID_H]]="","",MATCH(NOTA[[#This Row],[NB NOTA_C_QTY]],[4]!db[NB NOTA_C_QTY+F],0))</f>
        <v>#REF!</v>
      </c>
      <c r="AV802" s="55">
        <f ca="1">IF(NOTA[[#This Row],[NB NOTA_C_QTY]]="","",ROW()-2)</f>
        <v>800</v>
      </c>
    </row>
    <row r="803" spans="1:48" ht="20.100000000000001" customHeight="1" x14ac:dyDescent="0.25">
      <c r="A8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47"/>
      <c r="H803" s="48"/>
      <c r="N803" s="39"/>
      <c r="Q803" s="43"/>
      <c r="R803" s="49"/>
      <c r="S803" s="50"/>
      <c r="U803" s="51"/>
      <c r="V803" s="46"/>
      <c r="W803" s="51" t="str">
        <f>IF(NOTA[[#This Row],[HARGA/ CTN]]="",NOTA[[#This Row],[JUMLAH_H]],NOTA[[#This Row],[HARGA/ CTN]]*IF(NOTA[[#This Row],[C]]="",0,NOTA[[#This Row],[C]]))</f>
        <v/>
      </c>
      <c r="X803" s="51" t="str">
        <f>IF(NOTA[[#This Row],[JUMLAH]]="","",NOTA[[#This Row],[JUMLAH]]*NOTA[[#This Row],[DISC 1]])</f>
        <v/>
      </c>
      <c r="Y803" s="51" t="str">
        <f>IF(NOTA[[#This Row],[JUMLAH]]="","",(NOTA[[#This Row],[JUMLAH]]-NOTA[[#This Row],[DISC 1-]])*NOTA[[#This Row],[DISC 2]])</f>
        <v/>
      </c>
      <c r="Z803" s="51" t="str">
        <f>IF(NOTA[[#This Row],[JUMLAH]]="","",NOTA[[#This Row],[DISC 1-]]+NOTA[[#This Row],[DISC 2-]])</f>
        <v/>
      </c>
      <c r="AA803" s="51" t="str">
        <f>IF(NOTA[[#This Row],[JUMLAH]]="","",NOTA[[#This Row],[JUMLAH]]-NOTA[[#This Row],[DISC]])</f>
        <v/>
      </c>
      <c r="AB803" s="51"/>
      <c r="AC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51" t="str">
        <f>IF(OR(NOTA[[#This Row],[QTY]]="",NOTA[[#This Row],[HARGA SATUAN]]="",),"",NOTA[[#This Row],[QTY]]*NOTA[[#This Row],[HARGA SATUAN]])</f>
        <v/>
      </c>
      <c r="AG803" s="40" t="str">
        <f ca="1">IF(NOTA[ID_H]="","",INDEX(NOTA[TANGGAL],MATCH(,INDIRECT(ADDRESS(ROW(NOTA[TANGGAL]),COLUMN(NOTA[TANGGAL]))&amp;":"&amp;ADDRESS(ROW(),COLUMN(NOTA[TANGGAL]))),-1)))</f>
        <v/>
      </c>
      <c r="AH803" s="42" t="str">
        <f ca="1">IF(NOTA[[#This Row],[NAMA BARANG]]="","",INDEX(NOTA[SUPPLIER],MATCH(,INDIRECT(ADDRESS(ROW(NOTA[ID]),COLUMN(NOTA[ID]))&amp;":"&amp;ADDRESS(ROW(),COLUMN(NOTA[ID]))),-1)))</f>
        <v/>
      </c>
      <c r="AI803" s="42" t="str">
        <f ca="1">IF(NOTA[[#This Row],[ID_H]]="","",IF(NOTA[[#This Row],[FAKTUR]]="",INDIRECT(ADDRESS(ROW()-1,COLUMN())),NOTA[[#This Row],[FAKTUR]]))</f>
        <v/>
      </c>
      <c r="AJ803" s="39" t="str">
        <f ca="1">IF(NOTA[[#This Row],[ID]]="","",COUNTIF(NOTA[ID_H],NOTA[[#This Row],[ID_H]]))</f>
        <v/>
      </c>
      <c r="AK803" s="39" t="str">
        <f ca="1">IF(NOTA[[#This Row],[TGL.NOTA]]="",IF(NOTA[[#This Row],[SUPPLIER_H]]="","",AK802),MONTH(NOTA[[#This Row],[TGL.NOTA]]))</f>
        <v/>
      </c>
      <c r="AL803" s="39" t="str">
        <f>LOWER(SUBSTITUTE(SUBSTITUTE(SUBSTITUTE(SUBSTITUTE(SUBSTITUTE(SUBSTITUTE(SUBSTITUTE(SUBSTITUTE(SUBSTITUTE(NOTA[NAMA BARANG]," ",),".",""),"-",""),"(",""),")",""),",",""),"/",""),"""",""),"+",""))</f>
        <v/>
      </c>
      <c r="AM8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39" t="str">
        <f>IF(NOTA[[#This Row],[CONCAT4]]="","",_xlfn.IFNA(MATCH(NOTA[[#This Row],[CONCAT4]],[2]!RAW[CONCAT_H],0),FALSE))</f>
        <v/>
      </c>
      <c r="AQ803" s="39" t="str">
        <f>IF(NOTA[[#This Row],[CONCAT1]]="","",MATCH(NOTA[[#This Row],[CONCAT1]],[3]!db[NB NOTA_C],0))</f>
        <v/>
      </c>
      <c r="AR803" s="39" t="str">
        <f>IF(NOTA[[#This Row],[QTY/ CTN]]="","",TRUE)</f>
        <v/>
      </c>
      <c r="AS803" s="39" t="str">
        <f ca="1">IF(NOTA[[#This Row],[ID_H]]="","",IF(NOTA[[#This Row],[Column3]]=TRUE,NOTA[[#This Row],[QTY/ CTN]],INDEX([3]!db[QTY/ CTN],NOTA[[#This Row],[//DB]])))</f>
        <v/>
      </c>
      <c r="AT8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39" t="str">
        <f ca="1">IF(NOTA[[#This Row],[ID_H]]="","",MATCH(NOTA[[#This Row],[NB NOTA_C_QTY]],[4]!db[NB NOTA_C_QTY+F],0))</f>
        <v/>
      </c>
      <c r="AV803" s="55" t="str">
        <f ca="1">IF(NOTA[[#This Row],[NB NOTA_C_QTY]]="","",ROW()-2)</f>
        <v/>
      </c>
    </row>
    <row r="804" spans="1:48" ht="20.100000000000001" customHeight="1" x14ac:dyDescent="0.25">
      <c r="A804" s="42">
        <f ca="1">IF(INDIRECT(ADDRESS(ROW()-1,COLUMN(NOTA[[#Headers],[ID]])))="ID",1,IF(NOTA[[#This Row],[FAKTUR]]="","",COUNT(INDIRECT(ADDRESS(ROW(NOTA[ID]),COLUMN(NOTA[ID]))&amp;":"&amp;ADDRESS(ROW()-1,COLUMN(NOTA[ID]))))+1))</f>
        <v>153</v>
      </c>
      <c r="B8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KEN_2807_522-1</v>
      </c>
      <c r="C804" s="39" t="e">
        <f ca="1">IF(NOTA[[#This Row],[ID_P]]="","",MATCH(NOTA[[#This Row],[ID_P]],[1]!B_MSK[N_ID],0))</f>
        <v>#REF!</v>
      </c>
      <c r="D804" s="39">
        <f ca="1">IF(NOTA[[#This Row],[NAMA BARANG]]="","",INDEX(NOTA[ID],MATCH(,INDIRECT(ADDRESS(ROW(NOTA[ID]),COLUMN(NOTA[ID]))&amp;":"&amp;ADDRESS(ROW(),COLUMN(NOTA[ID]))),-1)))</f>
        <v>153</v>
      </c>
      <c r="E804" s="47">
        <v>45135</v>
      </c>
      <c r="F804" s="38" t="s">
        <v>22</v>
      </c>
      <c r="G804" s="38" t="s">
        <v>23</v>
      </c>
      <c r="H804" s="48" t="s">
        <v>861</v>
      </c>
      <c r="J804" s="40">
        <v>45134</v>
      </c>
      <c r="K804" s="38">
        <v>3</v>
      </c>
      <c r="L804" s="38" t="s">
        <v>290</v>
      </c>
      <c r="M804" s="41">
        <v>10</v>
      </c>
      <c r="N804" s="39"/>
      <c r="Q804" s="43">
        <v>1954800</v>
      </c>
      <c r="R804" s="49"/>
      <c r="S804" s="50">
        <v>0.17</v>
      </c>
      <c r="U804" s="51"/>
      <c r="V804" s="46"/>
      <c r="W804" s="51">
        <f>IF(NOTA[[#This Row],[HARGA/ CTN]]="",NOTA[[#This Row],[JUMLAH_H]],NOTA[[#This Row],[HARGA/ CTN]]*IF(NOTA[[#This Row],[C]]="",0,NOTA[[#This Row],[C]]))</f>
        <v>19548000</v>
      </c>
      <c r="X804" s="51">
        <f>IF(NOTA[[#This Row],[JUMLAH]]="","",NOTA[[#This Row],[JUMLAH]]*NOTA[[#This Row],[DISC 1]])</f>
        <v>3323160.0000000005</v>
      </c>
      <c r="Y804" s="51">
        <f>IF(NOTA[[#This Row],[JUMLAH]]="","",(NOTA[[#This Row],[JUMLAH]]-NOTA[[#This Row],[DISC 1-]])*NOTA[[#This Row],[DISC 2]])</f>
        <v>0</v>
      </c>
      <c r="Z804" s="51">
        <f>IF(NOTA[[#This Row],[JUMLAH]]="","",NOTA[[#This Row],[DISC 1-]]+NOTA[[#This Row],[DISC 2-]])</f>
        <v>3323160.0000000005</v>
      </c>
      <c r="AA804" s="51">
        <f>IF(NOTA[[#This Row],[JUMLAH]]="","",NOTA[[#This Row],[JUMLAH]]-NOTA[[#This Row],[DISC]])</f>
        <v>16224840</v>
      </c>
      <c r="AB804" s="51"/>
      <c r="AC8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3323160.0000000005</v>
      </c>
      <c r="AD8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E80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804" s="51" t="str">
        <f>IF(OR(NOTA[[#This Row],[QTY]]="",NOTA[[#This Row],[HARGA SATUAN]]="",),"",NOTA[[#This Row],[QTY]]*NOTA[[#This Row],[HARGA SATUAN]])</f>
        <v/>
      </c>
      <c r="AG804" s="40">
        <f ca="1">IF(NOTA[ID_H]="","",INDEX(NOTA[TANGGAL],MATCH(,INDIRECT(ADDRESS(ROW(NOTA[TANGGAL]),COLUMN(NOTA[TANGGAL]))&amp;":"&amp;ADDRESS(ROW(),COLUMN(NOTA[TANGGAL]))),-1)))</f>
        <v>45135</v>
      </c>
      <c r="AH804" s="42" t="str">
        <f ca="1">IF(NOTA[[#This Row],[NAMA BARANG]]="","",INDEX(NOTA[SUPPLIER],MATCH(,INDIRECT(ADDRESS(ROW(NOTA[ID]),COLUMN(NOTA[ID]))&amp;":"&amp;ADDRESS(ROW(),COLUMN(NOTA[ID]))),-1)))</f>
        <v>KENKO SINAR INDONESIA</v>
      </c>
      <c r="AI804" s="42" t="str">
        <f ca="1">IF(NOTA[[#This Row],[ID_H]]="","",IF(NOTA[[#This Row],[FAKTUR]]="",INDIRECT(ADDRESS(ROW()-1,COLUMN())),NOTA[[#This Row],[FAKTUR]]))</f>
        <v>ARTO MORO</v>
      </c>
      <c r="AJ804" s="39">
        <f ca="1">IF(NOTA[[#This Row],[ID]]="","",COUNTIF(NOTA[ID_H],NOTA[[#This Row],[ID_H]]))</f>
        <v>1</v>
      </c>
      <c r="AK804" s="39">
        <f>IF(NOTA[[#This Row],[TGL.NOTA]]="",IF(NOTA[[#This Row],[SUPPLIER_H]]="","",AK803),MONTH(NOTA[[#This Row],[TGL.NOTA]]))</f>
        <v>7</v>
      </c>
      <c r="AL804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8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8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8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MORO2307252245134kenkocorrectionfluidke01</v>
      </c>
      <c r="AP804" s="39" t="e">
        <f>IF(NOTA[[#This Row],[CONCAT4]]="","",_xlfn.IFNA(MATCH(NOTA[[#This Row],[CONCAT4]],[2]!RAW[CONCAT_H],0),FALSE))</f>
        <v>#REF!</v>
      </c>
      <c r="AQ804" s="39">
        <f>IF(NOTA[[#This Row],[CONCAT1]]="","",MATCH(NOTA[[#This Row],[CONCAT1]],[3]!db[NB NOTA_C],0))</f>
        <v>2678</v>
      </c>
      <c r="AR804" s="39" t="str">
        <f>IF(NOTA[[#This Row],[QTY/ CTN]]="","",TRUE)</f>
        <v/>
      </c>
      <c r="AS804" s="39" t="str">
        <f ca="1">IF(NOTA[[#This Row],[ID_H]]="","",IF(NOTA[[#This Row],[Column3]]=TRUE,NOTA[[#This Row],[QTY/ CTN]],INDEX([3]!db[QTY/ CTN],NOTA[[#This Row],[//DB]])))</f>
        <v>36 LSN</v>
      </c>
      <c r="AT8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804" s="39" t="e">
        <f ca="1">IF(NOTA[[#This Row],[ID_H]]="","",MATCH(NOTA[[#This Row],[NB NOTA_C_QTY]],[4]!db[NB NOTA_C_QTY+F],0))</f>
        <v>#REF!</v>
      </c>
      <c r="AV804" s="55">
        <f ca="1">IF(NOTA[[#This Row],[NB NOTA_C_QTY]]="","",ROW()-2)</f>
        <v>802</v>
      </c>
    </row>
    <row r="805" spans="1:48" ht="20.100000000000001" customHeight="1" x14ac:dyDescent="0.25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47"/>
      <c r="H805" s="48"/>
      <c r="N805" s="39"/>
      <c r="Q805" s="43"/>
      <c r="R805" s="49"/>
      <c r="S805" s="50"/>
      <c r="U805" s="51"/>
      <c r="V805" s="46"/>
      <c r="W805" s="51" t="str">
        <f>IF(NOTA[[#This Row],[HARGA/ CTN]]="",NOTA[[#This Row],[JUMLAH_H]],NOTA[[#This Row],[HARGA/ CTN]]*IF(NOTA[[#This Row],[C]]="",0,NOTA[[#This Row],[C]]))</f>
        <v/>
      </c>
      <c r="X805" s="51" t="str">
        <f>IF(NOTA[[#This Row],[JUMLAH]]="","",NOTA[[#This Row],[JUMLAH]]*NOTA[[#This Row],[DISC 1]])</f>
        <v/>
      </c>
      <c r="Y805" s="51" t="str">
        <f>IF(NOTA[[#This Row],[JUMLAH]]="","",(NOTA[[#This Row],[JUMLAH]]-NOTA[[#This Row],[DISC 1-]])*NOTA[[#This Row],[DISC 2]])</f>
        <v/>
      </c>
      <c r="Z805" s="51" t="str">
        <f>IF(NOTA[[#This Row],[JUMLAH]]="","",NOTA[[#This Row],[DISC 1-]]+NOTA[[#This Row],[DISC 2-]])</f>
        <v/>
      </c>
      <c r="AA805" s="51" t="str">
        <f>IF(NOTA[[#This Row],[JUMLAH]]="","",NOTA[[#This Row],[JUMLAH]]-NOTA[[#This Row],[DISC]])</f>
        <v/>
      </c>
      <c r="AB805" s="51"/>
      <c r="AC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51" t="str">
        <f>IF(OR(NOTA[[#This Row],[QTY]]="",NOTA[[#This Row],[HARGA SATUAN]]="",),"",NOTA[[#This Row],[QTY]]*NOTA[[#This Row],[HARGA SATUAN]])</f>
        <v/>
      </c>
      <c r="AG805" s="40" t="str">
        <f ca="1">IF(NOTA[ID_H]="","",INDEX(NOTA[TANGGAL],MATCH(,INDIRECT(ADDRESS(ROW(NOTA[TANGGAL]),COLUMN(NOTA[TANGGAL]))&amp;":"&amp;ADDRESS(ROW(),COLUMN(NOTA[TANGGAL]))),-1)))</f>
        <v/>
      </c>
      <c r="AH805" s="42" t="str">
        <f ca="1">IF(NOTA[[#This Row],[NAMA BARANG]]="","",INDEX(NOTA[SUPPLIER],MATCH(,INDIRECT(ADDRESS(ROW(NOTA[ID]),COLUMN(NOTA[ID]))&amp;":"&amp;ADDRESS(ROW(),COLUMN(NOTA[ID]))),-1)))</f>
        <v/>
      </c>
      <c r="AI805" s="42" t="str">
        <f ca="1">IF(NOTA[[#This Row],[ID_H]]="","",IF(NOTA[[#This Row],[FAKTUR]]="",INDIRECT(ADDRESS(ROW()-1,COLUMN())),NOTA[[#This Row],[FAKTUR]]))</f>
        <v/>
      </c>
      <c r="AJ805" s="39" t="str">
        <f ca="1">IF(NOTA[[#This Row],[ID]]="","",COUNTIF(NOTA[ID_H],NOTA[[#This Row],[ID_H]]))</f>
        <v/>
      </c>
      <c r="AK805" s="39" t="str">
        <f ca="1">IF(NOTA[[#This Row],[TGL.NOTA]]="",IF(NOTA[[#This Row],[SUPPLIER_H]]="","",AK804),MONTH(NOTA[[#This Row],[TGL.NOTA]]))</f>
        <v/>
      </c>
      <c r="AL805" s="39" t="str">
        <f>LOWER(SUBSTITUTE(SUBSTITUTE(SUBSTITUTE(SUBSTITUTE(SUBSTITUTE(SUBSTITUTE(SUBSTITUTE(SUBSTITUTE(SUBSTITUTE(NOTA[NAMA BARANG]," ",),".",""),"-",""),"(",""),")",""),",",""),"/",""),"""",""),"+",""))</f>
        <v/>
      </c>
      <c r="AM8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39" t="str">
        <f>IF(NOTA[[#This Row],[CONCAT4]]="","",_xlfn.IFNA(MATCH(NOTA[[#This Row],[CONCAT4]],[2]!RAW[CONCAT_H],0),FALSE))</f>
        <v/>
      </c>
      <c r="AQ805" s="39" t="str">
        <f>IF(NOTA[[#This Row],[CONCAT1]]="","",MATCH(NOTA[[#This Row],[CONCAT1]],[3]!db[NB NOTA_C],0))</f>
        <v/>
      </c>
      <c r="AR805" s="39" t="str">
        <f>IF(NOTA[[#This Row],[QTY/ CTN]]="","",TRUE)</f>
        <v/>
      </c>
      <c r="AS805" s="39" t="str">
        <f ca="1">IF(NOTA[[#This Row],[ID_H]]="","",IF(NOTA[[#This Row],[Column3]]=TRUE,NOTA[[#This Row],[QTY/ CTN]],INDEX([3]!db[QTY/ CTN],NOTA[[#This Row],[//DB]])))</f>
        <v/>
      </c>
      <c r="AT8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39" t="str">
        <f ca="1">IF(NOTA[[#This Row],[ID_H]]="","",MATCH(NOTA[[#This Row],[NB NOTA_C_QTY]],[4]!db[NB NOTA_C_QTY+F],0))</f>
        <v/>
      </c>
      <c r="AV805" s="55" t="str">
        <f ca="1">IF(NOTA[[#This Row],[NB NOTA_C_QTY]]="","",ROW()-2)</f>
        <v/>
      </c>
    </row>
    <row r="806" spans="1:48" ht="20.100000000000001" customHeight="1" x14ac:dyDescent="0.25">
      <c r="A806" s="42">
        <f ca="1">IF(INDIRECT(ADDRESS(ROW()-1,COLUMN(NOTA[[#Headers],[ID]])))="ID",1,IF(NOTA[[#This Row],[FAKTUR]]="","",COUNT(INDIRECT(ADDRESS(ROW(NOTA[ID]),COLUMN(NOTA[ID]))&amp;":"&amp;ADDRESS(ROW()-1,COLUMN(NOTA[ID]))))+1))</f>
        <v>154</v>
      </c>
      <c r="B80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ATA_2807_073-3</v>
      </c>
      <c r="C806" s="39" t="e">
        <f ca="1">IF(NOTA[[#This Row],[ID_P]]="","",MATCH(NOTA[[#This Row],[ID_P]],[1]!B_MSK[N_ID],0))</f>
        <v>#REF!</v>
      </c>
      <c r="D806" s="39">
        <f ca="1">IF(NOTA[[#This Row],[NAMA BARANG]]="","",INDEX(NOTA[ID],MATCH(,INDIRECT(ADDRESS(ROW(NOTA[ID]),COLUMN(NOTA[ID]))&amp;":"&amp;ADDRESS(ROW(),COLUMN(NOTA[ID]))),-1)))</f>
        <v>154</v>
      </c>
      <c r="E806" s="47"/>
      <c r="F806" s="38" t="s">
        <v>24</v>
      </c>
      <c r="G806" s="38" t="s">
        <v>23</v>
      </c>
      <c r="H806" s="48" t="s">
        <v>862</v>
      </c>
      <c r="J806" s="40">
        <v>45132</v>
      </c>
      <c r="K806" s="38">
        <v>2</v>
      </c>
      <c r="L806" s="38" t="s">
        <v>737</v>
      </c>
      <c r="M806" s="41">
        <v>3</v>
      </c>
      <c r="N806" s="39">
        <v>432</v>
      </c>
      <c r="O806" s="38" t="s">
        <v>152</v>
      </c>
      <c r="P806" s="42">
        <v>19800</v>
      </c>
      <c r="Q806" s="43"/>
      <c r="R806" s="49" t="s">
        <v>863</v>
      </c>
      <c r="S806" s="50">
        <v>0.125</v>
      </c>
      <c r="T806" s="45">
        <v>0.05</v>
      </c>
      <c r="U806" s="51"/>
      <c r="V806" s="46"/>
      <c r="W806" s="51">
        <f>IF(NOTA[[#This Row],[HARGA/ CTN]]="",NOTA[[#This Row],[JUMLAH_H]],NOTA[[#This Row],[HARGA/ CTN]]*IF(NOTA[[#This Row],[C]]="",0,NOTA[[#This Row],[C]]))</f>
        <v>8553600</v>
      </c>
      <c r="X806" s="51">
        <f>IF(NOTA[[#This Row],[JUMLAH]]="","",NOTA[[#This Row],[JUMLAH]]*NOTA[[#This Row],[DISC 1]])</f>
        <v>1069200</v>
      </c>
      <c r="Y806" s="51">
        <f>IF(NOTA[[#This Row],[JUMLAH]]="","",(NOTA[[#This Row],[JUMLAH]]-NOTA[[#This Row],[DISC 1-]])*NOTA[[#This Row],[DISC 2]])</f>
        <v>374220</v>
      </c>
      <c r="Z806" s="51">
        <f>IF(NOTA[[#This Row],[JUMLAH]]="","",NOTA[[#This Row],[DISC 1-]]+NOTA[[#This Row],[DISC 2-]])</f>
        <v>1443420</v>
      </c>
      <c r="AA806" s="51">
        <f>IF(NOTA[[#This Row],[JUMLAH]]="","",NOTA[[#This Row],[JUMLAH]]-NOTA[[#This Row],[DISC]])</f>
        <v>7110180</v>
      </c>
      <c r="AB806" s="51"/>
      <c r="AC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4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806" s="51">
        <f>IF(OR(NOTA[[#This Row],[QTY]]="",NOTA[[#This Row],[HARGA SATUAN]]="",),"",NOTA[[#This Row],[QTY]]*NOTA[[#This Row],[HARGA SATUAN]])</f>
        <v>8553600</v>
      </c>
      <c r="AG806" s="40">
        <f ca="1">IF(NOTA[ID_H]="","",INDEX(NOTA[TANGGAL],MATCH(,INDIRECT(ADDRESS(ROW(NOTA[TANGGAL]),COLUMN(NOTA[TANGGAL]))&amp;":"&amp;ADDRESS(ROW(),COLUMN(NOTA[TANGGAL]))),-1)))</f>
        <v>45135</v>
      </c>
      <c r="AH806" s="42" t="str">
        <f ca="1">IF(NOTA[[#This Row],[NAMA BARANG]]="","",INDEX(NOTA[SUPPLIER],MATCH(,INDIRECT(ADDRESS(ROW(NOTA[ID]),COLUMN(NOTA[ID]))&amp;":"&amp;ADDRESS(ROW(),COLUMN(NOTA[ID]))),-1)))</f>
        <v>ATALI MAKMUR</v>
      </c>
      <c r="AI806" s="42" t="str">
        <f ca="1">IF(NOTA[[#This Row],[ID_H]]="","",IF(NOTA[[#This Row],[FAKTUR]]="",INDIRECT(ADDRESS(ROW()-1,COLUMN())),NOTA[[#This Row],[FAKTUR]]))</f>
        <v>ARTO MORO</v>
      </c>
      <c r="AJ806" s="39">
        <f ca="1">IF(NOTA[[#This Row],[ID]]="","",COUNTIF(NOTA[ID_H],NOTA[[#This Row],[ID_H]]))</f>
        <v>3</v>
      </c>
      <c r="AK806" s="39">
        <f>IF(NOTA[[#This Row],[TGL.NOTA]]="",IF(NOTA[[#This Row],[SUPPLIER_H]]="","",AK805),MONTH(NOTA[[#This Row],[TGL.NOTA]]))</f>
        <v>7</v>
      </c>
      <c r="AL806" s="39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8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8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80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MOROSA23071307345132pencilleadpl10202bjk</v>
      </c>
      <c r="AP806" s="39" t="e">
        <f>IF(NOTA[[#This Row],[CONCAT4]]="","",_xlfn.IFNA(MATCH(NOTA[[#This Row],[CONCAT4]],[2]!RAW[CONCAT_H],0),FALSE))</f>
        <v>#REF!</v>
      </c>
      <c r="AQ806" s="39">
        <f>IF(NOTA[[#This Row],[CONCAT1]]="","",MATCH(NOTA[[#This Row],[CONCAT1]],[3]!db[NB NOTA_C],0))</f>
        <v>1328</v>
      </c>
      <c r="AR806" s="39" t="b">
        <f>IF(NOTA[[#This Row],[QTY/ CTN]]="","",TRUE)</f>
        <v>1</v>
      </c>
      <c r="AS806" s="39" t="str">
        <f ca="1">IF(NOTA[[#This Row],[ID_H]]="","",IF(NOTA[[#This Row],[Column3]]=TRUE,NOTA[[#This Row],[QTY/ CTN]],INDEX([3]!db[QTY/ CTN],NOTA[[#This Row],[//DB]])))</f>
        <v>12 GRS</v>
      </c>
      <c r="AT8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U806" s="39" t="e">
        <f ca="1">IF(NOTA[[#This Row],[ID_H]]="","",MATCH(NOTA[[#This Row],[NB NOTA_C_QTY]],[4]!db[NB NOTA_C_QTY+F],0))</f>
        <v>#REF!</v>
      </c>
      <c r="AV806" s="55">
        <f ca="1">IF(NOTA[[#This Row],[NB NOTA_C_QTY]]="","",ROW()-2)</f>
        <v>804</v>
      </c>
    </row>
    <row r="807" spans="1:48" ht="20.100000000000001" customHeight="1" x14ac:dyDescent="0.25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>
        <f ca="1">IF(NOTA[[#This Row],[NAMA BARANG]]="","",INDEX(NOTA[ID],MATCH(,INDIRECT(ADDRESS(ROW(NOTA[ID]),COLUMN(NOTA[ID]))&amp;":"&amp;ADDRESS(ROW(),COLUMN(NOTA[ID]))),-1)))</f>
        <v>154</v>
      </c>
      <c r="E807" s="47"/>
      <c r="H807" s="48"/>
      <c r="K807" s="38">
        <v>3</v>
      </c>
      <c r="L807" s="38" t="s">
        <v>872</v>
      </c>
      <c r="M807" s="41">
        <v>3</v>
      </c>
      <c r="N807" s="39">
        <v>864</v>
      </c>
      <c r="O807" s="38" t="s">
        <v>117</v>
      </c>
      <c r="P807" s="42">
        <v>4800</v>
      </c>
      <c r="Q807" s="43"/>
      <c r="R807" s="49" t="s">
        <v>313</v>
      </c>
      <c r="S807" s="50">
        <v>0.125</v>
      </c>
      <c r="T807" s="45">
        <v>0.05</v>
      </c>
      <c r="U807" s="51"/>
      <c r="V807" s="46"/>
      <c r="W807" s="51">
        <f>IF(NOTA[[#This Row],[HARGA/ CTN]]="",NOTA[[#This Row],[JUMLAH_H]],NOTA[[#This Row],[HARGA/ CTN]]*IF(NOTA[[#This Row],[C]]="",0,NOTA[[#This Row],[C]]))</f>
        <v>4147200</v>
      </c>
      <c r="X807" s="51">
        <f>IF(NOTA[[#This Row],[JUMLAH]]="","",NOTA[[#This Row],[JUMLAH]]*NOTA[[#This Row],[DISC 1]])</f>
        <v>518400</v>
      </c>
      <c r="Y807" s="51">
        <f>IF(NOTA[[#This Row],[JUMLAH]]="","",(NOTA[[#This Row],[JUMLAH]]-NOTA[[#This Row],[DISC 1-]])*NOTA[[#This Row],[DISC 2]])</f>
        <v>181440</v>
      </c>
      <c r="Z807" s="51">
        <f>IF(NOTA[[#This Row],[JUMLAH]]="","",NOTA[[#This Row],[DISC 1-]]+NOTA[[#This Row],[DISC 2-]])</f>
        <v>699840</v>
      </c>
      <c r="AA807" s="51">
        <f>IF(NOTA[[#This Row],[JUMLAH]]="","",NOTA[[#This Row],[JUMLAH]]-NOTA[[#This Row],[DISC]])</f>
        <v>3447360</v>
      </c>
      <c r="AB807" s="51"/>
      <c r="AC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07" s="51">
        <f>IF(OR(NOTA[[#This Row],[QTY]]="",NOTA[[#This Row],[HARGA SATUAN]]="",),"",NOTA[[#This Row],[QTY]]*NOTA[[#This Row],[HARGA SATUAN]])</f>
        <v>4147200</v>
      </c>
      <c r="AG807" s="40">
        <f ca="1">IF(NOTA[ID_H]="","",INDEX(NOTA[TANGGAL],MATCH(,INDIRECT(ADDRESS(ROW(NOTA[TANGGAL]),COLUMN(NOTA[TANGGAL]))&amp;":"&amp;ADDRESS(ROW(),COLUMN(NOTA[TANGGAL]))),-1)))</f>
        <v>45135</v>
      </c>
      <c r="AH807" s="42" t="str">
        <f ca="1">IF(NOTA[[#This Row],[NAMA BARANG]]="","",INDEX(NOTA[SUPPLIER],MATCH(,INDIRECT(ADDRESS(ROW(NOTA[ID]),COLUMN(NOTA[ID]))&amp;":"&amp;ADDRESS(ROW(),COLUMN(NOTA[ID]))),-1)))</f>
        <v>ATALI MAKMUR</v>
      </c>
      <c r="AI807" s="42" t="str">
        <f ca="1">IF(NOTA[[#This Row],[ID_H]]="","",IF(NOTA[[#This Row],[FAKTUR]]="",INDIRECT(ADDRESS(ROW()-1,COLUMN())),NOTA[[#This Row],[FAKTUR]]))</f>
        <v>ARTO MORO</v>
      </c>
      <c r="AJ807" s="39" t="str">
        <f ca="1">IF(NOTA[[#This Row],[ID]]="","",COUNTIF(NOTA[ID_H],NOTA[[#This Row],[ID_H]]))</f>
        <v/>
      </c>
      <c r="AK807" s="39">
        <f ca="1">IF(NOTA[[#This Row],[TGL.NOTA]]="",IF(NOTA[[#This Row],[SUPPLIER_H]]="","",AK806),MONTH(NOTA[[#This Row],[TGL.NOTA]]))</f>
        <v>7</v>
      </c>
      <c r="AL807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8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8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8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39" t="str">
        <f>IF(NOTA[[#This Row],[CONCAT4]]="","",_xlfn.IFNA(MATCH(NOTA[[#This Row],[CONCAT4]],[2]!RAW[CONCAT_H],0),FALSE))</f>
        <v/>
      </c>
      <c r="AQ807" s="39">
        <f>IF(NOTA[[#This Row],[CONCAT1]]="","",MATCH(NOTA[[#This Row],[CONCAT1]],[3]!db[NB NOTA_C],0))</f>
        <v>1894</v>
      </c>
      <c r="AR807" s="39" t="b">
        <f>IF(NOTA[[#This Row],[QTY/ CTN]]="","",TRUE)</f>
        <v>1</v>
      </c>
      <c r="AS807" s="39" t="str">
        <f ca="1">IF(NOTA[[#This Row],[ID_H]]="","",IF(NOTA[[#This Row],[Column3]]=TRUE,NOTA[[#This Row],[QTY/ CTN]],INDEX([3]!db[QTY/ CTN],NOTA[[#This Row],[//DB]])))</f>
        <v>288 PCS</v>
      </c>
      <c r="AT8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807" s="39" t="e">
        <f ca="1">IF(NOTA[[#This Row],[ID_H]]="","",MATCH(NOTA[[#This Row],[NB NOTA_C_QTY]],[4]!db[NB NOTA_C_QTY+F],0))</f>
        <v>#REF!</v>
      </c>
      <c r="AV807" s="55">
        <f ca="1">IF(NOTA[[#This Row],[NB NOTA_C_QTY]]="","",ROW()-2)</f>
        <v>805</v>
      </c>
    </row>
    <row r="808" spans="1:48" ht="20.100000000000001" customHeight="1" x14ac:dyDescent="0.25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>
        <f ca="1">IF(NOTA[[#This Row],[NAMA BARANG]]="","",INDEX(NOTA[ID],MATCH(,INDIRECT(ADDRESS(ROW(NOTA[ID]),COLUMN(NOTA[ID]))&amp;":"&amp;ADDRESS(ROW(),COLUMN(NOTA[ID]))),-1)))</f>
        <v>154</v>
      </c>
      <c r="E808" s="47"/>
      <c r="H808" s="48"/>
      <c r="K808" s="38">
        <v>2</v>
      </c>
      <c r="L808" s="38" t="s">
        <v>864</v>
      </c>
      <c r="M808" s="41">
        <v>2</v>
      </c>
      <c r="N808" s="39">
        <v>576</v>
      </c>
      <c r="O808" s="38" t="s">
        <v>117</v>
      </c>
      <c r="P808" s="42">
        <v>4800</v>
      </c>
      <c r="Q808" s="43"/>
      <c r="R808" s="49" t="s">
        <v>313</v>
      </c>
      <c r="S808" s="50">
        <v>0.125</v>
      </c>
      <c r="T808" s="45">
        <v>0.05</v>
      </c>
      <c r="U808" s="51"/>
      <c r="V808" s="46"/>
      <c r="W808" s="51">
        <f>IF(NOTA[[#This Row],[HARGA/ CTN]]="",NOTA[[#This Row],[JUMLAH_H]],NOTA[[#This Row],[HARGA/ CTN]]*IF(NOTA[[#This Row],[C]]="",0,NOTA[[#This Row],[C]]))</f>
        <v>2764800</v>
      </c>
      <c r="X808" s="51">
        <f>IF(NOTA[[#This Row],[JUMLAH]]="","",NOTA[[#This Row],[JUMLAH]]*NOTA[[#This Row],[DISC 1]])</f>
        <v>345600</v>
      </c>
      <c r="Y808" s="51">
        <f>IF(NOTA[[#This Row],[JUMLAH]]="","",(NOTA[[#This Row],[JUMLAH]]-NOTA[[#This Row],[DISC 1-]])*NOTA[[#This Row],[DISC 2]])</f>
        <v>120960</v>
      </c>
      <c r="Z808" s="51">
        <f>IF(NOTA[[#This Row],[JUMLAH]]="","",NOTA[[#This Row],[DISC 1-]]+NOTA[[#This Row],[DISC 2-]])</f>
        <v>466560</v>
      </c>
      <c r="AA808" s="51">
        <f>IF(NOTA[[#This Row],[JUMLAH]]="","",NOTA[[#This Row],[JUMLAH]]-NOTA[[#This Row],[DISC]])</f>
        <v>2298240</v>
      </c>
      <c r="AB808" s="51"/>
      <c r="AC8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8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808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08" s="51">
        <f>IF(OR(NOTA[[#This Row],[QTY]]="",NOTA[[#This Row],[HARGA SATUAN]]="",),"",NOTA[[#This Row],[QTY]]*NOTA[[#This Row],[HARGA SATUAN]])</f>
        <v>2764800</v>
      </c>
      <c r="AG808" s="40">
        <f ca="1">IF(NOTA[ID_H]="","",INDEX(NOTA[TANGGAL],MATCH(,INDIRECT(ADDRESS(ROW(NOTA[TANGGAL]),COLUMN(NOTA[TANGGAL]))&amp;":"&amp;ADDRESS(ROW(),COLUMN(NOTA[TANGGAL]))),-1)))</f>
        <v>45135</v>
      </c>
      <c r="AH808" s="42" t="str">
        <f ca="1">IF(NOTA[[#This Row],[NAMA BARANG]]="","",INDEX(NOTA[SUPPLIER],MATCH(,INDIRECT(ADDRESS(ROW(NOTA[ID]),COLUMN(NOTA[ID]))&amp;":"&amp;ADDRESS(ROW(),COLUMN(NOTA[ID]))),-1)))</f>
        <v>ATALI MAKMUR</v>
      </c>
      <c r="AI808" s="42" t="str">
        <f ca="1">IF(NOTA[[#This Row],[ID_H]]="","",IF(NOTA[[#This Row],[FAKTUR]]="",INDIRECT(ADDRESS(ROW()-1,COLUMN())),NOTA[[#This Row],[FAKTUR]]))</f>
        <v>ARTO MORO</v>
      </c>
      <c r="AJ808" s="39" t="str">
        <f ca="1">IF(NOTA[[#This Row],[ID]]="","",COUNTIF(NOTA[ID_H],NOTA[[#This Row],[ID_H]]))</f>
        <v/>
      </c>
      <c r="AK808" s="39">
        <f ca="1">IF(NOTA[[#This Row],[TGL.NOTA]]="",IF(NOTA[[#This Row],[SUPPLIER_H]]="","",AK807),MONTH(NOTA[[#This Row],[TGL.NOTA]]))</f>
        <v>7</v>
      </c>
      <c r="AL808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8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8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8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39" t="str">
        <f>IF(NOTA[[#This Row],[CONCAT4]]="","",_xlfn.IFNA(MATCH(NOTA[[#This Row],[CONCAT4]],[2]!RAW[CONCAT_H],0),FALSE))</f>
        <v/>
      </c>
      <c r="AQ808" s="39">
        <f>IF(NOTA[[#This Row],[CONCAT1]]="","",MATCH(NOTA[[#This Row],[CONCAT1]],[3]!db[NB NOTA_C],0))</f>
        <v>1905</v>
      </c>
      <c r="AR808" s="39" t="b">
        <f>IF(NOTA[[#This Row],[QTY/ CTN]]="","",TRUE)</f>
        <v>1</v>
      </c>
      <c r="AS808" s="39" t="str">
        <f ca="1">IF(NOTA[[#This Row],[ID_H]]="","",IF(NOTA[[#This Row],[Column3]]=TRUE,NOTA[[#This Row],[QTY/ CTN]],INDEX([3]!db[QTY/ CTN],NOTA[[#This Row],[//DB]])))</f>
        <v>288 PCS</v>
      </c>
      <c r="AT8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808" s="39" t="e">
        <f ca="1">IF(NOTA[[#This Row],[ID_H]]="","",MATCH(NOTA[[#This Row],[NB NOTA_C_QTY]],[4]!db[NB NOTA_C_QTY+F],0))</f>
        <v>#REF!</v>
      </c>
      <c r="AV808" s="55">
        <f ca="1">IF(NOTA[[#This Row],[NB NOTA_C_QTY]]="","",ROW()-2)</f>
        <v>806</v>
      </c>
    </row>
    <row r="809" spans="1:48" ht="20.100000000000001" customHeight="1" x14ac:dyDescent="0.25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47"/>
      <c r="H809" s="48"/>
      <c r="N809" s="39"/>
      <c r="Q809" s="43"/>
      <c r="R809" s="49"/>
      <c r="S809" s="50"/>
      <c r="U809" s="51"/>
      <c r="V809" s="46"/>
      <c r="W809" s="51" t="str">
        <f>IF(NOTA[[#This Row],[HARGA/ CTN]]="",NOTA[[#This Row],[JUMLAH_H]],NOTA[[#This Row],[HARGA/ CTN]]*IF(NOTA[[#This Row],[C]]="",0,NOTA[[#This Row],[C]]))</f>
        <v/>
      </c>
      <c r="X809" s="51" t="str">
        <f>IF(NOTA[[#This Row],[JUMLAH]]="","",NOTA[[#This Row],[JUMLAH]]*NOTA[[#This Row],[DISC 1]])</f>
        <v/>
      </c>
      <c r="Y809" s="51" t="str">
        <f>IF(NOTA[[#This Row],[JUMLAH]]="","",(NOTA[[#This Row],[JUMLAH]]-NOTA[[#This Row],[DISC 1-]])*NOTA[[#This Row],[DISC 2]])</f>
        <v/>
      </c>
      <c r="Z809" s="51" t="str">
        <f>IF(NOTA[[#This Row],[JUMLAH]]="","",NOTA[[#This Row],[DISC 1-]]+NOTA[[#This Row],[DISC 2-]])</f>
        <v/>
      </c>
      <c r="AA809" s="51" t="str">
        <f>IF(NOTA[[#This Row],[JUMLAH]]="","",NOTA[[#This Row],[JUMLAH]]-NOTA[[#This Row],[DISC]])</f>
        <v/>
      </c>
      <c r="AB809" s="51"/>
      <c r="AC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51" t="str">
        <f>IF(OR(NOTA[[#This Row],[QTY]]="",NOTA[[#This Row],[HARGA SATUAN]]="",),"",NOTA[[#This Row],[QTY]]*NOTA[[#This Row],[HARGA SATUAN]])</f>
        <v/>
      </c>
      <c r="AG809" s="40" t="str">
        <f ca="1">IF(NOTA[ID_H]="","",INDEX(NOTA[TANGGAL],MATCH(,INDIRECT(ADDRESS(ROW(NOTA[TANGGAL]),COLUMN(NOTA[TANGGAL]))&amp;":"&amp;ADDRESS(ROW(),COLUMN(NOTA[TANGGAL]))),-1)))</f>
        <v/>
      </c>
      <c r="AH809" s="42" t="str">
        <f ca="1">IF(NOTA[[#This Row],[NAMA BARANG]]="","",INDEX(NOTA[SUPPLIER],MATCH(,INDIRECT(ADDRESS(ROW(NOTA[ID]),COLUMN(NOTA[ID]))&amp;":"&amp;ADDRESS(ROW(),COLUMN(NOTA[ID]))),-1)))</f>
        <v/>
      </c>
      <c r="AI809" s="42" t="str">
        <f ca="1">IF(NOTA[[#This Row],[ID_H]]="","",IF(NOTA[[#This Row],[FAKTUR]]="",INDIRECT(ADDRESS(ROW()-1,COLUMN())),NOTA[[#This Row],[FAKTUR]]))</f>
        <v/>
      </c>
      <c r="AJ809" s="39" t="str">
        <f ca="1">IF(NOTA[[#This Row],[ID]]="","",COUNTIF(NOTA[ID_H],NOTA[[#This Row],[ID_H]]))</f>
        <v/>
      </c>
      <c r="AK809" s="39" t="str">
        <f ca="1">IF(NOTA[[#This Row],[TGL.NOTA]]="",IF(NOTA[[#This Row],[SUPPLIER_H]]="","",AK808),MONTH(NOTA[[#This Row],[TGL.NOTA]]))</f>
        <v/>
      </c>
      <c r="AL809" s="39" t="str">
        <f>LOWER(SUBSTITUTE(SUBSTITUTE(SUBSTITUTE(SUBSTITUTE(SUBSTITUTE(SUBSTITUTE(SUBSTITUTE(SUBSTITUTE(SUBSTITUTE(NOTA[NAMA BARANG]," ",),".",""),"-",""),"(",""),")",""),",",""),"/",""),"""",""),"+",""))</f>
        <v/>
      </c>
      <c r="AM8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39" t="str">
        <f>IF(NOTA[[#This Row],[CONCAT4]]="","",_xlfn.IFNA(MATCH(NOTA[[#This Row],[CONCAT4]],[2]!RAW[CONCAT_H],0),FALSE))</f>
        <v/>
      </c>
      <c r="AQ809" s="39" t="str">
        <f>IF(NOTA[[#This Row],[CONCAT1]]="","",MATCH(NOTA[[#This Row],[CONCAT1]],[3]!db[NB NOTA_C],0))</f>
        <v/>
      </c>
      <c r="AR809" s="39" t="str">
        <f>IF(NOTA[[#This Row],[QTY/ CTN]]="","",TRUE)</f>
        <v/>
      </c>
      <c r="AS809" s="39" t="str">
        <f ca="1">IF(NOTA[[#This Row],[ID_H]]="","",IF(NOTA[[#This Row],[Column3]]=TRUE,NOTA[[#This Row],[QTY/ CTN]],INDEX([3]!db[QTY/ CTN],NOTA[[#This Row],[//DB]])))</f>
        <v/>
      </c>
      <c r="AT8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39" t="str">
        <f ca="1">IF(NOTA[[#This Row],[ID_H]]="","",MATCH(NOTA[[#This Row],[NB NOTA_C_QTY]],[4]!db[NB NOTA_C_QTY+F],0))</f>
        <v/>
      </c>
      <c r="AV809" s="55" t="str">
        <f ca="1">IF(NOTA[[#This Row],[NB NOTA_C_QTY]]="","",ROW()-2)</f>
        <v/>
      </c>
    </row>
    <row r="810" spans="1:48" ht="20.100000000000001" customHeight="1" x14ac:dyDescent="0.25">
      <c r="A810" s="42">
        <f ca="1">IF(INDIRECT(ADDRESS(ROW()-1,COLUMN(NOTA[[#Headers],[ID]])))="ID",1,IF(NOTA[[#This Row],[FAKTUR]]="","",COUNT(INDIRECT(ADDRESS(ROW(NOTA[ID]),COLUMN(NOTA[ID]))&amp;":"&amp;ADDRESS(ROW()-1,COLUMN(NOTA[ID]))))+1))</f>
        <v>155</v>
      </c>
      <c r="B8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ATA_2807_095-6</v>
      </c>
      <c r="C810" s="39" t="e">
        <f ca="1">IF(NOTA[[#This Row],[ID_P]]="","",MATCH(NOTA[[#This Row],[ID_P]],[1]!B_MSK[N_ID],0))</f>
        <v>#REF!</v>
      </c>
      <c r="D810" s="39">
        <f ca="1">IF(NOTA[[#This Row],[NAMA BARANG]]="","",INDEX(NOTA[ID],MATCH(,INDIRECT(ADDRESS(ROW(NOTA[ID]),COLUMN(NOTA[ID]))&amp;":"&amp;ADDRESS(ROW(),COLUMN(NOTA[ID]))),-1)))</f>
        <v>155</v>
      </c>
      <c r="E810" s="47"/>
      <c r="F810" s="38" t="s">
        <v>24</v>
      </c>
      <c r="G810" s="38" t="s">
        <v>23</v>
      </c>
      <c r="H810" s="48" t="s">
        <v>865</v>
      </c>
      <c r="J810" s="40">
        <v>45133</v>
      </c>
      <c r="L810" s="38" t="s">
        <v>866</v>
      </c>
      <c r="N810" s="39">
        <v>36</v>
      </c>
      <c r="O810" s="38" t="s">
        <v>117</v>
      </c>
      <c r="P810" s="42">
        <v>15800</v>
      </c>
      <c r="Q810" s="43"/>
      <c r="R810" s="49" t="s">
        <v>357</v>
      </c>
      <c r="S810" s="50">
        <v>0.125</v>
      </c>
      <c r="T810" s="45">
        <v>0.05</v>
      </c>
      <c r="U810" s="51"/>
      <c r="V810" s="46"/>
      <c r="W810" s="51">
        <f>IF(NOTA[[#This Row],[HARGA/ CTN]]="",NOTA[[#This Row],[JUMLAH_H]],NOTA[[#This Row],[HARGA/ CTN]]*IF(NOTA[[#This Row],[C]]="",0,NOTA[[#This Row],[C]]))</f>
        <v>568800</v>
      </c>
      <c r="X810" s="51">
        <f>IF(NOTA[[#This Row],[JUMLAH]]="","",NOTA[[#This Row],[JUMLAH]]*NOTA[[#This Row],[DISC 1]])</f>
        <v>71100</v>
      </c>
      <c r="Y810" s="51">
        <f>IF(NOTA[[#This Row],[JUMLAH]]="","",(NOTA[[#This Row],[JUMLAH]]-NOTA[[#This Row],[DISC 1-]])*NOTA[[#This Row],[DISC 2]])</f>
        <v>24885</v>
      </c>
      <c r="Z810" s="51">
        <f>IF(NOTA[[#This Row],[JUMLAH]]="","",NOTA[[#This Row],[DISC 1-]]+NOTA[[#This Row],[DISC 2-]])</f>
        <v>95985</v>
      </c>
      <c r="AA810" s="51">
        <f>IF(NOTA[[#This Row],[JUMLAH]]="","",NOTA[[#This Row],[JUMLAH]]-NOTA[[#This Row],[DISC]])</f>
        <v>472815</v>
      </c>
      <c r="AB810" s="51"/>
      <c r="AC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0" s="51">
        <f>IF(OR(NOTA[[#This Row],[QTY]]="",NOTA[[#This Row],[HARGA SATUAN]]="",),"",NOTA[[#This Row],[QTY]]*NOTA[[#This Row],[HARGA SATUAN]])</f>
        <v>568800</v>
      </c>
      <c r="AG810" s="40">
        <f ca="1">IF(NOTA[ID_H]="","",INDEX(NOTA[TANGGAL],MATCH(,INDIRECT(ADDRESS(ROW(NOTA[TANGGAL]),COLUMN(NOTA[TANGGAL]))&amp;":"&amp;ADDRESS(ROW(),COLUMN(NOTA[TANGGAL]))),-1)))</f>
        <v>45135</v>
      </c>
      <c r="AH810" s="42" t="str">
        <f ca="1">IF(NOTA[[#This Row],[NAMA BARANG]]="","",INDEX(NOTA[SUPPLIER],MATCH(,INDIRECT(ADDRESS(ROW(NOTA[ID]),COLUMN(NOTA[ID]))&amp;":"&amp;ADDRESS(ROW(),COLUMN(NOTA[ID]))),-1)))</f>
        <v>ATALI MAKMUR</v>
      </c>
      <c r="AI810" s="42" t="str">
        <f ca="1">IF(NOTA[[#This Row],[ID_H]]="","",IF(NOTA[[#This Row],[FAKTUR]]="",INDIRECT(ADDRESS(ROW()-1,COLUMN())),NOTA[[#This Row],[FAKTUR]]))</f>
        <v>ARTO MORO</v>
      </c>
      <c r="AJ810" s="39">
        <f ca="1">IF(NOTA[[#This Row],[ID]]="","",COUNTIF(NOTA[ID_H],NOTA[[#This Row],[ID_H]]))</f>
        <v>6</v>
      </c>
      <c r="AK810" s="39">
        <f>IF(NOTA[[#This Row],[TGL.NOTA]]="",IF(NOTA[[#This Row],[SUPPLIER_H]]="","",AK809),MONTH(NOTA[[#This Row],[TGL.NOTA]]))</f>
        <v>7</v>
      </c>
      <c r="AL810" s="39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8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8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81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MOROSA23071309545133bindera5tsimm416imagejku</v>
      </c>
      <c r="AP810" s="39" t="e">
        <f>IF(NOTA[[#This Row],[CONCAT4]]="","",_xlfn.IFNA(MATCH(NOTA[[#This Row],[CONCAT4]],[2]!RAW[CONCAT_H],0),FALSE))</f>
        <v>#REF!</v>
      </c>
      <c r="AQ810" s="39">
        <f>IF(NOTA[[#This Row],[CONCAT1]]="","",MATCH(NOTA[[#This Row],[CONCAT1]],[3]!db[NB NOTA_C],0))</f>
        <v>284</v>
      </c>
      <c r="AR810" s="39" t="b">
        <f>IF(NOTA[[#This Row],[QTY/ CTN]]="","",TRUE)</f>
        <v>1</v>
      </c>
      <c r="AS810" s="39" t="str">
        <f ca="1">IF(NOTA[[#This Row],[ID_H]]="","",IF(NOTA[[#This Row],[Column3]]=TRUE,NOTA[[#This Row],[QTY/ CTN]],INDEX([3]!db[QTY/ CTN],NOTA[[#This Row],[//DB]])))</f>
        <v>72 PCS</v>
      </c>
      <c r="AT8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810" s="39" t="e">
        <f ca="1">IF(NOTA[[#This Row],[ID_H]]="","",MATCH(NOTA[[#This Row],[NB NOTA_C_QTY]],[4]!db[NB NOTA_C_QTY+F],0))</f>
        <v>#REF!</v>
      </c>
      <c r="AV810" s="55">
        <f ca="1">IF(NOTA[[#This Row],[NB NOTA_C_QTY]]="","",ROW()-2)</f>
        <v>808</v>
      </c>
    </row>
    <row r="811" spans="1:48" ht="20.100000000000001" customHeight="1" x14ac:dyDescent="0.25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>
        <f ca="1">IF(NOTA[[#This Row],[NAMA BARANG]]="","",INDEX(NOTA[ID],MATCH(,INDIRECT(ADDRESS(ROW(NOTA[ID]),COLUMN(NOTA[ID]))&amp;":"&amp;ADDRESS(ROW(),COLUMN(NOTA[ID]))),-1)))</f>
        <v>155</v>
      </c>
      <c r="E811" s="47"/>
      <c r="H811" s="48"/>
      <c r="L811" s="38" t="s">
        <v>867</v>
      </c>
      <c r="N811" s="39">
        <v>36</v>
      </c>
      <c r="O811" s="38" t="s">
        <v>117</v>
      </c>
      <c r="P811" s="42">
        <v>15800</v>
      </c>
      <c r="Q811" s="43"/>
      <c r="R811" s="49" t="s">
        <v>357</v>
      </c>
      <c r="S811" s="50">
        <v>0.125</v>
      </c>
      <c r="T811" s="45">
        <v>0.05</v>
      </c>
      <c r="U811" s="51"/>
      <c r="V811" s="46"/>
      <c r="W811" s="51">
        <f>IF(NOTA[[#This Row],[HARGA/ CTN]]="",NOTA[[#This Row],[JUMLAH_H]],NOTA[[#This Row],[HARGA/ CTN]]*IF(NOTA[[#This Row],[C]]="",0,NOTA[[#This Row],[C]]))</f>
        <v>568800</v>
      </c>
      <c r="X811" s="51">
        <f>IF(NOTA[[#This Row],[JUMLAH]]="","",NOTA[[#This Row],[JUMLAH]]*NOTA[[#This Row],[DISC 1]])</f>
        <v>71100</v>
      </c>
      <c r="Y811" s="51">
        <f>IF(NOTA[[#This Row],[JUMLAH]]="","",(NOTA[[#This Row],[JUMLAH]]-NOTA[[#This Row],[DISC 1-]])*NOTA[[#This Row],[DISC 2]])</f>
        <v>24885</v>
      </c>
      <c r="Z811" s="51">
        <f>IF(NOTA[[#This Row],[JUMLAH]]="","",NOTA[[#This Row],[DISC 1-]]+NOTA[[#This Row],[DISC 2-]])</f>
        <v>95985</v>
      </c>
      <c r="AA811" s="51">
        <f>IF(NOTA[[#This Row],[JUMLAH]]="","",NOTA[[#This Row],[JUMLAH]]-NOTA[[#This Row],[DISC]])</f>
        <v>472815</v>
      </c>
      <c r="AB811" s="51"/>
      <c r="AC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1" s="51">
        <f>IF(OR(NOTA[[#This Row],[QTY]]="",NOTA[[#This Row],[HARGA SATUAN]]="",),"",NOTA[[#This Row],[QTY]]*NOTA[[#This Row],[HARGA SATUAN]])</f>
        <v>568800</v>
      </c>
      <c r="AG811" s="40">
        <f ca="1">IF(NOTA[ID_H]="","",INDEX(NOTA[TANGGAL],MATCH(,INDIRECT(ADDRESS(ROW(NOTA[TANGGAL]),COLUMN(NOTA[TANGGAL]))&amp;":"&amp;ADDRESS(ROW(),COLUMN(NOTA[TANGGAL]))),-1)))</f>
        <v>45135</v>
      </c>
      <c r="AH811" s="42" t="str">
        <f ca="1">IF(NOTA[[#This Row],[NAMA BARANG]]="","",INDEX(NOTA[SUPPLIER],MATCH(,INDIRECT(ADDRESS(ROW(NOTA[ID]),COLUMN(NOTA[ID]))&amp;":"&amp;ADDRESS(ROW(),COLUMN(NOTA[ID]))),-1)))</f>
        <v>ATALI MAKMUR</v>
      </c>
      <c r="AI811" s="42" t="str">
        <f ca="1">IF(NOTA[[#This Row],[ID_H]]="","",IF(NOTA[[#This Row],[FAKTUR]]="",INDIRECT(ADDRESS(ROW()-1,COLUMN())),NOTA[[#This Row],[FAKTUR]]))</f>
        <v>ARTO MORO</v>
      </c>
      <c r="AJ811" s="39" t="str">
        <f ca="1">IF(NOTA[[#This Row],[ID]]="","",COUNTIF(NOTA[ID_H],NOTA[[#This Row],[ID_H]]))</f>
        <v/>
      </c>
      <c r="AK811" s="39">
        <f ca="1">IF(NOTA[[#This Row],[TGL.NOTA]]="",IF(NOTA[[#This Row],[SUPPLIER_H]]="","",AK810),MONTH(NOTA[[#This Row],[TGL.NOTA]]))</f>
        <v>7</v>
      </c>
      <c r="AL811" s="39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8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bindera5tssrm498spiritjku5688000.1250.05</v>
      </c>
      <c r="AN8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bindera5tssrm498spiritjku158000.1250.05</v>
      </c>
      <c r="AO8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39" t="str">
        <f>IF(NOTA[[#This Row],[CONCAT4]]="","",_xlfn.IFNA(MATCH(NOTA[[#This Row],[CONCAT4]],[2]!RAW[CONCAT_H],0),FALSE))</f>
        <v/>
      </c>
      <c r="AQ811" s="39">
        <f>IF(NOTA[[#This Row],[CONCAT1]]="","",MATCH(NOTA[[#This Row],[CONCAT1]],[3]!db[NB NOTA_C],0))</f>
        <v>300</v>
      </c>
      <c r="AR811" s="39" t="b">
        <f>IF(NOTA[[#This Row],[QTY/ CTN]]="","",TRUE)</f>
        <v>1</v>
      </c>
      <c r="AS811" s="39" t="str">
        <f ca="1">IF(NOTA[[#This Row],[ID_H]]="","",IF(NOTA[[#This Row],[Column3]]=TRUE,NOTA[[#This Row],[QTY/ CTN]],INDEX([3]!db[QTY/ CTN],NOTA[[#This Row],[//DB]])))</f>
        <v>72 PCS</v>
      </c>
      <c r="AT8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811" s="39" t="e">
        <f ca="1">IF(NOTA[[#This Row],[ID_H]]="","",MATCH(NOTA[[#This Row],[NB NOTA_C_QTY]],[4]!db[NB NOTA_C_QTY+F],0))</f>
        <v>#REF!</v>
      </c>
      <c r="AV811" s="55">
        <f ca="1">IF(NOTA[[#This Row],[NB NOTA_C_QTY]]="","",ROW()-2)</f>
        <v>809</v>
      </c>
    </row>
    <row r="812" spans="1:48" ht="20.100000000000001" customHeight="1" x14ac:dyDescent="0.25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>
        <f ca="1">IF(NOTA[[#This Row],[NAMA BARANG]]="","",INDEX(NOTA[ID],MATCH(,INDIRECT(ADDRESS(ROW(NOTA[ID]),COLUMN(NOTA[ID]))&amp;":"&amp;ADDRESS(ROW(),COLUMN(NOTA[ID]))),-1)))</f>
        <v>155</v>
      </c>
      <c r="E812" s="47"/>
      <c r="H812" s="48"/>
      <c r="L812" s="38" t="s">
        <v>868</v>
      </c>
      <c r="N812" s="39">
        <v>36</v>
      </c>
      <c r="O812" s="38" t="s">
        <v>117</v>
      </c>
      <c r="P812" s="42">
        <v>15800</v>
      </c>
      <c r="Q812" s="43"/>
      <c r="R812" s="49" t="s">
        <v>357</v>
      </c>
      <c r="S812" s="50">
        <v>0.125</v>
      </c>
      <c r="T812" s="45">
        <v>0.05</v>
      </c>
      <c r="U812" s="51"/>
      <c r="V812" s="46"/>
      <c r="W812" s="51">
        <f>IF(NOTA[[#This Row],[HARGA/ CTN]]="",NOTA[[#This Row],[JUMLAH_H]],NOTA[[#This Row],[HARGA/ CTN]]*IF(NOTA[[#This Row],[C]]="",0,NOTA[[#This Row],[C]]))</f>
        <v>568800</v>
      </c>
      <c r="X812" s="51">
        <f>IF(NOTA[[#This Row],[JUMLAH]]="","",NOTA[[#This Row],[JUMLAH]]*NOTA[[#This Row],[DISC 1]])</f>
        <v>71100</v>
      </c>
      <c r="Y812" s="51">
        <f>IF(NOTA[[#This Row],[JUMLAH]]="","",(NOTA[[#This Row],[JUMLAH]]-NOTA[[#This Row],[DISC 1-]])*NOTA[[#This Row],[DISC 2]])</f>
        <v>24885</v>
      </c>
      <c r="Z812" s="51">
        <f>IF(NOTA[[#This Row],[JUMLAH]]="","",NOTA[[#This Row],[DISC 1-]]+NOTA[[#This Row],[DISC 2-]])</f>
        <v>95985</v>
      </c>
      <c r="AA812" s="51">
        <f>IF(NOTA[[#This Row],[JUMLAH]]="","",NOTA[[#This Row],[JUMLAH]]-NOTA[[#This Row],[DISC]])</f>
        <v>472815</v>
      </c>
      <c r="AB812" s="51"/>
      <c r="AC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2" s="51">
        <f>IF(OR(NOTA[[#This Row],[QTY]]="",NOTA[[#This Row],[HARGA SATUAN]]="",),"",NOTA[[#This Row],[QTY]]*NOTA[[#This Row],[HARGA SATUAN]])</f>
        <v>568800</v>
      </c>
      <c r="AG812" s="40">
        <f ca="1">IF(NOTA[ID_H]="","",INDEX(NOTA[TANGGAL],MATCH(,INDIRECT(ADDRESS(ROW(NOTA[TANGGAL]),COLUMN(NOTA[TANGGAL]))&amp;":"&amp;ADDRESS(ROW(),COLUMN(NOTA[TANGGAL]))),-1)))</f>
        <v>45135</v>
      </c>
      <c r="AH812" s="42" t="str">
        <f ca="1">IF(NOTA[[#This Row],[NAMA BARANG]]="","",INDEX(NOTA[SUPPLIER],MATCH(,INDIRECT(ADDRESS(ROW(NOTA[ID]),COLUMN(NOTA[ID]))&amp;":"&amp;ADDRESS(ROW(),COLUMN(NOTA[ID]))),-1)))</f>
        <v>ATALI MAKMUR</v>
      </c>
      <c r="AI812" s="42" t="str">
        <f ca="1">IF(NOTA[[#This Row],[ID_H]]="","",IF(NOTA[[#This Row],[FAKTUR]]="",INDIRECT(ADDRESS(ROW()-1,COLUMN())),NOTA[[#This Row],[FAKTUR]]))</f>
        <v>ARTO MORO</v>
      </c>
      <c r="AJ812" s="39" t="str">
        <f ca="1">IF(NOTA[[#This Row],[ID]]="","",COUNTIF(NOTA[ID_H],NOTA[[#This Row],[ID_H]]))</f>
        <v/>
      </c>
      <c r="AK812" s="39">
        <f ca="1">IF(NOTA[[#This Row],[TGL.NOTA]]="",IF(NOTA[[#This Row],[SUPPLIER_H]]="","",AK811),MONTH(NOTA[[#This Row],[TGL.NOTA]]))</f>
        <v>7</v>
      </c>
      <c r="AL812" s="39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8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bindera5tsunm473universityjku5688000.1250.05</v>
      </c>
      <c r="AN8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bindera5tsunm473universityjku158000.1250.05</v>
      </c>
      <c r="AO8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39" t="str">
        <f>IF(NOTA[[#This Row],[CONCAT4]]="","",_xlfn.IFNA(MATCH(NOTA[[#This Row],[CONCAT4]],[2]!RAW[CONCAT_H],0),FALSE))</f>
        <v/>
      </c>
      <c r="AQ812" s="39">
        <f>IF(NOTA[[#This Row],[CONCAT1]]="","",MATCH(NOTA[[#This Row],[CONCAT1]],[3]!db[NB NOTA_C],0))</f>
        <v>288</v>
      </c>
      <c r="AR812" s="39" t="b">
        <f>IF(NOTA[[#This Row],[QTY/ CTN]]="","",TRUE)</f>
        <v>1</v>
      </c>
      <c r="AS812" s="39" t="str">
        <f ca="1">IF(NOTA[[#This Row],[ID_H]]="","",IF(NOTA[[#This Row],[Column3]]=TRUE,NOTA[[#This Row],[QTY/ CTN]],INDEX([3]!db[QTY/ CTN],NOTA[[#This Row],[//DB]])))</f>
        <v>72 PCS</v>
      </c>
      <c r="AT8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812" s="39" t="e">
        <f ca="1">IF(NOTA[[#This Row],[ID_H]]="","",MATCH(NOTA[[#This Row],[NB NOTA_C_QTY]],[4]!db[NB NOTA_C_QTY+F],0))</f>
        <v>#REF!</v>
      </c>
      <c r="AV812" s="55">
        <f ca="1">IF(NOTA[[#This Row],[NB NOTA_C_QTY]]="","",ROW()-2)</f>
        <v>810</v>
      </c>
    </row>
    <row r="813" spans="1:48" ht="20.100000000000001" customHeight="1" x14ac:dyDescent="0.25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>
        <f ca="1">IF(NOTA[[#This Row],[NAMA BARANG]]="","",INDEX(NOTA[ID],MATCH(,INDIRECT(ADDRESS(ROW(NOTA[ID]),COLUMN(NOTA[ID]))&amp;":"&amp;ADDRESS(ROW(),COLUMN(NOTA[ID]))),-1)))</f>
        <v>155</v>
      </c>
      <c r="E813" s="47"/>
      <c r="H813" s="48"/>
      <c r="L813" s="38" t="s">
        <v>869</v>
      </c>
      <c r="N813" s="39">
        <v>36</v>
      </c>
      <c r="O813" s="38" t="s">
        <v>117</v>
      </c>
      <c r="P813" s="42">
        <v>15800</v>
      </c>
      <c r="Q813" s="43"/>
      <c r="R813" s="49" t="s">
        <v>357</v>
      </c>
      <c r="S813" s="50">
        <v>0.125</v>
      </c>
      <c r="T813" s="45">
        <v>0.05</v>
      </c>
      <c r="U813" s="51"/>
      <c r="V813" s="46"/>
      <c r="W813" s="51">
        <f>IF(NOTA[[#This Row],[HARGA/ CTN]]="",NOTA[[#This Row],[JUMLAH_H]],NOTA[[#This Row],[HARGA/ CTN]]*IF(NOTA[[#This Row],[C]]="",0,NOTA[[#This Row],[C]]))</f>
        <v>568800</v>
      </c>
      <c r="X813" s="51">
        <f>IF(NOTA[[#This Row],[JUMLAH]]="","",NOTA[[#This Row],[JUMLAH]]*NOTA[[#This Row],[DISC 1]])</f>
        <v>71100</v>
      </c>
      <c r="Y813" s="51">
        <f>IF(NOTA[[#This Row],[JUMLAH]]="","",(NOTA[[#This Row],[JUMLAH]]-NOTA[[#This Row],[DISC 1-]])*NOTA[[#This Row],[DISC 2]])</f>
        <v>24885</v>
      </c>
      <c r="Z813" s="51">
        <f>IF(NOTA[[#This Row],[JUMLAH]]="","",NOTA[[#This Row],[DISC 1-]]+NOTA[[#This Row],[DISC 2-]])</f>
        <v>95985</v>
      </c>
      <c r="AA813" s="51">
        <f>IF(NOTA[[#This Row],[JUMLAH]]="","",NOTA[[#This Row],[JUMLAH]]-NOTA[[#This Row],[DISC]])</f>
        <v>472815</v>
      </c>
      <c r="AB813" s="51"/>
      <c r="AC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3" s="51">
        <f>IF(OR(NOTA[[#This Row],[QTY]]="",NOTA[[#This Row],[HARGA SATUAN]]="",),"",NOTA[[#This Row],[QTY]]*NOTA[[#This Row],[HARGA SATUAN]])</f>
        <v>568800</v>
      </c>
      <c r="AG813" s="40">
        <f ca="1">IF(NOTA[ID_H]="","",INDEX(NOTA[TANGGAL],MATCH(,INDIRECT(ADDRESS(ROW(NOTA[TANGGAL]),COLUMN(NOTA[TANGGAL]))&amp;":"&amp;ADDRESS(ROW(),COLUMN(NOTA[TANGGAL]))),-1)))</f>
        <v>45135</v>
      </c>
      <c r="AH813" s="42" t="str">
        <f ca="1">IF(NOTA[[#This Row],[NAMA BARANG]]="","",INDEX(NOTA[SUPPLIER],MATCH(,INDIRECT(ADDRESS(ROW(NOTA[ID]),COLUMN(NOTA[ID]))&amp;":"&amp;ADDRESS(ROW(),COLUMN(NOTA[ID]))),-1)))</f>
        <v>ATALI MAKMUR</v>
      </c>
      <c r="AI813" s="42" t="str">
        <f ca="1">IF(NOTA[[#This Row],[ID_H]]="","",IF(NOTA[[#This Row],[FAKTUR]]="",INDIRECT(ADDRESS(ROW()-1,COLUMN())),NOTA[[#This Row],[FAKTUR]]))</f>
        <v>ARTO MORO</v>
      </c>
      <c r="AJ813" s="39" t="str">
        <f ca="1">IF(NOTA[[#This Row],[ID]]="","",COUNTIF(NOTA[ID_H],NOTA[[#This Row],[ID_H]]))</f>
        <v/>
      </c>
      <c r="AK813" s="39">
        <f ca="1">IF(NOTA[[#This Row],[TGL.NOTA]]="",IF(NOTA[[#This Row],[SUPPLIER_H]]="","",AK812),MONTH(NOTA[[#This Row],[TGL.NOTA]]))</f>
        <v>7</v>
      </c>
      <c r="AL813" s="39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8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bindera5tsdsm440discoveryjku5688000.1250.05</v>
      </c>
      <c r="AN8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bindera5tsdsm440discoveryjku158000.1250.05</v>
      </c>
      <c r="AO8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39" t="str">
        <f>IF(NOTA[[#This Row],[CONCAT4]]="","",_xlfn.IFNA(MATCH(NOTA[[#This Row],[CONCAT4]],[2]!RAW[CONCAT_H],0),FALSE))</f>
        <v/>
      </c>
      <c r="AQ813" s="39">
        <f>IF(NOTA[[#This Row],[CONCAT1]]="","",MATCH(NOTA[[#This Row],[CONCAT1]],[3]!db[NB NOTA_C],0))</f>
        <v>286</v>
      </c>
      <c r="AR813" s="39" t="b">
        <f>IF(NOTA[[#This Row],[QTY/ CTN]]="","",TRUE)</f>
        <v>1</v>
      </c>
      <c r="AS813" s="39" t="str">
        <f ca="1">IF(NOTA[[#This Row],[ID_H]]="","",IF(NOTA[[#This Row],[Column3]]=TRUE,NOTA[[#This Row],[QTY/ CTN]],INDEX([3]!db[QTY/ CTN],NOTA[[#This Row],[//DB]])))</f>
        <v>72 PCS</v>
      </c>
      <c r="AT8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813" s="39" t="e">
        <f ca="1">IF(NOTA[[#This Row],[ID_H]]="","",MATCH(NOTA[[#This Row],[NB NOTA_C_QTY]],[4]!db[NB NOTA_C_QTY+F],0))</f>
        <v>#REF!</v>
      </c>
      <c r="AV813" s="55">
        <f ca="1">IF(NOTA[[#This Row],[NB NOTA_C_QTY]]="","",ROW()-2)</f>
        <v>811</v>
      </c>
    </row>
    <row r="814" spans="1:48" ht="20.100000000000001" customHeight="1" x14ac:dyDescent="0.25">
      <c r="A8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>
        <f ca="1">IF(NOTA[[#This Row],[NAMA BARANG]]="","",INDEX(NOTA[ID],MATCH(,INDIRECT(ADDRESS(ROW(NOTA[ID]),COLUMN(NOTA[ID]))&amp;":"&amp;ADDRESS(ROW(),COLUMN(NOTA[ID]))),-1)))</f>
        <v>155</v>
      </c>
      <c r="E814" s="47"/>
      <c r="H814" s="48"/>
      <c r="L814" s="38" t="s">
        <v>870</v>
      </c>
      <c r="N814" s="39">
        <v>36</v>
      </c>
      <c r="O814" s="38" t="s">
        <v>117</v>
      </c>
      <c r="P814" s="42">
        <v>15800</v>
      </c>
      <c r="Q814" s="43"/>
      <c r="R814" s="49" t="s">
        <v>357</v>
      </c>
      <c r="S814" s="50">
        <v>0.125</v>
      </c>
      <c r="T814" s="45">
        <v>0.05</v>
      </c>
      <c r="U814" s="51"/>
      <c r="V814" s="46"/>
      <c r="W814" s="51">
        <f>IF(NOTA[[#This Row],[HARGA/ CTN]]="",NOTA[[#This Row],[JUMLAH_H]],NOTA[[#This Row],[HARGA/ CTN]]*IF(NOTA[[#This Row],[C]]="",0,NOTA[[#This Row],[C]]))</f>
        <v>568800</v>
      </c>
      <c r="X814" s="51">
        <f>IF(NOTA[[#This Row],[JUMLAH]]="","",NOTA[[#This Row],[JUMLAH]]*NOTA[[#This Row],[DISC 1]])</f>
        <v>71100</v>
      </c>
      <c r="Y814" s="51">
        <f>IF(NOTA[[#This Row],[JUMLAH]]="","",(NOTA[[#This Row],[JUMLAH]]-NOTA[[#This Row],[DISC 1-]])*NOTA[[#This Row],[DISC 2]])</f>
        <v>24885</v>
      </c>
      <c r="Z814" s="51">
        <f>IF(NOTA[[#This Row],[JUMLAH]]="","",NOTA[[#This Row],[DISC 1-]]+NOTA[[#This Row],[DISC 2-]])</f>
        <v>95985</v>
      </c>
      <c r="AA814" s="51">
        <f>IF(NOTA[[#This Row],[JUMLAH]]="","",NOTA[[#This Row],[JUMLAH]]-NOTA[[#This Row],[DISC]])</f>
        <v>472815</v>
      </c>
      <c r="AB814" s="51"/>
      <c r="AC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4" s="51">
        <f>IF(OR(NOTA[[#This Row],[QTY]]="",NOTA[[#This Row],[HARGA SATUAN]]="",),"",NOTA[[#This Row],[QTY]]*NOTA[[#This Row],[HARGA SATUAN]])</f>
        <v>568800</v>
      </c>
      <c r="AG814" s="40">
        <f ca="1">IF(NOTA[ID_H]="","",INDEX(NOTA[TANGGAL],MATCH(,INDIRECT(ADDRESS(ROW(NOTA[TANGGAL]),COLUMN(NOTA[TANGGAL]))&amp;":"&amp;ADDRESS(ROW(),COLUMN(NOTA[TANGGAL]))),-1)))</f>
        <v>45135</v>
      </c>
      <c r="AH814" s="42" t="str">
        <f ca="1">IF(NOTA[[#This Row],[NAMA BARANG]]="","",INDEX(NOTA[SUPPLIER],MATCH(,INDIRECT(ADDRESS(ROW(NOTA[ID]),COLUMN(NOTA[ID]))&amp;":"&amp;ADDRESS(ROW(),COLUMN(NOTA[ID]))),-1)))</f>
        <v>ATALI MAKMUR</v>
      </c>
      <c r="AI814" s="42" t="str">
        <f ca="1">IF(NOTA[[#This Row],[ID_H]]="","",IF(NOTA[[#This Row],[FAKTUR]]="",INDIRECT(ADDRESS(ROW()-1,COLUMN())),NOTA[[#This Row],[FAKTUR]]))</f>
        <v>ARTO MORO</v>
      </c>
      <c r="AJ814" s="39" t="str">
        <f ca="1">IF(NOTA[[#This Row],[ID]]="","",COUNTIF(NOTA[ID_H],NOTA[[#This Row],[ID_H]]))</f>
        <v/>
      </c>
      <c r="AK814" s="39">
        <f ca="1">IF(NOTA[[#This Row],[TGL.NOTA]]="",IF(NOTA[[#This Row],[SUPPLIER_H]]="","",AK813),MONTH(NOTA[[#This Row],[TGL.NOTA]]))</f>
        <v>7</v>
      </c>
      <c r="AL814" s="39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M8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bindera5tsbsm376basicjku5688000.1250.05</v>
      </c>
      <c r="AN8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bindera5tsbsm376basicjku158000.1250.05</v>
      </c>
      <c r="AO8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39" t="str">
        <f>IF(NOTA[[#This Row],[CONCAT4]]="","",_xlfn.IFNA(MATCH(NOTA[[#This Row],[CONCAT4]],[2]!RAW[CONCAT_H],0),FALSE))</f>
        <v/>
      </c>
      <c r="AQ814" s="39">
        <f>IF(NOTA[[#This Row],[CONCAT1]]="","",MATCH(NOTA[[#This Row],[CONCAT1]],[3]!db[NB NOTA_C],0))</f>
        <v>282</v>
      </c>
      <c r="AR814" s="39" t="b">
        <f>IF(NOTA[[#This Row],[QTY/ CTN]]="","",TRUE)</f>
        <v>1</v>
      </c>
      <c r="AS814" s="39" t="str">
        <f ca="1">IF(NOTA[[#This Row],[ID_H]]="","",IF(NOTA[[#This Row],[Column3]]=TRUE,NOTA[[#This Row],[QTY/ CTN]],INDEX([3]!db[QTY/ CTN],NOTA[[#This Row],[//DB]])))</f>
        <v>72 PCS</v>
      </c>
      <c r="AT8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U814" s="39" t="e">
        <f ca="1">IF(NOTA[[#This Row],[ID_H]]="","",MATCH(NOTA[[#This Row],[NB NOTA_C_QTY]],[4]!db[NB NOTA_C_QTY+F],0))</f>
        <v>#REF!</v>
      </c>
      <c r="AV814" s="55">
        <f ca="1">IF(NOTA[[#This Row],[NB NOTA_C_QTY]]="","",ROW()-2)</f>
        <v>812</v>
      </c>
    </row>
    <row r="815" spans="1:48" ht="20.100000000000001" customHeight="1" x14ac:dyDescent="0.25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>
        <f ca="1">IF(NOTA[[#This Row],[NAMA BARANG]]="","",INDEX(NOTA[ID],MATCH(,INDIRECT(ADDRESS(ROW(NOTA[ID]),COLUMN(NOTA[ID]))&amp;":"&amp;ADDRESS(ROW(),COLUMN(NOTA[ID]))),-1)))</f>
        <v>155</v>
      </c>
      <c r="E815" s="47"/>
      <c r="H815" s="48"/>
      <c r="L815" s="38" t="s">
        <v>871</v>
      </c>
      <c r="N815" s="39">
        <v>36</v>
      </c>
      <c r="O815" s="38" t="s">
        <v>117</v>
      </c>
      <c r="P815" s="42">
        <v>15800</v>
      </c>
      <c r="Q815" s="43"/>
      <c r="R815" s="49" t="s">
        <v>357</v>
      </c>
      <c r="S815" s="50">
        <v>0.125</v>
      </c>
      <c r="T815" s="45">
        <v>0.05</v>
      </c>
      <c r="U815" s="51"/>
      <c r="V815" s="46"/>
      <c r="W815" s="51">
        <f>IF(NOTA[[#This Row],[HARGA/ CTN]]="",NOTA[[#This Row],[JUMLAH_H]],NOTA[[#This Row],[HARGA/ CTN]]*IF(NOTA[[#This Row],[C]]="",0,NOTA[[#This Row],[C]]))</f>
        <v>568800</v>
      </c>
      <c r="X815" s="51">
        <f>IF(NOTA[[#This Row],[JUMLAH]]="","",NOTA[[#This Row],[JUMLAH]]*NOTA[[#This Row],[DISC 1]])</f>
        <v>71100</v>
      </c>
      <c r="Y815" s="51">
        <f>IF(NOTA[[#This Row],[JUMLAH]]="","",(NOTA[[#This Row],[JUMLAH]]-NOTA[[#This Row],[DISC 1-]])*NOTA[[#This Row],[DISC 2]])</f>
        <v>24885</v>
      </c>
      <c r="Z815" s="51">
        <f>IF(NOTA[[#This Row],[JUMLAH]]="","",NOTA[[#This Row],[DISC 1-]]+NOTA[[#This Row],[DISC 2-]])</f>
        <v>95985</v>
      </c>
      <c r="AA815" s="51">
        <f>IF(NOTA[[#This Row],[JUMLAH]]="","",NOTA[[#This Row],[JUMLAH]]-NOTA[[#This Row],[DISC]])</f>
        <v>472815</v>
      </c>
      <c r="AB815" s="51"/>
      <c r="AC8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8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815" s="4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815" s="51">
        <f>IF(OR(NOTA[[#This Row],[QTY]]="",NOTA[[#This Row],[HARGA SATUAN]]="",),"",NOTA[[#This Row],[QTY]]*NOTA[[#This Row],[HARGA SATUAN]])</f>
        <v>568800</v>
      </c>
      <c r="AG815" s="40">
        <f ca="1">IF(NOTA[ID_H]="","",INDEX(NOTA[TANGGAL],MATCH(,INDIRECT(ADDRESS(ROW(NOTA[TANGGAL]),COLUMN(NOTA[TANGGAL]))&amp;":"&amp;ADDRESS(ROW(),COLUMN(NOTA[TANGGAL]))),-1)))</f>
        <v>45135</v>
      </c>
      <c r="AH815" s="42" t="str">
        <f ca="1">IF(NOTA[[#This Row],[NAMA BARANG]]="","",INDEX(NOTA[SUPPLIER],MATCH(,INDIRECT(ADDRESS(ROW(NOTA[ID]),COLUMN(NOTA[ID]))&amp;":"&amp;ADDRESS(ROW(),COLUMN(NOTA[ID]))),-1)))</f>
        <v>ATALI MAKMUR</v>
      </c>
      <c r="AI815" s="42" t="str">
        <f ca="1">IF(NOTA[[#This Row],[ID_H]]="","",IF(NOTA[[#This Row],[FAKTUR]]="",INDIRECT(ADDRESS(ROW()-1,COLUMN())),NOTA[[#This Row],[FAKTUR]]))</f>
        <v>ARTO MORO</v>
      </c>
      <c r="AJ815" s="39" t="str">
        <f ca="1">IF(NOTA[[#This Row],[ID]]="","",COUNTIF(NOTA[ID_H],NOTA[[#This Row],[ID_H]]))</f>
        <v/>
      </c>
      <c r="AK815" s="39">
        <f ca="1">IF(NOTA[[#This Row],[TGL.NOTA]]="",IF(NOTA[[#This Row],[SUPPLIER_H]]="","",AK814),MONTH(NOTA[[#This Row],[TGL.NOTA]]))</f>
        <v>7</v>
      </c>
      <c r="AL815" s="39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M8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bindera5tsfcm480facultyjku5688000.1250.05</v>
      </c>
      <c r="AN8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bindera5tsfcm480facultyjku158000.1250.05</v>
      </c>
      <c r="AO8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39" t="str">
        <f>IF(NOTA[[#This Row],[CONCAT4]]="","",_xlfn.IFNA(MATCH(NOTA[[#This Row],[CONCAT4]],[2]!RAW[CONCAT_H],0),FALSE))</f>
        <v/>
      </c>
      <c r="AQ815" s="39">
        <f>IF(NOTA[[#This Row],[CONCAT1]]="","",MATCH(NOTA[[#This Row],[CONCAT1]],[3]!db[NB NOTA_C],0))</f>
        <v>297</v>
      </c>
      <c r="AR815" s="39" t="b">
        <f>IF(NOTA[[#This Row],[QTY/ CTN]]="","",TRUE)</f>
        <v>1</v>
      </c>
      <c r="AS815" s="39" t="str">
        <f ca="1">IF(NOTA[[#This Row],[ID_H]]="","",IF(NOTA[[#This Row],[Column3]]=TRUE,NOTA[[#This Row],[QTY/ CTN]],INDEX([3]!db[QTY/ CTN],NOTA[[#This Row],[//DB]])))</f>
        <v>72 PCS</v>
      </c>
      <c r="AT8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U815" s="39" t="e">
        <f ca="1">IF(NOTA[[#This Row],[ID_H]]="","",MATCH(NOTA[[#This Row],[NB NOTA_C_QTY]],[4]!db[NB NOTA_C_QTY+F],0))</f>
        <v>#REF!</v>
      </c>
      <c r="AV815" s="55">
        <f ca="1">IF(NOTA[[#This Row],[NB NOTA_C_QTY]]="","",ROW()-2)</f>
        <v>813</v>
      </c>
    </row>
    <row r="816" spans="1:48" ht="20.100000000000001" customHeight="1" x14ac:dyDescent="0.25">
      <c r="A8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47"/>
      <c r="H816" s="48"/>
      <c r="N816" s="39"/>
      <c r="Q816" s="43"/>
      <c r="R816" s="49"/>
      <c r="S816" s="50"/>
      <c r="U816" s="51"/>
      <c r="V816" s="46"/>
      <c r="W816" s="51" t="str">
        <f>IF(NOTA[[#This Row],[HARGA/ CTN]]="",NOTA[[#This Row],[JUMLAH_H]],NOTA[[#This Row],[HARGA/ CTN]]*IF(NOTA[[#This Row],[C]]="",0,NOTA[[#This Row],[C]]))</f>
        <v/>
      </c>
      <c r="X816" s="51" t="str">
        <f>IF(NOTA[[#This Row],[JUMLAH]]="","",NOTA[[#This Row],[JUMLAH]]*NOTA[[#This Row],[DISC 1]])</f>
        <v/>
      </c>
      <c r="Y816" s="51" t="str">
        <f>IF(NOTA[[#This Row],[JUMLAH]]="","",(NOTA[[#This Row],[JUMLAH]]-NOTA[[#This Row],[DISC 1-]])*NOTA[[#This Row],[DISC 2]])</f>
        <v/>
      </c>
      <c r="Z816" s="51" t="str">
        <f>IF(NOTA[[#This Row],[JUMLAH]]="","",NOTA[[#This Row],[DISC 1-]]+NOTA[[#This Row],[DISC 2-]])</f>
        <v/>
      </c>
      <c r="AA816" s="51" t="str">
        <f>IF(NOTA[[#This Row],[JUMLAH]]="","",NOTA[[#This Row],[JUMLAH]]-NOTA[[#This Row],[DISC]])</f>
        <v/>
      </c>
      <c r="AB816" s="51"/>
      <c r="AC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51" t="str">
        <f>IF(OR(NOTA[[#This Row],[QTY]]="",NOTA[[#This Row],[HARGA SATUAN]]="",),"",NOTA[[#This Row],[QTY]]*NOTA[[#This Row],[HARGA SATUAN]])</f>
        <v/>
      </c>
      <c r="AG816" s="40" t="str">
        <f ca="1">IF(NOTA[ID_H]="","",INDEX(NOTA[TANGGAL],MATCH(,INDIRECT(ADDRESS(ROW(NOTA[TANGGAL]),COLUMN(NOTA[TANGGAL]))&amp;":"&amp;ADDRESS(ROW(),COLUMN(NOTA[TANGGAL]))),-1)))</f>
        <v/>
      </c>
      <c r="AH816" s="42" t="str">
        <f ca="1">IF(NOTA[[#This Row],[NAMA BARANG]]="","",INDEX(NOTA[SUPPLIER],MATCH(,INDIRECT(ADDRESS(ROW(NOTA[ID]),COLUMN(NOTA[ID]))&amp;":"&amp;ADDRESS(ROW(),COLUMN(NOTA[ID]))),-1)))</f>
        <v/>
      </c>
      <c r="AI816" s="42" t="str">
        <f ca="1">IF(NOTA[[#This Row],[ID_H]]="","",IF(NOTA[[#This Row],[FAKTUR]]="",INDIRECT(ADDRESS(ROW()-1,COLUMN())),NOTA[[#This Row],[FAKTUR]]))</f>
        <v/>
      </c>
      <c r="AJ816" s="39" t="str">
        <f ca="1">IF(NOTA[[#This Row],[ID]]="","",COUNTIF(NOTA[ID_H],NOTA[[#This Row],[ID_H]]))</f>
        <v/>
      </c>
      <c r="AK816" s="39" t="str">
        <f ca="1">IF(NOTA[[#This Row],[TGL.NOTA]]="",IF(NOTA[[#This Row],[SUPPLIER_H]]="","",AK815),MONTH(NOTA[[#This Row],[TGL.NOTA]]))</f>
        <v/>
      </c>
      <c r="AL816" s="39" t="str">
        <f>LOWER(SUBSTITUTE(SUBSTITUTE(SUBSTITUTE(SUBSTITUTE(SUBSTITUTE(SUBSTITUTE(SUBSTITUTE(SUBSTITUTE(SUBSTITUTE(NOTA[NAMA BARANG]," ",),".",""),"-",""),"(",""),")",""),",",""),"/",""),"""",""),"+",""))</f>
        <v/>
      </c>
      <c r="AM8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39" t="str">
        <f>IF(NOTA[[#This Row],[CONCAT4]]="","",_xlfn.IFNA(MATCH(NOTA[[#This Row],[CONCAT4]],[2]!RAW[CONCAT_H],0),FALSE))</f>
        <v/>
      </c>
      <c r="AQ816" s="39" t="str">
        <f>IF(NOTA[[#This Row],[CONCAT1]]="","",MATCH(NOTA[[#This Row],[CONCAT1]],[3]!db[NB NOTA_C],0))</f>
        <v/>
      </c>
      <c r="AR816" s="39" t="str">
        <f>IF(NOTA[[#This Row],[QTY/ CTN]]="","",TRUE)</f>
        <v/>
      </c>
      <c r="AS816" s="39" t="str">
        <f ca="1">IF(NOTA[[#This Row],[ID_H]]="","",IF(NOTA[[#This Row],[Column3]]=TRUE,NOTA[[#This Row],[QTY/ CTN]],INDEX([3]!db[QTY/ CTN],NOTA[[#This Row],[//DB]])))</f>
        <v/>
      </c>
      <c r="AT8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39" t="str">
        <f ca="1">IF(NOTA[[#This Row],[ID_H]]="","",MATCH(NOTA[[#This Row],[NB NOTA_C_QTY]],[4]!db[NB NOTA_C_QTY+F],0))</f>
        <v/>
      </c>
      <c r="AV816" s="55" t="str">
        <f ca="1">IF(NOTA[[#This Row],[NB NOTA_C_QTY]]="","",ROW()-2)</f>
        <v/>
      </c>
    </row>
    <row r="817" spans="1:48" ht="20.100000000000001" customHeight="1" x14ac:dyDescent="0.25">
      <c r="A817" s="42">
        <f ca="1">IF(INDIRECT(ADDRESS(ROW()-1,COLUMN(NOTA[[#Headers],[ID]])))="ID",1,IF(NOTA[[#This Row],[FAKTUR]]="","",COUNT(INDIRECT(ADDRESS(ROW(NOTA[ID]),COLUMN(NOTA[ID]))&amp;":"&amp;ADDRESS(ROW()-1,COLUMN(NOTA[ID]))))+1))</f>
        <v>156</v>
      </c>
      <c r="B8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DUT_2807_23H-6</v>
      </c>
      <c r="C817" s="39" t="e">
        <f ca="1">IF(NOTA[[#This Row],[ID_P]]="","",MATCH(NOTA[[#This Row],[ID_P]],[1]!B_MSK[N_ID],0))</f>
        <v>#REF!</v>
      </c>
      <c r="D817" s="39">
        <f ca="1">IF(NOTA[[#This Row],[NAMA BARANG]]="","",INDEX(NOTA[ID],MATCH(,INDIRECT(ADDRESS(ROW(NOTA[ID]),COLUMN(NOTA[ID]))&amp;":"&amp;ADDRESS(ROW(),COLUMN(NOTA[ID]))),-1)))</f>
        <v>156</v>
      </c>
      <c r="E817" s="47"/>
      <c r="F817" s="38" t="s">
        <v>156</v>
      </c>
      <c r="G817" s="38" t="s">
        <v>145</v>
      </c>
      <c r="H817" s="48" t="s">
        <v>873</v>
      </c>
      <c r="J817" s="40">
        <v>45134</v>
      </c>
      <c r="K817" s="38">
        <v>2</v>
      </c>
      <c r="L817" s="38" t="s">
        <v>874</v>
      </c>
      <c r="M817" s="41">
        <v>2</v>
      </c>
      <c r="N817" s="39">
        <v>480</v>
      </c>
      <c r="O817" s="38" t="s">
        <v>263</v>
      </c>
      <c r="P817" s="42">
        <v>10000</v>
      </c>
      <c r="Q817" s="43"/>
      <c r="R817" s="49" t="s">
        <v>875</v>
      </c>
      <c r="S817" s="50"/>
      <c r="U817" s="51"/>
      <c r="V817" s="46" t="s">
        <v>882</v>
      </c>
      <c r="W817" s="51">
        <f>IF(NOTA[[#This Row],[HARGA/ CTN]]="",NOTA[[#This Row],[JUMLAH_H]],NOTA[[#This Row],[HARGA/ CTN]]*IF(NOTA[[#This Row],[C]]="",0,NOTA[[#This Row],[C]]))</f>
        <v>4800000</v>
      </c>
      <c r="X817" s="51">
        <f>IF(NOTA[[#This Row],[JUMLAH]]="","",NOTA[[#This Row],[JUMLAH]]*NOTA[[#This Row],[DISC 1]])</f>
        <v>0</v>
      </c>
      <c r="Y817" s="51">
        <f>IF(NOTA[[#This Row],[JUMLAH]]="","",(NOTA[[#This Row],[JUMLAH]]-NOTA[[#This Row],[DISC 1-]])*NOTA[[#This Row],[DISC 2]])</f>
        <v>0</v>
      </c>
      <c r="Z817" s="51">
        <f>IF(NOTA[[#This Row],[JUMLAH]]="","",NOTA[[#This Row],[DISC 1-]]+NOTA[[#This Row],[DISC 2-]])</f>
        <v>0</v>
      </c>
      <c r="AA817" s="51">
        <f>IF(NOTA[[#This Row],[JUMLAH]]="","",NOTA[[#This Row],[JUMLAH]]-NOTA[[#This Row],[DISC]])</f>
        <v>4800000</v>
      </c>
      <c r="AB817" s="51"/>
      <c r="AC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17" s="51">
        <f>IF(OR(NOTA[[#This Row],[QTY]]="",NOTA[[#This Row],[HARGA SATUAN]]="",),"",NOTA[[#This Row],[QTY]]*NOTA[[#This Row],[HARGA SATUAN]])</f>
        <v>4800000</v>
      </c>
      <c r="AG817" s="40">
        <f ca="1">IF(NOTA[ID_H]="","",INDEX(NOTA[TANGGAL],MATCH(,INDIRECT(ADDRESS(ROW(NOTA[TANGGAL]),COLUMN(NOTA[TANGGAL]))&amp;":"&amp;ADDRESS(ROW(),COLUMN(NOTA[TANGGAL]))),-1)))</f>
        <v>45135</v>
      </c>
      <c r="AH817" s="42" t="str">
        <f ca="1">IF(NOTA[[#This Row],[NAMA BARANG]]="","",INDEX(NOTA[SUPPLIER],MATCH(,INDIRECT(ADDRESS(ROW(NOTA[ID]),COLUMN(NOTA[ID]))&amp;":"&amp;ADDRESS(ROW(),COLUMN(NOTA[ID]))),-1)))</f>
        <v>DUTA BUANA</v>
      </c>
      <c r="AI817" s="42" t="str">
        <f ca="1">IF(NOTA[[#This Row],[ID_H]]="","",IF(NOTA[[#This Row],[FAKTUR]]="",INDIRECT(ADDRESS(ROW()-1,COLUMN())),NOTA[[#This Row],[FAKTUR]]))</f>
        <v>UNTANA</v>
      </c>
      <c r="AJ817" s="39">
        <f ca="1">IF(NOTA[[#This Row],[ID]]="","",COUNTIF(NOTA[ID_H],NOTA[[#This Row],[ID_H]]))</f>
        <v>6</v>
      </c>
      <c r="AK817" s="39">
        <f>IF(NOTA[[#This Row],[TGL.NOTA]]="",IF(NOTA[[#This Row],[SUPPLIER_H]]="","",AK816),MONTH(NOTA[[#This Row],[TGL.NOTA]]))</f>
        <v>7</v>
      </c>
      <c r="AL817" s="39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M8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</v>
      </c>
      <c r="AN8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</v>
      </c>
      <c r="AO81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BUANAUNTANAHM/206/07-23H45134penciltf19512pastel12wrpj</v>
      </c>
      <c r="AP817" s="39" t="e">
        <f>IF(NOTA[[#This Row],[CONCAT4]]="","",_xlfn.IFNA(MATCH(NOTA[[#This Row],[CONCAT4]],[2]!RAW[CONCAT_H],0),FALSE))</f>
        <v>#REF!</v>
      </c>
      <c r="AQ817" s="39">
        <f>IF(NOTA[[#This Row],[CONCAT1]]="","",MATCH(NOTA[[#This Row],[CONCAT1]],[3]!db[NB NOTA_C],0))</f>
        <v>2314</v>
      </c>
      <c r="AR817" s="39" t="b">
        <f>IF(NOTA[[#This Row],[QTY/ CTN]]="","",TRUE)</f>
        <v>1</v>
      </c>
      <c r="AS817" s="39" t="str">
        <f ca="1">IF(NOTA[[#This Row],[ID_H]]="","",IF(NOTA[[#This Row],[Column3]]=TRUE,NOTA[[#This Row],[QTY/ CTN]],INDEX([3]!db[QTY/ CTN],NOTA[[#This Row],[//DB]])))</f>
        <v>240 SET</v>
      </c>
      <c r="AT8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U817" s="39" t="e">
        <f ca="1">IF(NOTA[[#This Row],[ID_H]]="","",MATCH(NOTA[[#This Row],[NB NOTA_C_QTY]],[4]!db[NB NOTA_C_QTY+F],0))</f>
        <v>#REF!</v>
      </c>
      <c r="AV817" s="55">
        <f ca="1">IF(NOTA[[#This Row],[NB NOTA_C_QTY]]="","",ROW()-2)</f>
        <v>815</v>
      </c>
    </row>
    <row r="818" spans="1:48" ht="20.100000000000001" customHeight="1" x14ac:dyDescent="0.25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>
        <f ca="1">IF(NOTA[[#This Row],[NAMA BARANG]]="","",INDEX(NOTA[ID],MATCH(,INDIRECT(ADDRESS(ROW(NOTA[ID]),COLUMN(NOTA[ID]))&amp;":"&amp;ADDRESS(ROW(),COLUMN(NOTA[ID]))),-1)))</f>
        <v>156</v>
      </c>
      <c r="E818" s="47"/>
      <c r="H818" s="48"/>
      <c r="K818" s="38">
        <v>1</v>
      </c>
      <c r="L818" s="38" t="s">
        <v>876</v>
      </c>
      <c r="M818" s="41">
        <v>1</v>
      </c>
      <c r="N818" s="39">
        <v>120</v>
      </c>
      <c r="O818" s="38" t="s">
        <v>263</v>
      </c>
      <c r="P818" s="42">
        <v>20000</v>
      </c>
      <c r="Q818" s="43"/>
      <c r="R818" s="49" t="s">
        <v>877</v>
      </c>
      <c r="S818" s="50"/>
      <c r="U818" s="51"/>
      <c r="V818" s="46" t="s">
        <v>882</v>
      </c>
      <c r="W818" s="51">
        <f>IF(NOTA[[#This Row],[HARGA/ CTN]]="",NOTA[[#This Row],[JUMLAH_H]],NOTA[[#This Row],[HARGA/ CTN]]*IF(NOTA[[#This Row],[C]]="",0,NOTA[[#This Row],[C]]))</f>
        <v>2400000</v>
      </c>
      <c r="X818" s="51">
        <f>IF(NOTA[[#This Row],[JUMLAH]]="","",NOTA[[#This Row],[JUMLAH]]*NOTA[[#This Row],[DISC 1]])</f>
        <v>0</v>
      </c>
      <c r="Y818" s="51">
        <f>IF(NOTA[[#This Row],[JUMLAH]]="","",(NOTA[[#This Row],[JUMLAH]]-NOTA[[#This Row],[DISC 1-]])*NOTA[[#This Row],[DISC 2]])</f>
        <v>0</v>
      </c>
      <c r="Z818" s="51">
        <f>IF(NOTA[[#This Row],[JUMLAH]]="","",NOTA[[#This Row],[DISC 1-]]+NOTA[[#This Row],[DISC 2-]])</f>
        <v>0</v>
      </c>
      <c r="AA818" s="51">
        <f>IF(NOTA[[#This Row],[JUMLAH]]="","",NOTA[[#This Row],[JUMLAH]]-NOTA[[#This Row],[DISC]])</f>
        <v>2400000</v>
      </c>
      <c r="AB818" s="51"/>
      <c r="AC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18" s="51">
        <f>IF(OR(NOTA[[#This Row],[QTY]]="",NOTA[[#This Row],[HARGA SATUAN]]="",),"",NOTA[[#This Row],[QTY]]*NOTA[[#This Row],[HARGA SATUAN]])</f>
        <v>2400000</v>
      </c>
      <c r="AG818" s="40">
        <f ca="1">IF(NOTA[ID_H]="","",INDEX(NOTA[TANGGAL],MATCH(,INDIRECT(ADDRESS(ROW(NOTA[TANGGAL]),COLUMN(NOTA[TANGGAL]))&amp;":"&amp;ADDRESS(ROW(),COLUMN(NOTA[TANGGAL]))),-1)))</f>
        <v>45135</v>
      </c>
      <c r="AH818" s="42" t="str">
        <f ca="1">IF(NOTA[[#This Row],[NAMA BARANG]]="","",INDEX(NOTA[SUPPLIER],MATCH(,INDIRECT(ADDRESS(ROW(NOTA[ID]),COLUMN(NOTA[ID]))&amp;":"&amp;ADDRESS(ROW(),COLUMN(NOTA[ID]))),-1)))</f>
        <v>DUTA BUANA</v>
      </c>
      <c r="AI818" s="42" t="str">
        <f ca="1">IF(NOTA[[#This Row],[ID_H]]="","",IF(NOTA[[#This Row],[FAKTUR]]="",INDIRECT(ADDRESS(ROW()-1,COLUMN())),NOTA[[#This Row],[FAKTUR]]))</f>
        <v>UNTANA</v>
      </c>
      <c r="AJ818" s="39" t="str">
        <f ca="1">IF(NOTA[[#This Row],[ID]]="","",COUNTIF(NOTA[ID_H],NOTA[[#This Row],[ID_H]]))</f>
        <v/>
      </c>
      <c r="AK818" s="39">
        <f ca="1">IF(NOTA[[#This Row],[TGL.NOTA]]="",IF(NOTA[[#This Row],[SUPPLIER_H]]="","",AK817),MONTH(NOTA[[#This Row],[TGL.NOTA]]))</f>
        <v>7</v>
      </c>
      <c r="AL818" s="39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M8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</v>
      </c>
      <c r="AN8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</v>
      </c>
      <c r="AO8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39" t="str">
        <f>IF(NOTA[[#This Row],[CONCAT4]]="","",_xlfn.IFNA(MATCH(NOTA[[#This Row],[CONCAT4]],[2]!RAW[CONCAT_H],0),FALSE))</f>
        <v/>
      </c>
      <c r="AQ818" s="39">
        <f>IF(NOTA[[#This Row],[CONCAT1]]="","",MATCH(NOTA[[#This Row],[CONCAT1]],[3]!db[NB NOTA_C],0))</f>
        <v>2316</v>
      </c>
      <c r="AR818" s="39" t="b">
        <f>IF(NOTA[[#This Row],[QTY/ CTN]]="","",TRUE)</f>
        <v>1</v>
      </c>
      <c r="AS818" s="39" t="str">
        <f ca="1">IF(NOTA[[#This Row],[ID_H]]="","",IF(NOTA[[#This Row],[Column3]]=TRUE,NOTA[[#This Row],[QTY/ CTN]],INDEX([3]!db[QTY/ CTN],NOTA[[#This Row],[//DB]])))</f>
        <v>120 SET</v>
      </c>
      <c r="AT8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U818" s="39" t="e">
        <f ca="1">IF(NOTA[[#This Row],[ID_H]]="","",MATCH(NOTA[[#This Row],[NB NOTA_C_QTY]],[4]!db[NB NOTA_C_QTY+F],0))</f>
        <v>#REF!</v>
      </c>
      <c r="AV818" s="55">
        <f ca="1">IF(NOTA[[#This Row],[NB NOTA_C_QTY]]="","",ROW()-2)</f>
        <v>816</v>
      </c>
    </row>
    <row r="819" spans="1:48" ht="20.100000000000001" customHeight="1" x14ac:dyDescent="0.25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>
        <f ca="1">IF(NOTA[[#This Row],[NAMA BARANG]]="","",INDEX(NOTA[ID],MATCH(,INDIRECT(ADDRESS(ROW(NOTA[ID]),COLUMN(NOTA[ID]))&amp;":"&amp;ADDRESS(ROW(),COLUMN(NOTA[ID]))),-1)))</f>
        <v>156</v>
      </c>
      <c r="E819" s="47"/>
      <c r="H819" s="48"/>
      <c r="K819" s="38">
        <v>2</v>
      </c>
      <c r="L819" s="38" t="s">
        <v>878</v>
      </c>
      <c r="M819" s="41">
        <v>8</v>
      </c>
      <c r="N819" s="39">
        <v>160</v>
      </c>
      <c r="O819" s="38" t="s">
        <v>305</v>
      </c>
      <c r="P819" s="42">
        <v>78975</v>
      </c>
      <c r="Q819" s="43"/>
      <c r="R819" s="49" t="s">
        <v>298</v>
      </c>
      <c r="S819" s="50"/>
      <c r="U819" s="51"/>
      <c r="V819" s="46" t="s">
        <v>882</v>
      </c>
      <c r="W819" s="51">
        <f>IF(NOTA[[#This Row],[HARGA/ CTN]]="",NOTA[[#This Row],[JUMLAH_H]],NOTA[[#This Row],[HARGA/ CTN]]*IF(NOTA[[#This Row],[C]]="",0,NOTA[[#This Row],[C]]))</f>
        <v>12636000</v>
      </c>
      <c r="X819" s="51">
        <f>IF(NOTA[[#This Row],[JUMLAH]]="","",NOTA[[#This Row],[JUMLAH]]*NOTA[[#This Row],[DISC 1]])</f>
        <v>0</v>
      </c>
      <c r="Y819" s="51">
        <f>IF(NOTA[[#This Row],[JUMLAH]]="","",(NOTA[[#This Row],[JUMLAH]]-NOTA[[#This Row],[DISC 1-]])*NOTA[[#This Row],[DISC 2]])</f>
        <v>0</v>
      </c>
      <c r="Z819" s="51">
        <f>IF(NOTA[[#This Row],[JUMLAH]]="","",NOTA[[#This Row],[DISC 1-]]+NOTA[[#This Row],[DISC 2-]])</f>
        <v>0</v>
      </c>
      <c r="AA819" s="51">
        <f>IF(NOTA[[#This Row],[JUMLAH]]="","",NOTA[[#This Row],[JUMLAH]]-NOTA[[#This Row],[DISC]])</f>
        <v>12636000</v>
      </c>
      <c r="AB819" s="51"/>
      <c r="AC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42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819" s="51">
        <f>IF(OR(NOTA[[#This Row],[QTY]]="",NOTA[[#This Row],[HARGA SATUAN]]="",),"",NOTA[[#This Row],[QTY]]*NOTA[[#This Row],[HARGA SATUAN]])</f>
        <v>12636000</v>
      </c>
      <c r="AG819" s="40">
        <f ca="1">IF(NOTA[ID_H]="","",INDEX(NOTA[TANGGAL],MATCH(,INDIRECT(ADDRESS(ROW(NOTA[TANGGAL]),COLUMN(NOTA[TANGGAL]))&amp;":"&amp;ADDRESS(ROW(),COLUMN(NOTA[TANGGAL]))),-1)))</f>
        <v>45135</v>
      </c>
      <c r="AH819" s="42" t="str">
        <f ca="1">IF(NOTA[[#This Row],[NAMA BARANG]]="","",INDEX(NOTA[SUPPLIER],MATCH(,INDIRECT(ADDRESS(ROW(NOTA[ID]),COLUMN(NOTA[ID]))&amp;":"&amp;ADDRESS(ROW(),COLUMN(NOTA[ID]))),-1)))</f>
        <v>DUTA BUANA</v>
      </c>
      <c r="AI819" s="42" t="str">
        <f ca="1">IF(NOTA[[#This Row],[ID_H]]="","",IF(NOTA[[#This Row],[FAKTUR]]="",INDIRECT(ADDRESS(ROW()-1,COLUMN())),NOTA[[#This Row],[FAKTUR]]))</f>
        <v>UNTANA</v>
      </c>
      <c r="AJ819" s="39" t="str">
        <f ca="1">IF(NOTA[[#This Row],[ID]]="","",COUNTIF(NOTA[ID_H],NOTA[[#This Row],[ID_H]]))</f>
        <v/>
      </c>
      <c r="AK819" s="39">
        <f ca="1">IF(NOTA[[#This Row],[TGL.NOTA]]="",IF(NOTA[[#This Row],[SUPPLIER_H]]="","",AK818),MONTH(NOTA[[#This Row],[TGL.NOTA]]))</f>
        <v>7</v>
      </c>
      <c r="AL819" s="39" t="str">
        <f>LOWER(SUBSTITUTE(SUBSTITUTE(SUBSTITUTE(SUBSTITUTE(SUBSTITUTE(SUBSTITUTE(SUBSTITUTE(SUBSTITUTE(SUBSTITUTE(NOTA[NAMA BARANG]," ",),".",""),"-",""),"(",""),")",""),",",""),"/",""),"""",""),"+",""))</f>
        <v>penciltf488serutan</v>
      </c>
      <c r="AM8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penciltf488serutan1579500</v>
      </c>
      <c r="AN8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penciltf488serutan1579500</v>
      </c>
      <c r="AO8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39" t="str">
        <f>IF(NOTA[[#This Row],[CONCAT4]]="","",_xlfn.IFNA(MATCH(NOTA[[#This Row],[CONCAT4]],[2]!RAW[CONCAT_H],0),FALSE))</f>
        <v/>
      </c>
      <c r="AQ819" s="39">
        <f>IF(NOTA[[#This Row],[CONCAT1]]="","",MATCH(NOTA[[#This Row],[CONCAT1]],[3]!db[NB NOTA_C],0))</f>
        <v>2220</v>
      </c>
      <c r="AR819" s="39" t="b">
        <f>IF(NOTA[[#This Row],[QTY/ CTN]]="","",TRUE)</f>
        <v>1</v>
      </c>
      <c r="AS819" s="39" t="str">
        <f ca="1">IF(NOTA[[#This Row],[ID_H]]="","",IF(NOTA[[#This Row],[Column3]]=TRUE,NOTA[[#This Row],[QTY/ CTN]],INDEX([3]!db[QTY/ CTN],NOTA[[#This Row],[//DB]])))</f>
        <v>20 GRS</v>
      </c>
      <c r="AT8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penciltf488serutan20grsuntana</v>
      </c>
      <c r="AU819" s="39" t="e">
        <f ca="1">IF(NOTA[[#This Row],[ID_H]]="","",MATCH(NOTA[[#This Row],[NB NOTA_C_QTY]],[4]!db[NB NOTA_C_QTY+F],0))</f>
        <v>#REF!</v>
      </c>
      <c r="AV819" s="55">
        <f ca="1">IF(NOTA[[#This Row],[NB NOTA_C_QTY]]="","",ROW()-2)</f>
        <v>817</v>
      </c>
    </row>
    <row r="820" spans="1:48" ht="20.100000000000001" customHeight="1" x14ac:dyDescent="0.25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>
        <f ca="1">IF(NOTA[[#This Row],[NAMA BARANG]]="","",INDEX(NOTA[ID],MATCH(,INDIRECT(ADDRESS(ROW(NOTA[ID]),COLUMN(NOTA[ID]))&amp;":"&amp;ADDRESS(ROW(),COLUMN(NOTA[ID]))),-1)))</f>
        <v>156</v>
      </c>
      <c r="E820" s="47"/>
      <c r="H820" s="48"/>
      <c r="K820" s="38">
        <v>3</v>
      </c>
      <c r="L820" s="38" t="s">
        <v>879</v>
      </c>
      <c r="M820" s="41">
        <v>5</v>
      </c>
      <c r="N820" s="39">
        <v>100</v>
      </c>
      <c r="O820" s="38" t="s">
        <v>305</v>
      </c>
      <c r="P820" s="42">
        <v>78975</v>
      </c>
      <c r="Q820" s="43"/>
      <c r="R820" s="49" t="s">
        <v>298</v>
      </c>
      <c r="S820" s="50"/>
      <c r="U820" s="51"/>
      <c r="V820" s="46" t="s">
        <v>882</v>
      </c>
      <c r="W820" s="51">
        <f>IF(NOTA[[#This Row],[HARGA/ CTN]]="",NOTA[[#This Row],[JUMLAH_H]],NOTA[[#This Row],[HARGA/ CTN]]*IF(NOTA[[#This Row],[C]]="",0,NOTA[[#This Row],[C]]))</f>
        <v>7897500</v>
      </c>
      <c r="X820" s="51">
        <f>IF(NOTA[[#This Row],[JUMLAH]]="","",NOTA[[#This Row],[JUMLAH]]*NOTA[[#This Row],[DISC 1]])</f>
        <v>0</v>
      </c>
      <c r="Y820" s="51">
        <f>IF(NOTA[[#This Row],[JUMLAH]]="","",(NOTA[[#This Row],[JUMLAH]]-NOTA[[#This Row],[DISC 1-]])*NOTA[[#This Row],[DISC 2]])</f>
        <v>0</v>
      </c>
      <c r="Z820" s="51">
        <f>IF(NOTA[[#This Row],[JUMLAH]]="","",NOTA[[#This Row],[DISC 1-]]+NOTA[[#This Row],[DISC 2-]])</f>
        <v>0</v>
      </c>
      <c r="AA820" s="51">
        <f>IF(NOTA[[#This Row],[JUMLAH]]="","",NOTA[[#This Row],[JUMLAH]]-NOTA[[#This Row],[DISC]])</f>
        <v>7897500</v>
      </c>
      <c r="AB820" s="51"/>
      <c r="AC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42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820" s="51">
        <f>IF(OR(NOTA[[#This Row],[QTY]]="",NOTA[[#This Row],[HARGA SATUAN]]="",),"",NOTA[[#This Row],[QTY]]*NOTA[[#This Row],[HARGA SATUAN]])</f>
        <v>7897500</v>
      </c>
      <c r="AG820" s="40">
        <f ca="1">IF(NOTA[ID_H]="","",INDEX(NOTA[TANGGAL],MATCH(,INDIRECT(ADDRESS(ROW(NOTA[TANGGAL]),COLUMN(NOTA[TANGGAL]))&amp;":"&amp;ADDRESS(ROW(),COLUMN(NOTA[TANGGAL]))),-1)))</f>
        <v>45135</v>
      </c>
      <c r="AH820" s="42" t="str">
        <f ca="1">IF(NOTA[[#This Row],[NAMA BARANG]]="","",INDEX(NOTA[SUPPLIER],MATCH(,INDIRECT(ADDRESS(ROW(NOTA[ID]),COLUMN(NOTA[ID]))&amp;":"&amp;ADDRESS(ROW(),COLUMN(NOTA[ID]))),-1)))</f>
        <v>DUTA BUANA</v>
      </c>
      <c r="AI820" s="42" t="str">
        <f ca="1">IF(NOTA[[#This Row],[ID_H]]="","",IF(NOTA[[#This Row],[FAKTUR]]="",INDIRECT(ADDRESS(ROW()-1,COLUMN())),NOTA[[#This Row],[FAKTUR]]))</f>
        <v>UNTANA</v>
      </c>
      <c r="AJ820" s="39" t="str">
        <f ca="1">IF(NOTA[[#This Row],[ID]]="","",COUNTIF(NOTA[ID_H],NOTA[[#This Row],[ID_H]]))</f>
        <v/>
      </c>
      <c r="AK820" s="39">
        <f ca="1">IF(NOTA[[#This Row],[TGL.NOTA]]="",IF(NOTA[[#This Row],[SUPPLIER_H]]="","",AK819),MONTH(NOTA[[#This Row],[TGL.NOTA]]))</f>
        <v>7</v>
      </c>
      <c r="AL820" s="39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8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</v>
      </c>
      <c r="AN8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</v>
      </c>
      <c r="AO8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39" t="str">
        <f>IF(NOTA[[#This Row],[CONCAT4]]="","",_xlfn.IFNA(MATCH(NOTA[[#This Row],[CONCAT4]],[2]!RAW[CONCAT_H],0),FALSE))</f>
        <v/>
      </c>
      <c r="AQ820" s="39">
        <f>IF(NOTA[[#This Row],[CONCAT1]]="","",MATCH(NOTA[[#This Row],[CONCAT1]],[3]!db[NB NOTA_C],0))</f>
        <v>2221</v>
      </c>
      <c r="AR820" s="39" t="b">
        <f>IF(NOTA[[#This Row],[QTY/ CTN]]="","",TRUE)</f>
        <v>1</v>
      </c>
      <c r="AS820" s="39" t="str">
        <f ca="1">IF(NOTA[[#This Row],[ID_H]]="","",IF(NOTA[[#This Row],[Column3]]=TRUE,NOTA[[#This Row],[QTY/ CTN]],INDEX([3]!db[QTY/ CTN],NOTA[[#This Row],[//DB]])))</f>
        <v>20 GRS</v>
      </c>
      <c r="AT8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penciltf588serutan20grsuntana</v>
      </c>
      <c r="AU820" s="39" t="e">
        <f ca="1">IF(NOTA[[#This Row],[ID_H]]="","",MATCH(NOTA[[#This Row],[NB NOTA_C_QTY]],[4]!db[NB NOTA_C_QTY+F],0))</f>
        <v>#REF!</v>
      </c>
      <c r="AV820" s="55">
        <f ca="1">IF(NOTA[[#This Row],[NB NOTA_C_QTY]]="","",ROW()-2)</f>
        <v>818</v>
      </c>
    </row>
    <row r="821" spans="1:48" ht="20.100000000000001" customHeight="1" x14ac:dyDescent="0.25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>
        <f ca="1">IF(NOTA[[#This Row],[NAMA BARANG]]="","",INDEX(NOTA[ID],MATCH(,INDIRECT(ADDRESS(ROW(NOTA[ID]),COLUMN(NOTA[ID]))&amp;":"&amp;ADDRESS(ROW(),COLUMN(NOTA[ID]))),-1)))</f>
        <v>156</v>
      </c>
      <c r="E821" s="47"/>
      <c r="H821" s="48"/>
      <c r="L821" s="38" t="s">
        <v>880</v>
      </c>
      <c r="M821" s="41">
        <v>6</v>
      </c>
      <c r="N821" s="39">
        <v>120</v>
      </c>
      <c r="O821" s="38" t="s">
        <v>305</v>
      </c>
      <c r="P821" s="42">
        <v>78975</v>
      </c>
      <c r="Q821" s="43"/>
      <c r="R821" s="49" t="s">
        <v>298</v>
      </c>
      <c r="S821" s="50"/>
      <c r="U821" s="51"/>
      <c r="V821" s="46" t="s">
        <v>882</v>
      </c>
      <c r="W821" s="51">
        <f>IF(NOTA[[#This Row],[HARGA/ CTN]]="",NOTA[[#This Row],[JUMLAH_H]],NOTA[[#This Row],[HARGA/ CTN]]*IF(NOTA[[#This Row],[C]]="",0,NOTA[[#This Row],[C]]))</f>
        <v>9477000</v>
      </c>
      <c r="X821" s="51">
        <f>IF(NOTA[[#This Row],[JUMLAH]]="","",NOTA[[#This Row],[JUMLAH]]*NOTA[[#This Row],[DISC 1]])</f>
        <v>0</v>
      </c>
      <c r="Y821" s="51">
        <f>IF(NOTA[[#This Row],[JUMLAH]]="","",(NOTA[[#This Row],[JUMLAH]]-NOTA[[#This Row],[DISC 1-]])*NOTA[[#This Row],[DISC 2]])</f>
        <v>0</v>
      </c>
      <c r="Z821" s="51">
        <f>IF(NOTA[[#This Row],[JUMLAH]]="","",NOTA[[#This Row],[DISC 1-]]+NOTA[[#This Row],[DISC 2-]])</f>
        <v>0</v>
      </c>
      <c r="AA821" s="51">
        <f>IF(NOTA[[#This Row],[JUMLAH]]="","",NOTA[[#This Row],[JUMLAH]]-NOTA[[#This Row],[DISC]])</f>
        <v>9477000</v>
      </c>
      <c r="AB821" s="51"/>
      <c r="AC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42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821" s="51">
        <f>IF(OR(NOTA[[#This Row],[QTY]]="",NOTA[[#This Row],[HARGA SATUAN]]="",),"",NOTA[[#This Row],[QTY]]*NOTA[[#This Row],[HARGA SATUAN]])</f>
        <v>9477000</v>
      </c>
      <c r="AG821" s="40">
        <f ca="1">IF(NOTA[ID_H]="","",INDEX(NOTA[TANGGAL],MATCH(,INDIRECT(ADDRESS(ROW(NOTA[TANGGAL]),COLUMN(NOTA[TANGGAL]))&amp;":"&amp;ADDRESS(ROW(),COLUMN(NOTA[TANGGAL]))),-1)))</f>
        <v>45135</v>
      </c>
      <c r="AH821" s="42" t="str">
        <f ca="1">IF(NOTA[[#This Row],[NAMA BARANG]]="","",INDEX(NOTA[SUPPLIER],MATCH(,INDIRECT(ADDRESS(ROW(NOTA[ID]),COLUMN(NOTA[ID]))&amp;":"&amp;ADDRESS(ROW(),COLUMN(NOTA[ID]))),-1)))</f>
        <v>DUTA BUANA</v>
      </c>
      <c r="AI821" s="42" t="str">
        <f ca="1">IF(NOTA[[#This Row],[ID_H]]="","",IF(NOTA[[#This Row],[FAKTUR]]="",INDIRECT(ADDRESS(ROW()-1,COLUMN())),NOTA[[#This Row],[FAKTUR]]))</f>
        <v>UNTANA</v>
      </c>
      <c r="AJ821" s="39" t="str">
        <f ca="1">IF(NOTA[[#This Row],[ID]]="","",COUNTIF(NOTA[ID_H],NOTA[[#This Row],[ID_H]]))</f>
        <v/>
      </c>
      <c r="AK821" s="39">
        <f ca="1">IF(NOTA[[#This Row],[TGL.NOTA]]="",IF(NOTA[[#This Row],[SUPPLIER_H]]="","",AK820),MONTH(NOTA[[#This Row],[TGL.NOTA]]))</f>
        <v>7</v>
      </c>
      <c r="AL821" s="39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8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</v>
      </c>
      <c r="AN8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</v>
      </c>
      <c r="AO8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39" t="str">
        <f>IF(NOTA[[#This Row],[CONCAT4]]="","",_xlfn.IFNA(MATCH(NOTA[[#This Row],[CONCAT4]],[2]!RAW[CONCAT_H],0),FALSE))</f>
        <v/>
      </c>
      <c r="AQ821" s="39">
        <f>IF(NOTA[[#This Row],[CONCAT1]]="","",MATCH(NOTA[[#This Row],[CONCAT1]],[3]!db[NB NOTA_C],0))</f>
        <v>2223</v>
      </c>
      <c r="AR821" s="39" t="b">
        <f>IF(NOTA[[#This Row],[QTY/ CTN]]="","",TRUE)</f>
        <v>1</v>
      </c>
      <c r="AS821" s="39" t="str">
        <f ca="1">IF(NOTA[[#This Row],[ID_H]]="","",IF(NOTA[[#This Row],[Column3]]=TRUE,NOTA[[#This Row],[QTY/ CTN]],INDEX([3]!db[QTY/ CTN],NOTA[[#This Row],[//DB]])))</f>
        <v>20 GRS</v>
      </c>
      <c r="AT8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penciltf788serutan20grsuntana</v>
      </c>
      <c r="AU821" s="39" t="e">
        <f ca="1">IF(NOTA[[#This Row],[ID_H]]="","",MATCH(NOTA[[#This Row],[NB NOTA_C_QTY]],[4]!db[NB NOTA_C_QTY+F],0))</f>
        <v>#REF!</v>
      </c>
      <c r="AV821" s="55">
        <f ca="1">IF(NOTA[[#This Row],[NB NOTA_C_QTY]]="","",ROW()-2)</f>
        <v>819</v>
      </c>
    </row>
    <row r="822" spans="1:48" ht="20.100000000000001" customHeight="1" x14ac:dyDescent="0.25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>
        <f ca="1">IF(NOTA[[#This Row],[NAMA BARANG]]="","",INDEX(NOTA[ID],MATCH(,INDIRECT(ADDRESS(ROW(NOTA[ID]),COLUMN(NOTA[ID]))&amp;":"&amp;ADDRESS(ROW(),COLUMN(NOTA[ID]))),-1)))</f>
        <v>156</v>
      </c>
      <c r="E822" s="47"/>
      <c r="H822" s="48"/>
      <c r="L822" s="38" t="s">
        <v>881</v>
      </c>
      <c r="M822" s="41">
        <v>6</v>
      </c>
      <c r="N822" s="39">
        <v>120</v>
      </c>
      <c r="O822" s="38" t="s">
        <v>305</v>
      </c>
      <c r="P822" s="42">
        <v>78975</v>
      </c>
      <c r="Q822" s="43"/>
      <c r="R822" s="49" t="s">
        <v>298</v>
      </c>
      <c r="S822" s="50"/>
      <c r="U822" s="51">
        <v>1400600</v>
      </c>
      <c r="V822" s="46" t="s">
        <v>882</v>
      </c>
      <c r="W822" s="51">
        <f>IF(NOTA[[#This Row],[HARGA/ CTN]]="",NOTA[[#This Row],[JUMLAH_H]],NOTA[[#This Row],[HARGA/ CTN]]*IF(NOTA[[#This Row],[C]]="",0,NOTA[[#This Row],[C]]))</f>
        <v>9477000</v>
      </c>
      <c r="X822" s="51">
        <f>IF(NOTA[[#This Row],[JUMLAH]]="","",NOTA[[#This Row],[JUMLAH]]*NOTA[[#This Row],[DISC 1]])</f>
        <v>0</v>
      </c>
      <c r="Y822" s="51">
        <f>IF(NOTA[[#This Row],[JUMLAH]]="","",(NOTA[[#This Row],[JUMLAH]]-NOTA[[#This Row],[DISC 1-]])*NOTA[[#This Row],[DISC 2]])</f>
        <v>0</v>
      </c>
      <c r="Z822" s="51">
        <f>IF(NOTA[[#This Row],[JUMLAH]]="","",NOTA[[#This Row],[DISC 1-]]+NOTA[[#This Row],[DISC 2-]])</f>
        <v>0</v>
      </c>
      <c r="AA822" s="51">
        <f>IF(NOTA[[#This Row],[JUMLAH]]="","",NOTA[[#This Row],[JUMLAH]]-NOTA[[#This Row],[DISC]])</f>
        <v>9477000</v>
      </c>
      <c r="AB822" s="51"/>
      <c r="AC8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1400600</v>
      </c>
      <c r="AD8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45286900</v>
      </c>
      <c r="AE822" s="42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822" s="51">
        <f>IF(OR(NOTA[[#This Row],[QTY]]="",NOTA[[#This Row],[HARGA SATUAN]]="",),"",NOTA[[#This Row],[QTY]]*NOTA[[#This Row],[HARGA SATUAN]])</f>
        <v>9477000</v>
      </c>
      <c r="AG822" s="40">
        <f ca="1">IF(NOTA[ID_H]="","",INDEX(NOTA[TANGGAL],MATCH(,INDIRECT(ADDRESS(ROW(NOTA[TANGGAL]),COLUMN(NOTA[TANGGAL]))&amp;":"&amp;ADDRESS(ROW(),COLUMN(NOTA[TANGGAL]))),-1)))</f>
        <v>45135</v>
      </c>
      <c r="AH822" s="42" t="str">
        <f ca="1">IF(NOTA[[#This Row],[NAMA BARANG]]="","",INDEX(NOTA[SUPPLIER],MATCH(,INDIRECT(ADDRESS(ROW(NOTA[ID]),COLUMN(NOTA[ID]))&amp;":"&amp;ADDRESS(ROW(),COLUMN(NOTA[ID]))),-1)))</f>
        <v>DUTA BUANA</v>
      </c>
      <c r="AI822" s="42" t="str">
        <f ca="1">IF(NOTA[[#This Row],[ID_H]]="","",IF(NOTA[[#This Row],[FAKTUR]]="",INDIRECT(ADDRESS(ROW()-1,COLUMN())),NOTA[[#This Row],[FAKTUR]]))</f>
        <v>UNTANA</v>
      </c>
      <c r="AJ822" s="39" t="str">
        <f ca="1">IF(NOTA[[#This Row],[ID]]="","",COUNTIF(NOTA[ID_H],NOTA[[#This Row],[ID_H]]))</f>
        <v/>
      </c>
      <c r="AK822" s="39">
        <f ca="1">IF(NOTA[[#This Row],[TGL.NOTA]]="",IF(NOTA[[#This Row],[SUPPLIER_H]]="","",AK821),MONTH(NOTA[[#This Row],[TGL.NOTA]]))</f>
        <v>7</v>
      </c>
      <c r="AL822" s="39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8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</v>
      </c>
      <c r="AN8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</v>
      </c>
      <c r="AO8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39" t="str">
        <f>IF(NOTA[[#This Row],[CONCAT4]]="","",_xlfn.IFNA(MATCH(NOTA[[#This Row],[CONCAT4]],[2]!RAW[CONCAT_H],0),FALSE))</f>
        <v/>
      </c>
      <c r="AQ822" s="39">
        <f>IF(NOTA[[#This Row],[CONCAT1]]="","",MATCH(NOTA[[#This Row],[CONCAT1]],[3]!db[NB NOTA_C],0))</f>
        <v>2222</v>
      </c>
      <c r="AR822" s="39" t="b">
        <f>IF(NOTA[[#This Row],[QTY/ CTN]]="","",TRUE)</f>
        <v>1</v>
      </c>
      <c r="AS822" s="39" t="str">
        <f ca="1">IF(NOTA[[#This Row],[ID_H]]="","",IF(NOTA[[#This Row],[Column3]]=TRUE,NOTA[[#This Row],[QTY/ CTN]],INDEX([3]!db[QTY/ CTN],NOTA[[#This Row],[//DB]])))</f>
        <v>20 GRS</v>
      </c>
      <c r="AT8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penciltf688serutan20grsuntana</v>
      </c>
      <c r="AU822" s="39" t="e">
        <f ca="1">IF(NOTA[[#This Row],[ID_H]]="","",MATCH(NOTA[[#This Row],[NB NOTA_C_QTY]],[4]!db[NB NOTA_C_QTY+F],0))</f>
        <v>#REF!</v>
      </c>
      <c r="AV822" s="55">
        <f ca="1">IF(NOTA[[#This Row],[NB NOTA_C_QTY]]="","",ROW()-2)</f>
        <v>820</v>
      </c>
    </row>
    <row r="823" spans="1:48" ht="20.100000000000001" customHeight="1" x14ac:dyDescent="0.25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47"/>
      <c r="H823" s="48"/>
      <c r="N823" s="39"/>
      <c r="Q823" s="43"/>
      <c r="R823" s="49"/>
      <c r="S823" s="50"/>
      <c r="U823" s="51"/>
      <c r="V823" s="46"/>
      <c r="W823" s="51" t="str">
        <f>IF(NOTA[[#This Row],[HARGA/ CTN]]="",NOTA[[#This Row],[JUMLAH_H]],NOTA[[#This Row],[HARGA/ CTN]]*IF(NOTA[[#This Row],[C]]="",0,NOTA[[#This Row],[C]]))</f>
        <v/>
      </c>
      <c r="X823" s="51" t="str">
        <f>IF(NOTA[[#This Row],[JUMLAH]]="","",NOTA[[#This Row],[JUMLAH]]*NOTA[[#This Row],[DISC 1]])</f>
        <v/>
      </c>
      <c r="Y823" s="51" t="str">
        <f>IF(NOTA[[#This Row],[JUMLAH]]="","",(NOTA[[#This Row],[JUMLAH]]-NOTA[[#This Row],[DISC 1-]])*NOTA[[#This Row],[DISC 2]])</f>
        <v/>
      </c>
      <c r="Z823" s="51" t="str">
        <f>IF(NOTA[[#This Row],[JUMLAH]]="","",NOTA[[#This Row],[DISC 1-]]+NOTA[[#This Row],[DISC 2-]])</f>
        <v/>
      </c>
      <c r="AA823" s="51" t="str">
        <f>IF(NOTA[[#This Row],[JUMLAH]]="","",NOTA[[#This Row],[JUMLAH]]-NOTA[[#This Row],[DISC]])</f>
        <v/>
      </c>
      <c r="AB823" s="51"/>
      <c r="AC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51" t="str">
        <f>IF(OR(NOTA[[#This Row],[QTY]]="",NOTA[[#This Row],[HARGA SATUAN]]="",),"",NOTA[[#This Row],[QTY]]*NOTA[[#This Row],[HARGA SATUAN]])</f>
        <v/>
      </c>
      <c r="AG823" s="40" t="str">
        <f ca="1">IF(NOTA[ID_H]="","",INDEX(NOTA[TANGGAL],MATCH(,INDIRECT(ADDRESS(ROW(NOTA[TANGGAL]),COLUMN(NOTA[TANGGAL]))&amp;":"&amp;ADDRESS(ROW(),COLUMN(NOTA[TANGGAL]))),-1)))</f>
        <v/>
      </c>
      <c r="AH823" s="42" t="str">
        <f ca="1">IF(NOTA[[#This Row],[NAMA BARANG]]="","",INDEX(NOTA[SUPPLIER],MATCH(,INDIRECT(ADDRESS(ROW(NOTA[ID]),COLUMN(NOTA[ID]))&amp;":"&amp;ADDRESS(ROW(),COLUMN(NOTA[ID]))),-1)))</f>
        <v/>
      </c>
      <c r="AI823" s="42" t="str">
        <f ca="1">IF(NOTA[[#This Row],[ID_H]]="","",IF(NOTA[[#This Row],[FAKTUR]]="",INDIRECT(ADDRESS(ROW()-1,COLUMN())),NOTA[[#This Row],[FAKTUR]]))</f>
        <v/>
      </c>
      <c r="AJ823" s="39" t="str">
        <f ca="1">IF(NOTA[[#This Row],[ID]]="","",COUNTIF(NOTA[ID_H],NOTA[[#This Row],[ID_H]]))</f>
        <v/>
      </c>
      <c r="AK823" s="39" t="str">
        <f ca="1">IF(NOTA[[#This Row],[TGL.NOTA]]="",IF(NOTA[[#This Row],[SUPPLIER_H]]="","",AK822),MONTH(NOTA[[#This Row],[TGL.NOTA]]))</f>
        <v/>
      </c>
      <c r="AL823" s="39" t="str">
        <f>LOWER(SUBSTITUTE(SUBSTITUTE(SUBSTITUTE(SUBSTITUTE(SUBSTITUTE(SUBSTITUTE(SUBSTITUTE(SUBSTITUTE(SUBSTITUTE(NOTA[NAMA BARANG]," ",),".",""),"-",""),"(",""),")",""),",",""),"/",""),"""",""),"+",""))</f>
        <v/>
      </c>
      <c r="AM8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39" t="str">
        <f>IF(NOTA[[#This Row],[CONCAT4]]="","",_xlfn.IFNA(MATCH(NOTA[[#This Row],[CONCAT4]],[2]!RAW[CONCAT_H],0),FALSE))</f>
        <v/>
      </c>
      <c r="AQ823" s="39" t="str">
        <f>IF(NOTA[[#This Row],[CONCAT1]]="","",MATCH(NOTA[[#This Row],[CONCAT1]],[3]!db[NB NOTA_C],0))</f>
        <v/>
      </c>
      <c r="AR823" s="39" t="str">
        <f>IF(NOTA[[#This Row],[QTY/ CTN]]="","",TRUE)</f>
        <v/>
      </c>
      <c r="AS823" s="39" t="str">
        <f ca="1">IF(NOTA[[#This Row],[ID_H]]="","",IF(NOTA[[#This Row],[Column3]]=TRUE,NOTA[[#This Row],[QTY/ CTN]],INDEX([3]!db[QTY/ CTN],NOTA[[#This Row],[//DB]])))</f>
        <v/>
      </c>
      <c r="AT8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39" t="str">
        <f ca="1">IF(NOTA[[#This Row],[ID_H]]="","",MATCH(NOTA[[#This Row],[NB NOTA_C_QTY]],[4]!db[NB NOTA_C_QTY+F],0))</f>
        <v/>
      </c>
      <c r="AV823" s="55" t="str">
        <f ca="1">IF(NOTA[[#This Row],[NB NOTA_C_QTY]]="","",ROW()-2)</f>
        <v/>
      </c>
    </row>
    <row r="824" spans="1:48" ht="20.100000000000001" customHeight="1" x14ac:dyDescent="0.25">
      <c r="A824" s="42">
        <f ca="1">IF(INDIRECT(ADDRESS(ROW()-1,COLUMN(NOTA[[#Headers],[ID]])))="ID",1,IF(NOTA[[#This Row],[FAKTUR]]="","",COUNT(INDIRECT(ADDRESS(ROW(NOTA[ID]),COLUMN(NOTA[ID]))&amp;":"&amp;ADDRESS(ROW()-1,COLUMN(NOTA[ID]))))+1))</f>
        <v>157</v>
      </c>
      <c r="B8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ATA_3107_224-7</v>
      </c>
      <c r="C824" s="39" t="e">
        <f ca="1">IF(NOTA[[#This Row],[ID_P]]="","",MATCH(NOTA[[#This Row],[ID_P]],[1]!B_MSK[N_ID],0))</f>
        <v>#REF!</v>
      </c>
      <c r="D824" s="39">
        <f ca="1">IF(NOTA[[#This Row],[NAMA BARANG]]="","",INDEX(NOTA[ID],MATCH(,INDIRECT(ADDRESS(ROW(NOTA[ID]),COLUMN(NOTA[ID]))&amp;":"&amp;ADDRESS(ROW(),COLUMN(NOTA[ID]))),-1)))</f>
        <v>157</v>
      </c>
      <c r="E824" s="47">
        <v>45138</v>
      </c>
      <c r="F824" s="38" t="s">
        <v>24</v>
      </c>
      <c r="G824" s="38" t="s">
        <v>23</v>
      </c>
      <c r="H824" s="48" t="s">
        <v>886</v>
      </c>
      <c r="J824" s="40">
        <v>45134</v>
      </c>
      <c r="K824" s="38">
        <v>1</v>
      </c>
      <c r="L824" s="38" t="s">
        <v>887</v>
      </c>
      <c r="M824" s="41">
        <v>1</v>
      </c>
      <c r="N824" s="39">
        <v>144</v>
      </c>
      <c r="O824" s="38" t="s">
        <v>263</v>
      </c>
      <c r="P824" s="42">
        <v>18600</v>
      </c>
      <c r="Q824" s="43"/>
      <c r="R824" s="49" t="s">
        <v>513</v>
      </c>
      <c r="S824" s="50">
        <v>0.125</v>
      </c>
      <c r="T824" s="45">
        <v>0.05</v>
      </c>
      <c r="U824" s="51"/>
      <c r="V824" s="46"/>
      <c r="W824" s="51">
        <f>IF(NOTA[[#This Row],[HARGA/ CTN]]="",NOTA[[#This Row],[JUMLAH_H]],NOTA[[#This Row],[HARGA/ CTN]]*IF(NOTA[[#This Row],[C]]="",0,NOTA[[#This Row],[C]]))</f>
        <v>2678400</v>
      </c>
      <c r="X824" s="51">
        <f>IF(NOTA[[#This Row],[JUMLAH]]="","",NOTA[[#This Row],[JUMLAH]]*NOTA[[#This Row],[DISC 1]])</f>
        <v>334800</v>
      </c>
      <c r="Y824" s="51">
        <f>IF(NOTA[[#This Row],[JUMLAH]]="","",(NOTA[[#This Row],[JUMLAH]]-NOTA[[#This Row],[DISC 1-]])*NOTA[[#This Row],[DISC 2]])</f>
        <v>117180</v>
      </c>
      <c r="Z824" s="51">
        <f>IF(NOTA[[#This Row],[JUMLAH]]="","",NOTA[[#This Row],[DISC 1-]]+NOTA[[#This Row],[DISC 2-]])</f>
        <v>451980</v>
      </c>
      <c r="AA824" s="51">
        <f>IF(NOTA[[#This Row],[JUMLAH]]="","",NOTA[[#This Row],[JUMLAH]]-NOTA[[#This Row],[DISC]])</f>
        <v>2226420</v>
      </c>
      <c r="AB824" s="51"/>
      <c r="AC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24" s="51">
        <f>IF(OR(NOTA[[#This Row],[QTY]]="",NOTA[[#This Row],[HARGA SATUAN]]="",),"",NOTA[[#This Row],[QTY]]*NOTA[[#This Row],[HARGA SATUAN]])</f>
        <v>2678400</v>
      </c>
      <c r="AG824" s="40">
        <f ca="1">IF(NOTA[ID_H]="","",INDEX(NOTA[TANGGAL],MATCH(,INDIRECT(ADDRESS(ROW(NOTA[TANGGAL]),COLUMN(NOTA[TANGGAL]))&amp;":"&amp;ADDRESS(ROW(),COLUMN(NOTA[TANGGAL]))),-1)))</f>
        <v>45138</v>
      </c>
      <c r="AH824" s="42" t="str">
        <f ca="1">IF(NOTA[[#This Row],[NAMA BARANG]]="","",INDEX(NOTA[SUPPLIER],MATCH(,INDIRECT(ADDRESS(ROW(NOTA[ID]),COLUMN(NOTA[ID]))&amp;":"&amp;ADDRESS(ROW(),COLUMN(NOTA[ID]))),-1)))</f>
        <v>ATALI MAKMUR</v>
      </c>
      <c r="AI824" s="42" t="str">
        <f ca="1">IF(NOTA[[#This Row],[ID_H]]="","",IF(NOTA[[#This Row],[FAKTUR]]="",INDIRECT(ADDRESS(ROW()-1,COLUMN())),NOTA[[#This Row],[FAKTUR]]))</f>
        <v>ARTO MORO</v>
      </c>
      <c r="AJ824" s="39">
        <f ca="1">IF(NOTA[[#This Row],[ID]]="","",COUNTIF(NOTA[ID_H],NOTA[[#This Row],[ID_H]]))</f>
        <v>7</v>
      </c>
      <c r="AK824" s="39">
        <f>IF(NOTA[[#This Row],[TGL.NOTA]]="",IF(NOTA[[#This Row],[SUPPLIER_H]]="","",AK823),MONTH(NOTA[[#This Row],[TGL.NOTA]]))</f>
        <v>7</v>
      </c>
      <c r="AL824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8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8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82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MOROSA23071322445134crayonputartwcr12minijk</v>
      </c>
      <c r="AP824" s="39" t="e">
        <f>IF(NOTA[[#This Row],[CONCAT4]]="","",_xlfn.IFNA(MATCH(NOTA[[#This Row],[CONCAT4]],[2]!RAW[CONCAT_H],0),FALSE))</f>
        <v>#REF!</v>
      </c>
      <c r="AQ824" s="39">
        <f>IF(NOTA[[#This Row],[CONCAT1]]="","",MATCH(NOTA[[#This Row],[CONCAT1]],[3]!db[NB NOTA_C],0))</f>
        <v>921</v>
      </c>
      <c r="AR824" s="39" t="b">
        <f>IF(NOTA[[#This Row],[QTY/ CTN]]="","",TRUE)</f>
        <v>1</v>
      </c>
      <c r="AS824" s="39" t="str">
        <f ca="1">IF(NOTA[[#This Row],[ID_H]]="","",IF(NOTA[[#This Row],[Column3]]=TRUE,NOTA[[#This Row],[QTY/ CTN]],INDEX([3]!db[QTY/ CTN],NOTA[[#This Row],[//DB]])))</f>
        <v>12 LSN</v>
      </c>
      <c r="AT8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824" s="39" t="e">
        <f ca="1">IF(NOTA[[#This Row],[ID_H]]="","",MATCH(NOTA[[#This Row],[NB NOTA_C_QTY]],[4]!db[NB NOTA_C_QTY+F],0))</f>
        <v>#REF!</v>
      </c>
      <c r="AV824" s="55">
        <f ca="1">IF(NOTA[[#This Row],[NB NOTA_C_QTY]]="","",ROW()-2)</f>
        <v>822</v>
      </c>
    </row>
    <row r="825" spans="1:48" ht="20.100000000000001" customHeight="1" x14ac:dyDescent="0.25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>
        <f ca="1">IF(NOTA[[#This Row],[NAMA BARANG]]="","",INDEX(NOTA[ID],MATCH(,INDIRECT(ADDRESS(ROW(NOTA[ID]),COLUMN(NOTA[ID]))&amp;":"&amp;ADDRESS(ROW(),COLUMN(NOTA[ID]))),-1)))</f>
        <v>157</v>
      </c>
      <c r="E825" s="47"/>
      <c r="H825" s="48"/>
      <c r="K825" s="38">
        <v>4</v>
      </c>
      <c r="L825" s="38" t="s">
        <v>734</v>
      </c>
      <c r="M825" s="41">
        <v>4</v>
      </c>
      <c r="N825" s="39">
        <v>288</v>
      </c>
      <c r="O825" s="38" t="s">
        <v>263</v>
      </c>
      <c r="P825" s="42">
        <v>21200</v>
      </c>
      <c r="Q825" s="43"/>
      <c r="R825" s="49" t="s">
        <v>888</v>
      </c>
      <c r="S825" s="50">
        <v>0.125</v>
      </c>
      <c r="T825" s="45">
        <v>0.05</v>
      </c>
      <c r="U825" s="51"/>
      <c r="V825" s="46"/>
      <c r="W825" s="51">
        <f>IF(NOTA[[#This Row],[HARGA/ CTN]]="",NOTA[[#This Row],[JUMLAH_H]],NOTA[[#This Row],[HARGA/ CTN]]*IF(NOTA[[#This Row],[C]]="",0,NOTA[[#This Row],[C]]))</f>
        <v>6105600</v>
      </c>
      <c r="X825" s="51">
        <f>IF(NOTA[[#This Row],[JUMLAH]]="","",NOTA[[#This Row],[JUMLAH]]*NOTA[[#This Row],[DISC 1]])</f>
        <v>763200</v>
      </c>
      <c r="Y825" s="51">
        <f>IF(NOTA[[#This Row],[JUMLAH]]="","",(NOTA[[#This Row],[JUMLAH]]-NOTA[[#This Row],[DISC 1-]])*NOTA[[#This Row],[DISC 2]])</f>
        <v>267120</v>
      </c>
      <c r="Z825" s="51">
        <f>IF(NOTA[[#This Row],[JUMLAH]]="","",NOTA[[#This Row],[DISC 1-]]+NOTA[[#This Row],[DISC 2-]])</f>
        <v>1030320</v>
      </c>
      <c r="AA825" s="51">
        <f>IF(NOTA[[#This Row],[JUMLAH]]="","",NOTA[[#This Row],[JUMLAH]]-NOTA[[#This Row],[DISC]])</f>
        <v>5075280</v>
      </c>
      <c r="AB825" s="51"/>
      <c r="AC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825" s="51">
        <f>IF(OR(NOTA[[#This Row],[QTY]]="",NOTA[[#This Row],[HARGA SATUAN]]="",),"",NOTA[[#This Row],[QTY]]*NOTA[[#This Row],[HARGA SATUAN]])</f>
        <v>6105600</v>
      </c>
      <c r="AG825" s="40">
        <f ca="1">IF(NOTA[ID_H]="","",INDEX(NOTA[TANGGAL],MATCH(,INDIRECT(ADDRESS(ROW(NOTA[TANGGAL]),COLUMN(NOTA[TANGGAL]))&amp;":"&amp;ADDRESS(ROW(),COLUMN(NOTA[TANGGAL]))),-1)))</f>
        <v>45138</v>
      </c>
      <c r="AH825" s="42" t="str">
        <f ca="1">IF(NOTA[[#This Row],[NAMA BARANG]]="","",INDEX(NOTA[SUPPLIER],MATCH(,INDIRECT(ADDRESS(ROW(NOTA[ID]),COLUMN(NOTA[ID]))&amp;":"&amp;ADDRESS(ROW(),COLUMN(NOTA[ID]))),-1)))</f>
        <v>ATALI MAKMUR</v>
      </c>
      <c r="AI825" s="42" t="str">
        <f ca="1">IF(NOTA[[#This Row],[ID_H]]="","",IF(NOTA[[#This Row],[FAKTUR]]="",INDIRECT(ADDRESS(ROW()-1,COLUMN())),NOTA[[#This Row],[FAKTUR]]))</f>
        <v>ARTO MORO</v>
      </c>
      <c r="AJ825" s="39" t="str">
        <f ca="1">IF(NOTA[[#This Row],[ID]]="","",COUNTIF(NOTA[ID_H],NOTA[[#This Row],[ID_H]]))</f>
        <v/>
      </c>
      <c r="AK825" s="39">
        <f ca="1">IF(NOTA[[#This Row],[TGL.NOTA]]="",IF(NOTA[[#This Row],[SUPPLIER_H]]="","",AK824),MONTH(NOTA[[#This Row],[TGL.NOTA]]))</f>
        <v>7</v>
      </c>
      <c r="AL825" s="39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8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8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8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39" t="str">
        <f>IF(NOTA[[#This Row],[CONCAT4]]="","",_xlfn.IFNA(MATCH(NOTA[[#This Row],[CONCAT4]],[2]!RAW[CONCAT_H],0),FALSE))</f>
        <v/>
      </c>
      <c r="AQ825" s="39">
        <f>IF(NOTA[[#This Row],[CONCAT1]]="","",MATCH(NOTA[[#This Row],[CONCAT1]],[3]!db[NB NOTA_C],0))</f>
        <v>2325</v>
      </c>
      <c r="AR825" s="39" t="b">
        <f>IF(NOTA[[#This Row],[QTY/ CTN]]="","",TRUE)</f>
        <v>1</v>
      </c>
      <c r="AS825" s="39" t="str">
        <f ca="1">IF(NOTA[[#This Row],[ID_H]]="","",IF(NOTA[[#This Row],[Column3]]=TRUE,NOTA[[#This Row],[QTY/ CTN]],INDEX([3]!db[QTY/ CTN],NOTA[[#This Row],[//DB]])))</f>
        <v>12 BOX (6 SET)</v>
      </c>
      <c r="AT8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U825" s="39" t="e">
        <f ca="1">IF(NOTA[[#This Row],[ID_H]]="","",MATCH(NOTA[[#This Row],[NB NOTA_C_QTY]],[4]!db[NB NOTA_C_QTY+F],0))</f>
        <v>#REF!</v>
      </c>
      <c r="AV825" s="55">
        <f ca="1">IF(NOTA[[#This Row],[NB NOTA_C_QTY]]="","",ROW()-2)</f>
        <v>823</v>
      </c>
    </row>
    <row r="826" spans="1:48" ht="20.100000000000001" customHeight="1" x14ac:dyDescent="0.25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>
        <f ca="1">IF(NOTA[[#This Row],[NAMA BARANG]]="","",INDEX(NOTA[ID],MATCH(,INDIRECT(ADDRESS(ROW(NOTA[ID]),COLUMN(NOTA[ID]))&amp;":"&amp;ADDRESS(ROW(),COLUMN(NOTA[ID]))),-1)))</f>
        <v>157</v>
      </c>
      <c r="E826" s="47"/>
      <c r="H826" s="48"/>
      <c r="K826" s="38">
        <v>1</v>
      </c>
      <c r="L826" s="38" t="s">
        <v>889</v>
      </c>
      <c r="M826" s="41">
        <v>1</v>
      </c>
      <c r="N826" s="39">
        <v>288</v>
      </c>
      <c r="O826" s="38" t="s">
        <v>263</v>
      </c>
      <c r="P826" s="42">
        <v>5400</v>
      </c>
      <c r="Q826" s="43"/>
      <c r="R826" s="49" t="s">
        <v>890</v>
      </c>
      <c r="S826" s="50">
        <v>0.125</v>
      </c>
      <c r="T826" s="45">
        <v>0.05</v>
      </c>
      <c r="U826" s="51"/>
      <c r="V826" s="46"/>
      <c r="W826" s="51">
        <f>IF(NOTA[[#This Row],[HARGA/ CTN]]="",NOTA[[#This Row],[JUMLAH_H]],NOTA[[#This Row],[HARGA/ CTN]]*IF(NOTA[[#This Row],[C]]="",0,NOTA[[#This Row],[C]]))</f>
        <v>1555200</v>
      </c>
      <c r="X826" s="51">
        <f>IF(NOTA[[#This Row],[JUMLAH]]="","",NOTA[[#This Row],[JUMLAH]]*NOTA[[#This Row],[DISC 1]])</f>
        <v>194400</v>
      </c>
      <c r="Y826" s="51">
        <f>IF(NOTA[[#This Row],[JUMLAH]]="","",(NOTA[[#This Row],[JUMLAH]]-NOTA[[#This Row],[DISC 1-]])*NOTA[[#This Row],[DISC 2]])</f>
        <v>68040</v>
      </c>
      <c r="Z826" s="51">
        <f>IF(NOTA[[#This Row],[JUMLAH]]="","",NOTA[[#This Row],[DISC 1-]]+NOTA[[#This Row],[DISC 2-]])</f>
        <v>262440</v>
      </c>
      <c r="AA826" s="51">
        <f>IF(NOTA[[#This Row],[JUMLAH]]="","",NOTA[[#This Row],[JUMLAH]]-NOTA[[#This Row],[DISC]])</f>
        <v>1292760</v>
      </c>
      <c r="AB826" s="51"/>
      <c r="AC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4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26" s="51">
        <f>IF(OR(NOTA[[#This Row],[QTY]]="",NOTA[[#This Row],[HARGA SATUAN]]="",),"",NOTA[[#This Row],[QTY]]*NOTA[[#This Row],[HARGA SATUAN]])</f>
        <v>1555200</v>
      </c>
      <c r="AG826" s="40">
        <f ca="1">IF(NOTA[ID_H]="","",INDEX(NOTA[TANGGAL],MATCH(,INDIRECT(ADDRESS(ROW(NOTA[TANGGAL]),COLUMN(NOTA[TANGGAL]))&amp;":"&amp;ADDRESS(ROW(),COLUMN(NOTA[TANGGAL]))),-1)))</f>
        <v>45138</v>
      </c>
      <c r="AH826" s="42" t="str">
        <f ca="1">IF(NOTA[[#This Row],[NAMA BARANG]]="","",INDEX(NOTA[SUPPLIER],MATCH(,INDIRECT(ADDRESS(ROW(NOTA[ID]),COLUMN(NOTA[ID]))&amp;":"&amp;ADDRESS(ROW(),COLUMN(NOTA[ID]))),-1)))</f>
        <v>ATALI MAKMUR</v>
      </c>
      <c r="AI826" s="42" t="str">
        <f ca="1">IF(NOTA[[#This Row],[ID_H]]="","",IF(NOTA[[#This Row],[FAKTUR]]="",INDIRECT(ADDRESS(ROW()-1,COLUMN())),NOTA[[#This Row],[FAKTUR]]))</f>
        <v>ARTO MORO</v>
      </c>
      <c r="AJ826" s="39" t="str">
        <f ca="1">IF(NOTA[[#This Row],[ID]]="","",COUNTIF(NOTA[ID_H],NOTA[[#This Row],[ID_H]]))</f>
        <v/>
      </c>
      <c r="AK826" s="39">
        <f ca="1">IF(NOTA[[#This Row],[TGL.NOTA]]="",IF(NOTA[[#This Row],[SUPPLIER_H]]="","",AK825),MONTH(NOTA[[#This Row],[TGL.NOTA]]))</f>
        <v>7</v>
      </c>
      <c r="AL826" s="39" t="str">
        <f>LOWER(SUBSTITUTE(SUBSTITUTE(SUBSTITUTE(SUBSTITUTE(SUBSTITUTE(SUBSTITUTE(SUBSTITUTE(SUBSTITUTE(SUBSTITUTE(NOTA[NAMA BARANG]," ",),".",""),"-",""),"(",""),")",""),",",""),"/",""),"""",""),"+",""))</f>
        <v>colorpencilcp107jk</v>
      </c>
      <c r="AM8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colorpencilcp107jk15552000.1250.05</v>
      </c>
      <c r="AN8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colorpencilcp107jk15552000.1250.05</v>
      </c>
      <c r="AO8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39" t="str">
        <f>IF(NOTA[[#This Row],[CONCAT4]]="","",_xlfn.IFNA(MATCH(NOTA[[#This Row],[CONCAT4]],[2]!RAW[CONCAT_H],0),FALSE))</f>
        <v/>
      </c>
      <c r="AQ826" s="39">
        <f>IF(NOTA[[#This Row],[CONCAT1]]="","",MATCH(NOTA[[#This Row],[CONCAT1]],[3]!db[NB NOTA_C],0))</f>
        <v>2332</v>
      </c>
      <c r="AR826" s="39" t="b">
        <f>IF(NOTA[[#This Row],[QTY/ CTN]]="","",TRUE)</f>
        <v>1</v>
      </c>
      <c r="AS826" s="39" t="str">
        <f ca="1">IF(NOTA[[#This Row],[ID_H]]="","",IF(NOTA[[#This Row],[Column3]]=TRUE,NOTA[[#This Row],[QTY/ CTN]],INDEX([3]!db[QTY/ CTN],NOTA[[#This Row],[//DB]])))</f>
        <v>12 BOX (24 SET)</v>
      </c>
      <c r="AT8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colorpencilcp107jk12box24setartomoro</v>
      </c>
      <c r="AU826" s="39" t="e">
        <f ca="1">IF(NOTA[[#This Row],[ID_H]]="","",MATCH(NOTA[[#This Row],[NB NOTA_C_QTY]],[4]!db[NB NOTA_C_QTY+F],0))</f>
        <v>#REF!</v>
      </c>
      <c r="AV826" s="55">
        <f ca="1">IF(NOTA[[#This Row],[NB NOTA_C_QTY]]="","",ROW()-2)</f>
        <v>824</v>
      </c>
    </row>
    <row r="827" spans="1:48" ht="20.100000000000001" customHeight="1" x14ac:dyDescent="0.25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>
        <f ca="1">IF(NOTA[[#This Row],[NAMA BARANG]]="","",INDEX(NOTA[ID],MATCH(,INDIRECT(ADDRESS(ROW(NOTA[ID]),COLUMN(NOTA[ID]))&amp;":"&amp;ADDRESS(ROW(),COLUMN(NOTA[ID]))),-1)))</f>
        <v>157</v>
      </c>
      <c r="E827" s="47"/>
      <c r="H827" s="48"/>
      <c r="L827" s="38" t="s">
        <v>729</v>
      </c>
      <c r="M827" s="41">
        <v>1</v>
      </c>
      <c r="N827" s="39">
        <v>72</v>
      </c>
      <c r="O827" s="38" t="s">
        <v>152</v>
      </c>
      <c r="P827" s="42">
        <v>37200</v>
      </c>
      <c r="Q827" s="43"/>
      <c r="R827" s="49"/>
      <c r="S827" s="50">
        <v>0.125</v>
      </c>
      <c r="T827" s="45">
        <v>0.05</v>
      </c>
      <c r="U827" s="51"/>
      <c r="V827" s="46"/>
      <c r="W827" s="51">
        <f>IF(NOTA[[#This Row],[HARGA/ CTN]]="",NOTA[[#This Row],[JUMLAH_H]],NOTA[[#This Row],[HARGA/ CTN]]*IF(NOTA[[#This Row],[C]]="",0,NOTA[[#This Row],[C]]))</f>
        <v>2678400</v>
      </c>
      <c r="X827" s="51">
        <f>IF(NOTA[[#This Row],[JUMLAH]]="","",NOTA[[#This Row],[JUMLAH]]*NOTA[[#This Row],[DISC 1]])</f>
        <v>334800</v>
      </c>
      <c r="Y827" s="51">
        <f>IF(NOTA[[#This Row],[JUMLAH]]="","",(NOTA[[#This Row],[JUMLAH]]-NOTA[[#This Row],[DISC 1-]])*NOTA[[#This Row],[DISC 2]])</f>
        <v>117180</v>
      </c>
      <c r="Z827" s="51">
        <f>IF(NOTA[[#This Row],[JUMLAH]]="","",NOTA[[#This Row],[DISC 1-]]+NOTA[[#This Row],[DISC 2-]])</f>
        <v>451980</v>
      </c>
      <c r="AA827" s="51">
        <f>IF(NOTA[[#This Row],[JUMLAH]]="","",NOTA[[#This Row],[JUMLAH]]-NOTA[[#This Row],[DISC]])</f>
        <v>2226420</v>
      </c>
      <c r="AB827" s="51"/>
      <c r="AC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27" s="51">
        <f>IF(OR(NOTA[[#This Row],[QTY]]="",NOTA[[#This Row],[HARGA SATUAN]]="",),"",NOTA[[#This Row],[QTY]]*NOTA[[#This Row],[HARGA SATUAN]])</f>
        <v>2678400</v>
      </c>
      <c r="AG827" s="40">
        <f ca="1">IF(NOTA[ID_H]="","",INDEX(NOTA[TANGGAL],MATCH(,INDIRECT(ADDRESS(ROW(NOTA[TANGGAL]),COLUMN(NOTA[TANGGAL]))&amp;":"&amp;ADDRESS(ROW(),COLUMN(NOTA[TANGGAL]))),-1)))</f>
        <v>45138</v>
      </c>
      <c r="AH827" s="42" t="str">
        <f ca="1">IF(NOTA[[#This Row],[NAMA BARANG]]="","",INDEX(NOTA[SUPPLIER],MATCH(,INDIRECT(ADDRESS(ROW(NOTA[ID]),COLUMN(NOTA[ID]))&amp;":"&amp;ADDRESS(ROW(),COLUMN(NOTA[ID]))),-1)))</f>
        <v>ATALI MAKMUR</v>
      </c>
      <c r="AI827" s="42" t="str">
        <f ca="1">IF(NOTA[[#This Row],[ID_H]]="","",IF(NOTA[[#This Row],[FAKTUR]]="",INDIRECT(ADDRESS(ROW()-1,COLUMN())),NOTA[[#This Row],[FAKTUR]]))</f>
        <v>ARTO MORO</v>
      </c>
      <c r="AJ827" s="39" t="str">
        <f ca="1">IF(NOTA[[#This Row],[ID]]="","",COUNTIF(NOTA[ID_H],NOTA[[#This Row],[ID_H]]))</f>
        <v/>
      </c>
      <c r="AK827" s="39">
        <f ca="1">IF(NOTA[[#This Row],[TGL.NOTA]]="",IF(NOTA[[#This Row],[SUPPLIER_H]]="","",AK826),MONTH(NOTA[[#This Row],[TGL.NOTA]]))</f>
        <v>7</v>
      </c>
      <c r="AL827" s="39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8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8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8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39" t="str">
        <f>IF(NOTA[[#This Row],[CONCAT4]]="","",_xlfn.IFNA(MATCH(NOTA[[#This Row],[CONCAT4]],[2]!RAW[CONCAT_H],0),FALSE))</f>
        <v/>
      </c>
      <c r="AQ827" s="39">
        <f>IF(NOTA[[#This Row],[CONCAT1]]="","",MATCH(NOTA[[#This Row],[CONCAT1]],[3]!db[NB NOTA_C],0))</f>
        <v>1329</v>
      </c>
      <c r="AR827" s="39" t="str">
        <f>IF(NOTA[[#This Row],[QTY/ CTN]]="","",TRUE)</f>
        <v/>
      </c>
      <c r="AS827" s="39" t="str">
        <f ca="1">IF(NOTA[[#This Row],[ID_H]]="","",IF(NOTA[[#This Row],[Column3]]=TRUE,NOTA[[#This Row],[QTY/ CTN]],INDEX([3]!db[QTY/ CTN],NOTA[[#This Row],[//DB]])))</f>
        <v>12 BOX (72 PCS)</v>
      </c>
      <c r="AT8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827" s="39" t="e">
        <f ca="1">IF(NOTA[[#This Row],[ID_H]]="","",MATCH(NOTA[[#This Row],[NB NOTA_C_QTY]],[4]!db[NB NOTA_C_QTY+F],0))</f>
        <v>#REF!</v>
      </c>
      <c r="AV827" s="55">
        <f ca="1">IF(NOTA[[#This Row],[NB NOTA_C_QTY]]="","",ROW()-2)</f>
        <v>825</v>
      </c>
    </row>
    <row r="828" spans="1:48" ht="20.100000000000001" customHeight="1" x14ac:dyDescent="0.25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>
        <f ca="1">IF(NOTA[[#This Row],[NAMA BARANG]]="","",INDEX(NOTA[ID],MATCH(,INDIRECT(ADDRESS(ROW(NOTA[ID]),COLUMN(NOTA[ID]))&amp;":"&amp;ADDRESS(ROW(),COLUMN(NOTA[ID]))),-1)))</f>
        <v>157</v>
      </c>
      <c r="E828" s="47"/>
      <c r="H828" s="48"/>
      <c r="K828" s="38">
        <v>1</v>
      </c>
      <c r="L828" s="38" t="s">
        <v>891</v>
      </c>
      <c r="M828" s="41">
        <v>1</v>
      </c>
      <c r="N828" s="39">
        <v>100</v>
      </c>
      <c r="O828" s="38" t="s">
        <v>210</v>
      </c>
      <c r="P828" s="42">
        <v>8400</v>
      </c>
      <c r="Q828" s="43"/>
      <c r="R828" s="49" t="s">
        <v>557</v>
      </c>
      <c r="S828" s="50">
        <v>0.125</v>
      </c>
      <c r="T828" s="45">
        <v>0.05</v>
      </c>
      <c r="U828" s="51"/>
      <c r="V828" s="46"/>
      <c r="W828" s="51">
        <f>IF(NOTA[[#This Row],[HARGA/ CTN]]="",NOTA[[#This Row],[JUMLAH_H]],NOTA[[#This Row],[HARGA/ CTN]]*IF(NOTA[[#This Row],[C]]="",0,NOTA[[#This Row],[C]]))</f>
        <v>840000</v>
      </c>
      <c r="X828" s="51">
        <f>IF(NOTA[[#This Row],[JUMLAH]]="","",NOTA[[#This Row],[JUMLAH]]*NOTA[[#This Row],[DISC 1]])</f>
        <v>105000</v>
      </c>
      <c r="Y828" s="51">
        <f>IF(NOTA[[#This Row],[JUMLAH]]="","",(NOTA[[#This Row],[JUMLAH]]-NOTA[[#This Row],[DISC 1-]])*NOTA[[#This Row],[DISC 2]])</f>
        <v>36750</v>
      </c>
      <c r="Z828" s="51">
        <f>IF(NOTA[[#This Row],[JUMLAH]]="","",NOTA[[#This Row],[DISC 1-]]+NOTA[[#This Row],[DISC 2-]])</f>
        <v>141750</v>
      </c>
      <c r="AA828" s="51">
        <f>IF(NOTA[[#This Row],[JUMLAH]]="","",NOTA[[#This Row],[JUMLAH]]-NOTA[[#This Row],[DISC]])</f>
        <v>698250</v>
      </c>
      <c r="AB828" s="51"/>
      <c r="AC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4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828" s="51">
        <f>IF(OR(NOTA[[#This Row],[QTY]]="",NOTA[[#This Row],[HARGA SATUAN]]="",),"",NOTA[[#This Row],[QTY]]*NOTA[[#This Row],[HARGA SATUAN]])</f>
        <v>840000</v>
      </c>
      <c r="AG828" s="40">
        <f ca="1">IF(NOTA[ID_H]="","",INDEX(NOTA[TANGGAL],MATCH(,INDIRECT(ADDRESS(ROW(NOTA[TANGGAL]),COLUMN(NOTA[TANGGAL]))&amp;":"&amp;ADDRESS(ROW(),COLUMN(NOTA[TANGGAL]))),-1)))</f>
        <v>45138</v>
      </c>
      <c r="AH828" s="42" t="str">
        <f ca="1">IF(NOTA[[#This Row],[NAMA BARANG]]="","",INDEX(NOTA[SUPPLIER],MATCH(,INDIRECT(ADDRESS(ROW(NOTA[ID]),COLUMN(NOTA[ID]))&amp;":"&amp;ADDRESS(ROW(),COLUMN(NOTA[ID]))),-1)))</f>
        <v>ATALI MAKMUR</v>
      </c>
      <c r="AI828" s="42" t="str">
        <f ca="1">IF(NOTA[[#This Row],[ID_H]]="","",IF(NOTA[[#This Row],[FAKTUR]]="",INDIRECT(ADDRESS(ROW()-1,COLUMN())),NOTA[[#This Row],[FAKTUR]]))</f>
        <v>ARTO MORO</v>
      </c>
      <c r="AJ828" s="39" t="str">
        <f ca="1">IF(NOTA[[#This Row],[ID]]="","",COUNTIF(NOTA[ID_H],NOTA[[#This Row],[ID_H]]))</f>
        <v/>
      </c>
      <c r="AK828" s="39">
        <f ca="1">IF(NOTA[[#This Row],[TGL.NOTA]]="",IF(NOTA[[#This Row],[SUPPLIER_H]]="","",AK827),MONTH(NOTA[[#This Row],[TGL.NOTA]]))</f>
        <v>7</v>
      </c>
      <c r="AL828" s="39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M8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paperfastenerpf50whitejk8400000.1250.05</v>
      </c>
      <c r="AN8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paperfastenerpf50whitejk8400000.1250.05</v>
      </c>
      <c r="AO8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39" t="str">
        <f>IF(NOTA[[#This Row],[CONCAT4]]="","",_xlfn.IFNA(MATCH(NOTA[[#This Row],[CONCAT4]],[2]!RAW[CONCAT_H],0),FALSE))</f>
        <v/>
      </c>
      <c r="AQ828" s="39">
        <f>IF(NOTA[[#This Row],[CONCAT1]]="","",MATCH(NOTA[[#This Row],[CONCAT1]],[3]!db[NB NOTA_C],0))</f>
        <v>1821</v>
      </c>
      <c r="AR828" s="39" t="b">
        <f>IF(NOTA[[#This Row],[QTY/ CTN]]="","",TRUE)</f>
        <v>1</v>
      </c>
      <c r="AS828" s="39" t="str">
        <f ca="1">IF(NOTA[[#This Row],[ID_H]]="","",IF(NOTA[[#This Row],[Column3]]=TRUE,NOTA[[#This Row],[QTY/ CTN]],INDEX([3]!db[QTY/ CTN],NOTA[[#This Row],[//DB]])))</f>
        <v>100 PAK</v>
      </c>
      <c r="AT8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U828" s="39" t="e">
        <f ca="1">IF(NOTA[[#This Row],[ID_H]]="","",MATCH(NOTA[[#This Row],[NB NOTA_C_QTY]],[4]!db[NB NOTA_C_QTY+F],0))</f>
        <v>#REF!</v>
      </c>
      <c r="AV828" s="55">
        <f ca="1">IF(NOTA[[#This Row],[NB NOTA_C_QTY]]="","",ROW()-2)</f>
        <v>826</v>
      </c>
    </row>
    <row r="829" spans="1:48" ht="20.100000000000001" customHeight="1" x14ac:dyDescent="0.25">
      <c r="A8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>
        <f ca="1">IF(NOTA[[#This Row],[NAMA BARANG]]="","",INDEX(NOTA[ID],MATCH(,INDIRECT(ADDRESS(ROW(NOTA[ID]),COLUMN(NOTA[ID]))&amp;":"&amp;ADDRESS(ROW(),COLUMN(NOTA[ID]))),-1)))</f>
        <v>157</v>
      </c>
      <c r="E829" s="47"/>
      <c r="H829" s="48"/>
      <c r="L829" s="38" t="s">
        <v>736</v>
      </c>
      <c r="M829" s="41">
        <v>2</v>
      </c>
      <c r="N829" s="39">
        <v>48</v>
      </c>
      <c r="O829" s="38" t="s">
        <v>152</v>
      </c>
      <c r="P829" s="42">
        <v>162000</v>
      </c>
      <c r="Q829" s="43"/>
      <c r="R829" s="49" t="s">
        <v>240</v>
      </c>
      <c r="S829" s="50">
        <v>0.125</v>
      </c>
      <c r="T829" s="45">
        <v>0.05</v>
      </c>
      <c r="U829" s="51"/>
      <c r="V829" s="46"/>
      <c r="W829" s="51">
        <f>IF(NOTA[[#This Row],[HARGA/ CTN]]="",NOTA[[#This Row],[JUMLAH_H]],NOTA[[#This Row],[HARGA/ CTN]]*IF(NOTA[[#This Row],[C]]="",0,NOTA[[#This Row],[C]]))</f>
        <v>7776000</v>
      </c>
      <c r="X829" s="51">
        <f>IF(NOTA[[#This Row],[JUMLAH]]="","",NOTA[[#This Row],[JUMLAH]]*NOTA[[#This Row],[DISC 1]])</f>
        <v>972000</v>
      </c>
      <c r="Y829" s="51">
        <f>IF(NOTA[[#This Row],[JUMLAH]]="","",(NOTA[[#This Row],[JUMLAH]]-NOTA[[#This Row],[DISC 1-]])*NOTA[[#This Row],[DISC 2]])</f>
        <v>340200</v>
      </c>
      <c r="Z829" s="51">
        <f>IF(NOTA[[#This Row],[JUMLAH]]="","",NOTA[[#This Row],[DISC 1-]]+NOTA[[#This Row],[DISC 2-]])</f>
        <v>1312200</v>
      </c>
      <c r="AA829" s="51">
        <f>IF(NOTA[[#This Row],[JUMLAH]]="","",NOTA[[#This Row],[JUMLAH]]-NOTA[[#This Row],[DISC]])</f>
        <v>6463800</v>
      </c>
      <c r="AB829" s="51"/>
      <c r="AC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29" s="51">
        <f>IF(OR(NOTA[[#This Row],[QTY]]="",NOTA[[#This Row],[HARGA SATUAN]]="",),"",NOTA[[#This Row],[QTY]]*NOTA[[#This Row],[HARGA SATUAN]])</f>
        <v>7776000</v>
      </c>
      <c r="AG829" s="40">
        <f ca="1">IF(NOTA[ID_H]="","",INDEX(NOTA[TANGGAL],MATCH(,INDIRECT(ADDRESS(ROW(NOTA[TANGGAL]),COLUMN(NOTA[TANGGAL]))&amp;":"&amp;ADDRESS(ROW(),COLUMN(NOTA[TANGGAL]))),-1)))</f>
        <v>45138</v>
      </c>
      <c r="AH829" s="42" t="str">
        <f ca="1">IF(NOTA[[#This Row],[NAMA BARANG]]="","",INDEX(NOTA[SUPPLIER],MATCH(,INDIRECT(ADDRESS(ROW(NOTA[ID]),COLUMN(NOTA[ID]))&amp;":"&amp;ADDRESS(ROW(),COLUMN(NOTA[ID]))),-1)))</f>
        <v>ATALI MAKMUR</v>
      </c>
      <c r="AI829" s="42" t="str">
        <f ca="1">IF(NOTA[[#This Row],[ID_H]]="","",IF(NOTA[[#This Row],[FAKTUR]]="",INDIRECT(ADDRESS(ROW()-1,COLUMN())),NOTA[[#This Row],[FAKTUR]]))</f>
        <v>ARTO MORO</v>
      </c>
      <c r="AJ829" s="39" t="str">
        <f ca="1">IF(NOTA[[#This Row],[ID]]="","",COUNTIF(NOTA[ID_H],NOTA[[#This Row],[ID_H]]))</f>
        <v/>
      </c>
      <c r="AK829" s="39">
        <f ca="1">IF(NOTA[[#This Row],[TGL.NOTA]]="",IF(NOTA[[#This Row],[SUPPLIER_H]]="","",AK828),MONTH(NOTA[[#This Row],[TGL.NOTA]]))</f>
        <v>7</v>
      </c>
      <c r="AL829" s="39" t="str">
        <f>LOWER(SUBSTITUTE(SUBSTITUTE(SUBSTITUTE(SUBSTITUTE(SUBSTITUTE(SUBSTITUTE(SUBSTITUTE(SUBSTITUTE(SUBSTITUTE(NOTA[NAMA BARANG]," ",),".",""),"-",""),"(",""),")",""),",",""),"/",""),"""",""),"+",""))</f>
        <v>cutterl500jk</v>
      </c>
      <c r="AM8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8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8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39" t="str">
        <f>IF(NOTA[[#This Row],[CONCAT4]]="","",_xlfn.IFNA(MATCH(NOTA[[#This Row],[CONCAT4]],[2]!RAW[CONCAT_H],0),FALSE))</f>
        <v/>
      </c>
      <c r="AQ829" s="39">
        <f>IF(NOTA[[#This Row],[CONCAT1]]="","",MATCH(NOTA[[#This Row],[CONCAT1]],[3]!db[NB NOTA_C],0))</f>
        <v>945</v>
      </c>
      <c r="AR829" s="39" t="b">
        <f>IF(NOTA[[#This Row],[QTY/ CTN]]="","",TRUE)</f>
        <v>1</v>
      </c>
      <c r="AS829" s="39" t="str">
        <f ca="1">IF(NOTA[[#This Row],[ID_H]]="","",IF(NOTA[[#This Row],[Column3]]=TRUE,NOTA[[#This Row],[QTY/ CTN]],INDEX([3]!db[QTY/ CTN],NOTA[[#This Row],[//DB]])))</f>
        <v>24 LSN</v>
      </c>
      <c r="AT8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U829" s="39" t="e">
        <f ca="1">IF(NOTA[[#This Row],[ID_H]]="","",MATCH(NOTA[[#This Row],[NB NOTA_C_QTY]],[4]!db[NB NOTA_C_QTY+F],0))</f>
        <v>#REF!</v>
      </c>
      <c r="AV829" s="55">
        <f ca="1">IF(NOTA[[#This Row],[NB NOTA_C_QTY]]="","",ROW()-2)</f>
        <v>827</v>
      </c>
    </row>
    <row r="830" spans="1:48" ht="20.100000000000001" customHeight="1" x14ac:dyDescent="0.25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>
        <f ca="1">IF(NOTA[[#This Row],[NAMA BARANG]]="","",INDEX(NOTA[ID],MATCH(,INDIRECT(ADDRESS(ROW(NOTA[ID]),COLUMN(NOTA[ID]))&amp;":"&amp;ADDRESS(ROW(),COLUMN(NOTA[ID]))),-1)))</f>
        <v>157</v>
      </c>
      <c r="E830" s="47"/>
      <c r="H830" s="48"/>
      <c r="L830" s="38" t="s">
        <v>892</v>
      </c>
      <c r="N830" s="39">
        <v>48</v>
      </c>
      <c r="O830" s="38" t="s">
        <v>152</v>
      </c>
      <c r="Q830" s="43"/>
      <c r="R830" s="49" t="s">
        <v>562</v>
      </c>
      <c r="S830" s="50"/>
      <c r="U830" s="51"/>
      <c r="V830" s="46" t="s">
        <v>395</v>
      </c>
      <c r="W830" s="51" t="str">
        <f>IF(NOTA[[#This Row],[HARGA/ CTN]]="",NOTA[[#This Row],[JUMLAH_H]],NOTA[[#This Row],[HARGA/ CTN]]*IF(NOTA[[#This Row],[C]]="",0,NOTA[[#This Row],[C]]))</f>
        <v/>
      </c>
      <c r="X830" s="51" t="str">
        <f>IF(NOTA[[#This Row],[JUMLAH]]="","",NOTA[[#This Row],[JUMLAH]]*NOTA[[#This Row],[DISC 1]])</f>
        <v/>
      </c>
      <c r="Y830" s="51" t="str">
        <f>IF(NOTA[[#This Row],[JUMLAH]]="","",(NOTA[[#This Row],[JUMLAH]]-NOTA[[#This Row],[DISC 1-]])*NOTA[[#This Row],[DISC 2]])</f>
        <v/>
      </c>
      <c r="Z830" s="51" t="str">
        <f>IF(NOTA[[#This Row],[JUMLAH]]="","",NOTA[[#This Row],[DISC 1-]]+NOTA[[#This Row],[DISC 2-]])</f>
        <v/>
      </c>
      <c r="AA830" s="51" t="str">
        <f>IF(NOTA[[#This Row],[JUMLAH]]="","",NOTA[[#This Row],[JUMLAH]]-NOTA[[#This Row],[DISC]])</f>
        <v/>
      </c>
      <c r="AB830" s="51"/>
      <c r="AC8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3650670</v>
      </c>
      <c r="AD8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17982930</v>
      </c>
      <c r="AE830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0" s="51" t="str">
        <f>IF(OR(NOTA[[#This Row],[QTY]]="",NOTA[[#This Row],[HARGA SATUAN]]="",),"",NOTA[[#This Row],[QTY]]*NOTA[[#This Row],[HARGA SATUAN]])</f>
        <v/>
      </c>
      <c r="AG830" s="40">
        <f ca="1">IF(NOTA[ID_H]="","",INDEX(NOTA[TANGGAL],MATCH(,INDIRECT(ADDRESS(ROW(NOTA[TANGGAL]),COLUMN(NOTA[TANGGAL]))&amp;":"&amp;ADDRESS(ROW(),COLUMN(NOTA[TANGGAL]))),-1)))</f>
        <v>45138</v>
      </c>
      <c r="AH830" s="42" t="str">
        <f ca="1">IF(NOTA[[#This Row],[NAMA BARANG]]="","",INDEX(NOTA[SUPPLIER],MATCH(,INDIRECT(ADDRESS(ROW(NOTA[ID]),COLUMN(NOTA[ID]))&amp;":"&amp;ADDRESS(ROW(),COLUMN(NOTA[ID]))),-1)))</f>
        <v>ATALI MAKMUR</v>
      </c>
      <c r="AI830" s="42" t="str">
        <f ca="1">IF(NOTA[[#This Row],[ID_H]]="","",IF(NOTA[[#This Row],[FAKTUR]]="",INDIRECT(ADDRESS(ROW()-1,COLUMN())),NOTA[[#This Row],[FAKTUR]]))</f>
        <v>ARTO MORO</v>
      </c>
      <c r="AJ830" s="39" t="str">
        <f ca="1">IF(NOTA[[#This Row],[ID]]="","",COUNTIF(NOTA[ID_H],NOTA[[#This Row],[ID_H]]))</f>
        <v/>
      </c>
      <c r="AK830" s="39">
        <f ca="1">IF(NOTA[[#This Row],[TGL.NOTA]]="",IF(NOTA[[#This Row],[SUPPLIER_H]]="","",AK829),MONTH(NOTA[[#This Row],[TGL.NOTA]]))</f>
        <v>7</v>
      </c>
      <c r="AL830" s="39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M8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N8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O8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39" t="str">
        <f>IF(NOTA[[#This Row],[CONCAT4]]="","",_xlfn.IFNA(MATCH(NOTA[[#This Row],[CONCAT4]],[2]!RAW[CONCAT_H],0),FALSE))</f>
        <v/>
      </c>
      <c r="AQ830" s="39">
        <f>IF(NOTA[[#This Row],[CONCAT1]]="","",MATCH(NOTA[[#This Row],[CONCAT1]],[3]!db[NB NOTA_C],0))</f>
        <v>1301</v>
      </c>
      <c r="AR830" s="39" t="b">
        <f>IF(NOTA[[#This Row],[QTY/ CTN]]="","",TRUE)</f>
        <v>1</v>
      </c>
      <c r="AS830" s="39" t="str">
        <f ca="1">IF(NOTA[[#This Row],[ID_H]]="","",IF(NOTA[[#This Row],[Column3]]=TRUE,NOTA[[#This Row],[QTY/ CTN]],INDEX([3]!db[QTY/ CTN],NOTA[[#This Row],[//DB]])))</f>
        <v>40 LSN</v>
      </c>
      <c r="AT8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U830" s="39" t="e">
        <f ca="1">IF(NOTA[[#This Row],[ID_H]]="","",MATCH(NOTA[[#This Row],[NB NOTA_C_QTY]],[4]!db[NB NOTA_C_QTY+F],0))</f>
        <v>#REF!</v>
      </c>
      <c r="AV830" s="55">
        <f ca="1">IF(NOTA[[#This Row],[NB NOTA_C_QTY]]="","",ROW()-2)</f>
        <v>828</v>
      </c>
    </row>
    <row r="831" spans="1:48" ht="20.100000000000001" customHeight="1" x14ac:dyDescent="0.25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47"/>
      <c r="H831" s="48"/>
      <c r="N831" s="39"/>
      <c r="Q831" s="43"/>
      <c r="R831" s="49"/>
      <c r="S831" s="50"/>
      <c r="U831" s="51"/>
      <c r="V831" s="46"/>
      <c r="W831" s="51" t="str">
        <f>IF(NOTA[[#This Row],[HARGA/ CTN]]="",NOTA[[#This Row],[JUMLAH_H]],NOTA[[#This Row],[HARGA/ CTN]]*IF(NOTA[[#This Row],[C]]="",0,NOTA[[#This Row],[C]]))</f>
        <v/>
      </c>
      <c r="X831" s="51" t="str">
        <f>IF(NOTA[[#This Row],[JUMLAH]]="","",NOTA[[#This Row],[JUMLAH]]*NOTA[[#This Row],[DISC 1]])</f>
        <v/>
      </c>
      <c r="Y831" s="51" t="str">
        <f>IF(NOTA[[#This Row],[JUMLAH]]="","",(NOTA[[#This Row],[JUMLAH]]-NOTA[[#This Row],[DISC 1-]])*NOTA[[#This Row],[DISC 2]])</f>
        <v/>
      </c>
      <c r="Z831" s="51" t="str">
        <f>IF(NOTA[[#This Row],[JUMLAH]]="","",NOTA[[#This Row],[DISC 1-]]+NOTA[[#This Row],[DISC 2-]])</f>
        <v/>
      </c>
      <c r="AA831" s="51" t="str">
        <f>IF(NOTA[[#This Row],[JUMLAH]]="","",NOTA[[#This Row],[JUMLAH]]-NOTA[[#This Row],[DISC]])</f>
        <v/>
      </c>
      <c r="AB831" s="51"/>
      <c r="AC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51" t="str">
        <f>IF(OR(NOTA[[#This Row],[QTY]]="",NOTA[[#This Row],[HARGA SATUAN]]="",),"",NOTA[[#This Row],[QTY]]*NOTA[[#This Row],[HARGA SATUAN]])</f>
        <v/>
      </c>
      <c r="AG831" s="40" t="str">
        <f ca="1">IF(NOTA[ID_H]="","",INDEX(NOTA[TANGGAL],MATCH(,INDIRECT(ADDRESS(ROW(NOTA[TANGGAL]),COLUMN(NOTA[TANGGAL]))&amp;":"&amp;ADDRESS(ROW(),COLUMN(NOTA[TANGGAL]))),-1)))</f>
        <v/>
      </c>
      <c r="AH831" s="42" t="str">
        <f ca="1">IF(NOTA[[#This Row],[NAMA BARANG]]="","",INDEX(NOTA[SUPPLIER],MATCH(,INDIRECT(ADDRESS(ROW(NOTA[ID]),COLUMN(NOTA[ID]))&amp;":"&amp;ADDRESS(ROW(),COLUMN(NOTA[ID]))),-1)))</f>
        <v/>
      </c>
      <c r="AI831" s="42" t="str">
        <f ca="1">IF(NOTA[[#This Row],[ID_H]]="","",IF(NOTA[[#This Row],[FAKTUR]]="",INDIRECT(ADDRESS(ROW()-1,COLUMN())),NOTA[[#This Row],[FAKTUR]]))</f>
        <v/>
      </c>
      <c r="AJ831" s="39" t="str">
        <f ca="1">IF(NOTA[[#This Row],[ID]]="","",COUNTIF(NOTA[ID_H],NOTA[[#This Row],[ID_H]]))</f>
        <v/>
      </c>
      <c r="AK831" s="39" t="str">
        <f ca="1">IF(NOTA[[#This Row],[TGL.NOTA]]="",IF(NOTA[[#This Row],[SUPPLIER_H]]="","",AK830),MONTH(NOTA[[#This Row],[TGL.NOTA]]))</f>
        <v/>
      </c>
      <c r="AL831" s="39" t="str">
        <f>LOWER(SUBSTITUTE(SUBSTITUTE(SUBSTITUTE(SUBSTITUTE(SUBSTITUTE(SUBSTITUTE(SUBSTITUTE(SUBSTITUTE(SUBSTITUTE(NOTA[NAMA BARANG]," ",),".",""),"-",""),"(",""),")",""),",",""),"/",""),"""",""),"+",""))</f>
        <v/>
      </c>
      <c r="AM8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39" t="str">
        <f>IF(NOTA[[#This Row],[CONCAT4]]="","",_xlfn.IFNA(MATCH(NOTA[[#This Row],[CONCAT4]],[2]!RAW[CONCAT_H],0),FALSE))</f>
        <v/>
      </c>
      <c r="AQ831" s="39" t="str">
        <f>IF(NOTA[[#This Row],[CONCAT1]]="","",MATCH(NOTA[[#This Row],[CONCAT1]],[3]!db[NB NOTA_C],0))</f>
        <v/>
      </c>
      <c r="AR831" s="39" t="str">
        <f>IF(NOTA[[#This Row],[QTY/ CTN]]="","",TRUE)</f>
        <v/>
      </c>
      <c r="AS831" s="39" t="str">
        <f ca="1">IF(NOTA[[#This Row],[ID_H]]="","",IF(NOTA[[#This Row],[Column3]]=TRUE,NOTA[[#This Row],[QTY/ CTN]],INDEX([3]!db[QTY/ CTN],NOTA[[#This Row],[//DB]])))</f>
        <v/>
      </c>
      <c r="AT8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39" t="str">
        <f ca="1">IF(NOTA[[#This Row],[ID_H]]="","",MATCH(NOTA[[#This Row],[NB NOTA_C_QTY]],[4]!db[NB NOTA_C_QTY+F],0))</f>
        <v/>
      </c>
      <c r="AV831" s="55" t="str">
        <f ca="1">IF(NOTA[[#This Row],[NB NOTA_C_QTY]]="","",ROW()-2)</f>
        <v/>
      </c>
    </row>
    <row r="832" spans="1:48" ht="20.100000000000001" customHeight="1" x14ac:dyDescent="0.25">
      <c r="A832" s="42">
        <f ca="1">IF(INDIRECT(ADDRESS(ROW()-1,COLUMN(NOTA[[#Headers],[ID]])))="ID",1,IF(NOTA[[#This Row],[FAKTUR]]="","",COUNT(INDIRECT(ADDRESS(ROW(NOTA[ID]),COLUMN(NOTA[ID]))&amp;":"&amp;ADDRESS(ROW()-1,COLUMN(NOTA[ID]))))+1))</f>
        <v>158</v>
      </c>
      <c r="B8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ATA_0108_282-1</v>
      </c>
      <c r="C832" s="39" t="e">
        <f ca="1">IF(NOTA[[#This Row],[ID_P]]="","",MATCH(NOTA[[#This Row],[ID_P]],[1]!B_MSK[N_ID],0))</f>
        <v>#REF!</v>
      </c>
      <c r="D832" s="39">
        <f ca="1">IF(NOTA[[#This Row],[NAMA BARANG]]="","",INDEX(NOTA[ID],MATCH(,INDIRECT(ADDRESS(ROW(NOTA[ID]),COLUMN(NOTA[ID]))&amp;":"&amp;ADDRESS(ROW(),COLUMN(NOTA[ID]))),-1)))</f>
        <v>158</v>
      </c>
      <c r="E832" s="47">
        <v>45139</v>
      </c>
      <c r="F832" s="40" t="s">
        <v>24</v>
      </c>
      <c r="G832" s="38" t="s">
        <v>23</v>
      </c>
      <c r="H832" s="48" t="s">
        <v>893</v>
      </c>
      <c r="J832" s="40">
        <v>45135</v>
      </c>
      <c r="K832" s="38">
        <v>1</v>
      </c>
      <c r="L832" s="38" t="s">
        <v>387</v>
      </c>
      <c r="M832" s="41">
        <v>5</v>
      </c>
      <c r="N832" s="39">
        <v>1440</v>
      </c>
      <c r="O832" s="38" t="s">
        <v>117</v>
      </c>
      <c r="P832" s="42">
        <v>2150</v>
      </c>
      <c r="Q832" s="43"/>
      <c r="R832" s="49" t="s">
        <v>240</v>
      </c>
      <c r="S832" s="50">
        <v>0.125</v>
      </c>
      <c r="T832" s="45">
        <v>0.05</v>
      </c>
      <c r="U832" s="51"/>
      <c r="V832" s="46"/>
      <c r="W832" s="51">
        <f>IF(NOTA[[#This Row],[HARGA/ CTN]]="",NOTA[[#This Row],[JUMLAH_H]],NOTA[[#This Row],[HARGA/ CTN]]*IF(NOTA[[#This Row],[C]]="",0,NOTA[[#This Row],[C]]))</f>
        <v>3096000</v>
      </c>
      <c r="X832" s="51">
        <f>IF(NOTA[[#This Row],[JUMLAH]]="","",NOTA[[#This Row],[JUMLAH]]*NOTA[[#This Row],[DISC 1]])</f>
        <v>387000</v>
      </c>
      <c r="Y832" s="51">
        <f>IF(NOTA[[#This Row],[JUMLAH]]="","",(NOTA[[#This Row],[JUMLAH]]-NOTA[[#This Row],[DISC 1-]])*NOTA[[#This Row],[DISC 2]])</f>
        <v>135450</v>
      </c>
      <c r="Z832" s="51">
        <f>IF(NOTA[[#This Row],[JUMLAH]]="","",NOTA[[#This Row],[DISC 1-]]+NOTA[[#This Row],[DISC 2-]])</f>
        <v>522450</v>
      </c>
      <c r="AA832" s="51">
        <f>IF(NOTA[[#This Row],[JUMLAH]]="","",NOTA[[#This Row],[JUMLAH]]-NOTA[[#This Row],[DISC]])</f>
        <v>2573550</v>
      </c>
      <c r="AB832" s="51"/>
      <c r="AC8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522450</v>
      </c>
      <c r="AD83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2573550</v>
      </c>
      <c r="AE832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32" s="51">
        <f>IF(OR(NOTA[[#This Row],[QTY]]="",NOTA[[#This Row],[HARGA SATUAN]]="",),"",NOTA[[#This Row],[QTY]]*NOTA[[#This Row],[HARGA SATUAN]])</f>
        <v>3096000</v>
      </c>
      <c r="AG832" s="40">
        <f ca="1">IF(NOTA[ID_H]="","",INDEX(NOTA[TANGGAL],MATCH(,INDIRECT(ADDRESS(ROW(NOTA[TANGGAL]),COLUMN(NOTA[TANGGAL]))&amp;":"&amp;ADDRESS(ROW(),COLUMN(NOTA[TANGGAL]))),-1)))</f>
        <v>45139</v>
      </c>
      <c r="AH832" s="42" t="str">
        <f ca="1">IF(NOTA[[#This Row],[NAMA BARANG]]="","",INDEX(NOTA[SUPPLIER],MATCH(,INDIRECT(ADDRESS(ROW(NOTA[ID]),COLUMN(NOTA[ID]))&amp;":"&amp;ADDRESS(ROW(),COLUMN(NOTA[ID]))),-1)))</f>
        <v>ATALI MAKMUR</v>
      </c>
      <c r="AI832" s="42" t="str">
        <f ca="1">IF(NOTA[[#This Row],[ID_H]]="","",IF(NOTA[[#This Row],[FAKTUR]]="",INDIRECT(ADDRESS(ROW()-1,COLUMN())),NOTA[[#This Row],[FAKTUR]]))</f>
        <v>ARTO MORO</v>
      </c>
      <c r="AJ832" s="39">
        <f ca="1">IF(NOTA[[#This Row],[ID]]="","",COUNTIF(NOTA[ID_H],NOTA[[#This Row],[ID_H]]))</f>
        <v>1</v>
      </c>
      <c r="AK832" s="39">
        <f>IF(NOTA[[#This Row],[TGL.NOTA]]="",IF(NOTA[[#This Row],[SUPPLIER_H]]="","",AK831),MONTH(NOTA[[#This Row],[TGL.NOTA]]))</f>
        <v>7</v>
      </c>
      <c r="AL832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8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8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83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MOROSA23071328245135glueglr50jk</v>
      </c>
      <c r="AP832" s="39" t="e">
        <f>IF(NOTA[[#This Row],[CONCAT4]]="","",_xlfn.IFNA(MATCH(NOTA[[#This Row],[CONCAT4]],[2]!RAW[CONCAT_H],0),FALSE))</f>
        <v>#REF!</v>
      </c>
      <c r="AQ832" s="39">
        <f>IF(NOTA[[#This Row],[CONCAT1]]="","",MATCH(NOTA[[#This Row],[CONCAT1]],[3]!db[NB NOTA_C],0))</f>
        <v>1489</v>
      </c>
      <c r="AR832" s="39" t="b">
        <f>IF(NOTA[[#This Row],[QTY/ CTN]]="","",TRUE)</f>
        <v>1</v>
      </c>
      <c r="AS832" s="39" t="str">
        <f ca="1">IF(NOTA[[#This Row],[ID_H]]="","",IF(NOTA[[#This Row],[Column3]]=TRUE,NOTA[[#This Row],[QTY/ CTN]],INDEX([3]!db[QTY/ CTN],NOTA[[#This Row],[//DB]])))</f>
        <v>24 LSN</v>
      </c>
      <c r="AT8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832" s="39" t="e">
        <f ca="1">IF(NOTA[[#This Row],[ID_H]]="","",MATCH(NOTA[[#This Row],[NB NOTA_C_QTY]],[4]!db[NB NOTA_C_QTY+F],0))</f>
        <v>#REF!</v>
      </c>
      <c r="AV832" s="55">
        <f ca="1">IF(NOTA[[#This Row],[NB NOTA_C_QTY]]="","",ROW()-2)</f>
        <v>830</v>
      </c>
    </row>
    <row r="833" spans="1:48" ht="20.100000000000001" customHeight="1" x14ac:dyDescent="0.25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47"/>
      <c r="H833" s="48"/>
      <c r="N833" s="39"/>
      <c r="Q833" s="43"/>
      <c r="R833" s="49"/>
      <c r="S833" s="50"/>
      <c r="U833" s="51"/>
      <c r="V833" s="46"/>
      <c r="W833" s="51" t="str">
        <f>IF(NOTA[[#This Row],[HARGA/ CTN]]="",NOTA[[#This Row],[JUMLAH_H]],NOTA[[#This Row],[HARGA/ CTN]]*IF(NOTA[[#This Row],[C]]="",0,NOTA[[#This Row],[C]]))</f>
        <v/>
      </c>
      <c r="X833" s="51" t="str">
        <f>IF(NOTA[[#This Row],[JUMLAH]]="","",NOTA[[#This Row],[JUMLAH]]*NOTA[[#This Row],[DISC 1]])</f>
        <v/>
      </c>
      <c r="Y833" s="51" t="str">
        <f>IF(NOTA[[#This Row],[JUMLAH]]="","",(NOTA[[#This Row],[JUMLAH]]-NOTA[[#This Row],[DISC 1-]])*NOTA[[#This Row],[DISC 2]])</f>
        <v/>
      </c>
      <c r="Z833" s="51" t="str">
        <f>IF(NOTA[[#This Row],[JUMLAH]]="","",NOTA[[#This Row],[DISC 1-]]+NOTA[[#This Row],[DISC 2-]])</f>
        <v/>
      </c>
      <c r="AA833" s="51" t="str">
        <f>IF(NOTA[[#This Row],[JUMLAH]]="","",NOTA[[#This Row],[JUMLAH]]-NOTA[[#This Row],[DISC]])</f>
        <v/>
      </c>
      <c r="AB833" s="51"/>
      <c r="AC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51" t="str">
        <f>IF(OR(NOTA[[#This Row],[QTY]]="",NOTA[[#This Row],[HARGA SATUAN]]="",),"",NOTA[[#This Row],[QTY]]*NOTA[[#This Row],[HARGA SATUAN]])</f>
        <v/>
      </c>
      <c r="AG833" s="40" t="str">
        <f ca="1">IF(NOTA[ID_H]="","",INDEX(NOTA[TANGGAL],MATCH(,INDIRECT(ADDRESS(ROW(NOTA[TANGGAL]),COLUMN(NOTA[TANGGAL]))&amp;":"&amp;ADDRESS(ROW(),COLUMN(NOTA[TANGGAL]))),-1)))</f>
        <v/>
      </c>
      <c r="AH833" s="42" t="str">
        <f ca="1">IF(NOTA[[#This Row],[NAMA BARANG]]="","",INDEX(NOTA[SUPPLIER],MATCH(,INDIRECT(ADDRESS(ROW(NOTA[ID]),COLUMN(NOTA[ID]))&amp;":"&amp;ADDRESS(ROW(),COLUMN(NOTA[ID]))),-1)))</f>
        <v/>
      </c>
      <c r="AI833" s="42" t="str">
        <f ca="1">IF(NOTA[[#This Row],[ID_H]]="","",IF(NOTA[[#This Row],[FAKTUR]]="",INDIRECT(ADDRESS(ROW()-1,COLUMN())),NOTA[[#This Row],[FAKTUR]]))</f>
        <v/>
      </c>
      <c r="AJ833" s="39" t="str">
        <f ca="1">IF(NOTA[[#This Row],[ID]]="","",COUNTIF(NOTA[ID_H],NOTA[[#This Row],[ID_H]]))</f>
        <v/>
      </c>
      <c r="AK833" s="39" t="str">
        <f ca="1">IF(NOTA[[#This Row],[TGL.NOTA]]="",IF(NOTA[[#This Row],[SUPPLIER_H]]="","",AK832),MONTH(NOTA[[#This Row],[TGL.NOTA]]))</f>
        <v/>
      </c>
      <c r="AL833" s="39" t="str">
        <f>LOWER(SUBSTITUTE(SUBSTITUTE(SUBSTITUTE(SUBSTITUTE(SUBSTITUTE(SUBSTITUTE(SUBSTITUTE(SUBSTITUTE(SUBSTITUTE(NOTA[NAMA BARANG]," ",),".",""),"-",""),"(",""),")",""),",",""),"/",""),"""",""),"+",""))</f>
        <v/>
      </c>
      <c r="AM8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39" t="str">
        <f>IF(NOTA[[#This Row],[CONCAT4]]="","",_xlfn.IFNA(MATCH(NOTA[[#This Row],[CONCAT4]],[2]!RAW[CONCAT_H],0),FALSE))</f>
        <v/>
      </c>
      <c r="AQ833" s="39" t="str">
        <f>IF(NOTA[[#This Row],[CONCAT1]]="","",MATCH(NOTA[[#This Row],[CONCAT1]],[3]!db[NB NOTA_C],0))</f>
        <v/>
      </c>
      <c r="AR833" s="39" t="str">
        <f>IF(NOTA[[#This Row],[QTY/ CTN]]="","",TRUE)</f>
        <v/>
      </c>
      <c r="AS833" s="39" t="str">
        <f ca="1">IF(NOTA[[#This Row],[ID_H]]="","",IF(NOTA[[#This Row],[Column3]]=TRUE,NOTA[[#This Row],[QTY/ CTN]],INDEX([3]!db[QTY/ CTN],NOTA[[#This Row],[//DB]])))</f>
        <v/>
      </c>
      <c r="AT8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39" t="str">
        <f ca="1">IF(NOTA[[#This Row],[ID_H]]="","",MATCH(NOTA[[#This Row],[NB NOTA_C_QTY]],[4]!db[NB NOTA_C_QTY+F],0))</f>
        <v/>
      </c>
      <c r="AV833" s="55" t="str">
        <f ca="1">IF(NOTA[[#This Row],[NB NOTA_C_QTY]]="","",ROW()-2)</f>
        <v/>
      </c>
    </row>
    <row r="834" spans="1:48" ht="20.100000000000001" customHeight="1" x14ac:dyDescent="0.25">
      <c r="A834" s="42">
        <f ca="1">IF(INDIRECT(ADDRESS(ROW()-1,COLUMN(NOTA[[#Headers],[ID]])))="ID",1,IF(NOTA[[#This Row],[FAKTUR]]="","",COUNT(INDIRECT(ADDRESS(ROW(NOTA[ID]),COLUMN(NOTA[ID]))&amp;":"&amp;ADDRESS(ROW()-1,COLUMN(NOTA[ID]))))+1))</f>
        <v>159</v>
      </c>
      <c r="B8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ATA_0108_352-1</v>
      </c>
      <c r="C834" s="39" t="e">
        <f ca="1">IF(NOTA[[#This Row],[ID_P]]="","",MATCH(NOTA[[#This Row],[ID_P]],[1]!B_MSK[N_ID],0))</f>
        <v>#REF!</v>
      </c>
      <c r="D834" s="39">
        <f ca="1">IF(NOTA[[#This Row],[NAMA BARANG]]="","",INDEX(NOTA[ID],MATCH(,INDIRECT(ADDRESS(ROW(NOTA[ID]),COLUMN(NOTA[ID]))&amp;":"&amp;ADDRESS(ROW(),COLUMN(NOTA[ID]))),-1)))</f>
        <v>159</v>
      </c>
      <c r="E834" s="47"/>
      <c r="F834" s="38" t="s">
        <v>24</v>
      </c>
      <c r="G834" s="38" t="s">
        <v>23</v>
      </c>
      <c r="H834" s="48" t="s">
        <v>894</v>
      </c>
      <c r="J834" s="40">
        <v>45136</v>
      </c>
      <c r="K834" s="38">
        <v>5</v>
      </c>
      <c r="L834" s="38" t="s">
        <v>720</v>
      </c>
      <c r="M834" s="41">
        <v>5</v>
      </c>
      <c r="N834" s="39">
        <v>720</v>
      </c>
      <c r="O834" s="38" t="s">
        <v>152</v>
      </c>
      <c r="P834" s="42">
        <v>12600</v>
      </c>
      <c r="Q834" s="43"/>
      <c r="R834" s="49" t="s">
        <v>538</v>
      </c>
      <c r="S834" s="50">
        <v>0.125</v>
      </c>
      <c r="T834" s="45">
        <v>0.05</v>
      </c>
      <c r="U834" s="51"/>
      <c r="V834" s="46"/>
      <c r="W834" s="51">
        <f>IF(NOTA[[#This Row],[HARGA/ CTN]]="",NOTA[[#This Row],[JUMLAH_H]],NOTA[[#This Row],[HARGA/ CTN]]*IF(NOTA[[#This Row],[C]]="",0,NOTA[[#This Row],[C]]))</f>
        <v>9072000</v>
      </c>
      <c r="X834" s="51">
        <f>IF(NOTA[[#This Row],[JUMLAH]]="","",NOTA[[#This Row],[JUMLAH]]*NOTA[[#This Row],[DISC 1]])</f>
        <v>1134000</v>
      </c>
      <c r="Y834" s="51">
        <f>IF(NOTA[[#This Row],[JUMLAH]]="","",(NOTA[[#This Row],[JUMLAH]]-NOTA[[#This Row],[DISC 1-]])*NOTA[[#This Row],[DISC 2]])</f>
        <v>396900</v>
      </c>
      <c r="Z834" s="51">
        <f>IF(NOTA[[#This Row],[JUMLAH]]="","",NOTA[[#This Row],[DISC 1-]]+NOTA[[#This Row],[DISC 2-]])</f>
        <v>1530900</v>
      </c>
      <c r="AA834" s="51">
        <f>IF(NOTA[[#This Row],[JUMLAH]]="","",NOTA[[#This Row],[JUMLAH]]-NOTA[[#This Row],[DISC]])</f>
        <v>7541100</v>
      </c>
      <c r="AB834" s="51"/>
      <c r="AC8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1530900</v>
      </c>
      <c r="AD8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7541100</v>
      </c>
      <c r="AE834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34" s="51">
        <f>IF(OR(NOTA[[#This Row],[QTY]]="",NOTA[[#This Row],[HARGA SATUAN]]="",),"",NOTA[[#This Row],[QTY]]*NOTA[[#This Row],[HARGA SATUAN]])</f>
        <v>9072000</v>
      </c>
      <c r="AG834" s="40">
        <f ca="1">IF(NOTA[ID_H]="","",INDEX(NOTA[TANGGAL],MATCH(,INDIRECT(ADDRESS(ROW(NOTA[TANGGAL]),COLUMN(NOTA[TANGGAL]))&amp;":"&amp;ADDRESS(ROW(),COLUMN(NOTA[TANGGAL]))),-1)))</f>
        <v>45139</v>
      </c>
      <c r="AH834" s="42" t="str">
        <f ca="1">IF(NOTA[[#This Row],[NAMA BARANG]]="","",INDEX(NOTA[SUPPLIER],MATCH(,INDIRECT(ADDRESS(ROW(NOTA[ID]),COLUMN(NOTA[ID]))&amp;":"&amp;ADDRESS(ROW(),COLUMN(NOTA[ID]))),-1)))</f>
        <v>ATALI MAKMUR</v>
      </c>
      <c r="AI834" s="42" t="str">
        <f ca="1">IF(NOTA[[#This Row],[ID_H]]="","",IF(NOTA[[#This Row],[FAKTUR]]="",INDIRECT(ADDRESS(ROW()-1,COLUMN())),NOTA[[#This Row],[FAKTUR]]))</f>
        <v>ARTO MORO</v>
      </c>
      <c r="AJ834" s="39">
        <f ca="1">IF(NOTA[[#This Row],[ID]]="","",COUNTIF(NOTA[ID_H],NOTA[[#This Row],[ID_H]]))</f>
        <v>1</v>
      </c>
      <c r="AK834" s="39">
        <f>IF(NOTA[[#This Row],[TGL.NOTA]]="",IF(NOTA[[#This Row],[SUPPLIER_H]]="","",AK833),MONTH(NOTA[[#This Row],[TGL.NOTA]]))</f>
        <v>7</v>
      </c>
      <c r="AL834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8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8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83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MOROSA23071335245136ballpenbp338vocusblackjk</v>
      </c>
      <c r="AP834" s="39" t="e">
        <f>IF(NOTA[[#This Row],[CONCAT4]]="","",_xlfn.IFNA(MATCH(NOTA[[#This Row],[CONCAT4]],[2]!RAW[CONCAT_H],0),FALSE))</f>
        <v>#REF!</v>
      </c>
      <c r="AQ834" s="39">
        <f>IF(NOTA[[#This Row],[CONCAT1]]="","",MATCH(NOTA[[#This Row],[CONCAT1]],[3]!db[NB NOTA_C],0))</f>
        <v>632</v>
      </c>
      <c r="AR834" s="39" t="b">
        <f>IF(NOTA[[#This Row],[QTY/ CTN]]="","",TRUE)</f>
        <v>1</v>
      </c>
      <c r="AS834" s="39" t="str">
        <f ca="1">IF(NOTA[[#This Row],[ID_H]]="","",IF(NOTA[[#This Row],[Column3]]=TRUE,NOTA[[#This Row],[QTY/ CTN]],INDEX([3]!db[QTY/ CTN],NOTA[[#This Row],[//DB]])))</f>
        <v>144 LSN</v>
      </c>
      <c r="AT8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834" s="39" t="e">
        <f ca="1">IF(NOTA[[#This Row],[ID_H]]="","",MATCH(NOTA[[#This Row],[NB NOTA_C_QTY]],[4]!db[NB NOTA_C_QTY+F],0))</f>
        <v>#REF!</v>
      </c>
      <c r="AV834" s="55">
        <f ca="1">IF(NOTA[[#This Row],[NB NOTA_C_QTY]]="","",ROW()-2)</f>
        <v>832</v>
      </c>
    </row>
    <row r="835" spans="1:48" ht="20.100000000000001" customHeight="1" x14ac:dyDescent="0.25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47"/>
      <c r="H835" s="48"/>
      <c r="N835" s="39"/>
      <c r="Q835" s="43"/>
      <c r="R835" s="49"/>
      <c r="S835" s="50"/>
      <c r="U835" s="51"/>
      <c r="V835" s="46"/>
      <c r="W835" s="51" t="str">
        <f>IF(NOTA[[#This Row],[HARGA/ CTN]]="",NOTA[[#This Row],[JUMLAH_H]],NOTA[[#This Row],[HARGA/ CTN]]*IF(NOTA[[#This Row],[C]]="",0,NOTA[[#This Row],[C]]))</f>
        <v/>
      </c>
      <c r="X835" s="51" t="str">
        <f>IF(NOTA[[#This Row],[JUMLAH]]="","",NOTA[[#This Row],[JUMLAH]]*NOTA[[#This Row],[DISC 1]])</f>
        <v/>
      </c>
      <c r="Y835" s="51" t="str">
        <f>IF(NOTA[[#This Row],[JUMLAH]]="","",(NOTA[[#This Row],[JUMLAH]]-NOTA[[#This Row],[DISC 1-]])*NOTA[[#This Row],[DISC 2]])</f>
        <v/>
      </c>
      <c r="Z835" s="51" t="str">
        <f>IF(NOTA[[#This Row],[JUMLAH]]="","",NOTA[[#This Row],[DISC 1-]]+NOTA[[#This Row],[DISC 2-]])</f>
        <v/>
      </c>
      <c r="AA835" s="51" t="str">
        <f>IF(NOTA[[#This Row],[JUMLAH]]="","",NOTA[[#This Row],[JUMLAH]]-NOTA[[#This Row],[DISC]])</f>
        <v/>
      </c>
      <c r="AB835" s="51"/>
      <c r="AC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51" t="str">
        <f>IF(OR(NOTA[[#This Row],[QTY]]="",NOTA[[#This Row],[HARGA SATUAN]]="",),"",NOTA[[#This Row],[QTY]]*NOTA[[#This Row],[HARGA SATUAN]])</f>
        <v/>
      </c>
      <c r="AG835" s="40" t="str">
        <f ca="1">IF(NOTA[ID_H]="","",INDEX(NOTA[TANGGAL],MATCH(,INDIRECT(ADDRESS(ROW(NOTA[TANGGAL]),COLUMN(NOTA[TANGGAL]))&amp;":"&amp;ADDRESS(ROW(),COLUMN(NOTA[TANGGAL]))),-1)))</f>
        <v/>
      </c>
      <c r="AH835" s="42" t="str">
        <f ca="1">IF(NOTA[[#This Row],[NAMA BARANG]]="","",INDEX(NOTA[SUPPLIER],MATCH(,INDIRECT(ADDRESS(ROW(NOTA[ID]),COLUMN(NOTA[ID]))&amp;":"&amp;ADDRESS(ROW(),COLUMN(NOTA[ID]))),-1)))</f>
        <v/>
      </c>
      <c r="AI835" s="42" t="str">
        <f ca="1">IF(NOTA[[#This Row],[ID_H]]="","",IF(NOTA[[#This Row],[FAKTUR]]="",INDIRECT(ADDRESS(ROW()-1,COLUMN())),NOTA[[#This Row],[FAKTUR]]))</f>
        <v/>
      </c>
      <c r="AJ835" s="39" t="str">
        <f ca="1">IF(NOTA[[#This Row],[ID]]="","",COUNTIF(NOTA[ID_H],NOTA[[#This Row],[ID_H]]))</f>
        <v/>
      </c>
      <c r="AK835" s="39" t="str">
        <f ca="1">IF(NOTA[[#This Row],[TGL.NOTA]]="",IF(NOTA[[#This Row],[SUPPLIER_H]]="","",AK834),MONTH(NOTA[[#This Row],[TGL.NOTA]]))</f>
        <v/>
      </c>
      <c r="AL835" s="39" t="str">
        <f>LOWER(SUBSTITUTE(SUBSTITUTE(SUBSTITUTE(SUBSTITUTE(SUBSTITUTE(SUBSTITUTE(SUBSTITUTE(SUBSTITUTE(SUBSTITUTE(NOTA[NAMA BARANG]," ",),".",""),"-",""),"(",""),")",""),",",""),"/",""),"""",""),"+",""))</f>
        <v/>
      </c>
      <c r="AM8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39" t="str">
        <f>IF(NOTA[[#This Row],[CONCAT4]]="","",_xlfn.IFNA(MATCH(NOTA[[#This Row],[CONCAT4]],[2]!RAW[CONCAT_H],0),FALSE))</f>
        <v/>
      </c>
      <c r="AQ835" s="39" t="str">
        <f>IF(NOTA[[#This Row],[CONCAT1]]="","",MATCH(NOTA[[#This Row],[CONCAT1]],[3]!db[NB NOTA_C],0))</f>
        <v/>
      </c>
      <c r="AR835" s="39" t="str">
        <f>IF(NOTA[[#This Row],[QTY/ CTN]]="","",TRUE)</f>
        <v/>
      </c>
      <c r="AS835" s="39" t="str">
        <f ca="1">IF(NOTA[[#This Row],[ID_H]]="","",IF(NOTA[[#This Row],[Column3]]=TRUE,NOTA[[#This Row],[QTY/ CTN]],INDEX([3]!db[QTY/ CTN],NOTA[[#This Row],[//DB]])))</f>
        <v/>
      </c>
      <c r="AT8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39" t="str">
        <f ca="1">IF(NOTA[[#This Row],[ID_H]]="","",MATCH(NOTA[[#This Row],[NB NOTA_C_QTY]],[4]!db[NB NOTA_C_QTY+F],0))</f>
        <v/>
      </c>
      <c r="AV835" s="55" t="str">
        <f ca="1">IF(NOTA[[#This Row],[NB NOTA_C_QTY]]="","",ROW()-2)</f>
        <v/>
      </c>
    </row>
    <row r="836" spans="1:48" ht="20.100000000000001" customHeight="1" x14ac:dyDescent="0.25">
      <c r="A836" s="42">
        <f ca="1">IF(INDIRECT(ADDRESS(ROW()-1,COLUMN(NOTA[[#Headers],[ID]])))="ID",1,IF(NOTA[[#This Row],[FAKTUR]]="","",COUNT(INDIRECT(ADDRESS(ROW(NOTA[ID]),COLUMN(NOTA[ID]))&amp;":"&amp;ADDRESS(ROW()-1,COLUMN(NOTA[ID]))))+1))</f>
        <v>160</v>
      </c>
      <c r="B8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PPW_0108_I23-2</v>
      </c>
      <c r="C836" s="39" t="e">
        <f ca="1">IF(NOTA[[#This Row],[ID_P]]="","",MATCH(NOTA[[#This Row],[ID_P]],[1]!B_MSK[N_ID],0))</f>
        <v>#REF!</v>
      </c>
      <c r="D836" s="39">
        <f ca="1">IF(NOTA[[#This Row],[NAMA BARANG]]="","",INDEX(NOTA[ID],MATCH(,INDIRECT(ADDRESS(ROW(NOTA[ID]),COLUMN(NOTA[ID]))&amp;":"&amp;ADDRESS(ROW(),COLUMN(NOTA[ID]))),-1)))</f>
        <v>160</v>
      </c>
      <c r="E836" s="47">
        <v>45139</v>
      </c>
      <c r="F836" s="38" t="s">
        <v>172</v>
      </c>
      <c r="G836" s="38" t="s">
        <v>145</v>
      </c>
      <c r="H836" s="48" t="s">
        <v>895</v>
      </c>
      <c r="J836" s="40">
        <v>45138</v>
      </c>
      <c r="L836" s="38" t="s">
        <v>896</v>
      </c>
      <c r="N836" s="39">
        <v>24</v>
      </c>
      <c r="O836" s="38" t="s">
        <v>152</v>
      </c>
      <c r="P836" s="42">
        <v>252300</v>
      </c>
      <c r="Q836" s="43"/>
      <c r="R836" s="49" t="s">
        <v>238</v>
      </c>
      <c r="S836" s="50">
        <v>0.2</v>
      </c>
      <c r="T836" s="45">
        <v>0.04</v>
      </c>
      <c r="U836" s="51"/>
      <c r="V836" s="46"/>
      <c r="W836" s="51">
        <f>IF(NOTA[[#This Row],[HARGA/ CTN]]="",NOTA[[#This Row],[JUMLAH_H]],NOTA[[#This Row],[HARGA/ CTN]]*IF(NOTA[[#This Row],[C]]="",0,NOTA[[#This Row],[C]]))</f>
        <v>6055200</v>
      </c>
      <c r="X836" s="51">
        <f>IF(NOTA[[#This Row],[JUMLAH]]="","",NOTA[[#This Row],[JUMLAH]]*NOTA[[#This Row],[DISC 1]])</f>
        <v>1211040</v>
      </c>
      <c r="Y836" s="51">
        <f>IF(NOTA[[#This Row],[JUMLAH]]="","",(NOTA[[#This Row],[JUMLAH]]-NOTA[[#This Row],[DISC 1-]])*NOTA[[#This Row],[DISC 2]])</f>
        <v>193766.39999999999</v>
      </c>
      <c r="Z836" s="51">
        <f>IF(NOTA[[#This Row],[JUMLAH]]="","",NOTA[[#This Row],[DISC 1-]]+NOTA[[#This Row],[DISC 2-]])</f>
        <v>1404806.4</v>
      </c>
      <c r="AA836" s="51">
        <f>IF(NOTA[[#This Row],[JUMLAH]]="","",NOTA[[#This Row],[JUMLAH]]-NOTA[[#This Row],[DISC]])</f>
        <v>4650393.5999999996</v>
      </c>
      <c r="AB836" s="51"/>
      <c r="AC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42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F836" s="51">
        <f>IF(OR(NOTA[[#This Row],[QTY]]="",NOTA[[#This Row],[HARGA SATUAN]]="",),"",NOTA[[#This Row],[QTY]]*NOTA[[#This Row],[HARGA SATUAN]])</f>
        <v>6055200</v>
      </c>
      <c r="AG836" s="40">
        <f ca="1">IF(NOTA[ID_H]="","",INDEX(NOTA[TANGGAL],MATCH(,INDIRECT(ADDRESS(ROW(NOTA[TANGGAL]),COLUMN(NOTA[TANGGAL]))&amp;":"&amp;ADDRESS(ROW(),COLUMN(NOTA[TANGGAL]))),-1)))</f>
        <v>45139</v>
      </c>
      <c r="AH836" s="42" t="str">
        <f ca="1">IF(NOTA[[#This Row],[NAMA BARANG]]="","",INDEX(NOTA[SUPPLIER],MATCH(,INDIRECT(ADDRESS(ROW(NOTA[ID]),COLUMN(NOTA[ID]))&amp;":"&amp;ADDRESS(ROW(),COLUMN(NOTA[ID]))),-1)))</f>
        <v>PPW</v>
      </c>
      <c r="AI836" s="42" t="str">
        <f ca="1">IF(NOTA[[#This Row],[ID_H]]="","",IF(NOTA[[#This Row],[FAKTUR]]="",INDIRECT(ADDRESS(ROW()-1,COLUMN())),NOTA[[#This Row],[FAKTUR]]))</f>
        <v>UNTANA</v>
      </c>
      <c r="AJ836" s="39">
        <f ca="1">IF(NOTA[[#This Row],[ID]]="","",COUNTIF(NOTA[ID_H],NOTA[[#This Row],[ID_H]]))</f>
        <v>2</v>
      </c>
      <c r="AK836" s="39">
        <f>IF(NOTA[[#This Row],[TGL.NOTA]]="",IF(NOTA[[#This Row],[SUPPLIER_H]]="","",#REF!),MONTH(NOTA[[#This Row],[TGL.NOTA]]))</f>
        <v>7</v>
      </c>
      <c r="AL836" s="39" t="str">
        <f>LOWER(SUBSTITUTE(SUBSTITUTE(SUBSTITUTE(SUBSTITUTE(SUBSTITUTE(SUBSTITUTE(SUBSTITUTE(SUBSTITUTE(SUBSTITUTE(NOTA[NAMA BARANG]," ",),".",""),"-",""),"(",""),")",""),",",""),"/",""),"""",""),"+",""))</f>
        <v>btr3</v>
      </c>
      <c r="AM8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btr360552000.20.04</v>
      </c>
      <c r="AN8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O836" s="39" t="str">
        <f>IF(NOTA[[#This Row],[SUPPLIER]]="","",NOTA[[#This Row],[SUPPLIER]]&amp;NOTA[[#This Row],[FAKTUR]]&amp;NOTA[[#This Row],[NO.NOTA]]&amp;NOTA[[#This Row],[NO.SJ]]&amp;NOTA[[#This Row],[TGL.NOTA]]&amp;NOTA[[#This Row],[CONCAT1]])</f>
        <v>PPWUNTANA187/EPW/VII/2345138btr3</v>
      </c>
      <c r="AP836" s="39" t="e">
        <f>IF(NOTA[[#This Row],[CONCAT4]]="","",_xlfn.IFNA(MATCH(NOTA[[#This Row],[CONCAT4]],[2]!RAW[CONCAT_H],0),FALSE))</f>
        <v>#REF!</v>
      </c>
      <c r="AQ836" s="39">
        <f>IF(NOTA[[#This Row],[CONCAT1]]="","",MATCH(NOTA[[#This Row],[CONCAT1]],[3]!db[NB NOTA_C],0))</f>
        <v>1105</v>
      </c>
      <c r="AR836" s="39" t="b">
        <f>IF(NOTA[[#This Row],[QTY/ CTN]]="","",TRUE)</f>
        <v>1</v>
      </c>
      <c r="AS836" s="39" t="str">
        <f ca="1">IF(NOTA[[#This Row],[ID_H]]="","",IF(NOTA[[#This Row],[Column3]]=TRUE,NOTA[[#This Row],[QTY/ CTN]],INDEX([3]!db[QTY/ CTN],NOTA[[#This Row],[//DB]])))</f>
        <v>48 LSN</v>
      </c>
      <c r="AT8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btr348lsnuntana</v>
      </c>
      <c r="AU836" s="39" t="e">
        <f ca="1">IF(NOTA[[#This Row],[ID_H]]="","",MATCH(NOTA[[#This Row],[NB NOTA_C_QTY]],[4]!db[NB NOTA_C_QTY+F],0))</f>
        <v>#REF!</v>
      </c>
      <c r="AV836" s="55">
        <f ca="1">IF(NOTA[[#This Row],[NB NOTA_C_QTY]]="","",ROW()-2)</f>
        <v>834</v>
      </c>
    </row>
    <row r="837" spans="1:48" ht="20.100000000000001" customHeight="1" x14ac:dyDescent="0.25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>
        <f ca="1">IF(NOTA[[#This Row],[NAMA BARANG]]="","",INDEX(NOTA[ID],MATCH(,INDIRECT(ADDRESS(ROW(NOTA[ID]),COLUMN(NOTA[ID]))&amp;":"&amp;ADDRESS(ROW(),COLUMN(NOTA[ID]))),-1)))</f>
        <v>160</v>
      </c>
      <c r="E837" s="47"/>
      <c r="H837" s="48"/>
      <c r="L837" s="38" t="s">
        <v>897</v>
      </c>
      <c r="N837" s="39">
        <v>24</v>
      </c>
      <c r="O837" s="38" t="s">
        <v>152</v>
      </c>
      <c r="P837" s="42">
        <v>279000</v>
      </c>
      <c r="Q837" s="43"/>
      <c r="R837" s="49" t="s">
        <v>238</v>
      </c>
      <c r="S837" s="50">
        <v>0.2</v>
      </c>
      <c r="T837" s="45">
        <v>0.04</v>
      </c>
      <c r="U837" s="51"/>
      <c r="V837" s="46"/>
      <c r="W837" s="51">
        <f>IF(NOTA[[#This Row],[HARGA/ CTN]]="",NOTA[[#This Row],[JUMLAH_H]],NOTA[[#This Row],[HARGA/ CTN]]*IF(NOTA[[#This Row],[C]]="",0,NOTA[[#This Row],[C]]))</f>
        <v>6696000</v>
      </c>
      <c r="X837" s="51">
        <f>IF(NOTA[[#This Row],[JUMLAH]]="","",NOTA[[#This Row],[JUMLAH]]*NOTA[[#This Row],[DISC 1]])</f>
        <v>1339200</v>
      </c>
      <c r="Y837" s="51">
        <f>IF(NOTA[[#This Row],[JUMLAH]]="","",(NOTA[[#This Row],[JUMLAH]]-NOTA[[#This Row],[DISC 1-]])*NOTA[[#This Row],[DISC 2]])</f>
        <v>214272</v>
      </c>
      <c r="Z837" s="51">
        <f>IF(NOTA[[#This Row],[JUMLAH]]="","",NOTA[[#This Row],[DISC 1-]]+NOTA[[#This Row],[DISC 2-]])</f>
        <v>1553472</v>
      </c>
      <c r="AA837" s="51">
        <f>IF(NOTA[[#This Row],[JUMLAH]]="","",NOTA[[#This Row],[JUMLAH]]-NOTA[[#This Row],[DISC]])</f>
        <v>5142528</v>
      </c>
      <c r="AB837" s="51"/>
      <c r="AC8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D8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E837" s="42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F837" s="51">
        <f>IF(OR(NOTA[[#This Row],[QTY]]="",NOTA[[#This Row],[HARGA SATUAN]]="",),"",NOTA[[#This Row],[QTY]]*NOTA[[#This Row],[HARGA SATUAN]])</f>
        <v>6696000</v>
      </c>
      <c r="AG837" s="40">
        <f ca="1">IF(NOTA[ID_H]="","",INDEX(NOTA[TANGGAL],MATCH(,INDIRECT(ADDRESS(ROW(NOTA[TANGGAL]),COLUMN(NOTA[TANGGAL]))&amp;":"&amp;ADDRESS(ROW(),COLUMN(NOTA[TANGGAL]))),-1)))</f>
        <v>45139</v>
      </c>
      <c r="AH837" s="42" t="str">
        <f ca="1">IF(NOTA[[#This Row],[NAMA BARANG]]="","",INDEX(NOTA[SUPPLIER],MATCH(,INDIRECT(ADDRESS(ROW(NOTA[ID]),COLUMN(NOTA[ID]))&amp;":"&amp;ADDRESS(ROW(),COLUMN(NOTA[ID]))),-1)))</f>
        <v>PPW</v>
      </c>
      <c r="AI837" s="42" t="str">
        <f ca="1">IF(NOTA[[#This Row],[ID_H]]="","",IF(NOTA[[#This Row],[FAKTUR]]="",INDIRECT(ADDRESS(ROW()-1,COLUMN())),NOTA[[#This Row],[FAKTUR]]))</f>
        <v>UNTANA</v>
      </c>
      <c r="AJ837" s="39" t="str">
        <f ca="1">IF(NOTA[[#This Row],[ID]]="","",COUNTIF(NOTA[ID_H],NOTA[[#This Row],[ID_H]]))</f>
        <v/>
      </c>
      <c r="AK837" s="39">
        <f ca="1">IF(NOTA[[#This Row],[TGL.NOTA]]="",IF(NOTA[[#This Row],[SUPPLIER_H]]="","",AK836),MONTH(NOTA[[#This Row],[TGL.NOTA]]))</f>
        <v>7</v>
      </c>
      <c r="AL837" s="39" t="str">
        <f>LOWER(SUBSTITUTE(SUBSTITUTE(SUBSTITUTE(SUBSTITUTE(SUBSTITUTE(SUBSTITUTE(SUBSTITUTE(SUBSTITUTE(SUBSTITUTE(NOTA[NAMA BARANG]," ",),".",""),"-",""),"(",""),")",""),",",""),"/",""),"""",""),"+",""))</f>
        <v>btr5</v>
      </c>
      <c r="AM8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btr566960000.20.04</v>
      </c>
      <c r="AN8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O8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39" t="str">
        <f>IF(NOTA[[#This Row],[CONCAT4]]="","",_xlfn.IFNA(MATCH(NOTA[[#This Row],[CONCAT4]],[2]!RAW[CONCAT_H],0),FALSE))</f>
        <v/>
      </c>
      <c r="AQ837" s="39">
        <f>IF(NOTA[[#This Row],[CONCAT1]]="","",MATCH(NOTA[[#This Row],[CONCAT1]],[3]!db[NB NOTA_C],0))</f>
        <v>1106</v>
      </c>
      <c r="AR837" s="39" t="b">
        <f>IF(NOTA[[#This Row],[QTY/ CTN]]="","",TRUE)</f>
        <v>1</v>
      </c>
      <c r="AS837" s="39" t="str">
        <f ca="1">IF(NOTA[[#This Row],[ID_H]]="","",IF(NOTA[[#This Row],[Column3]]=TRUE,NOTA[[#This Row],[QTY/ CTN]],INDEX([3]!db[QTY/ CTN],NOTA[[#This Row],[//DB]])))</f>
        <v>48 LSN</v>
      </c>
      <c r="AT8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btr548lsnuntana</v>
      </c>
      <c r="AU837" s="39" t="e">
        <f ca="1">IF(NOTA[[#This Row],[ID_H]]="","",MATCH(NOTA[[#This Row],[NB NOTA_C_QTY]],[4]!db[NB NOTA_C_QTY+F],0))</f>
        <v>#REF!</v>
      </c>
      <c r="AV837" s="55">
        <f ca="1">IF(NOTA[[#This Row],[NB NOTA_C_QTY]]="","",ROW()-2)</f>
        <v>835</v>
      </c>
    </row>
    <row r="838" spans="1:48" ht="20.100000000000001" customHeight="1" x14ac:dyDescent="0.25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47"/>
      <c r="H838" s="48"/>
      <c r="N838" s="39"/>
      <c r="Q838" s="43"/>
      <c r="R838" s="49"/>
      <c r="S838" s="50"/>
      <c r="U838" s="51"/>
      <c r="V838" s="46"/>
      <c r="W838" s="51" t="str">
        <f>IF(NOTA[[#This Row],[HARGA/ CTN]]="",NOTA[[#This Row],[JUMLAH_H]],NOTA[[#This Row],[HARGA/ CTN]]*IF(NOTA[[#This Row],[C]]="",0,NOTA[[#This Row],[C]]))</f>
        <v/>
      </c>
      <c r="X838" s="51" t="str">
        <f>IF(NOTA[[#This Row],[JUMLAH]]="","",NOTA[[#This Row],[JUMLAH]]*NOTA[[#This Row],[DISC 1]])</f>
        <v/>
      </c>
      <c r="Y838" s="51" t="str">
        <f>IF(NOTA[[#This Row],[JUMLAH]]="","",(NOTA[[#This Row],[JUMLAH]]-NOTA[[#This Row],[DISC 1-]])*NOTA[[#This Row],[DISC 2]])</f>
        <v/>
      </c>
      <c r="Z838" s="51" t="str">
        <f>IF(NOTA[[#This Row],[JUMLAH]]="","",NOTA[[#This Row],[DISC 1-]]+NOTA[[#This Row],[DISC 2-]])</f>
        <v/>
      </c>
      <c r="AA838" s="51" t="str">
        <f>IF(NOTA[[#This Row],[JUMLAH]]="","",NOTA[[#This Row],[JUMLAH]]-NOTA[[#This Row],[DISC]])</f>
        <v/>
      </c>
      <c r="AB838" s="51"/>
      <c r="AC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51" t="str">
        <f>IF(OR(NOTA[[#This Row],[QTY]]="",NOTA[[#This Row],[HARGA SATUAN]]="",),"",NOTA[[#This Row],[QTY]]*NOTA[[#This Row],[HARGA SATUAN]])</f>
        <v/>
      </c>
      <c r="AG838" s="40" t="str">
        <f ca="1">IF(NOTA[ID_H]="","",INDEX(NOTA[TANGGAL],MATCH(,INDIRECT(ADDRESS(ROW(NOTA[TANGGAL]),COLUMN(NOTA[TANGGAL]))&amp;":"&amp;ADDRESS(ROW(),COLUMN(NOTA[TANGGAL]))),-1)))</f>
        <v/>
      </c>
      <c r="AH838" s="42" t="str">
        <f ca="1">IF(NOTA[[#This Row],[NAMA BARANG]]="","",INDEX(NOTA[SUPPLIER],MATCH(,INDIRECT(ADDRESS(ROW(NOTA[ID]),COLUMN(NOTA[ID]))&amp;":"&amp;ADDRESS(ROW(),COLUMN(NOTA[ID]))),-1)))</f>
        <v/>
      </c>
      <c r="AI838" s="42" t="str">
        <f ca="1">IF(NOTA[[#This Row],[ID_H]]="","",IF(NOTA[[#This Row],[FAKTUR]]="",INDIRECT(ADDRESS(ROW()-1,COLUMN())),NOTA[[#This Row],[FAKTUR]]))</f>
        <v/>
      </c>
      <c r="AJ838" s="39" t="str">
        <f ca="1">IF(NOTA[[#This Row],[ID]]="","",COUNTIF(NOTA[ID_H],NOTA[[#This Row],[ID_H]]))</f>
        <v/>
      </c>
      <c r="AK838" s="39" t="str">
        <f ca="1">IF(NOTA[[#This Row],[TGL.NOTA]]="",IF(NOTA[[#This Row],[SUPPLIER_H]]="","",AK837),MONTH(NOTA[[#This Row],[TGL.NOTA]]))</f>
        <v/>
      </c>
      <c r="AL838" s="39" t="str">
        <f>LOWER(SUBSTITUTE(SUBSTITUTE(SUBSTITUTE(SUBSTITUTE(SUBSTITUTE(SUBSTITUTE(SUBSTITUTE(SUBSTITUTE(SUBSTITUTE(NOTA[NAMA BARANG]," ",),".",""),"-",""),"(",""),")",""),",",""),"/",""),"""",""),"+",""))</f>
        <v/>
      </c>
      <c r="AM8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39" t="str">
        <f>IF(NOTA[[#This Row],[CONCAT4]]="","",_xlfn.IFNA(MATCH(NOTA[[#This Row],[CONCAT4]],[2]!RAW[CONCAT_H],0),FALSE))</f>
        <v/>
      </c>
      <c r="AQ838" s="39" t="str">
        <f>IF(NOTA[[#This Row],[CONCAT1]]="","",MATCH(NOTA[[#This Row],[CONCAT1]],[3]!db[NB NOTA_C],0))</f>
        <v/>
      </c>
      <c r="AR838" s="39" t="str">
        <f>IF(NOTA[[#This Row],[QTY/ CTN]]="","",TRUE)</f>
        <v/>
      </c>
      <c r="AS838" s="39" t="str">
        <f ca="1">IF(NOTA[[#This Row],[ID_H]]="","",IF(NOTA[[#This Row],[Column3]]=TRUE,NOTA[[#This Row],[QTY/ CTN]],INDEX([3]!db[QTY/ CTN],NOTA[[#This Row],[//DB]])))</f>
        <v/>
      </c>
      <c r="AT8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39" t="str">
        <f ca="1">IF(NOTA[[#This Row],[ID_H]]="","",MATCH(NOTA[[#This Row],[NB NOTA_C_QTY]],[4]!db[NB NOTA_C_QTY+F],0))</f>
        <v/>
      </c>
      <c r="AV838" s="55" t="str">
        <f ca="1">IF(NOTA[[#This Row],[NB NOTA_C_QTY]]="","",ROW()-2)</f>
        <v/>
      </c>
    </row>
    <row r="839" spans="1:48" ht="20.100000000000001" customHeight="1" x14ac:dyDescent="0.25">
      <c r="A839" s="42">
        <f ca="1">IF(INDIRECT(ADDRESS(ROW()-1,COLUMN(NOTA[[#Headers],[ID]])))="ID",1,IF(NOTA[[#This Row],[FAKTUR]]="","",COUNT(INDIRECT(ADDRESS(ROW(NOTA[ID]),COLUMN(NOTA[ID]))&amp;":"&amp;ADDRESS(ROW()-1,COLUMN(NOTA[ID]))))+1))</f>
        <v>161</v>
      </c>
      <c r="B8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PPW_0108_I23-1</v>
      </c>
      <c r="C839" s="39" t="e">
        <f ca="1">IF(NOTA[[#This Row],[ID_P]]="","",MATCH(NOTA[[#This Row],[ID_P]],[1]!B_MSK[N_ID],0))</f>
        <v>#REF!</v>
      </c>
      <c r="D839" s="39">
        <f ca="1">IF(NOTA[[#This Row],[NAMA BARANG]]="","",INDEX(NOTA[ID],MATCH(,INDIRECT(ADDRESS(ROW(NOTA[ID]),COLUMN(NOTA[ID]))&amp;":"&amp;ADDRESS(ROW(),COLUMN(NOTA[ID]))),-1)))</f>
        <v>161</v>
      </c>
      <c r="E839" s="47"/>
      <c r="F839" s="38" t="s">
        <v>172</v>
      </c>
      <c r="G839" s="38" t="s">
        <v>145</v>
      </c>
      <c r="H839" s="48" t="s">
        <v>898</v>
      </c>
      <c r="J839" s="40">
        <v>45138</v>
      </c>
      <c r="L839" s="38" t="s">
        <v>766</v>
      </c>
      <c r="M839" s="41">
        <v>2</v>
      </c>
      <c r="N839" s="39">
        <v>200</v>
      </c>
      <c r="O839" s="38" t="s">
        <v>152</v>
      </c>
      <c r="P839" s="42">
        <v>21380</v>
      </c>
      <c r="Q839" s="43"/>
      <c r="R839" s="49"/>
      <c r="S839" s="50">
        <v>0.2</v>
      </c>
      <c r="T839" s="45">
        <v>0.04</v>
      </c>
      <c r="U839" s="51"/>
      <c r="V839" s="46"/>
      <c r="W839" s="51">
        <f>IF(NOTA[[#This Row],[HARGA/ CTN]]="",NOTA[[#This Row],[JUMLAH_H]],NOTA[[#This Row],[HARGA/ CTN]]*IF(NOTA[[#This Row],[C]]="",0,NOTA[[#This Row],[C]]))</f>
        <v>4276000</v>
      </c>
      <c r="X839" s="51">
        <f>IF(NOTA[[#This Row],[JUMLAH]]="","",NOTA[[#This Row],[JUMLAH]]*NOTA[[#This Row],[DISC 1]])</f>
        <v>855200</v>
      </c>
      <c r="Y839" s="51">
        <f>IF(NOTA[[#This Row],[JUMLAH]]="","",(NOTA[[#This Row],[JUMLAH]]-NOTA[[#This Row],[DISC 1-]])*NOTA[[#This Row],[DISC 2]])</f>
        <v>136832</v>
      </c>
      <c r="Z839" s="51">
        <f>IF(NOTA[[#This Row],[JUMLAH]]="","",NOTA[[#This Row],[DISC 1-]]+NOTA[[#This Row],[DISC 2-]])</f>
        <v>992032</v>
      </c>
      <c r="AA839" s="51">
        <f>IF(NOTA[[#This Row],[JUMLAH]]="","",NOTA[[#This Row],[JUMLAH]]-NOTA[[#This Row],[DISC]])</f>
        <v>3283968</v>
      </c>
      <c r="AB839" s="51"/>
      <c r="AC83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D83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E839" s="4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839" s="51">
        <f>IF(OR(NOTA[[#This Row],[QTY]]="",NOTA[[#This Row],[HARGA SATUAN]]="",),"",NOTA[[#This Row],[QTY]]*NOTA[[#This Row],[HARGA SATUAN]])</f>
        <v>4276000</v>
      </c>
      <c r="AG839" s="40">
        <f ca="1">IF(NOTA[ID_H]="","",INDEX(NOTA[TANGGAL],MATCH(,INDIRECT(ADDRESS(ROW(NOTA[TANGGAL]),COLUMN(NOTA[TANGGAL]))&amp;":"&amp;ADDRESS(ROW(),COLUMN(NOTA[TANGGAL]))),-1)))</f>
        <v>45139</v>
      </c>
      <c r="AH839" s="42" t="str">
        <f ca="1">IF(NOTA[[#This Row],[NAMA BARANG]]="","",INDEX(NOTA[SUPPLIER],MATCH(,INDIRECT(ADDRESS(ROW(NOTA[ID]),COLUMN(NOTA[ID]))&amp;":"&amp;ADDRESS(ROW(),COLUMN(NOTA[ID]))),-1)))</f>
        <v>PPW</v>
      </c>
      <c r="AI839" s="42" t="str">
        <f ca="1">IF(NOTA[[#This Row],[ID_H]]="","",IF(NOTA[[#This Row],[FAKTUR]]="",INDIRECT(ADDRESS(ROW()-1,COLUMN())),NOTA[[#This Row],[FAKTUR]]))</f>
        <v>UNTANA</v>
      </c>
      <c r="AJ839" s="39">
        <f ca="1">IF(NOTA[[#This Row],[ID]]="","",COUNTIF(NOTA[ID_H],NOTA[[#This Row],[ID_H]]))</f>
        <v>1</v>
      </c>
      <c r="AK839" s="39">
        <f>IF(NOTA[[#This Row],[TGL.NOTA]]="",IF(NOTA[[#This Row],[SUPPLIER_H]]="","",AK838),MONTH(NOTA[[#This Row],[TGL.NOTA]]))</f>
        <v>7</v>
      </c>
      <c r="AL839" s="39" t="str">
        <f>LOWER(SUBSTITUTE(SUBSTITUTE(SUBSTITUTE(SUBSTITUTE(SUBSTITUTE(SUBSTITUTE(SUBSTITUTE(SUBSTITUTE(SUBSTITUTE(NOTA[NAMA BARANG]," ",),".",""),"-",""),"(",""),")",""),",",""),"/",""),"""",""),"+",""))</f>
        <v>bt20cm</v>
      </c>
      <c r="AM8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8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839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PPWUNTANA0502/HW/VII/2345138bt20cm</v>
      </c>
      <c r="AP839" s="39" t="e">
        <f>IF(NOTA[[#This Row],[CONCAT4]]="","",_xlfn.IFNA(MATCH(NOTA[[#This Row],[CONCAT4]],[2]!RAW[CONCAT_H],0),FALSE))</f>
        <v>#REF!</v>
      </c>
      <c r="AQ839" s="39">
        <f>IF(NOTA[[#This Row],[CONCAT1]]="","",MATCH(NOTA[[#This Row],[CONCAT1]],[3]!db[NB NOTA_C],0))</f>
        <v>1101</v>
      </c>
      <c r="AR839" s="39" t="str">
        <f>IF(NOTA[[#This Row],[QTY/ CTN]]="","",TRUE)</f>
        <v/>
      </c>
      <c r="AS839" s="39" t="str">
        <f ca="1">IF(NOTA[[#This Row],[ID_H]]="","",IF(NOTA[[#This Row],[Column3]]=TRUE,NOTA[[#This Row],[QTY/ CTN]],INDEX([3]!db[QTY/ CTN],NOTA[[#This Row],[//DB]])))</f>
        <v>100 LSN</v>
      </c>
      <c r="AT8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U839" s="39" t="e">
        <f ca="1">IF(NOTA[[#This Row],[ID_H]]="","",MATCH(NOTA[[#This Row],[NB NOTA_C_QTY]],[4]!db[NB NOTA_C_QTY+F],0))</f>
        <v>#REF!</v>
      </c>
      <c r="AV839" s="55">
        <f ca="1">IF(NOTA[[#This Row],[NB NOTA_C_QTY]]="","",ROW()-2)</f>
        <v>837</v>
      </c>
    </row>
    <row r="840" spans="1:48" ht="20.100000000000001" customHeight="1" x14ac:dyDescent="0.25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47"/>
      <c r="H840" s="48"/>
      <c r="N840" s="39"/>
      <c r="Q840" s="43"/>
      <c r="R840" s="49"/>
      <c r="S840" s="50"/>
      <c r="U840" s="51"/>
      <c r="V840" s="46"/>
      <c r="W840" s="51" t="str">
        <f>IF(NOTA[[#This Row],[HARGA/ CTN]]="",NOTA[[#This Row],[JUMLAH_H]],NOTA[[#This Row],[HARGA/ CTN]]*IF(NOTA[[#This Row],[C]]="",0,NOTA[[#This Row],[C]]))</f>
        <v/>
      </c>
      <c r="X840" s="51" t="str">
        <f>IF(NOTA[[#This Row],[JUMLAH]]="","",NOTA[[#This Row],[JUMLAH]]*NOTA[[#This Row],[DISC 1]])</f>
        <v/>
      </c>
      <c r="Y840" s="51" t="str">
        <f>IF(NOTA[[#This Row],[JUMLAH]]="","",(NOTA[[#This Row],[JUMLAH]]-NOTA[[#This Row],[DISC 1-]])*NOTA[[#This Row],[DISC 2]])</f>
        <v/>
      </c>
      <c r="Z840" s="51" t="str">
        <f>IF(NOTA[[#This Row],[JUMLAH]]="","",NOTA[[#This Row],[DISC 1-]]+NOTA[[#This Row],[DISC 2-]])</f>
        <v/>
      </c>
      <c r="AA840" s="51" t="str">
        <f>IF(NOTA[[#This Row],[JUMLAH]]="","",NOTA[[#This Row],[JUMLAH]]-NOTA[[#This Row],[DISC]])</f>
        <v/>
      </c>
      <c r="AB840" s="51"/>
      <c r="AC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51" t="str">
        <f>IF(OR(NOTA[[#This Row],[QTY]]="",NOTA[[#This Row],[HARGA SATUAN]]="",),"",NOTA[[#This Row],[QTY]]*NOTA[[#This Row],[HARGA SATUAN]])</f>
        <v/>
      </c>
      <c r="AG840" s="40" t="str">
        <f ca="1">IF(NOTA[ID_H]="","",INDEX(NOTA[TANGGAL],MATCH(,INDIRECT(ADDRESS(ROW(NOTA[TANGGAL]),COLUMN(NOTA[TANGGAL]))&amp;":"&amp;ADDRESS(ROW(),COLUMN(NOTA[TANGGAL]))),-1)))</f>
        <v/>
      </c>
      <c r="AH840" s="42" t="str">
        <f ca="1">IF(NOTA[[#This Row],[NAMA BARANG]]="","",INDEX(NOTA[SUPPLIER],MATCH(,INDIRECT(ADDRESS(ROW(NOTA[ID]),COLUMN(NOTA[ID]))&amp;":"&amp;ADDRESS(ROW(),COLUMN(NOTA[ID]))),-1)))</f>
        <v/>
      </c>
      <c r="AI840" s="42" t="str">
        <f ca="1">IF(NOTA[[#This Row],[ID_H]]="","",IF(NOTA[[#This Row],[FAKTUR]]="",INDIRECT(ADDRESS(ROW()-1,COLUMN())),NOTA[[#This Row],[FAKTUR]]))</f>
        <v/>
      </c>
      <c r="AJ840" s="39" t="str">
        <f ca="1">IF(NOTA[[#This Row],[ID]]="","",COUNTIF(NOTA[ID_H],NOTA[[#This Row],[ID_H]]))</f>
        <v/>
      </c>
      <c r="AK840" s="39" t="str">
        <f ca="1">IF(NOTA[[#This Row],[TGL.NOTA]]="",IF(NOTA[[#This Row],[SUPPLIER_H]]="","",AK839),MONTH(NOTA[[#This Row],[TGL.NOTA]]))</f>
        <v/>
      </c>
      <c r="AL840" s="39" t="str">
        <f>LOWER(SUBSTITUTE(SUBSTITUTE(SUBSTITUTE(SUBSTITUTE(SUBSTITUTE(SUBSTITUTE(SUBSTITUTE(SUBSTITUTE(SUBSTITUTE(NOTA[NAMA BARANG]," ",),".",""),"-",""),"(",""),")",""),",",""),"/",""),"""",""),"+",""))</f>
        <v/>
      </c>
      <c r="AM8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39" t="str">
        <f>IF(NOTA[[#This Row],[CONCAT4]]="","",_xlfn.IFNA(MATCH(NOTA[[#This Row],[CONCAT4]],[2]!RAW[CONCAT_H],0),FALSE))</f>
        <v/>
      </c>
      <c r="AQ840" s="39" t="str">
        <f>IF(NOTA[[#This Row],[CONCAT1]]="","",MATCH(NOTA[[#This Row],[CONCAT1]],[3]!db[NB NOTA_C],0))</f>
        <v/>
      </c>
      <c r="AR840" s="39" t="str">
        <f>IF(NOTA[[#This Row],[QTY/ CTN]]="","",TRUE)</f>
        <v/>
      </c>
      <c r="AS840" s="39" t="str">
        <f ca="1">IF(NOTA[[#This Row],[ID_H]]="","",IF(NOTA[[#This Row],[Column3]]=TRUE,NOTA[[#This Row],[QTY/ CTN]],INDEX([3]!db[QTY/ CTN],NOTA[[#This Row],[//DB]])))</f>
        <v/>
      </c>
      <c r="AT8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39" t="str">
        <f ca="1">IF(NOTA[[#This Row],[ID_H]]="","",MATCH(NOTA[[#This Row],[NB NOTA_C_QTY]],[4]!db[NB NOTA_C_QTY+F],0))</f>
        <v/>
      </c>
      <c r="AV840" s="55" t="str">
        <f ca="1">IF(NOTA[[#This Row],[NB NOTA_C_QTY]]="","",ROW()-2)</f>
        <v/>
      </c>
    </row>
    <row r="841" spans="1:48" ht="20.100000000000001" customHeight="1" x14ac:dyDescent="0.25">
      <c r="A841" s="42">
        <f ca="1">IF(INDIRECT(ADDRESS(ROW()-1,COLUMN(NOTA[[#Headers],[ID]])))="ID",1,IF(NOTA[[#This Row],[FAKTUR]]="","",COUNT(INDIRECT(ADDRESS(ROW(NOTA[ID]),COLUMN(NOTA[ID]))&amp;":"&amp;ADDRESS(ROW()-1,COLUMN(NOTA[ID]))))+1))</f>
        <v>162</v>
      </c>
      <c r="B8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PPW_0108_I23-1</v>
      </c>
      <c r="C841" s="39" t="e">
        <f ca="1">IF(NOTA[[#This Row],[ID_P]]="","",MATCH(NOTA[[#This Row],[ID_P]],[1]!B_MSK[N_ID],0))</f>
        <v>#REF!</v>
      </c>
      <c r="D841" s="39">
        <f ca="1">IF(NOTA[[#This Row],[NAMA BARANG]]="","",INDEX(NOTA[ID],MATCH(,INDIRECT(ADDRESS(ROW(NOTA[ID]),COLUMN(NOTA[ID]))&amp;":"&amp;ADDRESS(ROW(),COLUMN(NOTA[ID]))),-1)))</f>
        <v>162</v>
      </c>
      <c r="E841" s="47"/>
      <c r="F841" s="38" t="s">
        <v>172</v>
      </c>
      <c r="G841" s="38" t="s">
        <v>145</v>
      </c>
      <c r="H841" s="48" t="s">
        <v>899</v>
      </c>
      <c r="J841" s="40">
        <v>45136</v>
      </c>
      <c r="K841" s="38">
        <v>4</v>
      </c>
      <c r="L841" s="38" t="s">
        <v>177</v>
      </c>
      <c r="M841" s="41">
        <v>5</v>
      </c>
      <c r="N841" s="39">
        <v>500</v>
      </c>
      <c r="O841" s="38" t="s">
        <v>152</v>
      </c>
      <c r="P841" s="42">
        <v>26780</v>
      </c>
      <c r="Q841" s="43"/>
      <c r="R841" s="49" t="s">
        <v>767</v>
      </c>
      <c r="S841" s="50">
        <v>0.2</v>
      </c>
      <c r="T841" s="45">
        <v>0.04</v>
      </c>
      <c r="U841" s="51"/>
      <c r="V841" s="46"/>
      <c r="W841" s="51">
        <f>IF(NOTA[[#This Row],[HARGA/ CTN]]="",NOTA[[#This Row],[JUMLAH_H]],NOTA[[#This Row],[HARGA/ CTN]]*IF(NOTA[[#This Row],[C]]="",0,NOTA[[#This Row],[C]]))</f>
        <v>13390000</v>
      </c>
      <c r="X841" s="51">
        <f>IF(NOTA[[#This Row],[JUMLAH]]="","",NOTA[[#This Row],[JUMLAH]]*NOTA[[#This Row],[DISC 1]])</f>
        <v>2678000</v>
      </c>
      <c r="Y841" s="51">
        <f>IF(NOTA[[#This Row],[JUMLAH]]="","",(NOTA[[#This Row],[JUMLAH]]-NOTA[[#This Row],[DISC 1-]])*NOTA[[#This Row],[DISC 2]])</f>
        <v>428480</v>
      </c>
      <c r="Z841" s="51">
        <f>IF(NOTA[[#This Row],[JUMLAH]]="","",NOTA[[#This Row],[DISC 1-]]+NOTA[[#This Row],[DISC 2-]])</f>
        <v>3106480</v>
      </c>
      <c r="AA841" s="51">
        <f>IF(NOTA[[#This Row],[JUMLAH]]="","",NOTA[[#This Row],[JUMLAH]]-NOTA[[#This Row],[DISC]])</f>
        <v>10283520</v>
      </c>
      <c r="AB841" s="51"/>
      <c r="AC84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84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841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841" s="51">
        <f>IF(OR(NOTA[[#This Row],[QTY]]="",NOTA[[#This Row],[HARGA SATUAN]]="",),"",NOTA[[#This Row],[QTY]]*NOTA[[#This Row],[HARGA SATUAN]])</f>
        <v>13390000</v>
      </c>
      <c r="AG841" s="40">
        <f ca="1">IF(NOTA[ID_H]="","",INDEX(NOTA[TANGGAL],MATCH(,INDIRECT(ADDRESS(ROW(NOTA[TANGGAL]),COLUMN(NOTA[TANGGAL]))&amp;":"&amp;ADDRESS(ROW(),COLUMN(NOTA[TANGGAL]))),-1)))</f>
        <v>45139</v>
      </c>
      <c r="AH841" s="42" t="str">
        <f ca="1">IF(NOTA[[#This Row],[NAMA BARANG]]="","",INDEX(NOTA[SUPPLIER],MATCH(,INDIRECT(ADDRESS(ROW(NOTA[ID]),COLUMN(NOTA[ID]))&amp;":"&amp;ADDRESS(ROW(),COLUMN(NOTA[ID]))),-1)))</f>
        <v>PPW</v>
      </c>
      <c r="AI841" s="42" t="str">
        <f ca="1">IF(NOTA[[#This Row],[ID_H]]="","",IF(NOTA[[#This Row],[FAKTUR]]="",INDIRECT(ADDRESS(ROW()-1,COLUMN())),NOTA[[#This Row],[FAKTUR]]))</f>
        <v>UNTANA</v>
      </c>
      <c r="AJ841" s="39">
        <f ca="1">IF(NOTA[[#This Row],[ID]]="","",COUNTIF(NOTA[ID_H],NOTA[[#This Row],[ID_H]]))</f>
        <v>1</v>
      </c>
      <c r="AK841" s="39">
        <f>IF(NOTA[[#This Row],[TGL.NOTA]]="",IF(NOTA[[#This Row],[SUPPLIER_H]]="","",AK840),MONTH(NOTA[[#This Row],[TGL.NOTA]]))</f>
        <v>7</v>
      </c>
      <c r="AL841" s="39" t="str">
        <f>LOWER(SUBSTITUTE(SUBSTITUTE(SUBSTITUTE(SUBSTITUTE(SUBSTITUTE(SUBSTITUTE(SUBSTITUTE(SUBSTITUTE(SUBSTITUTE(NOTA[NAMA BARANG]," ",),".",""),"-",""),"(",""),")",""),",",""),"/",""),"""",""),"+",""))</f>
        <v>bt30cm</v>
      </c>
      <c r="AM8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8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841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PPWUNTANA0488/HW/VII/2345136bt30cm</v>
      </c>
      <c r="AP841" s="39" t="e">
        <f>IF(NOTA[[#This Row],[CONCAT4]]="","",_xlfn.IFNA(MATCH(NOTA[[#This Row],[CONCAT4]],[2]!RAW[CONCAT_H],0),FALSE))</f>
        <v>#REF!</v>
      </c>
      <c r="AQ841" s="39">
        <f>IF(NOTA[[#This Row],[CONCAT1]]="","",MATCH(NOTA[[#This Row],[CONCAT1]],[3]!db[NB NOTA_C],0))</f>
        <v>1102</v>
      </c>
      <c r="AR841" s="39" t="b">
        <f>IF(NOTA[[#This Row],[QTY/ CTN]]="","",TRUE)</f>
        <v>1</v>
      </c>
      <c r="AS841" s="39" t="str">
        <f ca="1">IF(NOTA[[#This Row],[ID_H]]="","",IF(NOTA[[#This Row],[Column3]]=TRUE,NOTA[[#This Row],[QTY/ CTN]],INDEX([3]!db[QTY/ CTN],NOTA[[#This Row],[//DB]])))</f>
        <v>100 LSN</v>
      </c>
      <c r="AT8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841" s="39" t="e">
        <f ca="1">IF(NOTA[[#This Row],[ID_H]]="","",MATCH(NOTA[[#This Row],[NB NOTA_C_QTY]],[4]!db[NB NOTA_C_QTY+F],0))</f>
        <v>#REF!</v>
      </c>
      <c r="AV841" s="55">
        <f ca="1">IF(NOTA[[#This Row],[NB NOTA_C_QTY]]="","",ROW()-2)</f>
        <v>839</v>
      </c>
    </row>
    <row r="842" spans="1:48" ht="20.100000000000001" customHeight="1" x14ac:dyDescent="0.25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47"/>
      <c r="H842" s="48"/>
      <c r="N842" s="39"/>
      <c r="Q842" s="43"/>
      <c r="R842" s="49"/>
      <c r="S842" s="50"/>
      <c r="U842" s="51"/>
      <c r="V842" s="46"/>
      <c r="W842" s="51" t="str">
        <f>IF(NOTA[[#This Row],[HARGA/ CTN]]="",NOTA[[#This Row],[JUMLAH_H]],NOTA[[#This Row],[HARGA/ CTN]]*IF(NOTA[[#This Row],[C]]="",0,NOTA[[#This Row],[C]]))</f>
        <v/>
      </c>
      <c r="X842" s="51" t="str">
        <f>IF(NOTA[[#This Row],[JUMLAH]]="","",NOTA[[#This Row],[JUMLAH]]*NOTA[[#This Row],[DISC 1]])</f>
        <v/>
      </c>
      <c r="Y842" s="51" t="str">
        <f>IF(NOTA[[#This Row],[JUMLAH]]="","",(NOTA[[#This Row],[JUMLAH]]-NOTA[[#This Row],[DISC 1-]])*NOTA[[#This Row],[DISC 2]])</f>
        <v/>
      </c>
      <c r="Z842" s="51" t="str">
        <f>IF(NOTA[[#This Row],[JUMLAH]]="","",NOTA[[#This Row],[DISC 1-]]+NOTA[[#This Row],[DISC 2-]])</f>
        <v/>
      </c>
      <c r="AA842" s="51" t="str">
        <f>IF(NOTA[[#This Row],[JUMLAH]]="","",NOTA[[#This Row],[JUMLAH]]-NOTA[[#This Row],[DISC]])</f>
        <v/>
      </c>
      <c r="AB842" s="51"/>
      <c r="AC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51" t="str">
        <f>IF(OR(NOTA[[#This Row],[QTY]]="",NOTA[[#This Row],[HARGA SATUAN]]="",),"",NOTA[[#This Row],[QTY]]*NOTA[[#This Row],[HARGA SATUAN]])</f>
        <v/>
      </c>
      <c r="AG842" s="40" t="str">
        <f ca="1">IF(NOTA[ID_H]="","",INDEX(NOTA[TANGGAL],MATCH(,INDIRECT(ADDRESS(ROW(NOTA[TANGGAL]),COLUMN(NOTA[TANGGAL]))&amp;":"&amp;ADDRESS(ROW(),COLUMN(NOTA[TANGGAL]))),-1)))</f>
        <v/>
      </c>
      <c r="AH842" s="42" t="str">
        <f ca="1">IF(NOTA[[#This Row],[NAMA BARANG]]="","",INDEX(NOTA[SUPPLIER],MATCH(,INDIRECT(ADDRESS(ROW(NOTA[ID]),COLUMN(NOTA[ID]))&amp;":"&amp;ADDRESS(ROW(),COLUMN(NOTA[ID]))),-1)))</f>
        <v/>
      </c>
      <c r="AI842" s="42" t="str">
        <f ca="1">IF(NOTA[[#This Row],[ID_H]]="","",IF(NOTA[[#This Row],[FAKTUR]]="",INDIRECT(ADDRESS(ROW()-1,COLUMN())),NOTA[[#This Row],[FAKTUR]]))</f>
        <v/>
      </c>
      <c r="AJ842" s="39" t="str">
        <f ca="1">IF(NOTA[[#This Row],[ID]]="","",COUNTIF(NOTA[ID_H],NOTA[[#This Row],[ID_H]]))</f>
        <v/>
      </c>
      <c r="AK842" s="39" t="str">
        <f ca="1">IF(NOTA[[#This Row],[TGL.NOTA]]="",IF(NOTA[[#This Row],[SUPPLIER_H]]="","",AK841),MONTH(NOTA[[#This Row],[TGL.NOTA]]))</f>
        <v/>
      </c>
      <c r="AL842" s="39" t="str">
        <f>LOWER(SUBSTITUTE(SUBSTITUTE(SUBSTITUTE(SUBSTITUTE(SUBSTITUTE(SUBSTITUTE(SUBSTITUTE(SUBSTITUTE(SUBSTITUTE(NOTA[NAMA BARANG]," ",),".",""),"-",""),"(",""),")",""),",",""),"/",""),"""",""),"+",""))</f>
        <v/>
      </c>
      <c r="AM8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39" t="str">
        <f>IF(NOTA[[#This Row],[CONCAT4]]="","",_xlfn.IFNA(MATCH(NOTA[[#This Row],[CONCAT4]],[2]!RAW[CONCAT_H],0),FALSE))</f>
        <v/>
      </c>
      <c r="AQ842" s="39" t="str">
        <f>IF(NOTA[[#This Row],[CONCAT1]]="","",MATCH(NOTA[[#This Row],[CONCAT1]],[3]!db[NB NOTA_C],0))</f>
        <v/>
      </c>
      <c r="AR842" s="39" t="str">
        <f>IF(NOTA[[#This Row],[QTY/ CTN]]="","",TRUE)</f>
        <v/>
      </c>
      <c r="AS842" s="39" t="str">
        <f ca="1">IF(NOTA[[#This Row],[ID_H]]="","",IF(NOTA[[#This Row],[Column3]]=TRUE,NOTA[[#This Row],[QTY/ CTN]],INDEX([3]!db[QTY/ CTN],NOTA[[#This Row],[//DB]])))</f>
        <v/>
      </c>
      <c r="AT8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39" t="str">
        <f ca="1">IF(NOTA[[#This Row],[ID_H]]="","",MATCH(NOTA[[#This Row],[NB NOTA_C_QTY]],[4]!db[NB NOTA_C_QTY+F],0))</f>
        <v/>
      </c>
      <c r="AV842" s="55" t="str">
        <f ca="1">IF(NOTA[[#This Row],[NB NOTA_C_QTY]]="","",ROW()-2)</f>
        <v/>
      </c>
    </row>
    <row r="843" spans="1:48" ht="20.100000000000001" customHeight="1" x14ac:dyDescent="0.25">
      <c r="A843" s="42">
        <f ca="1">IF(INDIRECT(ADDRESS(ROW()-1,COLUMN(NOTA[[#Headers],[ID]])))="ID",1,IF(NOTA[[#This Row],[FAKTUR]]="","",COUNT(INDIRECT(ADDRESS(ROW(NOTA[ID]),COLUMN(NOTA[ID]))&amp;":"&amp;ADDRESS(ROW()-1,COLUMN(NOTA[ID]))))+1))</f>
        <v>163</v>
      </c>
      <c r="B8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COM_0108_760-1</v>
      </c>
      <c r="C843" s="39" t="e">
        <f ca="1">IF(NOTA[[#This Row],[ID_P]]="","",MATCH(NOTA[[#This Row],[ID_P]],[1]!B_MSK[N_ID],0))</f>
        <v>#REF!</v>
      </c>
      <c r="D843" s="39">
        <f ca="1">IF(NOTA[[#This Row],[NAMA BARANG]]="","",INDEX(NOTA[ID],MATCH(,INDIRECT(ADDRESS(ROW(NOTA[ID]),COLUMN(NOTA[ID]))&amp;":"&amp;ADDRESS(ROW(),COLUMN(NOTA[ID]))),-1)))</f>
        <v>163</v>
      </c>
      <c r="E843" s="47"/>
      <c r="F843" s="38" t="s">
        <v>252</v>
      </c>
      <c r="G843" s="38" t="s">
        <v>145</v>
      </c>
      <c r="H843" s="48" t="s">
        <v>900</v>
      </c>
      <c r="J843" s="40">
        <v>45139</v>
      </c>
      <c r="L843" s="38" t="s">
        <v>492</v>
      </c>
      <c r="M843" s="41">
        <v>1</v>
      </c>
      <c r="N843" s="39">
        <v>7</v>
      </c>
      <c r="O843" s="38" t="s">
        <v>152</v>
      </c>
      <c r="P843" s="42">
        <v>273000</v>
      </c>
      <c r="Q843" s="43"/>
      <c r="R843" s="49"/>
      <c r="S843" s="50"/>
      <c r="U843" s="51"/>
      <c r="V843" s="46"/>
      <c r="W843" s="51">
        <f>IF(NOTA[[#This Row],[HARGA/ CTN]]="",NOTA[[#This Row],[JUMLAH_H]],NOTA[[#This Row],[HARGA/ CTN]]*IF(NOTA[[#This Row],[C]]="",0,NOTA[[#This Row],[C]]))</f>
        <v>1911000</v>
      </c>
      <c r="X843" s="51">
        <f>IF(NOTA[[#This Row],[JUMLAH]]="","",NOTA[[#This Row],[JUMLAH]]*NOTA[[#This Row],[DISC 1]])</f>
        <v>0</v>
      </c>
      <c r="Y843" s="51">
        <f>IF(NOTA[[#This Row],[JUMLAH]]="","",(NOTA[[#This Row],[JUMLAH]]-NOTA[[#This Row],[DISC 1-]])*NOTA[[#This Row],[DISC 2]])</f>
        <v>0</v>
      </c>
      <c r="Z843" s="51">
        <f>IF(NOTA[[#This Row],[JUMLAH]]="","",NOTA[[#This Row],[DISC 1-]]+NOTA[[#This Row],[DISC 2-]])</f>
        <v>0</v>
      </c>
      <c r="AA843" s="51">
        <f>IF(NOTA[[#This Row],[JUMLAH]]="","",NOTA[[#This Row],[JUMLAH]]-NOTA[[#This Row],[DISC]])</f>
        <v>1911000</v>
      </c>
      <c r="AB843" s="51"/>
      <c r="AC8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1911000</v>
      </c>
      <c r="AE843" s="42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843" s="51">
        <f>IF(OR(NOTA[[#This Row],[QTY]]="",NOTA[[#This Row],[HARGA SATUAN]]="",),"",NOTA[[#This Row],[QTY]]*NOTA[[#This Row],[HARGA SATUAN]])</f>
        <v>1911000</v>
      </c>
      <c r="AG843" s="40">
        <f ca="1">IF(NOTA[ID_H]="","",INDEX(NOTA[TANGGAL],MATCH(,INDIRECT(ADDRESS(ROW(NOTA[TANGGAL]),COLUMN(NOTA[TANGGAL]))&amp;":"&amp;ADDRESS(ROW(),COLUMN(NOTA[TANGGAL]))),-1)))</f>
        <v>45139</v>
      </c>
      <c r="AH843" s="42" t="str">
        <f ca="1">IF(NOTA[[#This Row],[NAMA BARANG]]="","",INDEX(NOTA[SUPPLIER],MATCH(,INDIRECT(ADDRESS(ROW(NOTA[ID]),COLUMN(NOTA[ID]))&amp;":"&amp;ADDRESS(ROW(),COLUMN(NOTA[ID]))),-1)))</f>
        <v>COMBI</v>
      </c>
      <c r="AI843" s="42" t="str">
        <f ca="1">IF(NOTA[[#This Row],[ID_H]]="","",IF(NOTA[[#This Row],[FAKTUR]]="",INDIRECT(ADDRESS(ROW()-1,COLUMN())),NOTA[[#This Row],[FAKTUR]]))</f>
        <v>UNTANA</v>
      </c>
      <c r="AJ843" s="39">
        <f ca="1">IF(NOTA[[#This Row],[ID]]="","",COUNTIF(NOTA[ID_H],NOTA[[#This Row],[ID_H]]))</f>
        <v>1</v>
      </c>
      <c r="AK843" s="39">
        <f>IF(NOTA[[#This Row],[TGL.NOTA]]="",IF(NOTA[[#This Row],[SUPPLIER_H]]="","",AK842),MONTH(NOTA[[#This Row],[TGL.NOTA]]))</f>
        <v>8</v>
      </c>
      <c r="AL843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8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docritelegance1911000</v>
      </c>
      <c r="AN8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docritelegance1911000</v>
      </c>
      <c r="AO843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COMBIUNTANA076045139docritelegance</v>
      </c>
      <c r="AP843" s="39" t="e">
        <f>IF(NOTA[[#This Row],[CONCAT4]]="","",_xlfn.IFNA(MATCH(NOTA[[#This Row],[CONCAT4]],[2]!RAW[CONCAT_H],0),FALSE))</f>
        <v>#REF!</v>
      </c>
      <c r="AQ843" s="39">
        <f>IF(NOTA[[#This Row],[CONCAT1]]="","",MATCH(NOTA[[#This Row],[CONCAT1]],[3]!db[NB NOTA_C],0))</f>
        <v>1013</v>
      </c>
      <c r="AR843" s="39" t="str">
        <f>IF(NOTA[[#This Row],[QTY/ CTN]]="","",TRUE)</f>
        <v/>
      </c>
      <c r="AS843" s="39" t="str">
        <f ca="1">IF(NOTA[[#This Row],[ID_H]]="","",IF(NOTA[[#This Row],[Column3]]=TRUE,NOTA[[#This Row],[QTY/ CTN]],INDEX([3]!db[QTY/ CTN],NOTA[[#This Row],[//DB]])))</f>
        <v>7 LSN</v>
      </c>
      <c r="AT8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843" s="39" t="e">
        <f ca="1">IF(NOTA[[#This Row],[ID_H]]="","",MATCH(NOTA[[#This Row],[NB NOTA_C_QTY]],[4]!db[NB NOTA_C_QTY+F],0))</f>
        <v>#REF!</v>
      </c>
      <c r="AV843" s="55">
        <f ca="1">IF(NOTA[[#This Row],[NB NOTA_C_QTY]]="","",ROW()-2)</f>
        <v>841</v>
      </c>
    </row>
    <row r="844" spans="1:48" ht="20.100000000000001" customHeight="1" x14ac:dyDescent="0.25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47"/>
      <c r="H844" s="48"/>
      <c r="N844" s="39"/>
      <c r="Q844" s="43"/>
      <c r="R844" s="49"/>
      <c r="S844" s="50"/>
      <c r="U844" s="51"/>
      <c r="V844" s="46"/>
      <c r="W844" s="51" t="str">
        <f>IF(NOTA[[#This Row],[HARGA/ CTN]]="",NOTA[[#This Row],[JUMLAH_H]],NOTA[[#This Row],[HARGA/ CTN]]*IF(NOTA[[#This Row],[C]]="",0,NOTA[[#This Row],[C]]))</f>
        <v/>
      </c>
      <c r="X844" s="51" t="str">
        <f>IF(NOTA[[#This Row],[JUMLAH]]="","",NOTA[[#This Row],[JUMLAH]]*NOTA[[#This Row],[DISC 1]])</f>
        <v/>
      </c>
      <c r="Y844" s="51" t="str">
        <f>IF(NOTA[[#This Row],[JUMLAH]]="","",(NOTA[[#This Row],[JUMLAH]]-NOTA[[#This Row],[DISC 1-]])*NOTA[[#This Row],[DISC 2]])</f>
        <v/>
      </c>
      <c r="Z844" s="51" t="str">
        <f>IF(NOTA[[#This Row],[JUMLAH]]="","",NOTA[[#This Row],[DISC 1-]]+NOTA[[#This Row],[DISC 2-]])</f>
        <v/>
      </c>
      <c r="AA844" s="51" t="str">
        <f>IF(NOTA[[#This Row],[JUMLAH]]="","",NOTA[[#This Row],[JUMLAH]]-NOTA[[#This Row],[DISC]])</f>
        <v/>
      </c>
      <c r="AB844" s="51"/>
      <c r="AC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51" t="str">
        <f>IF(OR(NOTA[[#This Row],[QTY]]="",NOTA[[#This Row],[HARGA SATUAN]]="",),"",NOTA[[#This Row],[QTY]]*NOTA[[#This Row],[HARGA SATUAN]])</f>
        <v/>
      </c>
      <c r="AG844" s="40" t="str">
        <f ca="1">IF(NOTA[ID_H]="","",INDEX(NOTA[TANGGAL],MATCH(,INDIRECT(ADDRESS(ROW(NOTA[TANGGAL]),COLUMN(NOTA[TANGGAL]))&amp;":"&amp;ADDRESS(ROW(),COLUMN(NOTA[TANGGAL]))),-1)))</f>
        <v/>
      </c>
      <c r="AH844" s="42" t="str">
        <f ca="1">IF(NOTA[[#This Row],[NAMA BARANG]]="","",INDEX(NOTA[SUPPLIER],MATCH(,INDIRECT(ADDRESS(ROW(NOTA[ID]),COLUMN(NOTA[ID]))&amp;":"&amp;ADDRESS(ROW(),COLUMN(NOTA[ID]))),-1)))</f>
        <v/>
      </c>
      <c r="AI844" s="42" t="str">
        <f ca="1">IF(NOTA[[#This Row],[ID_H]]="","",IF(NOTA[[#This Row],[FAKTUR]]="",INDIRECT(ADDRESS(ROW()-1,COLUMN())),NOTA[[#This Row],[FAKTUR]]))</f>
        <v/>
      </c>
      <c r="AJ844" s="39" t="str">
        <f ca="1">IF(NOTA[[#This Row],[ID]]="","",COUNTIF(NOTA[ID_H],NOTA[[#This Row],[ID_H]]))</f>
        <v/>
      </c>
      <c r="AK844" s="39" t="str">
        <f ca="1">IF(NOTA[[#This Row],[TGL.NOTA]]="",IF(NOTA[[#This Row],[SUPPLIER_H]]="","",AK843),MONTH(NOTA[[#This Row],[TGL.NOTA]]))</f>
        <v/>
      </c>
      <c r="AL844" s="39" t="str">
        <f>LOWER(SUBSTITUTE(SUBSTITUTE(SUBSTITUTE(SUBSTITUTE(SUBSTITUTE(SUBSTITUTE(SUBSTITUTE(SUBSTITUTE(SUBSTITUTE(NOTA[NAMA BARANG]," ",),".",""),"-",""),"(",""),")",""),",",""),"/",""),"""",""),"+",""))</f>
        <v/>
      </c>
      <c r="AM8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39" t="str">
        <f>IF(NOTA[[#This Row],[CONCAT4]]="","",_xlfn.IFNA(MATCH(NOTA[[#This Row],[CONCAT4]],[2]!RAW[CONCAT_H],0),FALSE))</f>
        <v/>
      </c>
      <c r="AQ844" s="39" t="str">
        <f>IF(NOTA[[#This Row],[CONCAT1]]="","",MATCH(NOTA[[#This Row],[CONCAT1]],[3]!db[NB NOTA_C],0))</f>
        <v/>
      </c>
      <c r="AR844" s="39" t="str">
        <f>IF(NOTA[[#This Row],[QTY/ CTN]]="","",TRUE)</f>
        <v/>
      </c>
      <c r="AS844" s="39" t="str">
        <f ca="1">IF(NOTA[[#This Row],[ID_H]]="","",IF(NOTA[[#This Row],[Column3]]=TRUE,NOTA[[#This Row],[QTY/ CTN]],INDEX([3]!db[QTY/ CTN],NOTA[[#This Row],[//DB]])))</f>
        <v/>
      </c>
      <c r="AT8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39" t="str">
        <f ca="1">IF(NOTA[[#This Row],[ID_H]]="","",MATCH(NOTA[[#This Row],[NB NOTA_C_QTY]],[4]!db[NB NOTA_C_QTY+F],0))</f>
        <v/>
      </c>
      <c r="AV844" s="55" t="str">
        <f ca="1">IF(NOTA[[#This Row],[NB NOTA_C_QTY]]="","",ROW()-2)</f>
        <v/>
      </c>
    </row>
    <row r="845" spans="1:48" ht="20.100000000000001" customHeight="1" x14ac:dyDescent="0.25">
      <c r="A845" s="42">
        <f ca="1">IF(INDIRECT(ADDRESS(ROW()-1,COLUMN(NOTA[[#Headers],[ID]])))="ID",1,IF(NOTA[[#This Row],[FAKTUR]]="","",COUNT(INDIRECT(ADDRESS(ROW(NOTA[ID]),COLUMN(NOTA[ID]))&amp;":"&amp;ADDRESS(ROW()-1,COLUMN(NOTA[ID]))))+1))</f>
        <v>164</v>
      </c>
      <c r="B8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ATA_0408_405-9</v>
      </c>
      <c r="C845" s="39" t="e">
        <f ca="1">IF(NOTA[[#This Row],[ID_P]]="","",MATCH(NOTA[[#This Row],[ID_P]],[1]!B_MSK[N_ID],0))</f>
        <v>#REF!</v>
      </c>
      <c r="D845" s="39">
        <f ca="1">IF(NOTA[[#This Row],[NAMA BARANG]]="","",INDEX(NOTA[ID],MATCH(,INDIRECT(ADDRESS(ROW(NOTA[ID]),COLUMN(NOTA[ID]))&amp;":"&amp;ADDRESS(ROW(),COLUMN(NOTA[ID]))),-1)))</f>
        <v>164</v>
      </c>
      <c r="E845" s="47">
        <v>45142</v>
      </c>
      <c r="F845" s="38" t="s">
        <v>24</v>
      </c>
      <c r="G845" s="38" t="s">
        <v>23</v>
      </c>
      <c r="H845" s="48" t="s">
        <v>901</v>
      </c>
      <c r="J845" s="40">
        <v>45138</v>
      </c>
      <c r="K845" s="38">
        <v>1</v>
      </c>
      <c r="L845" s="38" t="s">
        <v>902</v>
      </c>
      <c r="M845" s="41">
        <v>1</v>
      </c>
      <c r="N845" s="39">
        <v>48</v>
      </c>
      <c r="O845" s="38" t="s">
        <v>903</v>
      </c>
      <c r="P845" s="42">
        <v>14500</v>
      </c>
      <c r="Q845" s="43"/>
      <c r="R845" s="49" t="s">
        <v>904</v>
      </c>
      <c r="S845" s="50">
        <v>0.125</v>
      </c>
      <c r="T845" s="45">
        <v>0.05</v>
      </c>
      <c r="U845" s="51"/>
      <c r="V845" s="46"/>
      <c r="W845" s="51">
        <f>IF(NOTA[[#This Row],[HARGA/ CTN]]="",NOTA[[#This Row],[JUMLAH_H]],NOTA[[#This Row],[HARGA/ CTN]]*IF(NOTA[[#This Row],[C]]="",0,NOTA[[#This Row],[C]]))</f>
        <v>696000</v>
      </c>
      <c r="X845" s="51">
        <f>IF(NOTA[[#This Row],[JUMLAH]]="","",NOTA[[#This Row],[JUMLAH]]*NOTA[[#This Row],[DISC 1]])</f>
        <v>87000</v>
      </c>
      <c r="Y845" s="51">
        <f>IF(NOTA[[#This Row],[JUMLAH]]="","",(NOTA[[#This Row],[JUMLAH]]-NOTA[[#This Row],[DISC 1-]])*NOTA[[#This Row],[DISC 2]])</f>
        <v>30450</v>
      </c>
      <c r="Z845" s="51">
        <f>IF(NOTA[[#This Row],[JUMLAH]]="","",NOTA[[#This Row],[DISC 1-]]+NOTA[[#This Row],[DISC 2-]])</f>
        <v>117450</v>
      </c>
      <c r="AA845" s="51">
        <f>IF(NOTA[[#This Row],[JUMLAH]]="","",NOTA[[#This Row],[JUMLAH]]-NOTA[[#This Row],[DISC]])</f>
        <v>578550</v>
      </c>
      <c r="AB845" s="51"/>
      <c r="AC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42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845" s="51">
        <f>IF(OR(NOTA[[#This Row],[QTY]]="",NOTA[[#This Row],[HARGA SATUAN]]="",),"",NOTA[[#This Row],[QTY]]*NOTA[[#This Row],[HARGA SATUAN]])</f>
        <v>696000</v>
      </c>
      <c r="AG845" s="40">
        <f ca="1">IF(NOTA[ID_H]="","",INDEX(NOTA[TANGGAL],MATCH(,INDIRECT(ADDRESS(ROW(NOTA[TANGGAL]),COLUMN(NOTA[TANGGAL]))&amp;":"&amp;ADDRESS(ROW(),COLUMN(NOTA[TANGGAL]))),-1)))</f>
        <v>45142</v>
      </c>
      <c r="AH845" s="42" t="str">
        <f ca="1">IF(NOTA[[#This Row],[NAMA BARANG]]="","",INDEX(NOTA[SUPPLIER],MATCH(,INDIRECT(ADDRESS(ROW(NOTA[ID]),COLUMN(NOTA[ID]))&amp;":"&amp;ADDRESS(ROW(),COLUMN(NOTA[ID]))),-1)))</f>
        <v>ATALI MAKMUR</v>
      </c>
      <c r="AI845" s="42" t="str">
        <f ca="1">IF(NOTA[[#This Row],[ID_H]]="","",IF(NOTA[[#This Row],[FAKTUR]]="",INDIRECT(ADDRESS(ROW()-1,COLUMN())),NOTA[[#This Row],[FAKTUR]]))</f>
        <v>ARTO MORO</v>
      </c>
      <c r="AJ845" s="39">
        <f ca="1">IF(NOTA[[#This Row],[ID]]="","",COUNTIF(NOTA[ID_H],NOTA[[#This Row],[ID_H]]))</f>
        <v>9</v>
      </c>
      <c r="AK845" s="39">
        <f>IF(NOTA[[#This Row],[TGL.NOTA]]="",IF(NOTA[[#This Row],[SUPPLIER_H]]="","",AK844),MONTH(NOTA[[#This Row],[TGL.NOTA]]))</f>
        <v>7</v>
      </c>
      <c r="AL845" s="39" t="str">
        <f>LOWER(SUBSTITUTE(SUBSTITUTE(SUBSTITUTE(SUBSTITUTE(SUBSTITUTE(SUBSTITUTE(SUBSTITUTE(SUBSTITUTE(SUBSTITUTE(NOTA[NAMA BARANG]," ",),".",""),"-",""),"(",""),")",""),",",""),"/",""),"""",""),"+",""))</f>
        <v>binderclip105cdjk</v>
      </c>
      <c r="AM8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N8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O84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MOROSA23071340545138binderclip105cdjk</v>
      </c>
      <c r="AP845" s="39" t="e">
        <f>IF(NOTA[[#This Row],[CONCAT4]]="","",_xlfn.IFNA(MATCH(NOTA[[#This Row],[CONCAT4]],[2]!RAW[CONCAT_H],0),FALSE))</f>
        <v>#REF!</v>
      </c>
      <c r="AQ845" s="39">
        <f>IF(NOTA[[#This Row],[CONCAT1]]="","",MATCH(NOTA[[#This Row],[CONCAT1]],[3]!db[NB NOTA_C],0))</f>
        <v>213</v>
      </c>
      <c r="AR845" s="39" t="b">
        <f>IF(NOTA[[#This Row],[QTY/ CTN]]="","",TRUE)</f>
        <v>1</v>
      </c>
      <c r="AS845" s="39" t="str">
        <f ca="1">IF(NOTA[[#This Row],[ID_H]]="","",IF(NOTA[[#This Row],[Column3]]=TRUE,NOTA[[#This Row],[QTY/ CTN]],INDEX([3]!db[QTY/ CTN],NOTA[[#This Row],[//DB]])))</f>
        <v>48 DRM (60 PCS)</v>
      </c>
      <c r="AT8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U845" s="39" t="e">
        <f ca="1">IF(NOTA[[#This Row],[ID_H]]="","",MATCH(NOTA[[#This Row],[NB NOTA_C_QTY]],[4]!db[NB NOTA_C_QTY+F],0))</f>
        <v>#REF!</v>
      </c>
      <c r="AV845" s="55">
        <f ca="1">IF(NOTA[[#This Row],[NB NOTA_C_QTY]]="","",ROW()-2)</f>
        <v>843</v>
      </c>
    </row>
    <row r="846" spans="1:48" ht="20.100000000000001" customHeight="1" x14ac:dyDescent="0.25">
      <c r="A8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>
        <f ca="1">IF(NOTA[[#This Row],[NAMA BARANG]]="","",INDEX(NOTA[ID],MATCH(,INDIRECT(ADDRESS(ROW(NOTA[ID]),COLUMN(NOTA[ID]))&amp;":"&amp;ADDRESS(ROW(),COLUMN(NOTA[ID]))),-1)))</f>
        <v>164</v>
      </c>
      <c r="E846" s="47"/>
      <c r="H846" s="48"/>
      <c r="K846" s="38">
        <v>1</v>
      </c>
      <c r="L846" s="38" t="s">
        <v>905</v>
      </c>
      <c r="M846" s="41">
        <v>1</v>
      </c>
      <c r="N846" s="39">
        <v>96</v>
      </c>
      <c r="O846" s="38" t="s">
        <v>903</v>
      </c>
      <c r="P846" s="42">
        <v>12000</v>
      </c>
      <c r="Q846" s="43"/>
      <c r="R846" s="49" t="s">
        <v>906</v>
      </c>
      <c r="S846" s="50">
        <v>0.125</v>
      </c>
      <c r="T846" s="45">
        <v>0.05</v>
      </c>
      <c r="U846" s="51"/>
      <c r="V846" s="46"/>
      <c r="W846" s="51">
        <f>IF(NOTA[[#This Row],[HARGA/ CTN]]="",NOTA[[#This Row],[JUMLAH_H]],NOTA[[#This Row],[HARGA/ CTN]]*IF(NOTA[[#This Row],[C]]="",0,NOTA[[#This Row],[C]]))</f>
        <v>1152000</v>
      </c>
      <c r="X846" s="51">
        <f>IF(NOTA[[#This Row],[JUMLAH]]="","",NOTA[[#This Row],[JUMLAH]]*NOTA[[#This Row],[DISC 1]])</f>
        <v>144000</v>
      </c>
      <c r="Y846" s="51">
        <f>IF(NOTA[[#This Row],[JUMLAH]]="","",(NOTA[[#This Row],[JUMLAH]]-NOTA[[#This Row],[DISC 1-]])*NOTA[[#This Row],[DISC 2]])</f>
        <v>50400</v>
      </c>
      <c r="Z846" s="51">
        <f>IF(NOTA[[#This Row],[JUMLAH]]="","",NOTA[[#This Row],[DISC 1-]]+NOTA[[#This Row],[DISC 2-]])</f>
        <v>194400</v>
      </c>
      <c r="AA846" s="51">
        <f>IF(NOTA[[#This Row],[JUMLAH]]="","",NOTA[[#This Row],[JUMLAH]]-NOTA[[#This Row],[DISC]])</f>
        <v>957600</v>
      </c>
      <c r="AB846" s="51"/>
      <c r="AC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846" s="51">
        <f>IF(OR(NOTA[[#This Row],[QTY]]="",NOTA[[#This Row],[HARGA SATUAN]]="",),"",NOTA[[#This Row],[QTY]]*NOTA[[#This Row],[HARGA SATUAN]])</f>
        <v>1152000</v>
      </c>
      <c r="AG846" s="40">
        <f ca="1">IF(NOTA[ID_H]="","",INDEX(NOTA[TANGGAL],MATCH(,INDIRECT(ADDRESS(ROW(NOTA[TANGGAL]),COLUMN(NOTA[TANGGAL]))&amp;":"&amp;ADDRESS(ROW(),COLUMN(NOTA[TANGGAL]))),-1)))</f>
        <v>45142</v>
      </c>
      <c r="AH846" s="42" t="str">
        <f ca="1">IF(NOTA[[#This Row],[NAMA BARANG]]="","",INDEX(NOTA[SUPPLIER],MATCH(,INDIRECT(ADDRESS(ROW(NOTA[ID]),COLUMN(NOTA[ID]))&amp;":"&amp;ADDRESS(ROW(),COLUMN(NOTA[ID]))),-1)))</f>
        <v>ATALI MAKMUR</v>
      </c>
      <c r="AI846" s="42" t="str">
        <f ca="1">IF(NOTA[[#This Row],[ID_H]]="","",IF(NOTA[[#This Row],[FAKTUR]]="",INDIRECT(ADDRESS(ROW()-1,COLUMN())),NOTA[[#This Row],[FAKTUR]]))</f>
        <v>ARTO MORO</v>
      </c>
      <c r="AJ846" s="39" t="str">
        <f ca="1">IF(NOTA[[#This Row],[ID]]="","",COUNTIF(NOTA[ID_H],NOTA[[#This Row],[ID_H]]))</f>
        <v/>
      </c>
      <c r="AK846" s="39">
        <f ca="1">IF(NOTA[[#This Row],[TGL.NOTA]]="",IF(NOTA[[#This Row],[SUPPLIER_H]]="","",AK845),MONTH(NOTA[[#This Row],[TGL.NOTA]]))</f>
        <v>7</v>
      </c>
      <c r="AL846" s="39" t="str">
        <f>LOWER(SUBSTITUTE(SUBSTITUTE(SUBSTITUTE(SUBSTITUTE(SUBSTITUTE(SUBSTITUTE(SUBSTITUTE(SUBSTITUTE(SUBSTITUTE(NOTA[NAMA BARANG]," ",),".",""),"-",""),"(",""),")",""),",",""),"/",""),"""",""),"+",""))</f>
        <v>binderclip107cdjk</v>
      </c>
      <c r="AM8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binderclip107cdjk11520000.1250.05</v>
      </c>
      <c r="AN8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binderclip107cdjk11520000.1250.05</v>
      </c>
      <c r="AO8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39" t="str">
        <f>IF(NOTA[[#This Row],[CONCAT4]]="","",_xlfn.IFNA(MATCH(NOTA[[#This Row],[CONCAT4]],[2]!RAW[CONCAT_H],0),FALSE))</f>
        <v/>
      </c>
      <c r="AQ846" s="39">
        <f>IF(NOTA[[#This Row],[CONCAT1]]="","",MATCH(NOTA[[#This Row],[CONCAT1]],[3]!db[NB NOTA_C],0))</f>
        <v>216</v>
      </c>
      <c r="AR846" s="39" t="b">
        <f>IF(NOTA[[#This Row],[QTY/ CTN]]="","",TRUE)</f>
        <v>1</v>
      </c>
      <c r="AS846" s="39" t="str">
        <f ca="1">IF(NOTA[[#This Row],[ID_H]]="","",IF(NOTA[[#This Row],[Column3]]=TRUE,NOTA[[#This Row],[QTY/ CTN]],INDEX([3]!db[QTY/ CTN],NOTA[[#This Row],[//DB]])))</f>
        <v>96 DRM (40 PCS)</v>
      </c>
      <c r="AT8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binderclip107cdjk96drm40pcsartomoro</v>
      </c>
      <c r="AU846" s="39" t="e">
        <f ca="1">IF(NOTA[[#This Row],[ID_H]]="","",MATCH(NOTA[[#This Row],[NB NOTA_C_QTY]],[4]!db[NB NOTA_C_QTY+F],0))</f>
        <v>#REF!</v>
      </c>
      <c r="AV846" s="55">
        <f ca="1">IF(NOTA[[#This Row],[NB NOTA_C_QTY]]="","",ROW()-2)</f>
        <v>844</v>
      </c>
    </row>
    <row r="847" spans="1:48" ht="20.100000000000001" customHeight="1" x14ac:dyDescent="0.25">
      <c r="A8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>
        <f ca="1">IF(NOTA[[#This Row],[NAMA BARANG]]="","",INDEX(NOTA[ID],MATCH(,INDIRECT(ADDRESS(ROW(NOTA[ID]),COLUMN(NOTA[ID]))&amp;":"&amp;ADDRESS(ROW(),COLUMN(NOTA[ID]))),-1)))</f>
        <v>164</v>
      </c>
      <c r="E847" s="47"/>
      <c r="H847" s="48"/>
      <c r="K847" s="38">
        <v>5</v>
      </c>
      <c r="L847" s="38" t="s">
        <v>907</v>
      </c>
      <c r="M847" s="41">
        <v>5</v>
      </c>
      <c r="N847" s="39">
        <v>360</v>
      </c>
      <c r="O847" s="38" t="s">
        <v>263</v>
      </c>
      <c r="P847" s="42">
        <v>23000</v>
      </c>
      <c r="Q847" s="43"/>
      <c r="R847" s="49" t="s">
        <v>908</v>
      </c>
      <c r="S847" s="50">
        <v>0.125</v>
      </c>
      <c r="T847" s="45">
        <v>0.05</v>
      </c>
      <c r="U847" s="51"/>
      <c r="V847" s="46"/>
      <c r="W847" s="51">
        <f>IF(NOTA[[#This Row],[HARGA/ CTN]]="",NOTA[[#This Row],[JUMLAH_H]],NOTA[[#This Row],[HARGA/ CTN]]*IF(NOTA[[#This Row],[C]]="",0,NOTA[[#This Row],[C]]))</f>
        <v>8280000</v>
      </c>
      <c r="X847" s="51">
        <f>IF(NOTA[[#This Row],[JUMLAH]]="","",NOTA[[#This Row],[JUMLAH]]*NOTA[[#This Row],[DISC 1]])</f>
        <v>1035000</v>
      </c>
      <c r="Y847" s="51">
        <f>IF(NOTA[[#This Row],[JUMLAH]]="","",(NOTA[[#This Row],[JUMLAH]]-NOTA[[#This Row],[DISC 1-]])*NOTA[[#This Row],[DISC 2]])</f>
        <v>362250</v>
      </c>
      <c r="Z847" s="51">
        <f>IF(NOTA[[#This Row],[JUMLAH]]="","",NOTA[[#This Row],[DISC 1-]]+NOTA[[#This Row],[DISC 2-]])</f>
        <v>1397250</v>
      </c>
      <c r="AA847" s="51">
        <f>IF(NOTA[[#This Row],[JUMLAH]]="","",NOTA[[#This Row],[JUMLAH]]-NOTA[[#This Row],[DISC]])</f>
        <v>6882750</v>
      </c>
      <c r="AB847" s="51"/>
      <c r="AC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847" s="51">
        <f>IF(OR(NOTA[[#This Row],[QTY]]="",NOTA[[#This Row],[HARGA SATUAN]]="",),"",NOTA[[#This Row],[QTY]]*NOTA[[#This Row],[HARGA SATUAN]])</f>
        <v>8280000</v>
      </c>
      <c r="AG847" s="40">
        <f ca="1">IF(NOTA[ID_H]="","",INDEX(NOTA[TANGGAL],MATCH(,INDIRECT(ADDRESS(ROW(NOTA[TANGGAL]),COLUMN(NOTA[TANGGAL]))&amp;":"&amp;ADDRESS(ROW(),COLUMN(NOTA[TANGGAL]))),-1)))</f>
        <v>45142</v>
      </c>
      <c r="AH847" s="42" t="str">
        <f ca="1">IF(NOTA[[#This Row],[NAMA BARANG]]="","",INDEX(NOTA[SUPPLIER],MATCH(,INDIRECT(ADDRESS(ROW(NOTA[ID]),COLUMN(NOTA[ID]))&amp;":"&amp;ADDRESS(ROW(),COLUMN(NOTA[ID]))),-1)))</f>
        <v>ATALI MAKMUR</v>
      </c>
      <c r="AI847" s="42" t="str">
        <f ca="1">IF(NOTA[[#This Row],[ID_H]]="","",IF(NOTA[[#This Row],[FAKTUR]]="",INDIRECT(ADDRESS(ROW()-1,COLUMN())),NOTA[[#This Row],[FAKTUR]]))</f>
        <v>ARTO MORO</v>
      </c>
      <c r="AJ847" s="39" t="str">
        <f ca="1">IF(NOTA[[#This Row],[ID]]="","",COUNTIF(NOTA[ID_H],NOTA[[#This Row],[ID_H]]))</f>
        <v/>
      </c>
      <c r="AK847" s="39">
        <f ca="1">IF(NOTA[[#This Row],[TGL.NOTA]]="",IF(NOTA[[#This Row],[SUPPLIER_H]]="","",AK846),MONTH(NOTA[[#This Row],[TGL.NOTA]]))</f>
        <v>7</v>
      </c>
      <c r="AL847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8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8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8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39" t="str">
        <f>IF(NOTA[[#This Row],[CONCAT4]]="","",_xlfn.IFNA(MATCH(NOTA[[#This Row],[CONCAT4]],[2]!RAW[CONCAT_H],0),FALSE))</f>
        <v/>
      </c>
      <c r="AQ847" s="39">
        <f>IF(NOTA[[#This Row],[CONCAT1]]="","",MATCH(NOTA[[#This Row],[CONCAT1]],[3]!db[NB NOTA_C],0))</f>
        <v>1777</v>
      </c>
      <c r="AR847" s="39" t="b">
        <f>IF(NOTA[[#This Row],[QTY/ CTN]]="","",TRUE)</f>
        <v>1</v>
      </c>
      <c r="AS847" s="39" t="str">
        <f ca="1">IF(NOTA[[#This Row],[ID_H]]="","",IF(NOTA[[#This Row],[Column3]]=TRUE,NOTA[[#This Row],[QTY/ CTN]],INDEX([3]!db[QTY/ CTN],NOTA[[#This Row],[//DB]])))</f>
        <v>6 LSN</v>
      </c>
      <c r="AT8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847" s="39" t="e">
        <f ca="1">IF(NOTA[[#This Row],[ID_H]]="","",MATCH(NOTA[[#This Row],[NB NOTA_C_QTY]],[4]!db[NB NOTA_C_QTY+F],0))</f>
        <v>#REF!</v>
      </c>
      <c r="AV847" s="55">
        <f ca="1">IF(NOTA[[#This Row],[NB NOTA_C_QTY]]="","",ROW()-2)</f>
        <v>845</v>
      </c>
    </row>
    <row r="848" spans="1:48" ht="20.100000000000001" customHeight="1" x14ac:dyDescent="0.25">
      <c r="A8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>
        <f ca="1">IF(NOTA[[#This Row],[NAMA BARANG]]="","",INDEX(NOTA[ID],MATCH(,INDIRECT(ADDRESS(ROW(NOTA[ID]),COLUMN(NOTA[ID]))&amp;":"&amp;ADDRESS(ROW(),COLUMN(NOTA[ID]))),-1)))</f>
        <v>164</v>
      </c>
      <c r="E848" s="47"/>
      <c r="H848" s="48"/>
      <c r="K848" s="38">
        <v>2</v>
      </c>
      <c r="L848" s="38" t="s">
        <v>909</v>
      </c>
      <c r="M848" s="41">
        <v>2</v>
      </c>
      <c r="N848" s="39">
        <v>12</v>
      </c>
      <c r="O848" s="38" t="s">
        <v>117</v>
      </c>
      <c r="P848" s="42">
        <v>187000</v>
      </c>
      <c r="Q848" s="43"/>
      <c r="R848" s="49" t="s">
        <v>910</v>
      </c>
      <c r="S848" s="50">
        <v>0.125</v>
      </c>
      <c r="T848" s="45">
        <v>0.05</v>
      </c>
      <c r="U848" s="51"/>
      <c r="V848" s="46"/>
      <c r="W848" s="51">
        <f>IF(NOTA[[#This Row],[HARGA/ CTN]]="",NOTA[[#This Row],[JUMLAH_H]],NOTA[[#This Row],[HARGA/ CTN]]*IF(NOTA[[#This Row],[C]]="",0,NOTA[[#This Row],[C]]))</f>
        <v>2244000</v>
      </c>
      <c r="X848" s="51">
        <f>IF(NOTA[[#This Row],[JUMLAH]]="","",NOTA[[#This Row],[JUMLAH]]*NOTA[[#This Row],[DISC 1]])</f>
        <v>280500</v>
      </c>
      <c r="Y848" s="51">
        <f>IF(NOTA[[#This Row],[JUMLAH]]="","",(NOTA[[#This Row],[JUMLAH]]-NOTA[[#This Row],[DISC 1-]])*NOTA[[#This Row],[DISC 2]])</f>
        <v>98175</v>
      </c>
      <c r="Z848" s="51">
        <f>IF(NOTA[[#This Row],[JUMLAH]]="","",NOTA[[#This Row],[DISC 1-]]+NOTA[[#This Row],[DISC 2-]])</f>
        <v>378675</v>
      </c>
      <c r="AA848" s="51">
        <f>IF(NOTA[[#This Row],[JUMLAH]]="","",NOTA[[#This Row],[JUMLAH]]-NOTA[[#This Row],[DISC]])</f>
        <v>1865325</v>
      </c>
      <c r="AB848" s="51"/>
      <c r="AC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4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F848" s="51">
        <f>IF(OR(NOTA[[#This Row],[QTY]]="",NOTA[[#This Row],[HARGA SATUAN]]="",),"",NOTA[[#This Row],[QTY]]*NOTA[[#This Row],[HARGA SATUAN]])</f>
        <v>2244000</v>
      </c>
      <c r="AG848" s="40">
        <f ca="1">IF(NOTA[ID_H]="","",INDEX(NOTA[TANGGAL],MATCH(,INDIRECT(ADDRESS(ROW(NOTA[TANGGAL]),COLUMN(NOTA[TANGGAL]))&amp;":"&amp;ADDRESS(ROW(),COLUMN(NOTA[TANGGAL]))),-1)))</f>
        <v>45142</v>
      </c>
      <c r="AH848" s="42" t="str">
        <f ca="1">IF(NOTA[[#This Row],[NAMA BARANG]]="","",INDEX(NOTA[SUPPLIER],MATCH(,INDIRECT(ADDRESS(ROW(NOTA[ID]),COLUMN(NOTA[ID]))&amp;":"&amp;ADDRESS(ROW(),COLUMN(NOTA[ID]))),-1)))</f>
        <v>ATALI MAKMUR</v>
      </c>
      <c r="AI848" s="42" t="str">
        <f ca="1">IF(NOTA[[#This Row],[ID_H]]="","",IF(NOTA[[#This Row],[FAKTUR]]="",INDIRECT(ADDRESS(ROW()-1,COLUMN())),NOTA[[#This Row],[FAKTUR]]))</f>
        <v>ARTO MORO</v>
      </c>
      <c r="AJ848" s="39" t="str">
        <f ca="1">IF(NOTA[[#This Row],[ID]]="","",COUNTIF(NOTA[ID_H],NOTA[[#This Row],[ID_H]]))</f>
        <v/>
      </c>
      <c r="AK848" s="39">
        <f ca="1">IF(NOTA[[#This Row],[TGL.NOTA]]="",IF(NOTA[[#This Row],[SUPPLIER_H]]="","",AK847),MONTH(NOTA[[#This Row],[TGL.NOTA]]))</f>
        <v>7</v>
      </c>
      <c r="AL848" s="39" t="str">
        <f>LOWER(SUBSTITUTE(SUBSTITUTE(SUBSTITUTE(SUBSTITUTE(SUBSTITUTE(SUBSTITUTE(SUBSTITUTE(SUBSTITUTE(SUBSTITUTE(NOTA[NAMA BARANG]," ",),".",""),"-",""),"(",""),")",""),",",""),"/",""),"""",""),"+",""))</f>
        <v>staplerhd12n24jk</v>
      </c>
      <c r="AM8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N8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O8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39" t="str">
        <f>IF(NOTA[[#This Row],[CONCAT4]]="","",_xlfn.IFNA(MATCH(NOTA[[#This Row],[CONCAT4]],[2]!RAW[CONCAT_H],0),FALSE))</f>
        <v/>
      </c>
      <c r="AQ848" s="39">
        <f>IF(NOTA[[#This Row],[CONCAT1]]="","",MATCH(NOTA[[#This Row],[CONCAT1]],[3]!db[NB NOTA_C],0))</f>
        <v>2453</v>
      </c>
      <c r="AR848" s="39" t="b">
        <f>IF(NOTA[[#This Row],[QTY/ CTN]]="","",TRUE)</f>
        <v>1</v>
      </c>
      <c r="AS848" s="39" t="str">
        <f ca="1">IF(NOTA[[#This Row],[ID_H]]="","",IF(NOTA[[#This Row],[Column3]]=TRUE,NOTA[[#This Row],[QTY/ CTN]],INDEX([3]!db[QTY/ CTN],NOTA[[#This Row],[//DB]])))</f>
        <v>6 PCS</v>
      </c>
      <c r="AT8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U848" s="39" t="e">
        <f ca="1">IF(NOTA[[#This Row],[ID_H]]="","",MATCH(NOTA[[#This Row],[NB NOTA_C_QTY]],[4]!db[NB NOTA_C_QTY+F],0))</f>
        <v>#REF!</v>
      </c>
      <c r="AV848" s="55">
        <f ca="1">IF(NOTA[[#This Row],[NB NOTA_C_QTY]]="","",ROW()-2)</f>
        <v>846</v>
      </c>
    </row>
    <row r="849" spans="1:48" ht="20.100000000000001" customHeight="1" x14ac:dyDescent="0.25">
      <c r="A8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>
        <f ca="1">IF(NOTA[[#This Row],[NAMA BARANG]]="","",INDEX(NOTA[ID],MATCH(,INDIRECT(ADDRESS(ROW(NOTA[ID]),COLUMN(NOTA[ID]))&amp;":"&amp;ADDRESS(ROW(),COLUMN(NOTA[ID]))),-1)))</f>
        <v>164</v>
      </c>
      <c r="E849" s="47"/>
      <c r="H849" s="48"/>
      <c r="K849" s="38">
        <v>2</v>
      </c>
      <c r="L849" s="38" t="s">
        <v>912</v>
      </c>
      <c r="M849" s="41">
        <v>2</v>
      </c>
      <c r="N849" s="39">
        <v>240</v>
      </c>
      <c r="O849" s="38" t="s">
        <v>117</v>
      </c>
      <c r="P849" s="42">
        <v>12950</v>
      </c>
      <c r="Q849" s="43"/>
      <c r="R849" s="49" t="s">
        <v>911</v>
      </c>
      <c r="S849" s="50">
        <v>0.125</v>
      </c>
      <c r="T849" s="45">
        <v>0.05</v>
      </c>
      <c r="U849" s="51"/>
      <c r="V849" s="46"/>
      <c r="W849" s="51">
        <f>IF(NOTA[[#This Row],[HARGA/ CTN]]="",NOTA[[#This Row],[JUMLAH_H]],NOTA[[#This Row],[HARGA/ CTN]]*IF(NOTA[[#This Row],[C]]="",0,NOTA[[#This Row],[C]]))</f>
        <v>3108000</v>
      </c>
      <c r="X849" s="51">
        <f>IF(NOTA[[#This Row],[JUMLAH]]="","",NOTA[[#This Row],[JUMLAH]]*NOTA[[#This Row],[DISC 1]])</f>
        <v>388500</v>
      </c>
      <c r="Y849" s="51">
        <f>IF(NOTA[[#This Row],[JUMLAH]]="","",(NOTA[[#This Row],[JUMLAH]]-NOTA[[#This Row],[DISC 1-]])*NOTA[[#This Row],[DISC 2]])</f>
        <v>135975</v>
      </c>
      <c r="Z849" s="51">
        <f>IF(NOTA[[#This Row],[JUMLAH]]="","",NOTA[[#This Row],[DISC 1-]]+NOTA[[#This Row],[DISC 2-]])</f>
        <v>524475</v>
      </c>
      <c r="AA849" s="51">
        <f>IF(NOTA[[#This Row],[JUMLAH]]="","",NOTA[[#This Row],[JUMLAH]]-NOTA[[#This Row],[DISC]])</f>
        <v>2583525</v>
      </c>
      <c r="AB849" s="51"/>
      <c r="AC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849" s="51">
        <f>IF(OR(NOTA[[#This Row],[QTY]]="",NOTA[[#This Row],[HARGA SATUAN]]="",),"",NOTA[[#This Row],[QTY]]*NOTA[[#This Row],[HARGA SATUAN]])</f>
        <v>3108000</v>
      </c>
      <c r="AG849" s="40">
        <f ca="1">IF(NOTA[ID_H]="","",INDEX(NOTA[TANGGAL],MATCH(,INDIRECT(ADDRESS(ROW(NOTA[TANGGAL]),COLUMN(NOTA[TANGGAL]))&amp;":"&amp;ADDRESS(ROW(),COLUMN(NOTA[TANGGAL]))),-1)))</f>
        <v>45142</v>
      </c>
      <c r="AH849" s="42" t="str">
        <f ca="1">IF(NOTA[[#This Row],[NAMA BARANG]]="","",INDEX(NOTA[SUPPLIER],MATCH(,INDIRECT(ADDRESS(ROW(NOTA[ID]),COLUMN(NOTA[ID]))&amp;":"&amp;ADDRESS(ROW(),COLUMN(NOTA[ID]))),-1)))</f>
        <v>ATALI MAKMUR</v>
      </c>
      <c r="AI849" s="42" t="str">
        <f ca="1">IF(NOTA[[#This Row],[ID_H]]="","",IF(NOTA[[#This Row],[FAKTUR]]="",INDIRECT(ADDRESS(ROW()-1,COLUMN())),NOTA[[#This Row],[FAKTUR]]))</f>
        <v>ARTO MORO</v>
      </c>
      <c r="AJ849" s="39" t="str">
        <f ca="1">IF(NOTA[[#This Row],[ID]]="","",COUNTIF(NOTA[ID_H],NOTA[[#This Row],[ID_H]]))</f>
        <v/>
      </c>
      <c r="AK849" s="39">
        <f ca="1">IF(NOTA[[#This Row],[TGL.NOTA]]="",IF(NOTA[[#This Row],[SUPPLIER_H]]="","",AK848),MONTH(NOTA[[#This Row],[TGL.NOTA]]))</f>
        <v>7</v>
      </c>
      <c r="AL849" s="39" t="str">
        <f>LOWER(SUBSTITUTE(SUBSTITUTE(SUBSTITUTE(SUBSTITUTE(SUBSTITUTE(SUBSTITUTE(SUBSTITUTE(SUBSTITUTE(SUBSTITUTE(NOTA[NAMA BARANG]," ",),".",""),"-",""),"(",""),")",""),",",""),"/",""),"""",""),"+",""))</f>
        <v>punch30xljk</v>
      </c>
      <c r="AM8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8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8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39" t="str">
        <f>IF(NOTA[[#This Row],[CONCAT4]]="","",_xlfn.IFNA(MATCH(NOTA[[#This Row],[CONCAT4]],[2]!RAW[CONCAT_H],0),FALSE))</f>
        <v/>
      </c>
      <c r="AQ849" s="39">
        <f>IF(NOTA[[#This Row],[CONCAT1]]="","",MATCH(NOTA[[#This Row],[CONCAT1]],[3]!db[NB NOTA_C],0))</f>
        <v>2291</v>
      </c>
      <c r="AR849" s="39" t="b">
        <f>IF(NOTA[[#This Row],[QTY/ CTN]]="","",TRUE)</f>
        <v>1</v>
      </c>
      <c r="AS849" s="39" t="str">
        <f ca="1">IF(NOTA[[#This Row],[ID_H]]="","",IF(NOTA[[#This Row],[Column3]]=TRUE,NOTA[[#This Row],[QTY/ CTN]],INDEX([3]!db[QTY/ CTN],NOTA[[#This Row],[//DB]])))</f>
        <v>10 LSN</v>
      </c>
      <c r="AT8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U849" s="39" t="e">
        <f ca="1">IF(NOTA[[#This Row],[ID_H]]="","",MATCH(NOTA[[#This Row],[NB NOTA_C_QTY]],[4]!db[NB NOTA_C_QTY+F],0))</f>
        <v>#REF!</v>
      </c>
      <c r="AV849" s="55">
        <f ca="1">IF(NOTA[[#This Row],[NB NOTA_C_QTY]]="","",ROW()-2)</f>
        <v>847</v>
      </c>
    </row>
    <row r="850" spans="1:48" ht="20.100000000000001" customHeight="1" x14ac:dyDescent="0.25">
      <c r="A8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>
        <f ca="1">IF(NOTA[[#This Row],[NAMA BARANG]]="","",INDEX(NOTA[ID],MATCH(,INDIRECT(ADDRESS(ROW(NOTA[ID]),COLUMN(NOTA[ID]))&amp;":"&amp;ADDRESS(ROW(),COLUMN(NOTA[ID]))),-1)))</f>
        <v>164</v>
      </c>
      <c r="E850" s="47"/>
      <c r="H850" s="48"/>
      <c r="K850" s="38">
        <v>2</v>
      </c>
      <c r="L850" s="38" t="s">
        <v>831</v>
      </c>
      <c r="M850" s="41">
        <v>2</v>
      </c>
      <c r="N850" s="39">
        <v>40</v>
      </c>
      <c r="O850" s="38" t="s">
        <v>305</v>
      </c>
      <c r="P850" s="42">
        <v>67800</v>
      </c>
      <c r="Q850" s="43"/>
      <c r="R850" s="49" t="s">
        <v>298</v>
      </c>
      <c r="S850" s="50">
        <v>0.125</v>
      </c>
      <c r="T850" s="45">
        <v>0.05</v>
      </c>
      <c r="U850" s="51"/>
      <c r="V850" s="46"/>
      <c r="W850" s="51">
        <f>IF(NOTA[[#This Row],[HARGA/ CTN]]="",NOTA[[#This Row],[JUMLAH_H]],NOTA[[#This Row],[HARGA/ CTN]]*IF(NOTA[[#This Row],[C]]="",0,NOTA[[#This Row],[C]]))</f>
        <v>2712000</v>
      </c>
      <c r="X850" s="51">
        <f>IF(NOTA[[#This Row],[JUMLAH]]="","",NOTA[[#This Row],[JUMLAH]]*NOTA[[#This Row],[DISC 1]])</f>
        <v>339000</v>
      </c>
      <c r="Y850" s="51">
        <f>IF(NOTA[[#This Row],[JUMLAH]]="","",(NOTA[[#This Row],[JUMLAH]]-NOTA[[#This Row],[DISC 1-]])*NOTA[[#This Row],[DISC 2]])</f>
        <v>118650</v>
      </c>
      <c r="Z850" s="51">
        <f>IF(NOTA[[#This Row],[JUMLAH]]="","",NOTA[[#This Row],[DISC 1-]]+NOTA[[#This Row],[DISC 2-]])</f>
        <v>457650</v>
      </c>
      <c r="AA850" s="51">
        <f>IF(NOTA[[#This Row],[JUMLAH]]="","",NOTA[[#This Row],[JUMLAH]]-NOTA[[#This Row],[DISC]])</f>
        <v>2254350</v>
      </c>
      <c r="AB850" s="51"/>
      <c r="AC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850" s="51">
        <f>IF(OR(NOTA[[#This Row],[QTY]]="",NOTA[[#This Row],[HARGA SATUAN]]="",),"",NOTA[[#This Row],[QTY]]*NOTA[[#This Row],[HARGA SATUAN]])</f>
        <v>2712000</v>
      </c>
      <c r="AG850" s="40">
        <f ca="1">IF(NOTA[ID_H]="","",INDEX(NOTA[TANGGAL],MATCH(,INDIRECT(ADDRESS(ROW(NOTA[TANGGAL]),COLUMN(NOTA[TANGGAL]))&amp;":"&amp;ADDRESS(ROW(),COLUMN(NOTA[TANGGAL]))),-1)))</f>
        <v>45142</v>
      </c>
      <c r="AH850" s="42" t="str">
        <f ca="1">IF(NOTA[[#This Row],[NAMA BARANG]]="","",INDEX(NOTA[SUPPLIER],MATCH(,INDIRECT(ADDRESS(ROW(NOTA[ID]),COLUMN(NOTA[ID]))&amp;":"&amp;ADDRESS(ROW(),COLUMN(NOTA[ID]))),-1)))</f>
        <v>ATALI MAKMUR</v>
      </c>
      <c r="AI850" s="42" t="str">
        <f ca="1">IF(NOTA[[#This Row],[ID_H]]="","",IF(NOTA[[#This Row],[FAKTUR]]="",INDIRECT(ADDRESS(ROW()-1,COLUMN())),NOTA[[#This Row],[FAKTUR]]))</f>
        <v>ARTO MORO</v>
      </c>
      <c r="AJ850" s="39" t="str">
        <f ca="1">IF(NOTA[[#This Row],[ID]]="","",COUNTIF(NOTA[ID_H],NOTA[[#This Row],[ID_H]]))</f>
        <v/>
      </c>
      <c r="AK850" s="39">
        <f ca="1">IF(NOTA[[#This Row],[TGL.NOTA]]="",IF(NOTA[[#This Row],[SUPPLIER_H]]="","",AK849),MONTH(NOTA[[#This Row],[TGL.NOTA]]))</f>
        <v>7</v>
      </c>
      <c r="AL850" s="39" t="str">
        <f>LOWER(SUBSTITUTE(SUBSTITUTE(SUBSTITUTE(SUBSTITUTE(SUBSTITUTE(SUBSTITUTE(SUBSTITUTE(SUBSTITUTE(SUBSTITUTE(NOTA[NAMA BARANG]," ",),".",""),"-",""),"(",""),")",""),",",""),"/",""),"""",""),"+",""))</f>
        <v>binderclip155jk</v>
      </c>
      <c r="AM8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N8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O8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39" t="str">
        <f>IF(NOTA[[#This Row],[CONCAT4]]="","",_xlfn.IFNA(MATCH(NOTA[[#This Row],[CONCAT4]],[2]!RAW[CONCAT_H],0),FALSE))</f>
        <v/>
      </c>
      <c r="AQ850" s="39">
        <f>IF(NOTA[[#This Row],[CONCAT1]]="","",MATCH(NOTA[[#This Row],[CONCAT1]],[3]!db[NB NOTA_C],0))</f>
        <v>219</v>
      </c>
      <c r="AR850" s="39" t="b">
        <f>IF(NOTA[[#This Row],[QTY/ CTN]]="","",TRUE)</f>
        <v>1</v>
      </c>
      <c r="AS850" s="39" t="str">
        <f ca="1">IF(NOTA[[#This Row],[ID_H]]="","",IF(NOTA[[#This Row],[Column3]]=TRUE,NOTA[[#This Row],[QTY/ CTN]],INDEX([3]!db[QTY/ CTN],NOTA[[#This Row],[//DB]])))</f>
        <v>20 GRS</v>
      </c>
      <c r="AT8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U850" s="39" t="e">
        <f ca="1">IF(NOTA[[#This Row],[ID_H]]="","",MATCH(NOTA[[#This Row],[NB NOTA_C_QTY]],[4]!db[NB NOTA_C_QTY+F],0))</f>
        <v>#REF!</v>
      </c>
      <c r="AV850" s="55">
        <f ca="1">IF(NOTA[[#This Row],[NB NOTA_C_QTY]]="","",ROW()-2)</f>
        <v>848</v>
      </c>
    </row>
    <row r="851" spans="1:48" ht="20.100000000000001" customHeight="1" x14ac:dyDescent="0.25">
      <c r="A8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>
        <f ca="1">IF(NOTA[[#This Row],[NAMA BARANG]]="","",INDEX(NOTA[ID],MATCH(,INDIRECT(ADDRESS(ROW(NOTA[ID]),COLUMN(NOTA[ID]))&amp;":"&amp;ADDRESS(ROW(),COLUMN(NOTA[ID]))),-1)))</f>
        <v>164</v>
      </c>
      <c r="E851" s="47"/>
      <c r="H851" s="48"/>
      <c r="K851" s="38">
        <v>1</v>
      </c>
      <c r="L851" s="38" t="s">
        <v>913</v>
      </c>
      <c r="M851" s="41">
        <v>2</v>
      </c>
      <c r="N851" s="39">
        <v>20</v>
      </c>
      <c r="O851" s="38" t="s">
        <v>305</v>
      </c>
      <c r="P851" s="42">
        <v>115800</v>
      </c>
      <c r="Q851" s="43"/>
      <c r="R851" s="49" t="s">
        <v>299</v>
      </c>
      <c r="S851" s="50">
        <v>0.125</v>
      </c>
      <c r="T851" s="45">
        <v>0.05</v>
      </c>
      <c r="U851" s="51"/>
      <c r="V851" s="46"/>
      <c r="W851" s="51">
        <f>IF(NOTA[[#This Row],[HARGA/ CTN]]="",NOTA[[#This Row],[JUMLAH_H]],NOTA[[#This Row],[HARGA/ CTN]]*IF(NOTA[[#This Row],[C]]="",0,NOTA[[#This Row],[C]]))</f>
        <v>2316000</v>
      </c>
      <c r="X851" s="51">
        <f>IF(NOTA[[#This Row],[JUMLAH]]="","",NOTA[[#This Row],[JUMLAH]]*NOTA[[#This Row],[DISC 1]])</f>
        <v>289500</v>
      </c>
      <c r="Y851" s="51">
        <f>IF(NOTA[[#This Row],[JUMLAH]]="","",(NOTA[[#This Row],[JUMLAH]]-NOTA[[#This Row],[DISC 1-]])*NOTA[[#This Row],[DISC 2]])</f>
        <v>101325</v>
      </c>
      <c r="Z851" s="51">
        <f>IF(NOTA[[#This Row],[JUMLAH]]="","",NOTA[[#This Row],[DISC 1-]]+NOTA[[#This Row],[DISC 2-]])</f>
        <v>390825</v>
      </c>
      <c r="AA851" s="51">
        <f>IF(NOTA[[#This Row],[JUMLAH]]="","",NOTA[[#This Row],[JUMLAH]]-NOTA[[#This Row],[DISC]])</f>
        <v>1925175</v>
      </c>
      <c r="AB851" s="51"/>
      <c r="AC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F851" s="51">
        <f>IF(OR(NOTA[[#This Row],[QTY]]="",NOTA[[#This Row],[HARGA SATUAN]]="",),"",NOTA[[#This Row],[QTY]]*NOTA[[#This Row],[HARGA SATUAN]])</f>
        <v>2316000</v>
      </c>
      <c r="AG851" s="40">
        <f ca="1">IF(NOTA[ID_H]="","",INDEX(NOTA[TANGGAL],MATCH(,INDIRECT(ADDRESS(ROW(NOTA[TANGGAL]),COLUMN(NOTA[TANGGAL]))&amp;":"&amp;ADDRESS(ROW(),COLUMN(NOTA[TANGGAL]))),-1)))</f>
        <v>45142</v>
      </c>
      <c r="AH851" s="42" t="str">
        <f ca="1">IF(NOTA[[#This Row],[NAMA BARANG]]="","",INDEX(NOTA[SUPPLIER],MATCH(,INDIRECT(ADDRESS(ROW(NOTA[ID]),COLUMN(NOTA[ID]))&amp;":"&amp;ADDRESS(ROW(),COLUMN(NOTA[ID]))),-1)))</f>
        <v>ATALI MAKMUR</v>
      </c>
      <c r="AI851" s="42" t="str">
        <f ca="1">IF(NOTA[[#This Row],[ID_H]]="","",IF(NOTA[[#This Row],[FAKTUR]]="",INDIRECT(ADDRESS(ROW()-1,COLUMN())),NOTA[[#This Row],[FAKTUR]]))</f>
        <v>ARTO MORO</v>
      </c>
      <c r="AJ851" s="39" t="str">
        <f ca="1">IF(NOTA[[#This Row],[ID]]="","",COUNTIF(NOTA[ID_H],NOTA[[#This Row],[ID_H]]))</f>
        <v/>
      </c>
      <c r="AK851" s="39">
        <f ca="1">IF(NOTA[[#This Row],[TGL.NOTA]]="",IF(NOTA[[#This Row],[SUPPLIER_H]]="","",AK850),MONTH(NOTA[[#This Row],[TGL.NOTA]]))</f>
        <v>7</v>
      </c>
      <c r="AL851" s="39" t="str">
        <f>LOWER(SUBSTITUTE(SUBSTITUTE(SUBSTITUTE(SUBSTITUTE(SUBSTITUTE(SUBSTITUTE(SUBSTITUTE(SUBSTITUTE(SUBSTITUTE(NOTA[NAMA BARANG]," ",),".",""),"-",""),"(",""),")",""),",",""),"/",""),"""",""),"+",""))</f>
        <v>binderclip200jk</v>
      </c>
      <c r="AM8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N8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O8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39" t="str">
        <f>IF(NOTA[[#This Row],[CONCAT4]]="","",_xlfn.IFNA(MATCH(NOTA[[#This Row],[CONCAT4]],[2]!RAW[CONCAT_H],0),FALSE))</f>
        <v/>
      </c>
      <c r="AQ851" s="39">
        <f>IF(NOTA[[#This Row],[CONCAT1]]="","",MATCH(NOTA[[#This Row],[CONCAT1]],[3]!db[NB NOTA_C],0))</f>
        <v>220</v>
      </c>
      <c r="AR851" s="39" t="b">
        <f>IF(NOTA[[#This Row],[QTY/ CTN]]="","",TRUE)</f>
        <v>1</v>
      </c>
      <c r="AS851" s="39" t="str">
        <f ca="1">IF(NOTA[[#This Row],[ID_H]]="","",IF(NOTA[[#This Row],[Column3]]=TRUE,NOTA[[#This Row],[QTY/ CTN]],INDEX([3]!db[QTY/ CTN],NOTA[[#This Row],[//DB]])))</f>
        <v>10 GRS</v>
      </c>
      <c r="AT8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U851" s="39" t="e">
        <f ca="1">IF(NOTA[[#This Row],[ID_H]]="","",MATCH(NOTA[[#This Row],[NB NOTA_C_QTY]],[4]!db[NB NOTA_C_QTY+F],0))</f>
        <v>#REF!</v>
      </c>
      <c r="AV851" s="55">
        <f ca="1">IF(NOTA[[#This Row],[NB NOTA_C_QTY]]="","",ROW()-2)</f>
        <v>849</v>
      </c>
    </row>
    <row r="852" spans="1:48" ht="20.100000000000001" customHeight="1" x14ac:dyDescent="0.25">
      <c r="A8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>
        <f ca="1">IF(NOTA[[#This Row],[NAMA BARANG]]="","",INDEX(NOTA[ID],MATCH(,INDIRECT(ADDRESS(ROW(NOTA[ID]),COLUMN(NOTA[ID]))&amp;":"&amp;ADDRESS(ROW(),COLUMN(NOTA[ID]))),-1)))</f>
        <v>164</v>
      </c>
      <c r="E852" s="47"/>
      <c r="H852" s="48"/>
      <c r="K852" s="38">
        <v>4</v>
      </c>
      <c r="L852" s="38" t="s">
        <v>914</v>
      </c>
      <c r="M852" s="41">
        <v>4</v>
      </c>
      <c r="N852" s="39">
        <v>20</v>
      </c>
      <c r="O852" s="38" t="s">
        <v>305</v>
      </c>
      <c r="P852" s="42">
        <v>177000</v>
      </c>
      <c r="Q852" s="43"/>
      <c r="R852" s="49" t="s">
        <v>302</v>
      </c>
      <c r="S852" s="50">
        <v>0.125</v>
      </c>
      <c r="T852" s="45">
        <v>0.05</v>
      </c>
      <c r="U852" s="51"/>
      <c r="V852" s="46"/>
      <c r="W852" s="51">
        <f>IF(NOTA[[#This Row],[HARGA/ CTN]]="",NOTA[[#This Row],[JUMLAH_H]],NOTA[[#This Row],[HARGA/ CTN]]*IF(NOTA[[#This Row],[C]]="",0,NOTA[[#This Row],[C]]))</f>
        <v>3540000</v>
      </c>
      <c r="X852" s="51">
        <f>IF(NOTA[[#This Row],[JUMLAH]]="","",NOTA[[#This Row],[JUMLAH]]*NOTA[[#This Row],[DISC 1]])</f>
        <v>442500</v>
      </c>
      <c r="Y852" s="51">
        <f>IF(NOTA[[#This Row],[JUMLAH]]="","",(NOTA[[#This Row],[JUMLAH]]-NOTA[[#This Row],[DISC 1-]])*NOTA[[#This Row],[DISC 2]])</f>
        <v>154875</v>
      </c>
      <c r="Z852" s="51">
        <f>IF(NOTA[[#This Row],[JUMLAH]]="","",NOTA[[#This Row],[DISC 1-]]+NOTA[[#This Row],[DISC 2-]])</f>
        <v>597375</v>
      </c>
      <c r="AA852" s="51">
        <f>IF(NOTA[[#This Row],[JUMLAH]]="","",NOTA[[#This Row],[JUMLAH]]-NOTA[[#This Row],[DISC]])</f>
        <v>2942625</v>
      </c>
      <c r="AB852" s="51"/>
      <c r="AC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4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852" s="51">
        <f>IF(OR(NOTA[[#This Row],[QTY]]="",NOTA[[#This Row],[HARGA SATUAN]]="",),"",NOTA[[#This Row],[QTY]]*NOTA[[#This Row],[HARGA SATUAN]])</f>
        <v>3540000</v>
      </c>
      <c r="AG852" s="40">
        <f ca="1">IF(NOTA[ID_H]="","",INDEX(NOTA[TANGGAL],MATCH(,INDIRECT(ADDRESS(ROW(NOTA[TANGGAL]),COLUMN(NOTA[TANGGAL]))&amp;":"&amp;ADDRESS(ROW(),COLUMN(NOTA[TANGGAL]))),-1)))</f>
        <v>45142</v>
      </c>
      <c r="AH852" s="42" t="str">
        <f ca="1">IF(NOTA[[#This Row],[NAMA BARANG]]="","",INDEX(NOTA[SUPPLIER],MATCH(,INDIRECT(ADDRESS(ROW(NOTA[ID]),COLUMN(NOTA[ID]))&amp;":"&amp;ADDRESS(ROW(),COLUMN(NOTA[ID]))),-1)))</f>
        <v>ATALI MAKMUR</v>
      </c>
      <c r="AI852" s="42" t="str">
        <f ca="1">IF(NOTA[[#This Row],[ID_H]]="","",IF(NOTA[[#This Row],[FAKTUR]]="",INDIRECT(ADDRESS(ROW()-1,COLUMN())),NOTA[[#This Row],[FAKTUR]]))</f>
        <v>ARTO MORO</v>
      </c>
      <c r="AJ852" s="39" t="str">
        <f ca="1">IF(NOTA[[#This Row],[ID]]="","",COUNTIF(NOTA[ID_H],NOTA[[#This Row],[ID_H]]))</f>
        <v/>
      </c>
      <c r="AK852" s="39">
        <f ca="1">IF(NOTA[[#This Row],[TGL.NOTA]]="",IF(NOTA[[#This Row],[SUPPLIER_H]]="","",AK851),MONTH(NOTA[[#This Row],[TGL.NOTA]]))</f>
        <v>7</v>
      </c>
      <c r="AL852" s="39" t="str">
        <f>LOWER(SUBSTITUTE(SUBSTITUTE(SUBSTITUTE(SUBSTITUTE(SUBSTITUTE(SUBSTITUTE(SUBSTITUTE(SUBSTITUTE(SUBSTITUTE(NOTA[NAMA BARANG]," ",),".",""),"-",""),"(",""),")",""),",",""),"/",""),"""",""),"+",""))</f>
        <v>binderclip260jk</v>
      </c>
      <c r="AM8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8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8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39" t="str">
        <f>IF(NOTA[[#This Row],[CONCAT4]]="","",_xlfn.IFNA(MATCH(NOTA[[#This Row],[CONCAT4]],[2]!RAW[CONCAT_H],0),FALSE))</f>
        <v/>
      </c>
      <c r="AQ852" s="39">
        <f>IF(NOTA[[#This Row],[CONCAT1]]="","",MATCH(NOTA[[#This Row],[CONCAT1]],[3]!db[NB NOTA_C],0))</f>
        <v>222</v>
      </c>
      <c r="AR852" s="39" t="b">
        <f>IF(NOTA[[#This Row],[QTY/ CTN]]="","",TRUE)</f>
        <v>1</v>
      </c>
      <c r="AS852" s="39" t="str">
        <f ca="1">IF(NOTA[[#This Row],[ID_H]]="","",IF(NOTA[[#This Row],[Column3]]=TRUE,NOTA[[#This Row],[QTY/ CTN]],INDEX([3]!db[QTY/ CTN],NOTA[[#This Row],[//DB]])))</f>
        <v>5 GRS</v>
      </c>
      <c r="AT8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U852" s="39" t="e">
        <f ca="1">IF(NOTA[[#This Row],[ID_H]]="","",MATCH(NOTA[[#This Row],[NB NOTA_C_QTY]],[4]!db[NB NOTA_C_QTY+F],0))</f>
        <v>#REF!</v>
      </c>
      <c r="AV852" s="55">
        <f ca="1">IF(NOTA[[#This Row],[NB NOTA_C_QTY]]="","",ROW()-2)</f>
        <v>850</v>
      </c>
    </row>
    <row r="853" spans="1:48" ht="20.100000000000001" customHeight="1" x14ac:dyDescent="0.25">
      <c r="A8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>
        <f ca="1">IF(NOTA[[#This Row],[NAMA BARANG]]="","",INDEX(NOTA[ID],MATCH(,INDIRECT(ADDRESS(ROW(NOTA[ID]),COLUMN(NOTA[ID]))&amp;":"&amp;ADDRESS(ROW(),COLUMN(NOTA[ID]))),-1)))</f>
        <v>164</v>
      </c>
      <c r="E853" s="47"/>
      <c r="H853" s="48"/>
      <c r="L853" s="38" t="s">
        <v>124</v>
      </c>
      <c r="N853" s="39">
        <v>48</v>
      </c>
      <c r="O853" s="38" t="s">
        <v>152</v>
      </c>
      <c r="P853" s="42">
        <v>13200</v>
      </c>
      <c r="Q853" s="43"/>
      <c r="R853" s="49" t="s">
        <v>538</v>
      </c>
      <c r="S853" s="50">
        <v>0.125</v>
      </c>
      <c r="T853" s="45">
        <v>0.05</v>
      </c>
      <c r="U853" s="51">
        <v>526680</v>
      </c>
      <c r="V853" s="46"/>
      <c r="W853" s="51">
        <f>IF(NOTA[[#This Row],[HARGA/ CTN]]="",NOTA[[#This Row],[JUMLAH_H]],NOTA[[#This Row],[HARGA/ CTN]]*IF(NOTA[[#This Row],[C]]="",0,NOTA[[#This Row],[C]]))</f>
        <v>633600</v>
      </c>
      <c r="X853" s="51">
        <f>IF(NOTA[[#This Row],[JUMLAH]]="","",NOTA[[#This Row],[JUMLAH]]*NOTA[[#This Row],[DISC 1]])</f>
        <v>79200</v>
      </c>
      <c r="Y853" s="51">
        <f>IF(NOTA[[#This Row],[JUMLAH]]="","",(NOTA[[#This Row],[JUMLAH]]-NOTA[[#This Row],[DISC 1-]])*NOTA[[#This Row],[DISC 2]])</f>
        <v>27720</v>
      </c>
      <c r="Z853" s="51">
        <f>IF(NOTA[[#This Row],[JUMLAH]]="","",NOTA[[#This Row],[DISC 1-]]+NOTA[[#This Row],[DISC 2-]])</f>
        <v>106920</v>
      </c>
      <c r="AA853" s="51">
        <f>IF(NOTA[[#This Row],[JUMLAH]]="","",NOTA[[#This Row],[JUMLAH]]-NOTA[[#This Row],[DISC]])</f>
        <v>526680</v>
      </c>
      <c r="AB853" s="51"/>
      <c r="AC8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4691700</v>
      </c>
      <c r="AD8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19989900</v>
      </c>
      <c r="AE853" s="42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F853" s="51">
        <f>IF(OR(NOTA[[#This Row],[QTY]]="",NOTA[[#This Row],[HARGA SATUAN]]="",),"",NOTA[[#This Row],[QTY]]*NOTA[[#This Row],[HARGA SATUAN]])</f>
        <v>633600</v>
      </c>
      <c r="AG853" s="40">
        <f ca="1">IF(NOTA[ID_H]="","",INDEX(NOTA[TANGGAL],MATCH(,INDIRECT(ADDRESS(ROW(NOTA[TANGGAL]),COLUMN(NOTA[TANGGAL]))&amp;":"&amp;ADDRESS(ROW(),COLUMN(NOTA[TANGGAL]))),-1)))</f>
        <v>45142</v>
      </c>
      <c r="AH853" s="42" t="str">
        <f ca="1">IF(NOTA[[#This Row],[NAMA BARANG]]="","",INDEX(NOTA[SUPPLIER],MATCH(,INDIRECT(ADDRESS(ROW(NOTA[ID]),COLUMN(NOTA[ID]))&amp;":"&amp;ADDRESS(ROW(),COLUMN(NOTA[ID]))),-1)))</f>
        <v>ATALI MAKMUR</v>
      </c>
      <c r="AI853" s="42" t="str">
        <f ca="1">IF(NOTA[[#This Row],[ID_H]]="","",IF(NOTA[[#This Row],[FAKTUR]]="",INDIRECT(ADDRESS(ROW()-1,COLUMN())),NOTA[[#This Row],[FAKTUR]]))</f>
        <v>ARTO MORO</v>
      </c>
      <c r="AJ853" s="39" t="str">
        <f ca="1">IF(NOTA[[#This Row],[ID]]="","",COUNTIF(NOTA[ID_H],NOTA[[#This Row],[ID_H]]))</f>
        <v/>
      </c>
      <c r="AK853" s="39">
        <f ca="1">IF(NOTA[[#This Row],[TGL.NOTA]]="",IF(NOTA[[#This Row],[SUPPLIER_H]]="","",AK852),MONTH(NOTA[[#This Row],[TGL.NOTA]]))</f>
        <v>7</v>
      </c>
      <c r="AL853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8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N8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O8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39" t="str">
        <f>IF(NOTA[[#This Row],[CONCAT4]]="","",_xlfn.IFNA(MATCH(NOTA[[#This Row],[CONCAT4]],[2]!RAW[CONCAT_H],0),FALSE))</f>
        <v/>
      </c>
      <c r="AQ853" s="39">
        <f>IF(NOTA[[#This Row],[CONCAT1]]="","",MATCH(NOTA[[#This Row],[CONCAT1]],[3]!db[NB NOTA_C],0))</f>
        <v>635</v>
      </c>
      <c r="AR853" s="39" t="b">
        <f>IF(NOTA[[#This Row],[QTY/ CTN]]="","",TRUE)</f>
        <v>1</v>
      </c>
      <c r="AS853" s="39" t="str">
        <f ca="1">IF(NOTA[[#This Row],[ID_H]]="","",IF(NOTA[[#This Row],[Column3]]=TRUE,NOTA[[#This Row],[QTY/ CTN]],INDEX([3]!db[QTY/ CTN],NOTA[[#This Row],[//DB]])))</f>
        <v>144 LSN</v>
      </c>
      <c r="AT8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U853" s="39" t="e">
        <f ca="1">IF(NOTA[[#This Row],[ID_H]]="","",MATCH(NOTA[[#This Row],[NB NOTA_C_QTY]],[4]!db[NB NOTA_C_QTY+F],0))</f>
        <v>#REF!</v>
      </c>
      <c r="AV853" s="55">
        <f ca="1">IF(NOTA[[#This Row],[NB NOTA_C_QTY]]="","",ROW()-2)</f>
        <v>851</v>
      </c>
    </row>
    <row r="854" spans="1:48" ht="20.100000000000001" customHeight="1" x14ac:dyDescent="0.25">
      <c r="A8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47"/>
      <c r="H854" s="48"/>
      <c r="N854" s="39"/>
      <c r="Q854" s="43"/>
      <c r="R854" s="49"/>
      <c r="S854" s="50"/>
      <c r="U854" s="51"/>
      <c r="V854" s="46"/>
      <c r="W854" s="51" t="str">
        <f>IF(NOTA[[#This Row],[HARGA/ CTN]]="",NOTA[[#This Row],[JUMLAH_H]],NOTA[[#This Row],[HARGA/ CTN]]*IF(NOTA[[#This Row],[C]]="",0,NOTA[[#This Row],[C]]))</f>
        <v/>
      </c>
      <c r="X854" s="51" t="str">
        <f>IF(NOTA[[#This Row],[JUMLAH]]="","",NOTA[[#This Row],[JUMLAH]]*NOTA[[#This Row],[DISC 1]])</f>
        <v/>
      </c>
      <c r="Y854" s="51" t="str">
        <f>IF(NOTA[[#This Row],[JUMLAH]]="","",(NOTA[[#This Row],[JUMLAH]]-NOTA[[#This Row],[DISC 1-]])*NOTA[[#This Row],[DISC 2]])</f>
        <v/>
      </c>
      <c r="Z854" s="51" t="str">
        <f>IF(NOTA[[#This Row],[JUMLAH]]="","",NOTA[[#This Row],[DISC 1-]]+NOTA[[#This Row],[DISC 2-]])</f>
        <v/>
      </c>
      <c r="AA854" s="51" t="str">
        <f>IF(NOTA[[#This Row],[JUMLAH]]="","",NOTA[[#This Row],[JUMLAH]]-NOTA[[#This Row],[DISC]])</f>
        <v/>
      </c>
      <c r="AB854" s="51"/>
      <c r="AC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51" t="str">
        <f>IF(OR(NOTA[[#This Row],[QTY]]="",NOTA[[#This Row],[HARGA SATUAN]]="",),"",NOTA[[#This Row],[QTY]]*NOTA[[#This Row],[HARGA SATUAN]])</f>
        <v/>
      </c>
      <c r="AG854" s="40" t="str">
        <f ca="1">IF(NOTA[ID_H]="","",INDEX(NOTA[TANGGAL],MATCH(,INDIRECT(ADDRESS(ROW(NOTA[TANGGAL]),COLUMN(NOTA[TANGGAL]))&amp;":"&amp;ADDRESS(ROW(),COLUMN(NOTA[TANGGAL]))),-1)))</f>
        <v/>
      </c>
      <c r="AH854" s="42" t="str">
        <f ca="1">IF(NOTA[[#This Row],[NAMA BARANG]]="","",INDEX(NOTA[SUPPLIER],MATCH(,INDIRECT(ADDRESS(ROW(NOTA[ID]),COLUMN(NOTA[ID]))&amp;":"&amp;ADDRESS(ROW(),COLUMN(NOTA[ID]))),-1)))</f>
        <v/>
      </c>
      <c r="AI854" s="42" t="str">
        <f ca="1">IF(NOTA[[#This Row],[ID_H]]="","",IF(NOTA[[#This Row],[FAKTUR]]="",INDIRECT(ADDRESS(ROW()-1,COLUMN())),NOTA[[#This Row],[FAKTUR]]))</f>
        <v/>
      </c>
      <c r="AJ854" s="39" t="str">
        <f ca="1">IF(NOTA[[#This Row],[ID]]="","",COUNTIF(NOTA[ID_H],NOTA[[#This Row],[ID_H]]))</f>
        <v/>
      </c>
      <c r="AK854" s="39" t="str">
        <f ca="1">IF(NOTA[[#This Row],[TGL.NOTA]]="",IF(NOTA[[#This Row],[SUPPLIER_H]]="","",AK853),MONTH(NOTA[[#This Row],[TGL.NOTA]]))</f>
        <v/>
      </c>
      <c r="AL854" s="39" t="str">
        <f>LOWER(SUBSTITUTE(SUBSTITUTE(SUBSTITUTE(SUBSTITUTE(SUBSTITUTE(SUBSTITUTE(SUBSTITUTE(SUBSTITUTE(SUBSTITUTE(NOTA[NAMA BARANG]," ",),".",""),"-",""),"(",""),")",""),",",""),"/",""),"""",""),"+",""))</f>
        <v/>
      </c>
      <c r="AM8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39" t="str">
        <f>IF(NOTA[[#This Row],[CONCAT4]]="","",_xlfn.IFNA(MATCH(NOTA[[#This Row],[CONCAT4]],[2]!RAW[CONCAT_H],0),FALSE))</f>
        <v/>
      </c>
      <c r="AQ854" s="39" t="str">
        <f>IF(NOTA[[#This Row],[CONCAT1]]="","",MATCH(NOTA[[#This Row],[CONCAT1]],[3]!db[NB NOTA_C],0))</f>
        <v/>
      </c>
      <c r="AR854" s="39" t="str">
        <f>IF(NOTA[[#This Row],[QTY/ CTN]]="","",TRUE)</f>
        <v/>
      </c>
      <c r="AS854" s="39" t="str">
        <f ca="1">IF(NOTA[[#This Row],[ID_H]]="","",IF(NOTA[[#This Row],[Column3]]=TRUE,NOTA[[#This Row],[QTY/ CTN]],INDEX([3]!db[QTY/ CTN],NOTA[[#This Row],[//DB]])))</f>
        <v/>
      </c>
      <c r="AT8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39" t="str">
        <f ca="1">IF(NOTA[[#This Row],[ID_H]]="","",MATCH(NOTA[[#This Row],[NB NOTA_C_QTY]],[4]!db[NB NOTA_C_QTY+F],0))</f>
        <v/>
      </c>
      <c r="AV854" s="55" t="str">
        <f ca="1">IF(NOTA[[#This Row],[NB NOTA_C_QTY]]="","",ROW()-2)</f>
        <v/>
      </c>
    </row>
    <row r="855" spans="1:48" ht="20.100000000000001" customHeight="1" x14ac:dyDescent="0.25">
      <c r="A855" s="42">
        <f ca="1">IF(INDIRECT(ADDRESS(ROW()-1,COLUMN(NOTA[[#Headers],[ID]])))="ID",1,IF(NOTA[[#This Row],[FAKTUR]]="","",COUNT(INDIRECT(ADDRESS(ROW(NOTA[ID]),COLUMN(NOTA[ID]))&amp;":"&amp;ADDRESS(ROW()-1,COLUMN(NOTA[ID]))))+1))</f>
        <v>165</v>
      </c>
      <c r="B8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ATA_0408_430-2</v>
      </c>
      <c r="C855" s="39" t="e">
        <f ca="1">IF(NOTA[[#This Row],[ID_P]]="","",MATCH(NOTA[[#This Row],[ID_P]],[1]!B_MSK[N_ID],0))</f>
        <v>#REF!</v>
      </c>
      <c r="D855" s="39">
        <f ca="1">IF(NOTA[[#This Row],[NAMA BARANG]]="","",INDEX(NOTA[ID],MATCH(,INDIRECT(ADDRESS(ROW(NOTA[ID]),COLUMN(NOTA[ID]))&amp;":"&amp;ADDRESS(ROW(),COLUMN(NOTA[ID]))),-1)))</f>
        <v>165</v>
      </c>
      <c r="E855" s="47">
        <v>45142</v>
      </c>
      <c r="F855" s="38" t="s">
        <v>24</v>
      </c>
      <c r="G855" s="38" t="s">
        <v>23</v>
      </c>
      <c r="H855" s="48" t="s">
        <v>915</v>
      </c>
      <c r="J855" s="40">
        <v>45138</v>
      </c>
      <c r="K855" s="38">
        <v>2</v>
      </c>
      <c r="L855" s="38" t="s">
        <v>264</v>
      </c>
      <c r="M855" s="41">
        <v>3</v>
      </c>
      <c r="N855" s="39">
        <v>216</v>
      </c>
      <c r="O855" s="38" t="s">
        <v>263</v>
      </c>
      <c r="P855" s="42">
        <v>23000</v>
      </c>
      <c r="Q855" s="43"/>
      <c r="R855" s="49" t="s">
        <v>908</v>
      </c>
      <c r="S855" s="50">
        <v>0.125</v>
      </c>
      <c r="T855" s="45">
        <v>0.05</v>
      </c>
      <c r="U855" s="51"/>
      <c r="V855" s="46"/>
      <c r="W855" s="51">
        <f>IF(NOTA[[#This Row],[HARGA/ CTN]]="",NOTA[[#This Row],[JUMLAH_H]],NOTA[[#This Row],[HARGA/ CTN]]*IF(NOTA[[#This Row],[C]]="",0,NOTA[[#This Row],[C]]))</f>
        <v>4968000</v>
      </c>
      <c r="X855" s="51">
        <f>IF(NOTA[[#This Row],[JUMLAH]]="","",NOTA[[#This Row],[JUMLAH]]*NOTA[[#This Row],[DISC 1]])</f>
        <v>621000</v>
      </c>
      <c r="Y855" s="51">
        <f>IF(NOTA[[#This Row],[JUMLAH]]="","",(NOTA[[#This Row],[JUMLAH]]-NOTA[[#This Row],[DISC 1-]])*NOTA[[#This Row],[DISC 2]])</f>
        <v>217350</v>
      </c>
      <c r="Z855" s="51">
        <f>IF(NOTA[[#This Row],[JUMLAH]]="","",NOTA[[#This Row],[DISC 1-]]+NOTA[[#This Row],[DISC 2-]])</f>
        <v>838350</v>
      </c>
      <c r="AA855" s="51">
        <f>IF(NOTA[[#This Row],[JUMLAH]]="","",NOTA[[#This Row],[JUMLAH]]-NOTA[[#This Row],[DISC]])</f>
        <v>4129650</v>
      </c>
      <c r="AB855" s="51"/>
      <c r="AC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855" s="51">
        <f>IF(OR(NOTA[[#This Row],[QTY]]="",NOTA[[#This Row],[HARGA SATUAN]]="",),"",NOTA[[#This Row],[QTY]]*NOTA[[#This Row],[HARGA SATUAN]])</f>
        <v>4968000</v>
      </c>
      <c r="AG855" s="40">
        <f ca="1">IF(NOTA[ID_H]="","",INDEX(NOTA[TANGGAL],MATCH(,INDIRECT(ADDRESS(ROW(NOTA[TANGGAL]),COLUMN(NOTA[TANGGAL]))&amp;":"&amp;ADDRESS(ROW(),COLUMN(NOTA[TANGGAL]))),-1)))</f>
        <v>45142</v>
      </c>
      <c r="AH855" s="42" t="str">
        <f ca="1">IF(NOTA[[#This Row],[NAMA BARANG]]="","",INDEX(NOTA[SUPPLIER],MATCH(,INDIRECT(ADDRESS(ROW(NOTA[ID]),COLUMN(NOTA[ID]))&amp;":"&amp;ADDRESS(ROW(),COLUMN(NOTA[ID]))),-1)))</f>
        <v>ATALI MAKMUR</v>
      </c>
      <c r="AI855" s="42" t="str">
        <f ca="1">IF(NOTA[[#This Row],[ID_H]]="","",IF(NOTA[[#This Row],[FAKTUR]]="",INDIRECT(ADDRESS(ROW()-1,COLUMN())),NOTA[[#This Row],[FAKTUR]]))</f>
        <v>ARTO MORO</v>
      </c>
      <c r="AJ855" s="39">
        <f ca="1">IF(NOTA[[#This Row],[ID]]="","",COUNTIF(NOTA[ID_H],NOTA[[#This Row],[ID_H]]))</f>
        <v>2</v>
      </c>
      <c r="AK855" s="39">
        <f>IF(NOTA[[#This Row],[TGL.NOTA]]="",IF(NOTA[[#This Row],[SUPPLIER_H]]="","",AK854),MONTH(NOTA[[#This Row],[TGL.NOTA]]))</f>
        <v>7</v>
      </c>
      <c r="AL855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8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8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85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MOROSA23071343045138oilpastelop18sppcaseseaworldjk</v>
      </c>
      <c r="AP855" s="39" t="e">
        <f>IF(NOTA[[#This Row],[CONCAT4]]="","",_xlfn.IFNA(MATCH(NOTA[[#This Row],[CONCAT4]],[2]!RAW[CONCAT_H],0),FALSE))</f>
        <v>#REF!</v>
      </c>
      <c r="AQ855" s="39">
        <f>IF(NOTA[[#This Row],[CONCAT1]]="","",MATCH(NOTA[[#This Row],[CONCAT1]],[3]!db[NB NOTA_C],0))</f>
        <v>1777</v>
      </c>
      <c r="AR855" s="39" t="b">
        <f>IF(NOTA[[#This Row],[QTY/ CTN]]="","",TRUE)</f>
        <v>1</v>
      </c>
      <c r="AS855" s="39" t="str">
        <f ca="1">IF(NOTA[[#This Row],[ID_H]]="","",IF(NOTA[[#This Row],[Column3]]=TRUE,NOTA[[#This Row],[QTY/ CTN]],INDEX([3]!db[QTY/ CTN],NOTA[[#This Row],[//DB]])))</f>
        <v>6 LSN</v>
      </c>
      <c r="AT8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855" s="39" t="e">
        <f ca="1">IF(NOTA[[#This Row],[ID_H]]="","",MATCH(NOTA[[#This Row],[NB NOTA_C_QTY]],[4]!db[NB NOTA_C_QTY+F],0))</f>
        <v>#REF!</v>
      </c>
      <c r="AV855" s="55">
        <f ca="1">IF(NOTA[[#This Row],[NB NOTA_C_QTY]]="","",ROW()-2)</f>
        <v>853</v>
      </c>
    </row>
    <row r="856" spans="1:48" ht="20.100000000000001" customHeight="1" x14ac:dyDescent="0.25">
      <c r="A8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>
        <f ca="1">IF(NOTA[[#This Row],[NAMA BARANG]]="","",INDEX(NOTA[ID],MATCH(,INDIRECT(ADDRESS(ROW(NOTA[ID]),COLUMN(NOTA[ID]))&amp;":"&amp;ADDRESS(ROW(),COLUMN(NOTA[ID]))),-1)))</f>
        <v>165</v>
      </c>
      <c r="E856" s="47"/>
      <c r="H856" s="48"/>
      <c r="K856" s="38">
        <v>1</v>
      </c>
      <c r="L856" s="38" t="s">
        <v>267</v>
      </c>
      <c r="M856" s="41">
        <v>2</v>
      </c>
      <c r="N856" s="39">
        <v>48</v>
      </c>
      <c r="O856" s="38" t="s">
        <v>263</v>
      </c>
      <c r="P856" s="42">
        <v>58900</v>
      </c>
      <c r="Q856" s="43"/>
      <c r="R856" s="49" t="s">
        <v>916</v>
      </c>
      <c r="S856" s="50">
        <v>0.125</v>
      </c>
      <c r="T856" s="45">
        <v>0.05</v>
      </c>
      <c r="U856" s="51"/>
      <c r="V856" s="46"/>
      <c r="W856" s="51">
        <f>IF(NOTA[[#This Row],[HARGA/ CTN]]="",NOTA[[#This Row],[JUMLAH_H]],NOTA[[#This Row],[HARGA/ CTN]]*IF(NOTA[[#This Row],[C]]="",0,NOTA[[#This Row],[C]]))</f>
        <v>2827200</v>
      </c>
      <c r="X856" s="51">
        <f>IF(NOTA[[#This Row],[JUMLAH]]="","",NOTA[[#This Row],[JUMLAH]]*NOTA[[#This Row],[DISC 1]])</f>
        <v>353400</v>
      </c>
      <c r="Y856" s="51">
        <f>IF(NOTA[[#This Row],[JUMLAH]]="","",(NOTA[[#This Row],[JUMLAH]]-NOTA[[#This Row],[DISC 1-]])*NOTA[[#This Row],[DISC 2]])</f>
        <v>123690</v>
      </c>
      <c r="Z856" s="51">
        <f>IF(NOTA[[#This Row],[JUMLAH]]="","",NOTA[[#This Row],[DISC 1-]]+NOTA[[#This Row],[DISC 2-]])</f>
        <v>477090</v>
      </c>
      <c r="AA856" s="51">
        <f>IF(NOTA[[#This Row],[JUMLAH]]="","",NOTA[[#This Row],[JUMLAH]]-NOTA[[#This Row],[DISC]])</f>
        <v>2350110</v>
      </c>
      <c r="AB856" s="51"/>
      <c r="AC85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1315440</v>
      </c>
      <c r="AD85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6479760</v>
      </c>
      <c r="AE856" s="4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856" s="51">
        <f>IF(OR(NOTA[[#This Row],[QTY]]="",NOTA[[#This Row],[HARGA SATUAN]]="",),"",NOTA[[#This Row],[QTY]]*NOTA[[#This Row],[HARGA SATUAN]])</f>
        <v>2827200</v>
      </c>
      <c r="AG856" s="40">
        <f ca="1">IF(NOTA[ID_H]="","",INDEX(NOTA[TANGGAL],MATCH(,INDIRECT(ADDRESS(ROW(NOTA[TANGGAL]),COLUMN(NOTA[TANGGAL]))&amp;":"&amp;ADDRESS(ROW(),COLUMN(NOTA[TANGGAL]))),-1)))</f>
        <v>45142</v>
      </c>
      <c r="AH856" s="42" t="str">
        <f ca="1">IF(NOTA[[#This Row],[NAMA BARANG]]="","",INDEX(NOTA[SUPPLIER],MATCH(,INDIRECT(ADDRESS(ROW(NOTA[ID]),COLUMN(NOTA[ID]))&amp;":"&amp;ADDRESS(ROW(),COLUMN(NOTA[ID]))),-1)))</f>
        <v>ATALI MAKMUR</v>
      </c>
      <c r="AI856" s="42" t="str">
        <f ca="1">IF(NOTA[[#This Row],[ID_H]]="","",IF(NOTA[[#This Row],[FAKTUR]]="",INDIRECT(ADDRESS(ROW()-1,COLUMN())),NOTA[[#This Row],[FAKTUR]]))</f>
        <v>ARTO MORO</v>
      </c>
      <c r="AJ856" s="39" t="str">
        <f ca="1">IF(NOTA[[#This Row],[ID]]="","",COUNTIF(NOTA[ID_H],NOTA[[#This Row],[ID_H]]))</f>
        <v/>
      </c>
      <c r="AK856" s="39">
        <f ca="1">IF(NOTA[[#This Row],[TGL.NOTA]]="",IF(NOTA[[#This Row],[SUPPLIER_H]]="","",AK855),MONTH(NOTA[[#This Row],[TGL.NOTA]]))</f>
        <v>7</v>
      </c>
      <c r="AL856" s="39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8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8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8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39" t="str">
        <f>IF(NOTA[[#This Row],[CONCAT4]]="","",_xlfn.IFNA(MATCH(NOTA[[#This Row],[CONCAT4]],[2]!RAW[CONCAT_H],0),FALSE))</f>
        <v/>
      </c>
      <c r="AQ856" s="39">
        <f>IF(NOTA[[#This Row],[CONCAT1]]="","",MATCH(NOTA[[#This Row],[CONCAT1]],[3]!db[NB NOTA_C],0))</f>
        <v>1780</v>
      </c>
      <c r="AR856" s="39" t="b">
        <f>IF(NOTA[[#This Row],[QTY/ CTN]]="","",TRUE)</f>
        <v>1</v>
      </c>
      <c r="AS856" s="39" t="str">
        <f ca="1">IF(NOTA[[#This Row],[ID_H]]="","",IF(NOTA[[#This Row],[Column3]]=TRUE,NOTA[[#This Row],[QTY/ CTN]],INDEX([3]!db[QTY/ CTN],NOTA[[#This Row],[//DB]])))</f>
        <v>4 BOX (6 SET)</v>
      </c>
      <c r="AT8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U856" s="39" t="e">
        <f ca="1">IF(NOTA[[#This Row],[ID_H]]="","",MATCH(NOTA[[#This Row],[NB NOTA_C_QTY]],[4]!db[NB NOTA_C_QTY+F],0))</f>
        <v>#REF!</v>
      </c>
      <c r="AV856" s="55">
        <f ca="1">IF(NOTA[[#This Row],[NB NOTA_C_QTY]]="","",ROW()-2)</f>
        <v>854</v>
      </c>
    </row>
    <row r="857" spans="1:48" ht="20.100000000000001" customHeight="1" x14ac:dyDescent="0.25">
      <c r="A8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47"/>
      <c r="H857" s="48"/>
      <c r="N857" s="39"/>
      <c r="Q857" s="43"/>
      <c r="R857" s="49"/>
      <c r="S857" s="50"/>
      <c r="U857" s="51"/>
      <c r="V857" s="46"/>
      <c r="W857" s="51" t="str">
        <f>IF(NOTA[[#This Row],[HARGA/ CTN]]="",NOTA[[#This Row],[JUMLAH_H]],NOTA[[#This Row],[HARGA/ CTN]]*IF(NOTA[[#This Row],[C]]="",0,NOTA[[#This Row],[C]]))</f>
        <v/>
      </c>
      <c r="X857" s="51" t="str">
        <f>IF(NOTA[[#This Row],[JUMLAH]]="","",NOTA[[#This Row],[JUMLAH]]*NOTA[[#This Row],[DISC 1]])</f>
        <v/>
      </c>
      <c r="Y857" s="51" t="str">
        <f>IF(NOTA[[#This Row],[JUMLAH]]="","",(NOTA[[#This Row],[JUMLAH]]-NOTA[[#This Row],[DISC 1-]])*NOTA[[#This Row],[DISC 2]])</f>
        <v/>
      </c>
      <c r="Z857" s="51" t="str">
        <f>IF(NOTA[[#This Row],[JUMLAH]]="","",NOTA[[#This Row],[DISC 1-]]+NOTA[[#This Row],[DISC 2-]])</f>
        <v/>
      </c>
      <c r="AA857" s="51" t="str">
        <f>IF(NOTA[[#This Row],[JUMLAH]]="","",NOTA[[#This Row],[JUMLAH]]-NOTA[[#This Row],[DISC]])</f>
        <v/>
      </c>
      <c r="AB857" s="51"/>
      <c r="AC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51" t="str">
        <f>IF(OR(NOTA[[#This Row],[QTY]]="",NOTA[[#This Row],[HARGA SATUAN]]="",),"",NOTA[[#This Row],[QTY]]*NOTA[[#This Row],[HARGA SATUAN]])</f>
        <v/>
      </c>
      <c r="AG857" s="40" t="str">
        <f ca="1">IF(NOTA[ID_H]="","",INDEX(NOTA[TANGGAL],MATCH(,INDIRECT(ADDRESS(ROW(NOTA[TANGGAL]),COLUMN(NOTA[TANGGAL]))&amp;":"&amp;ADDRESS(ROW(),COLUMN(NOTA[TANGGAL]))),-1)))</f>
        <v/>
      </c>
      <c r="AH857" s="42" t="str">
        <f ca="1">IF(NOTA[[#This Row],[NAMA BARANG]]="","",INDEX(NOTA[SUPPLIER],MATCH(,INDIRECT(ADDRESS(ROW(NOTA[ID]),COLUMN(NOTA[ID]))&amp;":"&amp;ADDRESS(ROW(),COLUMN(NOTA[ID]))),-1)))</f>
        <v/>
      </c>
      <c r="AI857" s="42" t="str">
        <f ca="1">IF(NOTA[[#This Row],[ID_H]]="","",IF(NOTA[[#This Row],[FAKTUR]]="",INDIRECT(ADDRESS(ROW()-1,COLUMN())),NOTA[[#This Row],[FAKTUR]]))</f>
        <v/>
      </c>
      <c r="AJ857" s="39" t="str">
        <f ca="1">IF(NOTA[[#This Row],[ID]]="","",COUNTIF(NOTA[ID_H],NOTA[[#This Row],[ID_H]]))</f>
        <v/>
      </c>
      <c r="AK857" s="39" t="str">
        <f ca="1">IF(NOTA[[#This Row],[TGL.NOTA]]="",IF(NOTA[[#This Row],[SUPPLIER_H]]="","",#REF!),MONTH(NOTA[[#This Row],[TGL.NOTA]]))</f>
        <v/>
      </c>
      <c r="AL857" s="39" t="str">
        <f>LOWER(SUBSTITUTE(SUBSTITUTE(SUBSTITUTE(SUBSTITUTE(SUBSTITUTE(SUBSTITUTE(SUBSTITUTE(SUBSTITUTE(SUBSTITUTE(NOTA[NAMA BARANG]," ",),".",""),"-",""),"(",""),")",""),",",""),"/",""),"""",""),"+",""))</f>
        <v/>
      </c>
      <c r="AM8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39" t="str">
        <f>IF(NOTA[[#This Row],[CONCAT4]]="","",_xlfn.IFNA(MATCH(NOTA[[#This Row],[CONCAT4]],[2]!RAW[CONCAT_H],0),FALSE))</f>
        <v/>
      </c>
      <c r="AQ857" s="39" t="str">
        <f>IF(NOTA[[#This Row],[CONCAT1]]="","",MATCH(NOTA[[#This Row],[CONCAT1]],[3]!db[NB NOTA_C],0))</f>
        <v/>
      </c>
      <c r="AR857" s="39" t="str">
        <f>IF(NOTA[[#This Row],[QTY/ CTN]]="","",TRUE)</f>
        <v/>
      </c>
      <c r="AS857" s="39" t="str">
        <f ca="1">IF(NOTA[[#This Row],[ID_H]]="","",IF(NOTA[[#This Row],[Column3]]=TRUE,NOTA[[#This Row],[QTY/ CTN]],INDEX([3]!db[QTY/ CTN],NOTA[[#This Row],[//DB]])))</f>
        <v/>
      </c>
      <c r="AT8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39" t="str">
        <f ca="1">IF(NOTA[[#This Row],[ID_H]]="","",MATCH(NOTA[[#This Row],[NB NOTA_C_QTY]],[4]!db[NB NOTA_C_QTY+F],0))</f>
        <v/>
      </c>
      <c r="AV857" s="55" t="str">
        <f ca="1">IF(NOTA[[#This Row],[NB NOTA_C_QTY]]="","",ROW()-2)</f>
        <v/>
      </c>
    </row>
    <row r="858" spans="1:48" ht="20.100000000000001" customHeight="1" x14ac:dyDescent="0.25">
      <c r="A858" s="42">
        <f ca="1">IF(INDIRECT(ADDRESS(ROW()-1,COLUMN(NOTA[[#Headers],[ID]])))="ID",1,IF(NOTA[[#This Row],[FAKTUR]]="","",COUNT(INDIRECT(ADDRESS(ROW(NOTA[ID]),COLUMN(NOTA[ID]))&amp;":"&amp;ADDRESS(ROW()-1,COLUMN(NOTA[ID]))))+1))</f>
        <v>166</v>
      </c>
      <c r="B8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JAY_0208_III-4</v>
      </c>
      <c r="C858" s="39" t="e">
        <f ca="1">IF(NOTA[[#This Row],[ID_P]]="","",MATCH(NOTA[[#This Row],[ID_P]],[1]!B_MSK[N_ID],0))</f>
        <v>#REF!</v>
      </c>
      <c r="D858" s="39">
        <f ca="1">IF(NOTA[[#This Row],[NAMA BARANG]]="","",INDEX(NOTA[ID],MATCH(,INDIRECT(ADDRESS(ROW(NOTA[ID]),COLUMN(NOTA[ID]))&amp;":"&amp;ADDRESS(ROW(),COLUMN(NOTA[ID]))),-1)))</f>
        <v>166</v>
      </c>
      <c r="E858" s="47">
        <v>45140</v>
      </c>
      <c r="F858" s="38" t="s">
        <v>917</v>
      </c>
      <c r="G858" s="38" t="s">
        <v>145</v>
      </c>
      <c r="H858" s="48" t="s">
        <v>918</v>
      </c>
      <c r="J858" s="40">
        <v>45139</v>
      </c>
      <c r="L858" s="38" t="s">
        <v>919</v>
      </c>
      <c r="M858" s="41">
        <v>25</v>
      </c>
      <c r="N858" s="39">
        <v>300</v>
      </c>
      <c r="O858" s="38" t="s">
        <v>117</v>
      </c>
      <c r="P858" s="42">
        <v>130000</v>
      </c>
      <c r="Q858" s="43"/>
      <c r="R858" s="49" t="s">
        <v>250</v>
      </c>
      <c r="S858" s="50">
        <v>0.05</v>
      </c>
      <c r="U858" s="51"/>
      <c r="V858" s="46"/>
      <c r="W858" s="51">
        <f>IF(NOTA[[#This Row],[HARGA/ CTN]]="",NOTA[[#This Row],[JUMLAH_H]],NOTA[[#This Row],[HARGA/ CTN]]*IF(NOTA[[#This Row],[C]]="",0,NOTA[[#This Row],[C]]))</f>
        <v>39000000</v>
      </c>
      <c r="X858" s="51">
        <f>IF(NOTA[[#This Row],[JUMLAH]]="","",NOTA[[#This Row],[JUMLAH]]*NOTA[[#This Row],[DISC 1]])</f>
        <v>1950000</v>
      </c>
      <c r="Y858" s="51">
        <f>IF(NOTA[[#This Row],[JUMLAH]]="","",(NOTA[[#This Row],[JUMLAH]]-NOTA[[#This Row],[DISC 1-]])*NOTA[[#This Row],[DISC 2]])</f>
        <v>0</v>
      </c>
      <c r="Z858" s="51">
        <f>IF(NOTA[[#This Row],[JUMLAH]]="","",NOTA[[#This Row],[DISC 1-]]+NOTA[[#This Row],[DISC 2-]])</f>
        <v>1950000</v>
      </c>
      <c r="AA858" s="51">
        <f>IF(NOTA[[#This Row],[JUMLAH]]="","",NOTA[[#This Row],[JUMLAH]]-NOTA[[#This Row],[DISC]])</f>
        <v>37050000</v>
      </c>
      <c r="AB858" s="51"/>
      <c r="AC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858" s="51">
        <f>IF(OR(NOTA[[#This Row],[QTY]]="",NOTA[[#This Row],[HARGA SATUAN]]="",),"",NOTA[[#This Row],[QTY]]*NOTA[[#This Row],[HARGA SATUAN]])</f>
        <v>39000000</v>
      </c>
      <c r="AG858" s="40">
        <f ca="1">IF(NOTA[ID_H]="","",INDEX(NOTA[TANGGAL],MATCH(,INDIRECT(ADDRESS(ROW(NOTA[TANGGAL]),COLUMN(NOTA[TANGGAL]))&amp;":"&amp;ADDRESS(ROW(),COLUMN(NOTA[TANGGAL]))),-1)))</f>
        <v>45140</v>
      </c>
      <c r="AH858" s="42" t="str">
        <f ca="1">IF(NOTA[[#This Row],[NAMA BARANG]]="","",INDEX(NOTA[SUPPLIER],MATCH(,INDIRECT(ADDRESS(ROW(NOTA[ID]),COLUMN(NOTA[ID]))&amp;":"&amp;ADDRESS(ROW(),COLUMN(NOTA[ID]))),-1)))</f>
        <v>JAYA MUSIK</v>
      </c>
      <c r="AI858" s="42" t="str">
        <f ca="1">IF(NOTA[[#This Row],[ID_H]]="","",IF(NOTA[[#This Row],[FAKTUR]]="",INDIRECT(ADDRESS(ROW()-1,COLUMN())),NOTA[[#This Row],[FAKTUR]]))</f>
        <v>UNTANA</v>
      </c>
      <c r="AJ858" s="39">
        <f ca="1">IF(NOTA[[#This Row],[ID]]="","",COUNTIF(NOTA[ID_H],NOTA[[#This Row],[ID_H]]))</f>
        <v>4</v>
      </c>
      <c r="AK858" s="39">
        <f>IF(NOTA[[#This Row],[TGL.NOTA]]="",IF(NOTA[[#This Row],[SUPPLIER_H]]="","",AK857),MONTH(NOTA[[#This Row],[TGL.NOTA]]))</f>
        <v>8</v>
      </c>
      <c r="AL858" s="39" t="str">
        <f>LOWER(SUBSTITUTE(SUBSTITUTE(SUBSTITUTE(SUBSTITUTE(SUBSTITUTE(SUBSTITUTE(SUBSTITUTE(SUBSTITUTE(SUBSTITUTE(NOTA[NAMA BARANG]," ",),".",""),"-",""),"(",""),")",""),",",""),"/",""),"""",""),"+",""))</f>
        <v>melodikaaltozkoper</v>
      </c>
      <c r="AM8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melodikaaltozkoper15600000.05</v>
      </c>
      <c r="AN8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melodikaaltozkoper15600000.05</v>
      </c>
      <c r="AO858" s="39" t="str">
        <f>IF(NOTA[[#This Row],[SUPPLIER]]="","",NOTA[[#This Row],[SUPPLIER]]&amp;NOTA[[#This Row],[FAKTUR]]&amp;NOTA[[#This Row],[NO.NOTA]]&amp;NOTA[[#This Row],[NO.SJ]]&amp;NOTA[[#This Row],[TGL.NOTA]]&amp;NOTA[[#This Row],[CONCAT1]])</f>
        <v>JAYA MUSIKUNTANA201/VIII45139melodikaaltozkoper</v>
      </c>
      <c r="AP858" s="39" t="e">
        <f>IF(NOTA[[#This Row],[CONCAT4]]="","",_xlfn.IFNA(MATCH(NOTA[[#This Row],[CONCAT4]],[2]!RAW[CONCAT_H],0),FALSE))</f>
        <v>#REF!</v>
      </c>
      <c r="AQ858" s="39">
        <f>IF(NOTA[[#This Row],[CONCAT1]]="","",MATCH(NOTA[[#This Row],[CONCAT1]],[3]!db[NB NOTA_C],0))</f>
        <v>2239</v>
      </c>
      <c r="AR858" s="39" t="b">
        <f>IF(NOTA[[#This Row],[QTY/ CTN]]="","",TRUE)</f>
        <v>1</v>
      </c>
      <c r="AS858" s="39" t="str">
        <f ca="1">IF(NOTA[[#This Row],[ID_H]]="","",IF(NOTA[[#This Row],[Column3]]=TRUE,NOTA[[#This Row],[QTY/ CTN]],INDEX([3]!db[QTY/ CTN],NOTA[[#This Row],[//DB]])))</f>
        <v>12 PCS</v>
      </c>
      <c r="AT8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melodikaaltozkoper12pcsuntana</v>
      </c>
      <c r="AU858" s="39" t="e">
        <f ca="1">IF(NOTA[[#This Row],[ID_H]]="","",MATCH(NOTA[[#This Row],[NB NOTA_C_QTY]],[4]!db[NB NOTA_C_QTY+F],0))</f>
        <v>#REF!</v>
      </c>
      <c r="AV858" s="55">
        <f ca="1">IF(NOTA[[#This Row],[NB NOTA_C_QTY]]="","",ROW()-2)</f>
        <v>856</v>
      </c>
    </row>
    <row r="859" spans="1:48" ht="20.100000000000001" customHeight="1" x14ac:dyDescent="0.25">
      <c r="A8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>
        <f ca="1">IF(NOTA[[#This Row],[NAMA BARANG]]="","",INDEX(NOTA[ID],MATCH(,INDIRECT(ADDRESS(ROW(NOTA[ID]),COLUMN(NOTA[ID]))&amp;":"&amp;ADDRESS(ROW(),COLUMN(NOTA[ID]))),-1)))</f>
        <v>166</v>
      </c>
      <c r="E859" s="47"/>
      <c r="H859" s="48"/>
      <c r="L859" s="38" t="s">
        <v>920</v>
      </c>
      <c r="M859" s="41">
        <v>5</v>
      </c>
      <c r="N859" s="39">
        <v>60</v>
      </c>
      <c r="O859" s="38" t="s">
        <v>117</v>
      </c>
      <c r="P859" s="42">
        <v>130000</v>
      </c>
      <c r="Q859" s="43"/>
      <c r="R859" s="49" t="s">
        <v>250</v>
      </c>
      <c r="S859" s="50">
        <v>0.05</v>
      </c>
      <c r="U859" s="51"/>
      <c r="V859" s="46"/>
      <c r="W859" s="51">
        <f>IF(NOTA[[#This Row],[HARGA/ CTN]]="",NOTA[[#This Row],[JUMLAH_H]],NOTA[[#This Row],[HARGA/ CTN]]*IF(NOTA[[#This Row],[C]]="",0,NOTA[[#This Row],[C]]))</f>
        <v>7800000</v>
      </c>
      <c r="X859" s="51">
        <f>IF(NOTA[[#This Row],[JUMLAH]]="","",NOTA[[#This Row],[JUMLAH]]*NOTA[[#This Row],[DISC 1]])</f>
        <v>390000</v>
      </c>
      <c r="Y859" s="51">
        <f>IF(NOTA[[#This Row],[JUMLAH]]="","",(NOTA[[#This Row],[JUMLAH]]-NOTA[[#This Row],[DISC 1-]])*NOTA[[#This Row],[DISC 2]])</f>
        <v>0</v>
      </c>
      <c r="Z859" s="51">
        <f>IF(NOTA[[#This Row],[JUMLAH]]="","",NOTA[[#This Row],[DISC 1-]]+NOTA[[#This Row],[DISC 2-]])</f>
        <v>390000</v>
      </c>
      <c r="AA859" s="51">
        <f>IF(NOTA[[#This Row],[JUMLAH]]="","",NOTA[[#This Row],[JUMLAH]]-NOTA[[#This Row],[DISC]])</f>
        <v>7410000</v>
      </c>
      <c r="AB859" s="51"/>
      <c r="AC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859" s="51">
        <f>IF(OR(NOTA[[#This Row],[QTY]]="",NOTA[[#This Row],[HARGA SATUAN]]="",),"",NOTA[[#This Row],[QTY]]*NOTA[[#This Row],[HARGA SATUAN]])</f>
        <v>7800000</v>
      </c>
      <c r="AG859" s="40">
        <f ca="1">IF(NOTA[ID_H]="","",INDEX(NOTA[TANGGAL],MATCH(,INDIRECT(ADDRESS(ROW(NOTA[TANGGAL]),COLUMN(NOTA[TANGGAL]))&amp;":"&amp;ADDRESS(ROW(),COLUMN(NOTA[TANGGAL]))),-1)))</f>
        <v>45140</v>
      </c>
      <c r="AH859" s="42" t="str">
        <f ca="1">IF(NOTA[[#This Row],[NAMA BARANG]]="","",INDEX(NOTA[SUPPLIER],MATCH(,INDIRECT(ADDRESS(ROW(NOTA[ID]),COLUMN(NOTA[ID]))&amp;":"&amp;ADDRESS(ROW(),COLUMN(NOTA[ID]))),-1)))</f>
        <v>JAYA MUSIK</v>
      </c>
      <c r="AI859" s="42" t="str">
        <f ca="1">IF(NOTA[[#This Row],[ID_H]]="","",IF(NOTA[[#This Row],[FAKTUR]]="",INDIRECT(ADDRESS(ROW()-1,COLUMN())),NOTA[[#This Row],[FAKTUR]]))</f>
        <v>UNTANA</v>
      </c>
      <c r="AJ859" s="39" t="str">
        <f ca="1">IF(NOTA[[#This Row],[ID]]="","",COUNTIF(NOTA[ID_H],NOTA[[#This Row],[ID_H]]))</f>
        <v/>
      </c>
      <c r="AK859" s="39">
        <f ca="1">IF(NOTA[[#This Row],[TGL.NOTA]]="",IF(NOTA[[#This Row],[SUPPLIER_H]]="","",AK858),MONTH(NOTA[[#This Row],[TGL.NOTA]]))</f>
        <v>8</v>
      </c>
      <c r="AL859" s="39" t="str">
        <f>LOWER(SUBSTITUTE(SUBSTITUTE(SUBSTITUTE(SUBSTITUTE(SUBSTITUTE(SUBSTITUTE(SUBSTITUTE(SUBSTITUTE(SUBSTITUTE(NOTA[NAMA BARANG]," ",),".",""),"-",""),"(",""),")",""),",",""),"/",""),"""",""),"+",""))</f>
        <v>melodikaaltozkoperpink</v>
      </c>
      <c r="AM8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melodikaaltozkoperpink15600000.05</v>
      </c>
      <c r="AN8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melodikaaltozkoperpink15600000.05</v>
      </c>
      <c r="AO8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39" t="str">
        <f>IF(NOTA[[#This Row],[CONCAT4]]="","",_xlfn.IFNA(MATCH(NOTA[[#This Row],[CONCAT4]],[2]!RAW[CONCAT_H],0),FALSE))</f>
        <v/>
      </c>
      <c r="AQ859" s="39">
        <f>IF(NOTA[[#This Row],[CONCAT1]]="","",MATCH(NOTA[[#This Row],[CONCAT1]],[3]!db[NB NOTA_C],0))</f>
        <v>2240</v>
      </c>
      <c r="AR859" s="39" t="b">
        <f>IF(NOTA[[#This Row],[QTY/ CTN]]="","",TRUE)</f>
        <v>1</v>
      </c>
      <c r="AS859" s="39" t="str">
        <f ca="1">IF(NOTA[[#This Row],[ID_H]]="","",IF(NOTA[[#This Row],[Column3]]=TRUE,NOTA[[#This Row],[QTY/ CTN]],INDEX([3]!db[QTY/ CTN],NOTA[[#This Row],[//DB]])))</f>
        <v>12 PCS</v>
      </c>
      <c r="AT8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melodikaaltozkoperpink12pcsuntana</v>
      </c>
      <c r="AU859" s="39" t="e">
        <f ca="1">IF(NOTA[[#This Row],[ID_H]]="","",MATCH(NOTA[[#This Row],[NB NOTA_C_QTY]],[4]!db[NB NOTA_C_QTY+F],0))</f>
        <v>#REF!</v>
      </c>
      <c r="AV859" s="55">
        <f ca="1">IF(NOTA[[#This Row],[NB NOTA_C_QTY]]="","",ROW()-2)</f>
        <v>857</v>
      </c>
    </row>
    <row r="860" spans="1:48" ht="20.100000000000001" customHeight="1" x14ac:dyDescent="0.25">
      <c r="A8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>
        <f ca="1">IF(NOTA[[#This Row],[NAMA BARANG]]="","",INDEX(NOTA[ID],MATCH(,INDIRECT(ADDRESS(ROW(NOTA[ID]),COLUMN(NOTA[ID]))&amp;":"&amp;ADDRESS(ROW(),COLUMN(NOTA[ID]))),-1)))</f>
        <v>166</v>
      </c>
      <c r="E860" s="47"/>
      <c r="H860" s="48"/>
      <c r="L860" s="38" t="s">
        <v>921</v>
      </c>
      <c r="M860" s="41">
        <v>1</v>
      </c>
      <c r="N860" s="39">
        <v>12</v>
      </c>
      <c r="O860" s="38" t="s">
        <v>117</v>
      </c>
      <c r="P860" s="42">
        <v>200000</v>
      </c>
      <c r="Q860" s="43"/>
      <c r="R860" s="49" t="s">
        <v>250</v>
      </c>
      <c r="S860" s="50">
        <v>0.05</v>
      </c>
      <c r="U860" s="51"/>
      <c r="V860" s="46"/>
      <c r="W860" s="51">
        <f>IF(NOTA[[#This Row],[HARGA/ CTN]]="",NOTA[[#This Row],[JUMLAH_H]],NOTA[[#This Row],[HARGA/ CTN]]*IF(NOTA[[#This Row],[C]]="",0,NOTA[[#This Row],[C]]))</f>
        <v>2400000</v>
      </c>
      <c r="X860" s="51">
        <f>IF(NOTA[[#This Row],[JUMLAH]]="","",NOTA[[#This Row],[JUMLAH]]*NOTA[[#This Row],[DISC 1]])</f>
        <v>120000</v>
      </c>
      <c r="Y860" s="51">
        <f>IF(NOTA[[#This Row],[JUMLAH]]="","",(NOTA[[#This Row],[JUMLAH]]-NOTA[[#This Row],[DISC 1-]])*NOTA[[#This Row],[DISC 2]])</f>
        <v>0</v>
      </c>
      <c r="Z860" s="51">
        <f>IF(NOTA[[#This Row],[JUMLAH]]="","",NOTA[[#This Row],[DISC 1-]]+NOTA[[#This Row],[DISC 2-]])</f>
        <v>120000</v>
      </c>
      <c r="AA860" s="51">
        <f>IF(NOTA[[#This Row],[JUMLAH]]="","",NOTA[[#This Row],[JUMLAH]]-NOTA[[#This Row],[DISC]])</f>
        <v>2280000</v>
      </c>
      <c r="AB860" s="51"/>
      <c r="AC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60" s="51">
        <f>IF(OR(NOTA[[#This Row],[QTY]]="",NOTA[[#This Row],[HARGA SATUAN]]="",),"",NOTA[[#This Row],[QTY]]*NOTA[[#This Row],[HARGA SATUAN]])</f>
        <v>2400000</v>
      </c>
      <c r="AG860" s="40">
        <f ca="1">IF(NOTA[ID_H]="","",INDEX(NOTA[TANGGAL],MATCH(,INDIRECT(ADDRESS(ROW(NOTA[TANGGAL]),COLUMN(NOTA[TANGGAL]))&amp;":"&amp;ADDRESS(ROW(),COLUMN(NOTA[TANGGAL]))),-1)))</f>
        <v>45140</v>
      </c>
      <c r="AH860" s="42" t="str">
        <f ca="1">IF(NOTA[[#This Row],[NAMA BARANG]]="","",INDEX(NOTA[SUPPLIER],MATCH(,INDIRECT(ADDRESS(ROW(NOTA[ID]),COLUMN(NOTA[ID]))&amp;":"&amp;ADDRESS(ROW(),COLUMN(NOTA[ID]))),-1)))</f>
        <v>JAYA MUSIK</v>
      </c>
      <c r="AI860" s="42" t="str">
        <f ca="1">IF(NOTA[[#This Row],[ID_H]]="","",IF(NOTA[[#This Row],[FAKTUR]]="",INDIRECT(ADDRESS(ROW()-1,COLUMN())),NOTA[[#This Row],[FAKTUR]]))</f>
        <v>UNTANA</v>
      </c>
      <c r="AJ860" s="39" t="str">
        <f ca="1">IF(NOTA[[#This Row],[ID]]="","",COUNTIF(NOTA[ID_H],NOTA[[#This Row],[ID_H]]))</f>
        <v/>
      </c>
      <c r="AK860" s="39">
        <f ca="1">IF(NOTA[[#This Row],[TGL.NOTA]]="",IF(NOTA[[#This Row],[SUPPLIER_H]]="","",AK859),MONTH(NOTA[[#This Row],[TGL.NOTA]]))</f>
        <v>8</v>
      </c>
      <c r="AL860" s="39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M8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N8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O8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39" t="str">
        <f>IF(NOTA[[#This Row],[CONCAT4]]="","",_xlfn.IFNA(MATCH(NOTA[[#This Row],[CONCAT4]],[2]!RAW[CONCAT_H],0),FALSE))</f>
        <v/>
      </c>
      <c r="AQ860" s="39">
        <f>IF(NOTA[[#This Row],[CONCAT1]]="","",MATCH(NOTA[[#This Row],[CONCAT1]],[3]!db[NB NOTA_C],0))</f>
        <v>2242</v>
      </c>
      <c r="AR860" s="39" t="b">
        <f>IF(NOTA[[#This Row],[QTY/ CTN]]="","",TRUE)</f>
        <v>1</v>
      </c>
      <c r="AS860" s="39" t="str">
        <f ca="1">IF(NOTA[[#This Row],[ID_H]]="","",IF(NOTA[[#This Row],[Column3]]=TRUE,NOTA[[#This Row],[QTY/ CTN]],INDEX([3]!db[QTY/ CTN],NOTA[[#This Row],[//DB]])))</f>
        <v>12 PCS</v>
      </c>
      <c r="AT8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melodikamarvelkoper12pcsuntana</v>
      </c>
      <c r="AU860" s="39" t="e">
        <f ca="1">IF(NOTA[[#This Row],[ID_H]]="","",MATCH(NOTA[[#This Row],[NB NOTA_C_QTY]],[4]!db[NB NOTA_C_QTY+F],0))</f>
        <v>#REF!</v>
      </c>
      <c r="AV860" s="55">
        <f ca="1">IF(NOTA[[#This Row],[NB NOTA_C_QTY]]="","",ROW()-2)</f>
        <v>858</v>
      </c>
    </row>
    <row r="861" spans="1:48" ht="20.100000000000001" customHeight="1" x14ac:dyDescent="0.25">
      <c r="A8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>
        <f ca="1">IF(NOTA[[#This Row],[NAMA BARANG]]="","",INDEX(NOTA[ID],MATCH(,INDIRECT(ADDRESS(ROW(NOTA[ID]),COLUMN(NOTA[ID]))&amp;":"&amp;ADDRESS(ROW(),COLUMN(NOTA[ID]))),-1)))</f>
        <v>166</v>
      </c>
      <c r="E861" s="47"/>
      <c r="H861" s="48"/>
      <c r="L861" s="38" t="s">
        <v>922</v>
      </c>
      <c r="M861" s="41">
        <v>1</v>
      </c>
      <c r="N861" s="39">
        <v>12</v>
      </c>
      <c r="O861" s="38" t="s">
        <v>117</v>
      </c>
      <c r="P861" s="42">
        <v>140000</v>
      </c>
      <c r="Q861" s="43"/>
      <c r="R861" s="49" t="s">
        <v>250</v>
      </c>
      <c r="S861" s="50">
        <v>0.05</v>
      </c>
      <c r="U861" s="51"/>
      <c r="V861" s="46"/>
      <c r="W861" s="51">
        <f>IF(NOTA[[#This Row],[HARGA/ CTN]]="",NOTA[[#This Row],[JUMLAH_H]],NOTA[[#This Row],[HARGA/ CTN]]*IF(NOTA[[#This Row],[C]]="",0,NOTA[[#This Row],[C]]))</f>
        <v>1680000</v>
      </c>
      <c r="X861" s="51">
        <f>IF(NOTA[[#This Row],[JUMLAH]]="","",NOTA[[#This Row],[JUMLAH]]*NOTA[[#This Row],[DISC 1]])</f>
        <v>84000</v>
      </c>
      <c r="Y861" s="51">
        <f>IF(NOTA[[#This Row],[JUMLAH]]="","",(NOTA[[#This Row],[JUMLAH]]-NOTA[[#This Row],[DISC 1-]])*NOTA[[#This Row],[DISC 2]])</f>
        <v>0</v>
      </c>
      <c r="Z861" s="51">
        <f>IF(NOTA[[#This Row],[JUMLAH]]="","",NOTA[[#This Row],[DISC 1-]]+NOTA[[#This Row],[DISC 2-]])</f>
        <v>84000</v>
      </c>
      <c r="AA861" s="51">
        <f>IF(NOTA[[#This Row],[JUMLAH]]="","",NOTA[[#This Row],[JUMLAH]]-NOTA[[#This Row],[DISC]])</f>
        <v>1596000</v>
      </c>
      <c r="AB861" s="51"/>
      <c r="AC8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2544000</v>
      </c>
      <c r="AD8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48336000</v>
      </c>
      <c r="AE861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61" s="51">
        <f>IF(OR(NOTA[[#This Row],[QTY]]="",NOTA[[#This Row],[HARGA SATUAN]]="",),"",NOTA[[#This Row],[QTY]]*NOTA[[#This Row],[HARGA SATUAN]])</f>
        <v>1680000</v>
      </c>
      <c r="AG861" s="40">
        <f ca="1">IF(NOTA[ID_H]="","",INDEX(NOTA[TANGGAL],MATCH(,INDIRECT(ADDRESS(ROW(NOTA[TANGGAL]),COLUMN(NOTA[TANGGAL]))&amp;":"&amp;ADDRESS(ROW(),COLUMN(NOTA[TANGGAL]))),-1)))</f>
        <v>45140</v>
      </c>
      <c r="AH861" s="42" t="str">
        <f ca="1">IF(NOTA[[#This Row],[NAMA BARANG]]="","",INDEX(NOTA[SUPPLIER],MATCH(,INDIRECT(ADDRESS(ROW(NOTA[ID]),COLUMN(NOTA[ID]))&amp;":"&amp;ADDRESS(ROW(),COLUMN(NOTA[ID]))),-1)))</f>
        <v>JAYA MUSIK</v>
      </c>
      <c r="AI861" s="42" t="str">
        <f ca="1">IF(NOTA[[#This Row],[ID_H]]="","",IF(NOTA[[#This Row],[FAKTUR]]="",INDIRECT(ADDRESS(ROW()-1,COLUMN())),NOTA[[#This Row],[FAKTUR]]))</f>
        <v>UNTANA</v>
      </c>
      <c r="AJ861" s="39" t="str">
        <f ca="1">IF(NOTA[[#This Row],[ID]]="","",COUNTIF(NOTA[ID_H],NOTA[[#This Row],[ID_H]]))</f>
        <v/>
      </c>
      <c r="AK861" s="39">
        <f ca="1">IF(NOTA[[#This Row],[TGL.NOTA]]="",IF(NOTA[[#This Row],[SUPPLIER_H]]="","",AK860),MONTH(NOTA[[#This Row],[TGL.NOTA]]))</f>
        <v>8</v>
      </c>
      <c r="AL861" s="39" t="str">
        <f>LOWER(SUBSTITUTE(SUBSTITUTE(SUBSTITUTE(SUBSTITUTE(SUBSTITUTE(SUBSTITUTE(SUBSTITUTE(SUBSTITUTE(SUBSTITUTE(NOTA[NAMA BARANG]," ",),".",""),"-",""),"(",""),")",""),",",""),"/",""),"""",""),"+",""))</f>
        <v>melodikamarveltas</v>
      </c>
      <c r="AM8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N8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O8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39" t="str">
        <f>IF(NOTA[[#This Row],[CONCAT4]]="","",_xlfn.IFNA(MATCH(NOTA[[#This Row],[CONCAT4]],[2]!RAW[CONCAT_H],0),FALSE))</f>
        <v/>
      </c>
      <c r="AQ861" s="39">
        <f>IF(NOTA[[#This Row],[CONCAT1]]="","",MATCH(NOTA[[#This Row],[CONCAT1]],[3]!db[NB NOTA_C],0))</f>
        <v>2247</v>
      </c>
      <c r="AR861" s="39" t="b">
        <f>IF(NOTA[[#This Row],[QTY/ CTN]]="","",TRUE)</f>
        <v>1</v>
      </c>
      <c r="AS861" s="39" t="str">
        <f ca="1">IF(NOTA[[#This Row],[ID_H]]="","",IF(NOTA[[#This Row],[Column3]]=TRUE,NOTA[[#This Row],[QTY/ CTN]],INDEX([3]!db[QTY/ CTN],NOTA[[#This Row],[//DB]])))</f>
        <v>12 PCS</v>
      </c>
      <c r="AT8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melodikamarveltas12pcsuntana</v>
      </c>
      <c r="AU861" s="39" t="e">
        <f ca="1">IF(NOTA[[#This Row],[ID_H]]="","",MATCH(NOTA[[#This Row],[NB NOTA_C_QTY]],[4]!db[NB NOTA_C_QTY+F],0))</f>
        <v>#REF!</v>
      </c>
      <c r="AV861" s="55">
        <f ca="1">IF(NOTA[[#This Row],[NB NOTA_C_QTY]]="","",ROW()-2)</f>
        <v>859</v>
      </c>
    </row>
    <row r="862" spans="1:48" ht="20.100000000000001" customHeight="1" x14ac:dyDescent="0.25">
      <c r="A8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47"/>
      <c r="H862" s="48"/>
      <c r="N862" s="39"/>
      <c r="Q862" s="43"/>
      <c r="R862" s="49"/>
      <c r="S862" s="50"/>
      <c r="U862" s="51"/>
      <c r="V862" s="46"/>
      <c r="W862" s="51" t="str">
        <f>IF(NOTA[[#This Row],[HARGA/ CTN]]="",NOTA[[#This Row],[JUMLAH_H]],NOTA[[#This Row],[HARGA/ CTN]]*IF(NOTA[[#This Row],[C]]="",0,NOTA[[#This Row],[C]]))</f>
        <v/>
      </c>
      <c r="X862" s="51" t="str">
        <f>IF(NOTA[[#This Row],[JUMLAH]]="","",NOTA[[#This Row],[JUMLAH]]*NOTA[[#This Row],[DISC 1]])</f>
        <v/>
      </c>
      <c r="Y862" s="51" t="str">
        <f>IF(NOTA[[#This Row],[JUMLAH]]="","",(NOTA[[#This Row],[JUMLAH]]-NOTA[[#This Row],[DISC 1-]])*NOTA[[#This Row],[DISC 2]])</f>
        <v/>
      </c>
      <c r="Z862" s="51" t="str">
        <f>IF(NOTA[[#This Row],[JUMLAH]]="","",NOTA[[#This Row],[DISC 1-]]+NOTA[[#This Row],[DISC 2-]])</f>
        <v/>
      </c>
      <c r="AA862" s="51" t="str">
        <f>IF(NOTA[[#This Row],[JUMLAH]]="","",NOTA[[#This Row],[JUMLAH]]-NOTA[[#This Row],[DISC]])</f>
        <v/>
      </c>
      <c r="AB862" s="51"/>
      <c r="AC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51" t="str">
        <f>IF(OR(NOTA[[#This Row],[QTY]]="",NOTA[[#This Row],[HARGA SATUAN]]="",),"",NOTA[[#This Row],[QTY]]*NOTA[[#This Row],[HARGA SATUAN]])</f>
        <v/>
      </c>
      <c r="AG862" s="40" t="str">
        <f ca="1">IF(NOTA[ID_H]="","",INDEX(NOTA[TANGGAL],MATCH(,INDIRECT(ADDRESS(ROW(NOTA[TANGGAL]),COLUMN(NOTA[TANGGAL]))&amp;":"&amp;ADDRESS(ROW(),COLUMN(NOTA[TANGGAL]))),-1)))</f>
        <v/>
      </c>
      <c r="AH862" s="42" t="str">
        <f ca="1">IF(NOTA[[#This Row],[NAMA BARANG]]="","",INDEX(NOTA[SUPPLIER],MATCH(,INDIRECT(ADDRESS(ROW(NOTA[ID]),COLUMN(NOTA[ID]))&amp;":"&amp;ADDRESS(ROW(),COLUMN(NOTA[ID]))),-1)))</f>
        <v/>
      </c>
      <c r="AI862" s="42" t="str">
        <f ca="1">IF(NOTA[[#This Row],[ID_H]]="","",IF(NOTA[[#This Row],[FAKTUR]]="",INDIRECT(ADDRESS(ROW()-1,COLUMN())),NOTA[[#This Row],[FAKTUR]]))</f>
        <v/>
      </c>
      <c r="AJ862" s="39" t="str">
        <f ca="1">IF(NOTA[[#This Row],[ID]]="","",COUNTIF(NOTA[ID_H],NOTA[[#This Row],[ID_H]]))</f>
        <v/>
      </c>
      <c r="AK862" s="39" t="str">
        <f ca="1">IF(NOTA[[#This Row],[TGL.NOTA]]="",IF(NOTA[[#This Row],[SUPPLIER_H]]="","",AK861),MONTH(NOTA[[#This Row],[TGL.NOTA]]))</f>
        <v/>
      </c>
      <c r="AL862" s="39" t="str">
        <f>LOWER(SUBSTITUTE(SUBSTITUTE(SUBSTITUTE(SUBSTITUTE(SUBSTITUTE(SUBSTITUTE(SUBSTITUTE(SUBSTITUTE(SUBSTITUTE(NOTA[NAMA BARANG]," ",),".",""),"-",""),"(",""),")",""),",",""),"/",""),"""",""),"+",""))</f>
        <v/>
      </c>
      <c r="AM8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39" t="str">
        <f>IF(NOTA[[#This Row],[CONCAT4]]="","",_xlfn.IFNA(MATCH(NOTA[[#This Row],[CONCAT4]],[2]!RAW[CONCAT_H],0),FALSE))</f>
        <v/>
      </c>
      <c r="AQ862" s="39" t="str">
        <f>IF(NOTA[[#This Row],[CONCAT1]]="","",MATCH(NOTA[[#This Row],[CONCAT1]],[3]!db[NB NOTA_C],0))</f>
        <v/>
      </c>
      <c r="AR862" s="39" t="str">
        <f>IF(NOTA[[#This Row],[QTY/ CTN]]="","",TRUE)</f>
        <v/>
      </c>
      <c r="AS862" s="39" t="str">
        <f ca="1">IF(NOTA[[#This Row],[ID_H]]="","",IF(NOTA[[#This Row],[Column3]]=TRUE,NOTA[[#This Row],[QTY/ CTN]],INDEX([3]!db[QTY/ CTN],NOTA[[#This Row],[//DB]])))</f>
        <v/>
      </c>
      <c r="AT8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39" t="str">
        <f ca="1">IF(NOTA[[#This Row],[ID_H]]="","",MATCH(NOTA[[#This Row],[NB NOTA_C_QTY]],[4]!db[NB NOTA_C_QTY+F],0))</f>
        <v/>
      </c>
      <c r="AV862" s="55" t="str">
        <f ca="1">IF(NOTA[[#This Row],[NB NOTA_C_QTY]]="","",ROW()-2)</f>
        <v/>
      </c>
    </row>
    <row r="863" spans="1:48" ht="20.100000000000001" customHeight="1" x14ac:dyDescent="0.25">
      <c r="A863" s="42">
        <f ca="1">IF(INDIRECT(ADDRESS(ROW()-1,COLUMN(NOTA[[#Headers],[ID]])))="ID",1,IF(NOTA[[#This Row],[FAKTUR]]="","",COUNT(INDIRECT(ADDRESS(ROW(NOTA[ID]),COLUMN(NOTA[ID]))&amp;":"&amp;ADDRESS(ROW()-1,COLUMN(NOTA[ID]))))+1))</f>
        <v>167</v>
      </c>
      <c r="B8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DBS_0208_023-16</v>
      </c>
      <c r="C863" s="39" t="e">
        <f ca="1">IF(NOTA[[#This Row],[ID_P]]="","",MATCH(NOTA[[#This Row],[ID_P]],[1]!B_MSK[N_ID],0))</f>
        <v>#REF!</v>
      </c>
      <c r="D863" s="39">
        <f ca="1">IF(NOTA[[#This Row],[NAMA BARANG]]="","",INDEX(NOTA[ID],MATCH(,INDIRECT(ADDRESS(ROW(NOTA[ID]),COLUMN(NOTA[ID]))&amp;":"&amp;ADDRESS(ROW(),COLUMN(NOTA[ID]))),-1)))</f>
        <v>167</v>
      </c>
      <c r="E863" s="47">
        <v>45140</v>
      </c>
      <c r="F863" s="38" t="s">
        <v>218</v>
      </c>
      <c r="G863" s="38" t="s">
        <v>145</v>
      </c>
      <c r="H863" s="48" t="s">
        <v>923</v>
      </c>
      <c r="J863" s="40">
        <v>45138</v>
      </c>
      <c r="L863" s="38" t="s">
        <v>924</v>
      </c>
      <c r="M863" s="41">
        <v>2</v>
      </c>
      <c r="N863" s="39">
        <v>240</v>
      </c>
      <c r="O863" s="38" t="s">
        <v>152</v>
      </c>
      <c r="P863" s="42">
        <v>25500</v>
      </c>
      <c r="Q863" s="43"/>
      <c r="R863" s="49" t="s">
        <v>226</v>
      </c>
      <c r="S863" s="50"/>
      <c r="U863" s="51"/>
      <c r="V863" s="46"/>
      <c r="W863" s="51">
        <f>IF(NOTA[[#This Row],[HARGA/ CTN]]="",NOTA[[#This Row],[JUMLAH_H]],NOTA[[#This Row],[HARGA/ CTN]]*IF(NOTA[[#This Row],[C]]="",0,NOTA[[#This Row],[C]]))</f>
        <v>6120000</v>
      </c>
      <c r="X863" s="51">
        <f>IF(NOTA[[#This Row],[JUMLAH]]="","",NOTA[[#This Row],[JUMLAH]]*NOTA[[#This Row],[DISC 1]])</f>
        <v>0</v>
      </c>
      <c r="Y863" s="51">
        <f>IF(NOTA[[#This Row],[JUMLAH]]="","",(NOTA[[#This Row],[JUMLAH]]-NOTA[[#This Row],[DISC 1-]])*NOTA[[#This Row],[DISC 2]])</f>
        <v>0</v>
      </c>
      <c r="Z863" s="51">
        <f>IF(NOTA[[#This Row],[JUMLAH]]="","",NOTA[[#This Row],[DISC 1-]]+NOTA[[#This Row],[DISC 2-]])</f>
        <v>0</v>
      </c>
      <c r="AA863" s="51">
        <f>IF(NOTA[[#This Row],[JUMLAH]]="","",NOTA[[#This Row],[JUMLAH]]-NOTA[[#This Row],[DISC]])</f>
        <v>6120000</v>
      </c>
      <c r="AB863" s="51"/>
      <c r="AC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4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63" s="51">
        <f>IF(OR(NOTA[[#This Row],[QTY]]="",NOTA[[#This Row],[HARGA SATUAN]]="",),"",NOTA[[#This Row],[QTY]]*NOTA[[#This Row],[HARGA SATUAN]])</f>
        <v>6120000</v>
      </c>
      <c r="AG863" s="40">
        <f ca="1">IF(NOTA[ID_H]="","",INDEX(NOTA[TANGGAL],MATCH(,INDIRECT(ADDRESS(ROW(NOTA[TANGGAL]),COLUMN(NOTA[TANGGAL]))&amp;":"&amp;ADDRESS(ROW(),COLUMN(NOTA[TANGGAL]))),-1)))</f>
        <v>45140</v>
      </c>
      <c r="AH863" s="42" t="str">
        <f ca="1">IF(NOTA[[#This Row],[NAMA BARANG]]="","",INDEX(NOTA[SUPPLIER],MATCH(,INDIRECT(ADDRESS(ROW(NOTA[ID]),COLUMN(NOTA[ID]))&amp;":"&amp;ADDRESS(ROW(),COLUMN(NOTA[ID]))),-1)))</f>
        <v>DB STATIONERY</v>
      </c>
      <c r="AI863" s="42" t="str">
        <f ca="1">IF(NOTA[[#This Row],[ID_H]]="","",IF(NOTA[[#This Row],[FAKTUR]]="",INDIRECT(ADDRESS(ROW()-1,COLUMN())),NOTA[[#This Row],[FAKTUR]]))</f>
        <v>UNTANA</v>
      </c>
      <c r="AJ863" s="39">
        <f ca="1">IF(NOTA[[#This Row],[ID]]="","",COUNTIF(NOTA[ID_H],NOTA[[#This Row],[ID_H]]))</f>
        <v>16</v>
      </c>
      <c r="AK863" s="39">
        <f>IF(NOTA[[#This Row],[TGL.NOTA]]="",IF(NOTA[[#This Row],[SUPPLIER_H]]="","",AK862),MONTH(NOTA[[#This Row],[TGL.NOTA]]))</f>
        <v>7</v>
      </c>
      <c r="AL863" s="39" t="str">
        <f>LOWER(SUBSTITUTE(SUBSTITUTE(SUBSTITUTE(SUBSTITUTE(SUBSTITUTE(SUBSTITUTE(SUBSTITUTE(SUBSTITUTE(SUBSTITUTE(NOTA[NAMA BARANG]," ",),".",""),"-",""),"(",""),")",""),",",""),"/",""),"""",""),"+",""))</f>
        <v>geldebozz07dbg07</v>
      </c>
      <c r="AM8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63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STATIONERYUNTANAJUG740/2345138geldebozz07dbg07</v>
      </c>
      <c r="AP863" s="39" t="e">
        <f>IF(NOTA[[#This Row],[CONCAT4]]="","",_xlfn.IFNA(MATCH(NOTA[[#This Row],[CONCAT4]],[2]!RAW[CONCAT_H],0),FALSE))</f>
        <v>#REF!</v>
      </c>
      <c r="AQ863" s="39">
        <f>IF(NOTA[[#This Row],[CONCAT1]]="","",MATCH(NOTA[[#This Row],[CONCAT1]],[3]!db[NB NOTA_C],0))</f>
        <v>435</v>
      </c>
      <c r="AR863" s="39" t="b">
        <f>IF(NOTA[[#This Row],[QTY/ CTN]]="","",TRUE)</f>
        <v>1</v>
      </c>
      <c r="AS863" s="39" t="str">
        <f ca="1">IF(NOTA[[#This Row],[ID_H]]="","",IF(NOTA[[#This Row],[Column3]]=TRUE,NOTA[[#This Row],[QTY/ CTN]],INDEX([3]!db[QTY/ CTN],NOTA[[#This Row],[//DB]])))</f>
        <v>120 LSN</v>
      </c>
      <c r="AT8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geldebozz07dbg07120lsnuntana</v>
      </c>
      <c r="AU863" s="39" t="e">
        <f ca="1">IF(NOTA[[#This Row],[ID_H]]="","",MATCH(NOTA[[#This Row],[NB NOTA_C_QTY]],[4]!db[NB NOTA_C_QTY+F],0))</f>
        <v>#REF!</v>
      </c>
      <c r="AV863" s="55">
        <f ca="1">IF(NOTA[[#This Row],[NB NOTA_C_QTY]]="","",ROW()-2)</f>
        <v>861</v>
      </c>
    </row>
    <row r="864" spans="1:48" ht="20.100000000000001" customHeight="1" x14ac:dyDescent="0.25">
      <c r="A8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>
        <f ca="1">IF(NOTA[[#This Row],[NAMA BARANG]]="","",INDEX(NOTA[ID],MATCH(,INDIRECT(ADDRESS(ROW(NOTA[ID]),COLUMN(NOTA[ID]))&amp;":"&amp;ADDRESS(ROW(),COLUMN(NOTA[ID]))),-1)))</f>
        <v>167</v>
      </c>
      <c r="E864" s="47"/>
      <c r="H864" s="48"/>
      <c r="L864" s="38" t="s">
        <v>925</v>
      </c>
      <c r="M864" s="41">
        <v>2</v>
      </c>
      <c r="N864" s="39">
        <v>240</v>
      </c>
      <c r="O864" s="38" t="s">
        <v>152</v>
      </c>
      <c r="P864" s="42">
        <v>27000</v>
      </c>
      <c r="Q864" s="43"/>
      <c r="R864" s="49" t="s">
        <v>226</v>
      </c>
      <c r="S864" s="50"/>
      <c r="U864" s="51"/>
      <c r="V864" s="46"/>
      <c r="W864" s="51">
        <f>IF(NOTA[[#This Row],[HARGA/ CTN]]="",NOTA[[#This Row],[JUMLAH_H]],NOTA[[#This Row],[HARGA/ CTN]]*IF(NOTA[[#This Row],[C]]="",0,NOTA[[#This Row],[C]]))</f>
        <v>6480000</v>
      </c>
      <c r="X864" s="51">
        <f>IF(NOTA[[#This Row],[JUMLAH]]="","",NOTA[[#This Row],[JUMLAH]]*NOTA[[#This Row],[DISC 1]])</f>
        <v>0</v>
      </c>
      <c r="Y864" s="51">
        <f>IF(NOTA[[#This Row],[JUMLAH]]="","",(NOTA[[#This Row],[JUMLAH]]-NOTA[[#This Row],[DISC 1-]])*NOTA[[#This Row],[DISC 2]])</f>
        <v>0</v>
      </c>
      <c r="Z864" s="51">
        <f>IF(NOTA[[#This Row],[JUMLAH]]="","",NOTA[[#This Row],[DISC 1-]]+NOTA[[#This Row],[DISC 2-]])</f>
        <v>0</v>
      </c>
      <c r="AA864" s="51">
        <f>IF(NOTA[[#This Row],[JUMLAH]]="","",NOTA[[#This Row],[JUMLAH]]-NOTA[[#This Row],[DISC]])</f>
        <v>6480000</v>
      </c>
      <c r="AB864" s="51"/>
      <c r="AC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4" s="51">
        <f>IF(OR(NOTA[[#This Row],[QTY]]="",NOTA[[#This Row],[HARGA SATUAN]]="",),"",NOTA[[#This Row],[QTY]]*NOTA[[#This Row],[HARGA SATUAN]])</f>
        <v>6480000</v>
      </c>
      <c r="AG864" s="40">
        <f ca="1">IF(NOTA[ID_H]="","",INDEX(NOTA[TANGGAL],MATCH(,INDIRECT(ADDRESS(ROW(NOTA[TANGGAL]),COLUMN(NOTA[TANGGAL]))&amp;":"&amp;ADDRESS(ROW(),COLUMN(NOTA[TANGGAL]))),-1)))</f>
        <v>45140</v>
      </c>
      <c r="AH864" s="42" t="str">
        <f ca="1">IF(NOTA[[#This Row],[NAMA BARANG]]="","",INDEX(NOTA[SUPPLIER],MATCH(,INDIRECT(ADDRESS(ROW(NOTA[ID]),COLUMN(NOTA[ID]))&amp;":"&amp;ADDRESS(ROW(),COLUMN(NOTA[ID]))),-1)))</f>
        <v>DB STATIONERY</v>
      </c>
      <c r="AI864" s="42" t="str">
        <f ca="1">IF(NOTA[[#This Row],[ID_H]]="","",IF(NOTA[[#This Row],[FAKTUR]]="",INDIRECT(ADDRESS(ROW()-1,COLUMN())),NOTA[[#This Row],[FAKTUR]]))</f>
        <v>UNTANA</v>
      </c>
      <c r="AJ864" s="39" t="str">
        <f ca="1">IF(NOTA[[#This Row],[ID]]="","",COUNTIF(NOTA[ID_H],NOTA[[#This Row],[ID_H]]))</f>
        <v/>
      </c>
      <c r="AK864" s="39">
        <f ca="1">IF(NOTA[[#This Row],[TGL.NOTA]]="",IF(NOTA[[#This Row],[SUPPLIER_H]]="","",AK863),MONTH(NOTA[[#This Row],[TGL.NOTA]]))</f>
        <v>7</v>
      </c>
      <c r="AL864" s="39" t="str">
        <f>LOWER(SUBSTITUTE(SUBSTITUTE(SUBSTITUTE(SUBSTITUTE(SUBSTITUTE(SUBSTITUTE(SUBSTITUTE(SUBSTITUTE(SUBSTITUTE(NOTA[NAMA BARANG]," ",),".",""),"-",""),"(",""),")",""),",",""),"/",""),"""",""),"+",""))</f>
        <v>geldebozz05dbg08</v>
      </c>
      <c r="AM8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geldebozz05dbg083240000</v>
      </c>
      <c r="AN8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geldebozz05dbg083240000</v>
      </c>
      <c r="AO8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39" t="str">
        <f>IF(NOTA[[#This Row],[CONCAT4]]="","",_xlfn.IFNA(MATCH(NOTA[[#This Row],[CONCAT4]],[2]!RAW[CONCAT_H],0),FALSE))</f>
        <v/>
      </c>
      <c r="AQ864" s="39">
        <f>IF(NOTA[[#This Row],[CONCAT1]]="","",MATCH(NOTA[[#This Row],[CONCAT1]],[3]!db[NB NOTA_C],0))</f>
        <v>437</v>
      </c>
      <c r="AR864" s="39" t="b">
        <f>IF(NOTA[[#This Row],[QTY/ CTN]]="","",TRUE)</f>
        <v>1</v>
      </c>
      <c r="AS864" s="39" t="str">
        <f ca="1">IF(NOTA[[#This Row],[ID_H]]="","",IF(NOTA[[#This Row],[Column3]]=TRUE,NOTA[[#This Row],[QTY/ CTN]],INDEX([3]!db[QTY/ CTN],NOTA[[#This Row],[//DB]])))</f>
        <v>120 LSN</v>
      </c>
      <c r="AT8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geldebozz05dbg08120lsnuntana</v>
      </c>
      <c r="AU864" s="39" t="e">
        <f ca="1">IF(NOTA[[#This Row],[ID_H]]="","",MATCH(NOTA[[#This Row],[NB NOTA_C_QTY]],[4]!db[NB NOTA_C_QTY+F],0))</f>
        <v>#REF!</v>
      </c>
      <c r="AV864" s="55">
        <f ca="1">IF(NOTA[[#This Row],[NB NOTA_C_QTY]]="","",ROW()-2)</f>
        <v>862</v>
      </c>
    </row>
    <row r="865" spans="1:48" ht="20.100000000000001" customHeight="1" x14ac:dyDescent="0.25">
      <c r="A8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>
        <f ca="1">IF(NOTA[[#This Row],[NAMA BARANG]]="","",INDEX(NOTA[ID],MATCH(,INDIRECT(ADDRESS(ROW(NOTA[ID]),COLUMN(NOTA[ID]))&amp;":"&amp;ADDRESS(ROW(),COLUMN(NOTA[ID]))),-1)))</f>
        <v>167</v>
      </c>
      <c r="E865" s="47"/>
      <c r="H865" s="48"/>
      <c r="L865" s="38" t="s">
        <v>926</v>
      </c>
      <c r="M865" s="41">
        <v>2</v>
      </c>
      <c r="N865" s="39">
        <v>288</v>
      </c>
      <c r="O865" s="38" t="s">
        <v>152</v>
      </c>
      <c r="P865" s="42">
        <v>22500</v>
      </c>
      <c r="Q865" s="43"/>
      <c r="R865" s="49" t="s">
        <v>538</v>
      </c>
      <c r="S865" s="50"/>
      <c r="U865" s="51"/>
      <c r="V865" s="46"/>
      <c r="W865" s="51">
        <f>IF(NOTA[[#This Row],[HARGA/ CTN]]="",NOTA[[#This Row],[JUMLAH_H]],NOTA[[#This Row],[HARGA/ CTN]]*IF(NOTA[[#This Row],[C]]="",0,NOTA[[#This Row],[C]]))</f>
        <v>6480000</v>
      </c>
      <c r="X865" s="51">
        <f>IF(NOTA[[#This Row],[JUMLAH]]="","",NOTA[[#This Row],[JUMLAH]]*NOTA[[#This Row],[DISC 1]])</f>
        <v>0</v>
      </c>
      <c r="Y865" s="51">
        <f>IF(NOTA[[#This Row],[JUMLAH]]="","",(NOTA[[#This Row],[JUMLAH]]-NOTA[[#This Row],[DISC 1-]])*NOTA[[#This Row],[DISC 2]])</f>
        <v>0</v>
      </c>
      <c r="Z865" s="51">
        <f>IF(NOTA[[#This Row],[JUMLAH]]="","",NOTA[[#This Row],[DISC 1-]]+NOTA[[#This Row],[DISC 2-]])</f>
        <v>0</v>
      </c>
      <c r="AA865" s="51">
        <f>IF(NOTA[[#This Row],[JUMLAH]]="","",NOTA[[#This Row],[JUMLAH]]-NOTA[[#This Row],[DISC]])</f>
        <v>6480000</v>
      </c>
      <c r="AB865" s="51"/>
      <c r="AC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5" s="51">
        <f>IF(OR(NOTA[[#This Row],[QTY]]="",NOTA[[#This Row],[HARGA SATUAN]]="",),"",NOTA[[#This Row],[QTY]]*NOTA[[#This Row],[HARGA SATUAN]])</f>
        <v>6480000</v>
      </c>
      <c r="AG865" s="40">
        <f ca="1">IF(NOTA[ID_H]="","",INDEX(NOTA[TANGGAL],MATCH(,INDIRECT(ADDRESS(ROW(NOTA[TANGGAL]),COLUMN(NOTA[TANGGAL]))&amp;":"&amp;ADDRESS(ROW(),COLUMN(NOTA[TANGGAL]))),-1)))</f>
        <v>45140</v>
      </c>
      <c r="AH865" s="42" t="str">
        <f ca="1">IF(NOTA[[#This Row],[NAMA BARANG]]="","",INDEX(NOTA[SUPPLIER],MATCH(,INDIRECT(ADDRESS(ROW(NOTA[ID]),COLUMN(NOTA[ID]))&amp;":"&amp;ADDRESS(ROW(),COLUMN(NOTA[ID]))),-1)))</f>
        <v>DB STATIONERY</v>
      </c>
      <c r="AI865" s="42" t="str">
        <f ca="1">IF(NOTA[[#This Row],[ID_H]]="","",IF(NOTA[[#This Row],[FAKTUR]]="",INDIRECT(ADDRESS(ROW()-1,COLUMN())),NOTA[[#This Row],[FAKTUR]]))</f>
        <v>UNTANA</v>
      </c>
      <c r="AJ865" s="39" t="str">
        <f ca="1">IF(NOTA[[#This Row],[ID]]="","",COUNTIF(NOTA[ID_H],NOTA[[#This Row],[ID_H]]))</f>
        <v/>
      </c>
      <c r="AK865" s="39">
        <f ca="1">IF(NOTA[[#This Row],[TGL.NOTA]]="",IF(NOTA[[#This Row],[SUPPLIER_H]]="","",AK864),MONTH(NOTA[[#This Row],[TGL.NOTA]]))</f>
        <v>7</v>
      </c>
      <c r="AL865" s="39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39" t="str">
        <f>IF(NOTA[[#This Row],[CONCAT4]]="","",_xlfn.IFNA(MATCH(NOTA[[#This Row],[CONCAT4]],[2]!RAW[CONCAT_H],0),FALSE))</f>
        <v/>
      </c>
      <c r="AQ865" s="39">
        <f>IF(NOTA[[#This Row],[CONCAT1]]="","",MATCH(NOTA[[#This Row],[CONCAT1]],[3]!db[NB NOTA_C],0))</f>
        <v>427</v>
      </c>
      <c r="AR865" s="39" t="b">
        <f>IF(NOTA[[#This Row],[QTY/ CTN]]="","",TRUE)</f>
        <v>1</v>
      </c>
      <c r="AS865" s="39" t="str">
        <f ca="1">IF(NOTA[[#This Row],[ID_H]]="","",IF(NOTA[[#This Row],[Column3]]=TRUE,NOTA[[#This Row],[QTY/ CTN]],INDEX([3]!db[QTY/ CTN],NOTA[[#This Row],[//DB]])))</f>
        <v>144 LSN</v>
      </c>
      <c r="AT8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geldebozzklik09dbg09144lsnuntana</v>
      </c>
      <c r="AU865" s="39" t="e">
        <f ca="1">IF(NOTA[[#This Row],[ID_H]]="","",MATCH(NOTA[[#This Row],[NB NOTA_C_QTY]],[4]!db[NB NOTA_C_QTY+F],0))</f>
        <v>#REF!</v>
      </c>
      <c r="AV865" s="55">
        <f ca="1">IF(NOTA[[#This Row],[NB NOTA_C_QTY]]="","",ROW()-2)</f>
        <v>863</v>
      </c>
    </row>
    <row r="866" spans="1:48" ht="20.100000000000001" customHeight="1" x14ac:dyDescent="0.25">
      <c r="A8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>
        <f ca="1">IF(NOTA[[#This Row],[NAMA BARANG]]="","",INDEX(NOTA[ID],MATCH(,INDIRECT(ADDRESS(ROW(NOTA[ID]),COLUMN(NOTA[ID]))&amp;":"&amp;ADDRESS(ROW(),COLUMN(NOTA[ID]))),-1)))</f>
        <v>167</v>
      </c>
      <c r="E866" s="47"/>
      <c r="H866" s="48"/>
      <c r="L866" s="38" t="s">
        <v>927</v>
      </c>
      <c r="M866" s="41">
        <v>2</v>
      </c>
      <c r="N866" s="39">
        <v>288</v>
      </c>
      <c r="O866" s="38" t="s">
        <v>152</v>
      </c>
      <c r="P866" s="42">
        <v>21000</v>
      </c>
      <c r="Q866" s="43"/>
      <c r="R866" s="49" t="s">
        <v>538</v>
      </c>
      <c r="S866" s="50"/>
      <c r="U866" s="51"/>
      <c r="V866" s="46"/>
      <c r="W866" s="51">
        <f>IF(NOTA[[#This Row],[HARGA/ CTN]]="",NOTA[[#This Row],[JUMLAH_H]],NOTA[[#This Row],[HARGA/ CTN]]*IF(NOTA[[#This Row],[C]]="",0,NOTA[[#This Row],[C]]))</f>
        <v>6048000</v>
      </c>
      <c r="X866" s="51">
        <f>IF(NOTA[[#This Row],[JUMLAH]]="","",NOTA[[#This Row],[JUMLAH]]*NOTA[[#This Row],[DISC 1]])</f>
        <v>0</v>
      </c>
      <c r="Y866" s="51">
        <f>IF(NOTA[[#This Row],[JUMLAH]]="","",(NOTA[[#This Row],[JUMLAH]]-NOTA[[#This Row],[DISC 1-]])*NOTA[[#This Row],[DISC 2]])</f>
        <v>0</v>
      </c>
      <c r="Z866" s="51">
        <f>IF(NOTA[[#This Row],[JUMLAH]]="","",NOTA[[#This Row],[DISC 1-]]+NOTA[[#This Row],[DISC 2-]])</f>
        <v>0</v>
      </c>
      <c r="AA866" s="51">
        <f>IF(NOTA[[#This Row],[JUMLAH]]="","",NOTA[[#This Row],[JUMLAH]]-NOTA[[#This Row],[DISC]])</f>
        <v>6048000</v>
      </c>
      <c r="AB866" s="51"/>
      <c r="AC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6" s="51">
        <f>IF(OR(NOTA[[#This Row],[QTY]]="",NOTA[[#This Row],[HARGA SATUAN]]="",),"",NOTA[[#This Row],[QTY]]*NOTA[[#This Row],[HARGA SATUAN]])</f>
        <v>6048000</v>
      </c>
      <c r="AG866" s="40">
        <f ca="1">IF(NOTA[ID_H]="","",INDEX(NOTA[TANGGAL],MATCH(,INDIRECT(ADDRESS(ROW(NOTA[TANGGAL]),COLUMN(NOTA[TANGGAL]))&amp;":"&amp;ADDRESS(ROW(),COLUMN(NOTA[TANGGAL]))),-1)))</f>
        <v>45140</v>
      </c>
      <c r="AH866" s="42" t="str">
        <f ca="1">IF(NOTA[[#This Row],[NAMA BARANG]]="","",INDEX(NOTA[SUPPLIER],MATCH(,INDIRECT(ADDRESS(ROW(NOTA[ID]),COLUMN(NOTA[ID]))&amp;":"&amp;ADDRESS(ROW(),COLUMN(NOTA[ID]))),-1)))</f>
        <v>DB STATIONERY</v>
      </c>
      <c r="AI866" s="42" t="str">
        <f ca="1">IF(NOTA[[#This Row],[ID_H]]="","",IF(NOTA[[#This Row],[FAKTUR]]="",INDIRECT(ADDRESS(ROW()-1,COLUMN())),NOTA[[#This Row],[FAKTUR]]))</f>
        <v>UNTANA</v>
      </c>
      <c r="AJ866" s="39" t="str">
        <f ca="1">IF(NOTA[[#This Row],[ID]]="","",COUNTIF(NOTA[ID_H],NOTA[[#This Row],[ID_H]]))</f>
        <v/>
      </c>
      <c r="AK866" s="39">
        <f ca="1">IF(NOTA[[#This Row],[TGL.NOTA]]="",IF(NOTA[[#This Row],[SUPPLIER_H]]="","",AK865),MONTH(NOTA[[#This Row],[TGL.NOTA]]))</f>
        <v>7</v>
      </c>
      <c r="AL866" s="39" t="str">
        <f>LOWER(SUBSTITUTE(SUBSTITUTE(SUBSTITUTE(SUBSTITUTE(SUBSTITUTE(SUBSTITUTE(SUBSTITUTE(SUBSTITUTE(SUBSTITUTE(NOTA[NAMA BARANG]," ",),".",""),"-",""),"(",""),")",""),",",""),"/",""),"""",""),"+",""))</f>
        <v>geltizotg31220</v>
      </c>
      <c r="AM8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39" t="str">
        <f>IF(NOTA[[#This Row],[CONCAT4]]="","",_xlfn.IFNA(MATCH(NOTA[[#This Row],[CONCAT4]],[2]!RAW[CONCAT_H],0),FALSE))</f>
        <v/>
      </c>
      <c r="AQ866" s="39">
        <f>IF(NOTA[[#This Row],[CONCAT1]]="","",MATCH(NOTA[[#This Row],[CONCAT1]],[3]!db[NB NOTA_C],0))</f>
        <v>699</v>
      </c>
      <c r="AR866" s="39" t="b">
        <f>IF(NOTA[[#This Row],[QTY/ CTN]]="","",TRUE)</f>
        <v>1</v>
      </c>
      <c r="AS866" s="39" t="str">
        <f ca="1">IF(NOTA[[#This Row],[ID_H]]="","",IF(NOTA[[#This Row],[Column3]]=TRUE,NOTA[[#This Row],[QTY/ CTN]],INDEX([3]!db[QTY/ CTN],NOTA[[#This Row],[//DB]])))</f>
        <v>144 LSN</v>
      </c>
      <c r="AT8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U866" s="39" t="e">
        <f ca="1">IF(NOTA[[#This Row],[ID_H]]="","",MATCH(NOTA[[#This Row],[NB NOTA_C_QTY]],[4]!db[NB NOTA_C_QTY+F],0))</f>
        <v>#REF!</v>
      </c>
      <c r="AV866" s="55">
        <f ca="1">IF(NOTA[[#This Row],[NB NOTA_C_QTY]]="","",ROW()-2)</f>
        <v>864</v>
      </c>
    </row>
    <row r="867" spans="1:48" ht="20.100000000000001" customHeight="1" x14ac:dyDescent="0.25">
      <c r="A8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>
        <f ca="1">IF(NOTA[[#This Row],[NAMA BARANG]]="","",INDEX(NOTA[ID],MATCH(,INDIRECT(ADDRESS(ROW(NOTA[ID]),COLUMN(NOTA[ID]))&amp;":"&amp;ADDRESS(ROW(),COLUMN(NOTA[ID]))),-1)))</f>
        <v>167</v>
      </c>
      <c r="E867" s="47"/>
      <c r="H867" s="48"/>
      <c r="L867" s="38" t="s">
        <v>928</v>
      </c>
      <c r="M867" s="41">
        <v>2</v>
      </c>
      <c r="N867" s="39">
        <v>288</v>
      </c>
      <c r="O867" s="38" t="s">
        <v>152</v>
      </c>
      <c r="P867" s="42">
        <v>24000</v>
      </c>
      <c r="Q867" s="43"/>
      <c r="R867" s="49" t="s">
        <v>538</v>
      </c>
      <c r="S867" s="50"/>
      <c r="U867" s="51"/>
      <c r="V867" s="46"/>
      <c r="W867" s="51">
        <f>IF(NOTA[[#This Row],[HARGA/ CTN]]="",NOTA[[#This Row],[JUMLAH_H]],NOTA[[#This Row],[HARGA/ CTN]]*IF(NOTA[[#This Row],[C]]="",0,NOTA[[#This Row],[C]]))</f>
        <v>6912000</v>
      </c>
      <c r="X867" s="51">
        <f>IF(NOTA[[#This Row],[JUMLAH]]="","",NOTA[[#This Row],[JUMLAH]]*NOTA[[#This Row],[DISC 1]])</f>
        <v>0</v>
      </c>
      <c r="Y867" s="51">
        <f>IF(NOTA[[#This Row],[JUMLAH]]="","",(NOTA[[#This Row],[JUMLAH]]-NOTA[[#This Row],[DISC 1-]])*NOTA[[#This Row],[DISC 2]])</f>
        <v>0</v>
      </c>
      <c r="Z867" s="51">
        <f>IF(NOTA[[#This Row],[JUMLAH]]="","",NOTA[[#This Row],[DISC 1-]]+NOTA[[#This Row],[DISC 2-]])</f>
        <v>0</v>
      </c>
      <c r="AA867" s="51">
        <f>IF(NOTA[[#This Row],[JUMLAH]]="","",NOTA[[#This Row],[JUMLAH]]-NOTA[[#This Row],[DISC]])</f>
        <v>6912000</v>
      </c>
      <c r="AB867" s="51"/>
      <c r="AC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67" s="51">
        <f>IF(OR(NOTA[[#This Row],[QTY]]="",NOTA[[#This Row],[HARGA SATUAN]]="",),"",NOTA[[#This Row],[QTY]]*NOTA[[#This Row],[HARGA SATUAN]])</f>
        <v>6912000</v>
      </c>
      <c r="AG867" s="40">
        <f ca="1">IF(NOTA[ID_H]="","",INDEX(NOTA[TANGGAL],MATCH(,INDIRECT(ADDRESS(ROW(NOTA[TANGGAL]),COLUMN(NOTA[TANGGAL]))&amp;":"&amp;ADDRESS(ROW(),COLUMN(NOTA[TANGGAL]))),-1)))</f>
        <v>45140</v>
      </c>
      <c r="AH867" s="42" t="str">
        <f ca="1">IF(NOTA[[#This Row],[NAMA BARANG]]="","",INDEX(NOTA[SUPPLIER],MATCH(,INDIRECT(ADDRESS(ROW(NOTA[ID]),COLUMN(NOTA[ID]))&amp;":"&amp;ADDRESS(ROW(),COLUMN(NOTA[ID]))),-1)))</f>
        <v>DB STATIONERY</v>
      </c>
      <c r="AI867" s="42" t="str">
        <f ca="1">IF(NOTA[[#This Row],[ID_H]]="","",IF(NOTA[[#This Row],[FAKTUR]]="",INDIRECT(ADDRESS(ROW()-1,COLUMN())),NOTA[[#This Row],[FAKTUR]]))</f>
        <v>UNTANA</v>
      </c>
      <c r="AJ867" s="39" t="str">
        <f ca="1">IF(NOTA[[#This Row],[ID]]="","",COUNTIF(NOTA[ID_H],NOTA[[#This Row],[ID_H]]))</f>
        <v/>
      </c>
      <c r="AK867" s="39">
        <f ca="1">IF(NOTA[[#This Row],[TGL.NOTA]]="",IF(NOTA[[#This Row],[SUPPLIER_H]]="","",AK866),MONTH(NOTA[[#This Row],[TGL.NOTA]]))</f>
        <v>7</v>
      </c>
      <c r="AL867" s="39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39" t="str">
        <f>IF(NOTA[[#This Row],[CONCAT4]]="","",_xlfn.IFNA(MATCH(NOTA[[#This Row],[CONCAT4]],[2]!RAW[CONCAT_H],0),FALSE))</f>
        <v/>
      </c>
      <c r="AQ867" s="39">
        <f>IF(NOTA[[#This Row],[CONCAT1]]="","",MATCH(NOTA[[#This Row],[CONCAT1]],[3]!db[NB NOTA_C],0))</f>
        <v>694</v>
      </c>
      <c r="AR867" s="39" t="b">
        <f>IF(NOTA[[#This Row],[QTY/ CTN]]="","",TRUE)</f>
        <v>1</v>
      </c>
      <c r="AS867" s="39" t="str">
        <f ca="1">IF(NOTA[[#This Row],[ID_H]]="","",IF(NOTA[[#This Row],[Column3]]=TRUE,NOTA[[#This Row],[QTY/ CTN]],INDEX([3]!db[QTY/ CTN],NOTA[[#This Row],[//DB]])))</f>
        <v>144 LSN</v>
      </c>
      <c r="AT8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geltechjobexaminattg313b144lsnuntana</v>
      </c>
      <c r="AU867" s="39" t="e">
        <f ca="1">IF(NOTA[[#This Row],[ID_H]]="","",MATCH(NOTA[[#This Row],[NB NOTA_C_QTY]],[4]!db[NB NOTA_C_QTY+F],0))</f>
        <v>#REF!</v>
      </c>
      <c r="AV867" s="55">
        <f ca="1">IF(NOTA[[#This Row],[NB NOTA_C_QTY]]="","",ROW()-2)</f>
        <v>865</v>
      </c>
    </row>
    <row r="868" spans="1:48" ht="20.100000000000001" customHeight="1" x14ac:dyDescent="0.25">
      <c r="A8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>
        <f ca="1">IF(NOTA[[#This Row],[NAMA BARANG]]="","",INDEX(NOTA[ID],MATCH(,INDIRECT(ADDRESS(ROW(NOTA[ID]),COLUMN(NOTA[ID]))&amp;":"&amp;ADDRESS(ROW(),COLUMN(NOTA[ID]))),-1)))</f>
        <v>167</v>
      </c>
      <c r="E868" s="47"/>
      <c r="H868" s="48"/>
      <c r="L868" s="38" t="s">
        <v>929</v>
      </c>
      <c r="M868" s="41">
        <v>2</v>
      </c>
      <c r="N868" s="39">
        <v>288</v>
      </c>
      <c r="O868" s="38" t="s">
        <v>152</v>
      </c>
      <c r="P868" s="42">
        <v>29500</v>
      </c>
      <c r="Q868" s="43"/>
      <c r="R868" s="49" t="s">
        <v>538</v>
      </c>
      <c r="S868" s="50"/>
      <c r="U868" s="51"/>
      <c r="V868" s="46"/>
      <c r="W868" s="51">
        <f>IF(NOTA[[#This Row],[HARGA/ CTN]]="",NOTA[[#This Row],[JUMLAH_H]],NOTA[[#This Row],[HARGA/ CTN]]*IF(NOTA[[#This Row],[C]]="",0,NOTA[[#This Row],[C]]))</f>
        <v>8496000</v>
      </c>
      <c r="X868" s="51">
        <f>IF(NOTA[[#This Row],[JUMLAH]]="","",NOTA[[#This Row],[JUMLAH]]*NOTA[[#This Row],[DISC 1]])</f>
        <v>0</v>
      </c>
      <c r="Y868" s="51">
        <f>IF(NOTA[[#This Row],[JUMLAH]]="","",(NOTA[[#This Row],[JUMLAH]]-NOTA[[#This Row],[DISC 1-]])*NOTA[[#This Row],[DISC 2]])</f>
        <v>0</v>
      </c>
      <c r="Z868" s="51">
        <f>IF(NOTA[[#This Row],[JUMLAH]]="","",NOTA[[#This Row],[DISC 1-]]+NOTA[[#This Row],[DISC 2-]])</f>
        <v>0</v>
      </c>
      <c r="AA868" s="51">
        <f>IF(NOTA[[#This Row],[JUMLAH]]="","",NOTA[[#This Row],[JUMLAH]]-NOTA[[#This Row],[DISC]])</f>
        <v>8496000</v>
      </c>
      <c r="AB868" s="51"/>
      <c r="AC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42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68" s="51">
        <f>IF(OR(NOTA[[#This Row],[QTY]]="",NOTA[[#This Row],[HARGA SATUAN]]="",),"",NOTA[[#This Row],[QTY]]*NOTA[[#This Row],[HARGA SATUAN]])</f>
        <v>8496000</v>
      </c>
      <c r="AG868" s="40">
        <f ca="1">IF(NOTA[ID_H]="","",INDEX(NOTA[TANGGAL],MATCH(,INDIRECT(ADDRESS(ROW(NOTA[TANGGAL]),COLUMN(NOTA[TANGGAL]))&amp;":"&amp;ADDRESS(ROW(),COLUMN(NOTA[TANGGAL]))),-1)))</f>
        <v>45140</v>
      </c>
      <c r="AH868" s="42" t="str">
        <f ca="1">IF(NOTA[[#This Row],[NAMA BARANG]]="","",INDEX(NOTA[SUPPLIER],MATCH(,INDIRECT(ADDRESS(ROW(NOTA[ID]),COLUMN(NOTA[ID]))&amp;":"&amp;ADDRESS(ROW(),COLUMN(NOTA[ID]))),-1)))</f>
        <v>DB STATIONERY</v>
      </c>
      <c r="AI868" s="42" t="str">
        <f ca="1">IF(NOTA[[#This Row],[ID_H]]="","",IF(NOTA[[#This Row],[FAKTUR]]="",INDIRECT(ADDRESS(ROW()-1,COLUMN())),NOTA[[#This Row],[FAKTUR]]))</f>
        <v>UNTANA</v>
      </c>
      <c r="AJ868" s="39" t="str">
        <f ca="1">IF(NOTA[[#This Row],[ID]]="","",COUNTIF(NOTA[ID_H],NOTA[[#This Row],[ID_H]]))</f>
        <v/>
      </c>
      <c r="AK868" s="39">
        <f ca="1">IF(NOTA[[#This Row],[TGL.NOTA]]="",IF(NOTA[[#This Row],[SUPPLIER_H]]="","",AK867),MONTH(NOTA[[#This Row],[TGL.NOTA]]))</f>
        <v>7</v>
      </c>
      <c r="AL868" s="39" t="str">
        <f>LOWER(SUBSTITUTE(SUBSTITUTE(SUBSTITUTE(SUBSTITUTE(SUBSTITUTE(SUBSTITUTE(SUBSTITUTE(SUBSTITUTE(SUBSTITUTE(NOTA[NAMA BARANG]," ",),".",""),"-",""),"(",""),")",""),",",""),"/",""),"""",""),"+",""))</f>
        <v>geltizotg31060</v>
      </c>
      <c r="AM8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39" t="str">
        <f>IF(NOTA[[#This Row],[CONCAT4]]="","",_xlfn.IFNA(MATCH(NOTA[[#This Row],[CONCAT4]],[2]!RAW[CONCAT_H],0),FALSE))</f>
        <v/>
      </c>
      <c r="AQ868" s="39">
        <f>IF(NOTA[[#This Row],[CONCAT1]]="","",MATCH(NOTA[[#This Row],[CONCAT1]],[3]!db[NB NOTA_C],0))</f>
        <v>697</v>
      </c>
      <c r="AR868" s="39" t="b">
        <f>IF(NOTA[[#This Row],[QTY/ CTN]]="","",TRUE)</f>
        <v>1</v>
      </c>
      <c r="AS868" s="39" t="str">
        <f ca="1">IF(NOTA[[#This Row],[ID_H]]="","",IF(NOTA[[#This Row],[Column3]]=TRUE,NOTA[[#This Row],[QTY/ CTN]],INDEX([3]!db[QTY/ CTN],NOTA[[#This Row],[//DB]])))</f>
        <v>144 LSN</v>
      </c>
      <c r="AT8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U868" s="39" t="e">
        <f ca="1">IF(NOTA[[#This Row],[ID_H]]="","",MATCH(NOTA[[#This Row],[NB NOTA_C_QTY]],[4]!db[NB NOTA_C_QTY+F],0))</f>
        <v>#REF!</v>
      </c>
      <c r="AV868" s="55">
        <f ca="1">IF(NOTA[[#This Row],[NB NOTA_C_QTY]]="","",ROW()-2)</f>
        <v>866</v>
      </c>
    </row>
    <row r="869" spans="1:48" ht="20.100000000000001" customHeight="1" x14ac:dyDescent="0.25">
      <c r="A8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>
        <f ca="1">IF(NOTA[[#This Row],[NAMA BARANG]]="","",INDEX(NOTA[ID],MATCH(,INDIRECT(ADDRESS(ROW(NOTA[ID]),COLUMN(NOTA[ID]))&amp;":"&amp;ADDRESS(ROW(),COLUMN(NOTA[ID]))),-1)))</f>
        <v>167</v>
      </c>
      <c r="E869" s="47"/>
      <c r="H869" s="48"/>
      <c r="L869" s="38" t="s">
        <v>930</v>
      </c>
      <c r="M869" s="41">
        <v>2</v>
      </c>
      <c r="N869" s="39">
        <v>288</v>
      </c>
      <c r="O869" s="38" t="s">
        <v>152</v>
      </c>
      <c r="P869" s="42">
        <v>13500</v>
      </c>
      <c r="Q869" s="43"/>
      <c r="R869" s="49" t="s">
        <v>538</v>
      </c>
      <c r="S869" s="50"/>
      <c r="U869" s="51"/>
      <c r="V869" s="46"/>
      <c r="W869" s="51">
        <f>IF(NOTA[[#This Row],[HARGA/ CTN]]="",NOTA[[#This Row],[JUMLAH_H]],NOTA[[#This Row],[HARGA/ CTN]]*IF(NOTA[[#This Row],[C]]="",0,NOTA[[#This Row],[C]]))</f>
        <v>3888000</v>
      </c>
      <c r="X869" s="51">
        <f>IF(NOTA[[#This Row],[JUMLAH]]="","",NOTA[[#This Row],[JUMLAH]]*NOTA[[#This Row],[DISC 1]])</f>
        <v>0</v>
      </c>
      <c r="Y869" s="51">
        <f>IF(NOTA[[#This Row],[JUMLAH]]="","",(NOTA[[#This Row],[JUMLAH]]-NOTA[[#This Row],[DISC 1-]])*NOTA[[#This Row],[DISC 2]])</f>
        <v>0</v>
      </c>
      <c r="Z869" s="51">
        <f>IF(NOTA[[#This Row],[JUMLAH]]="","",NOTA[[#This Row],[DISC 1-]]+NOTA[[#This Row],[DISC 2-]])</f>
        <v>0</v>
      </c>
      <c r="AA869" s="51">
        <f>IF(NOTA[[#This Row],[JUMLAH]]="","",NOTA[[#This Row],[JUMLAH]]-NOTA[[#This Row],[DISC]])</f>
        <v>3888000</v>
      </c>
      <c r="AB869" s="51"/>
      <c r="AC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869" s="51">
        <f>IF(OR(NOTA[[#This Row],[QTY]]="",NOTA[[#This Row],[HARGA SATUAN]]="",),"",NOTA[[#This Row],[QTY]]*NOTA[[#This Row],[HARGA SATUAN]])</f>
        <v>3888000</v>
      </c>
      <c r="AG869" s="40">
        <f ca="1">IF(NOTA[ID_H]="","",INDEX(NOTA[TANGGAL],MATCH(,INDIRECT(ADDRESS(ROW(NOTA[TANGGAL]),COLUMN(NOTA[TANGGAL]))&amp;":"&amp;ADDRESS(ROW(),COLUMN(NOTA[TANGGAL]))),-1)))</f>
        <v>45140</v>
      </c>
      <c r="AH869" s="42" t="str">
        <f ca="1">IF(NOTA[[#This Row],[NAMA BARANG]]="","",INDEX(NOTA[SUPPLIER],MATCH(,INDIRECT(ADDRESS(ROW(NOTA[ID]),COLUMN(NOTA[ID]))&amp;":"&amp;ADDRESS(ROW(),COLUMN(NOTA[ID]))),-1)))</f>
        <v>DB STATIONERY</v>
      </c>
      <c r="AI869" s="42" t="str">
        <f ca="1">IF(NOTA[[#This Row],[ID_H]]="","",IF(NOTA[[#This Row],[FAKTUR]]="",INDIRECT(ADDRESS(ROW()-1,COLUMN())),NOTA[[#This Row],[FAKTUR]]))</f>
        <v>UNTANA</v>
      </c>
      <c r="AJ869" s="39" t="str">
        <f ca="1">IF(NOTA[[#This Row],[ID]]="","",COUNTIF(NOTA[ID_H],NOTA[[#This Row],[ID_H]]))</f>
        <v/>
      </c>
      <c r="AK869" s="39">
        <f ca="1">IF(NOTA[[#This Row],[TGL.NOTA]]="",IF(NOTA[[#This Row],[SUPPLIER_H]]="","",AK868),MONTH(NOTA[[#This Row],[TGL.NOTA]]))</f>
        <v>7</v>
      </c>
      <c r="AL869" s="39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8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8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8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39" t="str">
        <f>IF(NOTA[[#This Row],[CONCAT4]]="","",_xlfn.IFNA(MATCH(NOTA[[#This Row],[CONCAT4]],[2]!RAW[CONCAT_H],0),FALSE))</f>
        <v/>
      </c>
      <c r="AQ869" s="39">
        <f>IF(NOTA[[#This Row],[CONCAT1]]="","",MATCH(NOTA[[#This Row],[CONCAT1]],[3]!db[NB NOTA_C],0))</f>
        <v>1712</v>
      </c>
      <c r="AR869" s="39" t="b">
        <f>IF(NOTA[[#This Row],[QTY/ CTN]]="","",TRUE)</f>
        <v>1</v>
      </c>
      <c r="AS869" s="39" t="str">
        <f ca="1">IF(NOTA[[#This Row],[ID_H]]="","",IF(NOTA[[#This Row],[Column3]]=TRUE,NOTA[[#This Row],[QTY/ CTN]],INDEX([3]!db[QTY/ CTN],NOTA[[#This Row],[//DB]])))</f>
        <v>144 LSN</v>
      </c>
      <c r="AT8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869" s="39" t="e">
        <f ca="1">IF(NOTA[[#This Row],[ID_H]]="","",MATCH(NOTA[[#This Row],[NB NOTA_C_QTY]],[4]!db[NB NOTA_C_QTY+F],0))</f>
        <v>#REF!</v>
      </c>
      <c r="AV869" s="55">
        <f ca="1">IF(NOTA[[#This Row],[NB NOTA_C_QTY]]="","",ROW()-2)</f>
        <v>867</v>
      </c>
    </row>
    <row r="870" spans="1:48" ht="20.100000000000001" customHeight="1" x14ac:dyDescent="0.25">
      <c r="A8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>
        <f ca="1">IF(NOTA[[#This Row],[NAMA BARANG]]="","",INDEX(NOTA[ID],MATCH(,INDIRECT(ADDRESS(ROW(NOTA[ID]),COLUMN(NOTA[ID]))&amp;":"&amp;ADDRESS(ROW(),COLUMN(NOTA[ID]))),-1)))</f>
        <v>167</v>
      </c>
      <c r="E870" s="47"/>
      <c r="H870" s="48"/>
      <c r="L870" s="38" t="s">
        <v>224</v>
      </c>
      <c r="M870" s="41">
        <v>1</v>
      </c>
      <c r="N870" s="39">
        <v>96</v>
      </c>
      <c r="O870" s="38" t="s">
        <v>152</v>
      </c>
      <c r="P870" s="42">
        <v>29000</v>
      </c>
      <c r="Q870" s="43"/>
      <c r="R870" s="49" t="s">
        <v>161</v>
      </c>
      <c r="S870" s="50"/>
      <c r="U870" s="51"/>
      <c r="V870" s="46"/>
      <c r="W870" s="51">
        <f>IF(NOTA[[#This Row],[HARGA/ CTN]]="",NOTA[[#This Row],[JUMLAH_H]],NOTA[[#This Row],[HARGA/ CTN]]*IF(NOTA[[#This Row],[C]]="",0,NOTA[[#This Row],[C]]))</f>
        <v>2784000</v>
      </c>
      <c r="X870" s="51">
        <f>IF(NOTA[[#This Row],[JUMLAH]]="","",NOTA[[#This Row],[JUMLAH]]*NOTA[[#This Row],[DISC 1]])</f>
        <v>0</v>
      </c>
      <c r="Y870" s="51">
        <f>IF(NOTA[[#This Row],[JUMLAH]]="","",(NOTA[[#This Row],[JUMLAH]]-NOTA[[#This Row],[DISC 1-]])*NOTA[[#This Row],[DISC 2]])</f>
        <v>0</v>
      </c>
      <c r="Z870" s="51">
        <f>IF(NOTA[[#This Row],[JUMLAH]]="","",NOTA[[#This Row],[DISC 1-]]+NOTA[[#This Row],[DISC 2-]])</f>
        <v>0</v>
      </c>
      <c r="AA870" s="51">
        <f>IF(NOTA[[#This Row],[JUMLAH]]="","",NOTA[[#This Row],[JUMLAH]]-NOTA[[#This Row],[DISC]])</f>
        <v>2784000</v>
      </c>
      <c r="AB870" s="51"/>
      <c r="AC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51">
        <f>IF(OR(NOTA[[#This Row],[QTY]]="",NOTA[[#This Row],[HARGA SATUAN]]="",),"",NOTA[[#This Row],[QTY]]*NOTA[[#This Row],[HARGA SATUAN]])</f>
        <v>2784000</v>
      </c>
      <c r="AG870" s="40">
        <f ca="1">IF(NOTA[ID_H]="","",INDEX(NOTA[TANGGAL],MATCH(,INDIRECT(ADDRESS(ROW(NOTA[TANGGAL]),COLUMN(NOTA[TANGGAL]))&amp;":"&amp;ADDRESS(ROW(),COLUMN(NOTA[TANGGAL]))),-1)))</f>
        <v>45140</v>
      </c>
      <c r="AH870" s="42" t="str">
        <f ca="1">IF(NOTA[[#This Row],[NAMA BARANG]]="","",INDEX(NOTA[SUPPLIER],MATCH(,INDIRECT(ADDRESS(ROW(NOTA[ID]),COLUMN(NOTA[ID]))&amp;":"&amp;ADDRESS(ROW(),COLUMN(NOTA[ID]))),-1)))</f>
        <v>DB STATIONERY</v>
      </c>
      <c r="AI870" s="42" t="str">
        <f ca="1">IF(NOTA[[#This Row],[ID_H]]="","",IF(NOTA[[#This Row],[FAKTUR]]="",INDIRECT(ADDRESS(ROW()-1,COLUMN())),NOTA[[#This Row],[FAKTUR]]))</f>
        <v>UNTANA</v>
      </c>
      <c r="AJ870" s="39" t="str">
        <f ca="1">IF(NOTA[[#This Row],[ID]]="","",COUNTIF(NOTA[ID_H],NOTA[[#This Row],[ID_H]]))</f>
        <v/>
      </c>
      <c r="AK870" s="39">
        <f ca="1">IF(NOTA[[#This Row],[TGL.NOTA]]="",IF(NOTA[[#This Row],[SUPPLIER_H]]="","",AK869),MONTH(NOTA[[#This Row],[TGL.NOTA]]))</f>
        <v>7</v>
      </c>
      <c r="AL870" s="39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8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8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8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39" t="str">
        <f>IF(NOTA[[#This Row],[CONCAT4]]="","",_xlfn.IFNA(MATCH(NOTA[[#This Row],[CONCAT4]],[2]!RAW[CONCAT_H],0),FALSE))</f>
        <v/>
      </c>
      <c r="AQ870" s="39">
        <f>IF(NOTA[[#This Row],[CONCAT1]]="","",MATCH(NOTA[[#This Row],[CONCAT1]],[3]!db[NB NOTA_C],0))</f>
        <v>1717</v>
      </c>
      <c r="AR870" s="39" t="b">
        <f>IF(NOTA[[#This Row],[QTY/ CTN]]="","",TRUE)</f>
        <v>1</v>
      </c>
      <c r="AS870" s="39" t="str">
        <f ca="1">IF(NOTA[[#This Row],[ID_H]]="","",IF(NOTA[[#This Row],[Column3]]=TRUE,NOTA[[#This Row],[QTY/ CTN]],INDEX([3]!db[QTY/ CTN],NOTA[[#This Row],[//DB]])))</f>
        <v>96 LSN</v>
      </c>
      <c r="AT8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U870" s="39" t="e">
        <f ca="1">IF(NOTA[[#This Row],[ID_H]]="","",MATCH(NOTA[[#This Row],[NB NOTA_C_QTY]],[4]!db[NB NOTA_C_QTY+F],0))</f>
        <v>#REF!</v>
      </c>
      <c r="AV870" s="55">
        <f ca="1">IF(NOTA[[#This Row],[NB NOTA_C_QTY]]="","",ROW()-2)</f>
        <v>868</v>
      </c>
    </row>
    <row r="871" spans="1:48" ht="20.100000000000001" customHeight="1" x14ac:dyDescent="0.25">
      <c r="A8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>
        <f ca="1">IF(NOTA[[#This Row],[NAMA BARANG]]="","",INDEX(NOTA[ID],MATCH(,INDIRECT(ADDRESS(ROW(NOTA[ID]),COLUMN(NOTA[ID]))&amp;":"&amp;ADDRESS(ROW(),COLUMN(NOTA[ID]))),-1)))</f>
        <v>167</v>
      </c>
      <c r="E871" s="47"/>
      <c r="H871" s="48"/>
      <c r="L871" s="38" t="s">
        <v>931</v>
      </c>
      <c r="M871" s="41">
        <v>1</v>
      </c>
      <c r="N871" s="39">
        <v>96</v>
      </c>
      <c r="O871" s="38" t="s">
        <v>152</v>
      </c>
      <c r="P871" s="42">
        <v>29000</v>
      </c>
      <c r="Q871" s="43"/>
      <c r="R871" s="49" t="s">
        <v>161</v>
      </c>
      <c r="S871" s="50"/>
      <c r="U871" s="51"/>
      <c r="V871" s="46"/>
      <c r="W871" s="51">
        <f>IF(NOTA[[#This Row],[HARGA/ CTN]]="",NOTA[[#This Row],[JUMLAH_H]],NOTA[[#This Row],[HARGA/ CTN]]*IF(NOTA[[#This Row],[C]]="",0,NOTA[[#This Row],[C]]))</f>
        <v>2784000</v>
      </c>
      <c r="X871" s="51">
        <f>IF(NOTA[[#This Row],[JUMLAH]]="","",NOTA[[#This Row],[JUMLAH]]*NOTA[[#This Row],[DISC 1]])</f>
        <v>0</v>
      </c>
      <c r="Y871" s="51">
        <f>IF(NOTA[[#This Row],[JUMLAH]]="","",(NOTA[[#This Row],[JUMLAH]]-NOTA[[#This Row],[DISC 1-]])*NOTA[[#This Row],[DISC 2]])</f>
        <v>0</v>
      </c>
      <c r="Z871" s="51">
        <f>IF(NOTA[[#This Row],[JUMLAH]]="","",NOTA[[#This Row],[DISC 1-]]+NOTA[[#This Row],[DISC 2-]])</f>
        <v>0</v>
      </c>
      <c r="AA871" s="51">
        <f>IF(NOTA[[#This Row],[JUMLAH]]="","",NOTA[[#This Row],[JUMLAH]]-NOTA[[#This Row],[DISC]])</f>
        <v>2784000</v>
      </c>
      <c r="AB871" s="51"/>
      <c r="AC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51">
        <f>IF(OR(NOTA[[#This Row],[QTY]]="",NOTA[[#This Row],[HARGA SATUAN]]="",),"",NOTA[[#This Row],[QTY]]*NOTA[[#This Row],[HARGA SATUAN]])</f>
        <v>2784000</v>
      </c>
      <c r="AG871" s="40">
        <f ca="1">IF(NOTA[ID_H]="","",INDEX(NOTA[TANGGAL],MATCH(,INDIRECT(ADDRESS(ROW(NOTA[TANGGAL]),COLUMN(NOTA[TANGGAL]))&amp;":"&amp;ADDRESS(ROW(),COLUMN(NOTA[TANGGAL]))),-1)))</f>
        <v>45140</v>
      </c>
      <c r="AH871" s="42" t="str">
        <f ca="1">IF(NOTA[[#This Row],[NAMA BARANG]]="","",INDEX(NOTA[SUPPLIER],MATCH(,INDIRECT(ADDRESS(ROW(NOTA[ID]),COLUMN(NOTA[ID]))&amp;":"&amp;ADDRESS(ROW(),COLUMN(NOTA[ID]))),-1)))</f>
        <v>DB STATIONERY</v>
      </c>
      <c r="AI871" s="42" t="str">
        <f ca="1">IF(NOTA[[#This Row],[ID_H]]="","",IF(NOTA[[#This Row],[FAKTUR]]="",INDIRECT(ADDRESS(ROW()-1,COLUMN())),NOTA[[#This Row],[FAKTUR]]))</f>
        <v>UNTANA</v>
      </c>
      <c r="AJ871" s="39" t="str">
        <f ca="1">IF(NOTA[[#This Row],[ID]]="","",COUNTIF(NOTA[ID_H],NOTA[[#This Row],[ID_H]]))</f>
        <v/>
      </c>
      <c r="AK871" s="39">
        <f ca="1">IF(NOTA[[#This Row],[TGL.NOTA]]="",IF(NOTA[[#This Row],[SUPPLIER_H]]="","",AK870),MONTH(NOTA[[#This Row],[TGL.NOTA]]))</f>
        <v>7</v>
      </c>
      <c r="AL871" s="39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M8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N8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O8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39" t="str">
        <f>IF(NOTA[[#This Row],[CONCAT4]]="","",_xlfn.IFNA(MATCH(NOTA[[#This Row],[CONCAT4]],[2]!RAW[CONCAT_H],0),FALSE))</f>
        <v/>
      </c>
      <c r="AQ871" s="39">
        <f>IF(NOTA[[#This Row],[CONCAT1]]="","",MATCH(NOTA[[#This Row],[CONCAT1]],[3]!db[NB NOTA_C],0))</f>
        <v>1713</v>
      </c>
      <c r="AR871" s="39" t="b">
        <f>IF(NOTA[[#This Row],[QTY/ CTN]]="","",TRUE)</f>
        <v>1</v>
      </c>
      <c r="AS871" s="39" t="str">
        <f ca="1">IF(NOTA[[#This Row],[ID_H]]="","",IF(NOTA[[#This Row],[Column3]]=TRUE,NOTA[[#This Row],[QTY/ CTN]],INDEX([3]!db[QTY/ CTN],NOTA[[#This Row],[//DB]])))</f>
        <v>96 LSN</v>
      </c>
      <c r="AT8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U871" s="39" t="e">
        <f ca="1">IF(NOTA[[#This Row],[ID_H]]="","",MATCH(NOTA[[#This Row],[NB NOTA_C_QTY]],[4]!db[NB NOTA_C_QTY+F],0))</f>
        <v>#REF!</v>
      </c>
      <c r="AV871" s="55">
        <f ca="1">IF(NOTA[[#This Row],[NB NOTA_C_QTY]]="","",ROW()-2)</f>
        <v>869</v>
      </c>
    </row>
    <row r="872" spans="1:48" ht="20.100000000000001" customHeight="1" x14ac:dyDescent="0.25">
      <c r="A8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>
        <f ca="1">IF(NOTA[[#This Row],[NAMA BARANG]]="","",INDEX(NOTA[ID],MATCH(,INDIRECT(ADDRESS(ROW(NOTA[ID]),COLUMN(NOTA[ID]))&amp;":"&amp;ADDRESS(ROW(),COLUMN(NOTA[ID]))),-1)))</f>
        <v>167</v>
      </c>
      <c r="E872" s="47"/>
      <c r="H872" s="48"/>
      <c r="L872" s="38" t="s">
        <v>932</v>
      </c>
      <c r="M872" s="41">
        <v>1</v>
      </c>
      <c r="N872" s="39">
        <v>72</v>
      </c>
      <c r="O872" s="38" t="s">
        <v>152</v>
      </c>
      <c r="P872" s="42">
        <v>43500</v>
      </c>
      <c r="Q872" s="43"/>
      <c r="R872" s="49" t="s">
        <v>933</v>
      </c>
      <c r="S872" s="50"/>
      <c r="U872" s="51"/>
      <c r="V872" s="46"/>
      <c r="W872" s="51">
        <f>IF(NOTA[[#This Row],[HARGA/ CTN]]="",NOTA[[#This Row],[JUMLAH_H]],NOTA[[#This Row],[HARGA/ CTN]]*IF(NOTA[[#This Row],[C]]="",0,NOTA[[#This Row],[C]]))</f>
        <v>3132000</v>
      </c>
      <c r="X872" s="51">
        <f>IF(NOTA[[#This Row],[JUMLAH]]="","",NOTA[[#This Row],[JUMLAH]]*NOTA[[#This Row],[DISC 1]])</f>
        <v>0</v>
      </c>
      <c r="Y872" s="51">
        <f>IF(NOTA[[#This Row],[JUMLAH]]="","",(NOTA[[#This Row],[JUMLAH]]-NOTA[[#This Row],[DISC 1-]])*NOTA[[#This Row],[DISC 2]])</f>
        <v>0</v>
      </c>
      <c r="Z872" s="51">
        <f>IF(NOTA[[#This Row],[JUMLAH]]="","",NOTA[[#This Row],[DISC 1-]]+NOTA[[#This Row],[DISC 2-]])</f>
        <v>0</v>
      </c>
      <c r="AA872" s="51">
        <f>IF(NOTA[[#This Row],[JUMLAH]]="","",NOTA[[#This Row],[JUMLAH]]-NOTA[[#This Row],[DISC]])</f>
        <v>3132000</v>
      </c>
      <c r="AB872" s="51"/>
      <c r="AC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72" s="51">
        <f>IF(OR(NOTA[[#This Row],[QTY]]="",NOTA[[#This Row],[HARGA SATUAN]]="",),"",NOTA[[#This Row],[QTY]]*NOTA[[#This Row],[HARGA SATUAN]])</f>
        <v>3132000</v>
      </c>
      <c r="AG872" s="40">
        <f ca="1">IF(NOTA[ID_H]="","",INDEX(NOTA[TANGGAL],MATCH(,INDIRECT(ADDRESS(ROW(NOTA[TANGGAL]),COLUMN(NOTA[TANGGAL]))&amp;":"&amp;ADDRESS(ROW(),COLUMN(NOTA[TANGGAL]))),-1)))</f>
        <v>45140</v>
      </c>
      <c r="AH872" s="42" t="str">
        <f ca="1">IF(NOTA[[#This Row],[NAMA BARANG]]="","",INDEX(NOTA[SUPPLIER],MATCH(,INDIRECT(ADDRESS(ROW(NOTA[ID]),COLUMN(NOTA[ID]))&amp;":"&amp;ADDRESS(ROW(),COLUMN(NOTA[ID]))),-1)))</f>
        <v>DB STATIONERY</v>
      </c>
      <c r="AI872" s="42" t="str">
        <f ca="1">IF(NOTA[[#This Row],[ID_H]]="","",IF(NOTA[[#This Row],[FAKTUR]]="",INDIRECT(ADDRESS(ROW()-1,COLUMN())),NOTA[[#This Row],[FAKTUR]]))</f>
        <v>UNTANA</v>
      </c>
      <c r="AJ872" s="39" t="str">
        <f ca="1">IF(NOTA[[#This Row],[ID]]="","",COUNTIF(NOTA[ID_H],NOTA[[#This Row],[ID_H]]))</f>
        <v/>
      </c>
      <c r="AK872" s="39">
        <f ca="1">IF(NOTA[[#This Row],[TGL.NOTA]]="",IF(NOTA[[#This Row],[SUPPLIER_H]]="","",AK871),MONTH(NOTA[[#This Row],[TGL.NOTA]]))</f>
        <v>7</v>
      </c>
      <c r="AL872" s="39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39" t="str">
        <f>IF(NOTA[[#This Row],[CONCAT4]]="","",_xlfn.IFNA(MATCH(NOTA[[#This Row],[CONCAT4]],[2]!RAW[CONCAT_H],0),FALSE))</f>
        <v/>
      </c>
      <c r="AQ872" s="39">
        <f>IF(NOTA[[#This Row],[CONCAT1]]="","",MATCH(NOTA[[#This Row],[CONCAT1]],[3]!db[NB NOTA_C],0))</f>
        <v>706</v>
      </c>
      <c r="AR872" s="39" t="b">
        <f>IF(NOTA[[#This Row],[QTY/ CTN]]="","",TRUE)</f>
        <v>1</v>
      </c>
      <c r="AS872" s="39" t="str">
        <f ca="1">IF(NOTA[[#This Row],[ID_H]]="","",IF(NOTA[[#This Row],[Column3]]=TRUE,NOTA[[#This Row],[QTY/ CTN]],INDEX([3]!db[QTY/ CTN],NOTA[[#This Row],[//DB]])))</f>
        <v>72 LSN</v>
      </c>
      <c r="AT8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geltizoretrc10tg63072lsnuntana</v>
      </c>
      <c r="AU872" s="39" t="e">
        <f ca="1">IF(NOTA[[#This Row],[ID_H]]="","",MATCH(NOTA[[#This Row],[NB NOTA_C_QTY]],[4]!db[NB NOTA_C_QTY+F],0))</f>
        <v>#REF!</v>
      </c>
      <c r="AV872" s="55">
        <f ca="1">IF(NOTA[[#This Row],[NB NOTA_C_QTY]]="","",ROW()-2)</f>
        <v>870</v>
      </c>
    </row>
    <row r="873" spans="1:48" ht="20.100000000000001" customHeight="1" x14ac:dyDescent="0.25">
      <c r="A8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>
        <f ca="1">IF(NOTA[[#This Row],[NAMA BARANG]]="","",INDEX(NOTA[ID],MATCH(,INDIRECT(ADDRESS(ROW(NOTA[ID]),COLUMN(NOTA[ID]))&amp;":"&amp;ADDRESS(ROW(),COLUMN(NOTA[ID]))),-1)))</f>
        <v>167</v>
      </c>
      <c r="E873" s="47"/>
      <c r="H873" s="48"/>
      <c r="L873" s="38" t="s">
        <v>934</v>
      </c>
      <c r="M873" s="41">
        <v>1</v>
      </c>
      <c r="N873" s="39">
        <v>144</v>
      </c>
      <c r="O873" s="38" t="s">
        <v>152</v>
      </c>
      <c r="P873" s="42">
        <v>29000</v>
      </c>
      <c r="Q873" s="43"/>
      <c r="R873" s="49" t="s">
        <v>538</v>
      </c>
      <c r="S873" s="50"/>
      <c r="U873" s="51"/>
      <c r="V873" s="46"/>
      <c r="W873" s="51">
        <f>IF(NOTA[[#This Row],[HARGA/ CTN]]="",NOTA[[#This Row],[JUMLAH_H]],NOTA[[#This Row],[HARGA/ CTN]]*IF(NOTA[[#This Row],[C]]="",0,NOTA[[#This Row],[C]]))</f>
        <v>4176000</v>
      </c>
      <c r="X873" s="51">
        <f>IF(NOTA[[#This Row],[JUMLAH]]="","",NOTA[[#This Row],[JUMLAH]]*NOTA[[#This Row],[DISC 1]])</f>
        <v>0</v>
      </c>
      <c r="Y873" s="51">
        <f>IF(NOTA[[#This Row],[JUMLAH]]="","",(NOTA[[#This Row],[JUMLAH]]-NOTA[[#This Row],[DISC 1-]])*NOTA[[#This Row],[DISC 2]])</f>
        <v>0</v>
      </c>
      <c r="Z873" s="51">
        <f>IF(NOTA[[#This Row],[JUMLAH]]="","",NOTA[[#This Row],[DISC 1-]]+NOTA[[#This Row],[DISC 2-]])</f>
        <v>0</v>
      </c>
      <c r="AA873" s="51">
        <f>IF(NOTA[[#This Row],[JUMLAH]]="","",NOTA[[#This Row],[JUMLAH]]-NOTA[[#This Row],[DISC]])</f>
        <v>4176000</v>
      </c>
      <c r="AB873" s="51"/>
      <c r="AC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873" s="51">
        <f>IF(OR(NOTA[[#This Row],[QTY]]="",NOTA[[#This Row],[HARGA SATUAN]]="",),"",NOTA[[#This Row],[QTY]]*NOTA[[#This Row],[HARGA SATUAN]])</f>
        <v>4176000</v>
      </c>
      <c r="AG873" s="40">
        <f ca="1">IF(NOTA[ID_H]="","",INDEX(NOTA[TANGGAL],MATCH(,INDIRECT(ADDRESS(ROW(NOTA[TANGGAL]),COLUMN(NOTA[TANGGAL]))&amp;":"&amp;ADDRESS(ROW(),COLUMN(NOTA[TANGGAL]))),-1)))</f>
        <v>45140</v>
      </c>
      <c r="AH873" s="42" t="str">
        <f ca="1">IF(NOTA[[#This Row],[NAMA BARANG]]="","",INDEX(NOTA[SUPPLIER],MATCH(,INDIRECT(ADDRESS(ROW(NOTA[ID]),COLUMN(NOTA[ID]))&amp;":"&amp;ADDRESS(ROW(),COLUMN(NOTA[ID]))),-1)))</f>
        <v>DB STATIONERY</v>
      </c>
      <c r="AI873" s="42" t="str">
        <f ca="1">IF(NOTA[[#This Row],[ID_H]]="","",IF(NOTA[[#This Row],[FAKTUR]]="",INDIRECT(ADDRESS(ROW()-1,COLUMN())),NOTA[[#This Row],[FAKTUR]]))</f>
        <v>UNTANA</v>
      </c>
      <c r="AJ873" s="39" t="str">
        <f ca="1">IF(NOTA[[#This Row],[ID]]="","",COUNTIF(NOTA[ID_H],NOTA[[#This Row],[ID_H]]))</f>
        <v/>
      </c>
      <c r="AK873" s="39">
        <f ca="1">IF(NOTA[[#This Row],[TGL.NOTA]]="",IF(NOTA[[#This Row],[SUPPLIER_H]]="","",AK872),MONTH(NOTA[[#This Row],[TGL.NOTA]]))</f>
        <v>7</v>
      </c>
      <c r="AL873" s="39" t="str">
        <f>LOWER(SUBSTITUTE(SUBSTITUTE(SUBSTITUTE(SUBSTITUTE(SUBSTITUTE(SUBSTITUTE(SUBSTITUTE(SUBSTITUTE(SUBSTITUTE(NOTA[NAMA BARANG]," ",),".",""),"-",""),"(",""),")",""),",",""),"/",""),"""",""),"+",""))</f>
        <v>geltizosavextg396d</v>
      </c>
      <c r="AM8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N8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O8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39" t="str">
        <f>IF(NOTA[[#This Row],[CONCAT4]]="","",_xlfn.IFNA(MATCH(NOTA[[#This Row],[CONCAT4]],[2]!RAW[CONCAT_H],0),FALSE))</f>
        <v/>
      </c>
      <c r="AQ873" s="39">
        <f>IF(NOTA[[#This Row],[CONCAT1]]="","",MATCH(NOTA[[#This Row],[CONCAT1]],[3]!db[NB NOTA_C],0))</f>
        <v>538</v>
      </c>
      <c r="AR873" s="39" t="b">
        <f>IF(NOTA[[#This Row],[QTY/ CTN]]="","",TRUE)</f>
        <v>1</v>
      </c>
      <c r="AS873" s="39" t="str">
        <f ca="1">IF(NOTA[[#This Row],[ID_H]]="","",IF(NOTA[[#This Row],[Column3]]=TRUE,NOTA[[#This Row],[QTY/ CTN]],INDEX([3]!db[QTY/ CTN],NOTA[[#This Row],[//DB]])))</f>
        <v>144 LSN</v>
      </c>
      <c r="AT8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U873" s="39" t="e">
        <f ca="1">IF(NOTA[[#This Row],[ID_H]]="","",MATCH(NOTA[[#This Row],[NB NOTA_C_QTY]],[4]!db[NB NOTA_C_QTY+F],0))</f>
        <v>#REF!</v>
      </c>
      <c r="AV873" s="55">
        <f ca="1">IF(NOTA[[#This Row],[NB NOTA_C_QTY]]="","",ROW()-2)</f>
        <v>871</v>
      </c>
    </row>
    <row r="874" spans="1:48" ht="20.100000000000001" customHeight="1" x14ac:dyDescent="0.25">
      <c r="A8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39" t="str">
        <f>IF(NOTA[[#This Row],[ID_P]]="","",MATCH(NOTA[[#This Row],[ID_P]],[1]!B_MSK[N_ID],0))</f>
        <v/>
      </c>
      <c r="D874" s="39">
        <f ca="1">IF(NOTA[[#This Row],[NAMA BARANG]]="","",INDEX(NOTA[ID],MATCH(,INDIRECT(ADDRESS(ROW(NOTA[ID]),COLUMN(NOTA[ID]))&amp;":"&amp;ADDRESS(ROW(),COLUMN(NOTA[ID]))),-1)))</f>
        <v>167</v>
      </c>
      <c r="E874" s="47"/>
      <c r="H874" s="48"/>
      <c r="L874" s="38" t="s">
        <v>220</v>
      </c>
      <c r="M874" s="41">
        <v>1</v>
      </c>
      <c r="N874" s="39">
        <v>96</v>
      </c>
      <c r="O874" s="38" t="s">
        <v>152</v>
      </c>
      <c r="P874" s="42">
        <v>29000</v>
      </c>
      <c r="Q874" s="43"/>
      <c r="R874" s="49" t="s">
        <v>161</v>
      </c>
      <c r="S874" s="50"/>
      <c r="U874" s="51"/>
      <c r="V874" s="46"/>
      <c r="W874" s="51">
        <f>IF(NOTA[[#This Row],[HARGA/ CTN]]="",NOTA[[#This Row],[JUMLAH_H]],NOTA[[#This Row],[HARGA/ CTN]]*IF(NOTA[[#This Row],[C]]="",0,NOTA[[#This Row],[C]]))</f>
        <v>2784000</v>
      </c>
      <c r="X874" s="51">
        <f>IF(NOTA[[#This Row],[JUMLAH]]="","",NOTA[[#This Row],[JUMLAH]]*NOTA[[#This Row],[DISC 1]])</f>
        <v>0</v>
      </c>
      <c r="Y874" s="51">
        <f>IF(NOTA[[#This Row],[JUMLAH]]="","",(NOTA[[#This Row],[JUMLAH]]-NOTA[[#This Row],[DISC 1-]])*NOTA[[#This Row],[DISC 2]])</f>
        <v>0</v>
      </c>
      <c r="Z874" s="51">
        <f>IF(NOTA[[#This Row],[JUMLAH]]="","",NOTA[[#This Row],[DISC 1-]]+NOTA[[#This Row],[DISC 2-]])</f>
        <v>0</v>
      </c>
      <c r="AA874" s="51">
        <f>IF(NOTA[[#This Row],[JUMLAH]]="","",NOTA[[#This Row],[JUMLAH]]-NOTA[[#This Row],[DISC]])</f>
        <v>2784000</v>
      </c>
      <c r="AB874" s="51"/>
      <c r="AC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4" s="51">
        <f>IF(OR(NOTA[[#This Row],[QTY]]="",NOTA[[#This Row],[HARGA SATUAN]]="",),"",NOTA[[#This Row],[QTY]]*NOTA[[#This Row],[HARGA SATUAN]])</f>
        <v>2784000</v>
      </c>
      <c r="AG874" s="40">
        <f ca="1">IF(NOTA[ID_H]="","",INDEX(NOTA[TANGGAL],MATCH(,INDIRECT(ADDRESS(ROW(NOTA[TANGGAL]),COLUMN(NOTA[TANGGAL]))&amp;":"&amp;ADDRESS(ROW(),COLUMN(NOTA[TANGGAL]))),-1)))</f>
        <v>45140</v>
      </c>
      <c r="AH874" s="42" t="str">
        <f ca="1">IF(NOTA[[#This Row],[NAMA BARANG]]="","",INDEX(NOTA[SUPPLIER],MATCH(,INDIRECT(ADDRESS(ROW(NOTA[ID]),COLUMN(NOTA[ID]))&amp;":"&amp;ADDRESS(ROW(),COLUMN(NOTA[ID]))),-1)))</f>
        <v>DB STATIONERY</v>
      </c>
      <c r="AI874" s="42" t="str">
        <f ca="1">IF(NOTA[[#This Row],[ID_H]]="","",IF(NOTA[[#This Row],[FAKTUR]]="",INDIRECT(ADDRESS(ROW()-1,COLUMN())),NOTA[[#This Row],[FAKTUR]]))</f>
        <v>UNTANA</v>
      </c>
      <c r="AJ874" s="39" t="str">
        <f ca="1">IF(NOTA[[#This Row],[ID]]="","",COUNTIF(NOTA[ID_H],NOTA[[#This Row],[ID_H]]))</f>
        <v/>
      </c>
      <c r="AK874" s="39">
        <f ca="1">IF(NOTA[[#This Row],[TGL.NOTA]]="",IF(NOTA[[#This Row],[SUPPLIER_H]]="","",AK873),MONTH(NOTA[[#This Row],[TGL.NOTA]]))</f>
        <v>7</v>
      </c>
      <c r="AL874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8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8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8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39" t="str">
        <f>IF(NOTA[[#This Row],[CONCAT4]]="","",_xlfn.IFNA(MATCH(NOTA[[#This Row],[CONCAT4]],[2]!RAW[CONCAT_H],0),FALSE))</f>
        <v/>
      </c>
      <c r="AQ874" s="39">
        <f>IF(NOTA[[#This Row],[CONCAT1]]="","",MATCH(NOTA[[#This Row],[CONCAT1]],[3]!db[NB NOTA_C],0))</f>
        <v>1701</v>
      </c>
      <c r="AR874" s="39" t="b">
        <f>IF(NOTA[[#This Row],[QTY/ CTN]]="","",TRUE)</f>
        <v>1</v>
      </c>
      <c r="AS874" s="39" t="str">
        <f ca="1">IF(NOTA[[#This Row],[ID_H]]="","",IF(NOTA[[#This Row],[Column3]]=TRUE,NOTA[[#This Row],[QTY/ CTN]],INDEX([3]!db[QTY/ CTN],NOTA[[#This Row],[//DB]])))</f>
        <v>96 LSN</v>
      </c>
      <c r="AT8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874" s="39" t="e">
        <f ca="1">IF(NOTA[[#This Row],[ID_H]]="","",MATCH(NOTA[[#This Row],[NB NOTA_C_QTY]],[4]!db[NB NOTA_C_QTY+F],0))</f>
        <v>#REF!</v>
      </c>
      <c r="AV874" s="55">
        <f ca="1">IF(NOTA[[#This Row],[NB NOTA_C_QTY]]="","",ROW()-2)</f>
        <v>872</v>
      </c>
    </row>
    <row r="875" spans="1:48" ht="20.100000000000001" customHeight="1" x14ac:dyDescent="0.25">
      <c r="A8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>
        <f ca="1">IF(NOTA[[#This Row],[NAMA BARANG]]="","",INDEX(NOTA[ID],MATCH(,INDIRECT(ADDRESS(ROW(NOTA[ID]),COLUMN(NOTA[ID]))&amp;":"&amp;ADDRESS(ROW(),COLUMN(NOTA[ID]))),-1)))</f>
        <v>167</v>
      </c>
      <c r="E875" s="47"/>
      <c r="H875" s="48"/>
      <c r="L875" s="38" t="s">
        <v>935</v>
      </c>
      <c r="M875" s="41">
        <v>1</v>
      </c>
      <c r="N875" s="39">
        <v>96</v>
      </c>
      <c r="O875" s="38" t="s">
        <v>152</v>
      </c>
      <c r="P875" s="42">
        <v>29000</v>
      </c>
      <c r="Q875" s="43"/>
      <c r="R875" s="49" t="s">
        <v>161</v>
      </c>
      <c r="S875" s="50"/>
      <c r="U875" s="51"/>
      <c r="V875" s="46"/>
      <c r="W875" s="51">
        <f>IF(NOTA[[#This Row],[HARGA/ CTN]]="",NOTA[[#This Row],[JUMLAH_H]],NOTA[[#This Row],[HARGA/ CTN]]*IF(NOTA[[#This Row],[C]]="",0,NOTA[[#This Row],[C]]))</f>
        <v>2784000</v>
      </c>
      <c r="X875" s="51">
        <f>IF(NOTA[[#This Row],[JUMLAH]]="","",NOTA[[#This Row],[JUMLAH]]*NOTA[[#This Row],[DISC 1]])</f>
        <v>0</v>
      </c>
      <c r="Y875" s="51">
        <f>IF(NOTA[[#This Row],[JUMLAH]]="","",(NOTA[[#This Row],[JUMLAH]]-NOTA[[#This Row],[DISC 1-]])*NOTA[[#This Row],[DISC 2]])</f>
        <v>0</v>
      </c>
      <c r="Z875" s="51">
        <f>IF(NOTA[[#This Row],[JUMLAH]]="","",NOTA[[#This Row],[DISC 1-]]+NOTA[[#This Row],[DISC 2-]])</f>
        <v>0</v>
      </c>
      <c r="AA875" s="51">
        <f>IF(NOTA[[#This Row],[JUMLAH]]="","",NOTA[[#This Row],[JUMLAH]]-NOTA[[#This Row],[DISC]])</f>
        <v>2784000</v>
      </c>
      <c r="AB875" s="51"/>
      <c r="AC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5" s="51">
        <f>IF(OR(NOTA[[#This Row],[QTY]]="",NOTA[[#This Row],[HARGA SATUAN]]="",),"",NOTA[[#This Row],[QTY]]*NOTA[[#This Row],[HARGA SATUAN]])</f>
        <v>2784000</v>
      </c>
      <c r="AG875" s="40">
        <f ca="1">IF(NOTA[ID_H]="","",INDEX(NOTA[TANGGAL],MATCH(,INDIRECT(ADDRESS(ROW(NOTA[TANGGAL]),COLUMN(NOTA[TANGGAL]))&amp;":"&amp;ADDRESS(ROW(),COLUMN(NOTA[TANGGAL]))),-1)))</f>
        <v>45140</v>
      </c>
      <c r="AH875" s="42" t="str">
        <f ca="1">IF(NOTA[[#This Row],[NAMA BARANG]]="","",INDEX(NOTA[SUPPLIER],MATCH(,INDIRECT(ADDRESS(ROW(NOTA[ID]),COLUMN(NOTA[ID]))&amp;":"&amp;ADDRESS(ROW(),COLUMN(NOTA[ID]))),-1)))</f>
        <v>DB STATIONERY</v>
      </c>
      <c r="AI875" s="42" t="str">
        <f ca="1">IF(NOTA[[#This Row],[ID_H]]="","",IF(NOTA[[#This Row],[FAKTUR]]="",INDIRECT(ADDRESS(ROW()-1,COLUMN())),NOTA[[#This Row],[FAKTUR]]))</f>
        <v>UNTANA</v>
      </c>
      <c r="AJ875" s="39" t="str">
        <f ca="1">IF(NOTA[[#This Row],[ID]]="","",COUNTIF(NOTA[ID_H],NOTA[[#This Row],[ID_H]]))</f>
        <v/>
      </c>
      <c r="AK875" s="39">
        <f ca="1">IF(NOTA[[#This Row],[TGL.NOTA]]="",IF(NOTA[[#This Row],[SUPPLIER_H]]="","",AK874),MONTH(NOTA[[#This Row],[TGL.NOTA]]))</f>
        <v>7</v>
      </c>
      <c r="AL875" s="39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39" t="str">
        <f>IF(NOTA[[#This Row],[CONCAT4]]="","",_xlfn.IFNA(MATCH(NOTA[[#This Row],[CONCAT4]],[2]!RAW[CONCAT_H],0),FALSE))</f>
        <v/>
      </c>
      <c r="AQ875" s="39">
        <f>IF(NOTA[[#This Row],[CONCAT1]]="","",MATCH(NOTA[[#This Row],[CONCAT1]],[3]!db[NB NOTA_C],0))</f>
        <v>1715</v>
      </c>
      <c r="AR875" s="39" t="b">
        <f>IF(NOTA[[#This Row],[QTY/ CTN]]="","",TRUE)</f>
        <v>1</v>
      </c>
      <c r="AS875" s="39" t="str">
        <f ca="1">IF(NOTA[[#This Row],[ID_H]]="","",IF(NOTA[[#This Row],[Column3]]=TRUE,NOTA[[#This Row],[QTY/ CTN]],INDEX([3]!db[QTY/ CTN],NOTA[[#This Row],[//DB]])))</f>
        <v>96 LSN</v>
      </c>
      <c r="AT8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mekaniktizo20tm030e96lsnuntana</v>
      </c>
      <c r="AU875" s="39" t="e">
        <f ca="1">IF(NOTA[[#This Row],[ID_H]]="","",MATCH(NOTA[[#This Row],[NB NOTA_C_QTY]],[4]!db[NB NOTA_C_QTY+F],0))</f>
        <v>#REF!</v>
      </c>
      <c r="AV875" s="55">
        <f ca="1">IF(NOTA[[#This Row],[NB NOTA_C_QTY]]="","",ROW()-2)</f>
        <v>873</v>
      </c>
    </row>
    <row r="876" spans="1:48" ht="20.100000000000001" customHeight="1" x14ac:dyDescent="0.25">
      <c r="A8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>
        <f ca="1">IF(NOTA[[#This Row],[NAMA BARANG]]="","",INDEX(NOTA[ID],MATCH(,INDIRECT(ADDRESS(ROW(NOTA[ID]),COLUMN(NOTA[ID]))&amp;":"&amp;ADDRESS(ROW(),COLUMN(NOTA[ID]))),-1)))</f>
        <v>167</v>
      </c>
      <c r="E876" s="47"/>
      <c r="H876" s="48"/>
      <c r="L876" s="38" t="s">
        <v>223</v>
      </c>
      <c r="M876" s="41">
        <v>1</v>
      </c>
      <c r="N876" s="39">
        <v>96</v>
      </c>
      <c r="O876" s="38" t="s">
        <v>152</v>
      </c>
      <c r="P876" s="42">
        <v>29000</v>
      </c>
      <c r="Q876" s="43"/>
      <c r="R876" s="49" t="s">
        <v>161</v>
      </c>
      <c r="S876" s="50"/>
      <c r="U876" s="51"/>
      <c r="V876" s="46"/>
      <c r="W876" s="51">
        <f>IF(NOTA[[#This Row],[HARGA/ CTN]]="",NOTA[[#This Row],[JUMLAH_H]],NOTA[[#This Row],[HARGA/ CTN]]*IF(NOTA[[#This Row],[C]]="",0,NOTA[[#This Row],[C]]))</f>
        <v>2784000</v>
      </c>
      <c r="X876" s="51">
        <f>IF(NOTA[[#This Row],[JUMLAH]]="","",NOTA[[#This Row],[JUMLAH]]*NOTA[[#This Row],[DISC 1]])</f>
        <v>0</v>
      </c>
      <c r="Y876" s="51">
        <f>IF(NOTA[[#This Row],[JUMLAH]]="","",(NOTA[[#This Row],[JUMLAH]]-NOTA[[#This Row],[DISC 1-]])*NOTA[[#This Row],[DISC 2]])</f>
        <v>0</v>
      </c>
      <c r="Z876" s="51">
        <f>IF(NOTA[[#This Row],[JUMLAH]]="","",NOTA[[#This Row],[DISC 1-]]+NOTA[[#This Row],[DISC 2-]])</f>
        <v>0</v>
      </c>
      <c r="AA876" s="51">
        <f>IF(NOTA[[#This Row],[JUMLAH]]="","",NOTA[[#This Row],[JUMLAH]]-NOTA[[#This Row],[DISC]])</f>
        <v>2784000</v>
      </c>
      <c r="AB876" s="51"/>
      <c r="AC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6" s="51">
        <f>IF(OR(NOTA[[#This Row],[QTY]]="",NOTA[[#This Row],[HARGA SATUAN]]="",),"",NOTA[[#This Row],[QTY]]*NOTA[[#This Row],[HARGA SATUAN]])</f>
        <v>2784000</v>
      </c>
      <c r="AG876" s="40">
        <f ca="1">IF(NOTA[ID_H]="","",INDEX(NOTA[TANGGAL],MATCH(,INDIRECT(ADDRESS(ROW(NOTA[TANGGAL]),COLUMN(NOTA[TANGGAL]))&amp;":"&amp;ADDRESS(ROW(),COLUMN(NOTA[TANGGAL]))),-1)))</f>
        <v>45140</v>
      </c>
      <c r="AH876" s="42" t="str">
        <f ca="1">IF(NOTA[[#This Row],[NAMA BARANG]]="","",INDEX(NOTA[SUPPLIER],MATCH(,INDIRECT(ADDRESS(ROW(NOTA[ID]),COLUMN(NOTA[ID]))&amp;":"&amp;ADDRESS(ROW(),COLUMN(NOTA[ID]))),-1)))</f>
        <v>DB STATIONERY</v>
      </c>
      <c r="AI876" s="42" t="str">
        <f ca="1">IF(NOTA[[#This Row],[ID_H]]="","",IF(NOTA[[#This Row],[FAKTUR]]="",INDIRECT(ADDRESS(ROW()-1,COLUMN())),NOTA[[#This Row],[FAKTUR]]))</f>
        <v>UNTANA</v>
      </c>
      <c r="AJ876" s="39" t="str">
        <f ca="1">IF(NOTA[[#This Row],[ID]]="","",COUNTIF(NOTA[ID_H],NOTA[[#This Row],[ID_H]]))</f>
        <v/>
      </c>
      <c r="AK876" s="39">
        <f ca="1">IF(NOTA[[#This Row],[TGL.NOTA]]="",IF(NOTA[[#This Row],[SUPPLIER_H]]="","",AK875),MONTH(NOTA[[#This Row],[TGL.NOTA]]))</f>
        <v>7</v>
      </c>
      <c r="AL876" s="39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8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8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8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39" t="str">
        <f>IF(NOTA[[#This Row],[CONCAT4]]="","",_xlfn.IFNA(MATCH(NOTA[[#This Row],[CONCAT4]],[2]!RAW[CONCAT_H],0),FALSE))</f>
        <v/>
      </c>
      <c r="AQ876" s="39">
        <f>IF(NOTA[[#This Row],[CONCAT1]]="","",MATCH(NOTA[[#This Row],[CONCAT1]],[3]!db[NB NOTA_C],0))</f>
        <v>1680</v>
      </c>
      <c r="AR876" s="39" t="b">
        <f>IF(NOTA[[#This Row],[QTY/ CTN]]="","",TRUE)</f>
        <v>1</v>
      </c>
      <c r="AS876" s="39" t="str">
        <f ca="1">IF(NOTA[[#This Row],[ID_H]]="","",IF(NOTA[[#This Row],[Column3]]=TRUE,NOTA[[#This Row],[QTY/ CTN]],INDEX([3]!db[QTY/ CTN],NOTA[[#This Row],[//DB]])))</f>
        <v>96 LSN</v>
      </c>
      <c r="AT8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U876" s="39" t="e">
        <f ca="1">IF(NOTA[[#This Row],[ID_H]]="","",MATCH(NOTA[[#This Row],[NB NOTA_C_QTY]],[4]!db[NB NOTA_C_QTY+F],0))</f>
        <v>#REF!</v>
      </c>
      <c r="AV876" s="55">
        <f ca="1">IF(NOTA[[#This Row],[NB NOTA_C_QTY]]="","",ROW()-2)</f>
        <v>874</v>
      </c>
    </row>
    <row r="877" spans="1:48" ht="20.100000000000001" customHeight="1" x14ac:dyDescent="0.25">
      <c r="A8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>
        <f ca="1">IF(NOTA[[#This Row],[NAMA BARANG]]="","",INDEX(NOTA[ID],MATCH(,INDIRECT(ADDRESS(ROW(NOTA[ID]),COLUMN(NOTA[ID]))&amp;":"&amp;ADDRESS(ROW(),COLUMN(NOTA[ID]))),-1)))</f>
        <v>167</v>
      </c>
      <c r="E877" s="47"/>
      <c r="H877" s="48"/>
      <c r="L877" s="38" t="s">
        <v>936</v>
      </c>
      <c r="N877" s="39">
        <v>24</v>
      </c>
      <c r="O877" s="38" t="s">
        <v>937</v>
      </c>
      <c r="P877" s="42">
        <v>60000</v>
      </c>
      <c r="Q877" s="43"/>
      <c r="R877" s="49" t="s">
        <v>938</v>
      </c>
      <c r="S877" s="50"/>
      <c r="U877" s="51"/>
      <c r="V877" s="46"/>
      <c r="W877" s="51">
        <f>IF(NOTA[[#This Row],[HARGA/ CTN]]="",NOTA[[#This Row],[JUMLAH_H]],NOTA[[#This Row],[HARGA/ CTN]]*IF(NOTA[[#This Row],[C]]="",0,NOTA[[#This Row],[C]]))</f>
        <v>1440000</v>
      </c>
      <c r="X877" s="51">
        <f>IF(NOTA[[#This Row],[JUMLAH]]="","",NOTA[[#This Row],[JUMLAH]]*NOTA[[#This Row],[DISC 1]])</f>
        <v>0</v>
      </c>
      <c r="Y877" s="51">
        <f>IF(NOTA[[#This Row],[JUMLAH]]="","",(NOTA[[#This Row],[JUMLAH]]-NOTA[[#This Row],[DISC 1-]])*NOTA[[#This Row],[DISC 2]])</f>
        <v>0</v>
      </c>
      <c r="Z877" s="51">
        <f>IF(NOTA[[#This Row],[JUMLAH]]="","",NOTA[[#This Row],[DISC 1-]]+NOTA[[#This Row],[DISC 2-]])</f>
        <v>0</v>
      </c>
      <c r="AA877" s="51">
        <f>IF(NOTA[[#This Row],[JUMLAH]]="","",NOTA[[#This Row],[JUMLAH]]-NOTA[[#This Row],[DISC]])</f>
        <v>1440000</v>
      </c>
      <c r="AB877" s="51"/>
      <c r="AC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877" s="51">
        <f>IF(OR(NOTA[[#This Row],[QTY]]="",NOTA[[#This Row],[HARGA SATUAN]]="",),"",NOTA[[#This Row],[QTY]]*NOTA[[#This Row],[HARGA SATUAN]])</f>
        <v>1440000</v>
      </c>
      <c r="AG877" s="40">
        <f ca="1">IF(NOTA[ID_H]="","",INDEX(NOTA[TANGGAL],MATCH(,INDIRECT(ADDRESS(ROW(NOTA[TANGGAL]),COLUMN(NOTA[TANGGAL]))&amp;":"&amp;ADDRESS(ROW(),COLUMN(NOTA[TANGGAL]))),-1)))</f>
        <v>45140</v>
      </c>
      <c r="AH877" s="42" t="str">
        <f ca="1">IF(NOTA[[#This Row],[NAMA BARANG]]="","",INDEX(NOTA[SUPPLIER],MATCH(,INDIRECT(ADDRESS(ROW(NOTA[ID]),COLUMN(NOTA[ID]))&amp;":"&amp;ADDRESS(ROW(),COLUMN(NOTA[ID]))),-1)))</f>
        <v>DB STATIONERY</v>
      </c>
      <c r="AI877" s="42" t="str">
        <f ca="1">IF(NOTA[[#This Row],[ID_H]]="","",IF(NOTA[[#This Row],[FAKTUR]]="",INDIRECT(ADDRESS(ROW()-1,COLUMN())),NOTA[[#This Row],[FAKTUR]]))</f>
        <v>UNTANA</v>
      </c>
      <c r="AJ877" s="39" t="str">
        <f ca="1">IF(NOTA[[#This Row],[ID]]="","",COUNTIF(NOTA[ID_H],NOTA[[#This Row],[ID_H]]))</f>
        <v/>
      </c>
      <c r="AK877" s="39">
        <f ca="1">IF(NOTA[[#This Row],[TGL.NOTA]]="",IF(NOTA[[#This Row],[SUPPLIER_H]]="","",AK876),MONTH(NOTA[[#This Row],[TGL.NOTA]]))</f>
        <v>7</v>
      </c>
      <c r="AL877" s="39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M8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N8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rautankittytoplesr584260000</v>
      </c>
      <c r="AO8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39" t="str">
        <f>IF(NOTA[[#This Row],[CONCAT4]]="","",_xlfn.IFNA(MATCH(NOTA[[#This Row],[CONCAT4]],[2]!RAW[CONCAT_H],0),FALSE))</f>
        <v/>
      </c>
      <c r="AQ877" s="39">
        <f>IF(NOTA[[#This Row],[CONCAT1]]="","",MATCH(NOTA[[#This Row],[CONCAT1]],[3]!db[NB NOTA_C],0))</f>
        <v>115</v>
      </c>
      <c r="AR877" s="39" t="b">
        <f>IF(NOTA[[#This Row],[QTY/ CTN]]="","",TRUE)</f>
        <v>1</v>
      </c>
      <c r="AS877" s="39" t="str">
        <f ca="1">IF(NOTA[[#This Row],[ID_H]]="","",IF(NOTA[[#This Row],[Column3]]=TRUE,NOTA[[#This Row],[QTY/ CTN]],INDEX([3]!db[QTY/ CTN],NOTA[[#This Row],[//DB]])))</f>
        <v xml:space="preserve">24 TOP </v>
      </c>
      <c r="AT8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U877" s="39" t="e">
        <f ca="1">IF(NOTA[[#This Row],[ID_H]]="","",MATCH(NOTA[[#This Row],[NB NOTA_C_QTY]],[4]!db[NB NOTA_C_QTY+F],0))</f>
        <v>#REF!</v>
      </c>
      <c r="AV877" s="55">
        <f ca="1">IF(NOTA[[#This Row],[NB NOTA_C_QTY]]="","",ROW()-2)</f>
        <v>875</v>
      </c>
    </row>
    <row r="878" spans="1:48" ht="20.100000000000001" customHeight="1" x14ac:dyDescent="0.25">
      <c r="A8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>
        <f ca="1">IF(NOTA[[#This Row],[NAMA BARANG]]="","",INDEX(NOTA[ID],MATCH(,INDIRECT(ADDRESS(ROW(NOTA[ID]),COLUMN(NOTA[ID]))&amp;":"&amp;ADDRESS(ROW(),COLUMN(NOTA[ID]))),-1)))</f>
        <v>167</v>
      </c>
      <c r="E878" s="47"/>
      <c r="H878" s="48"/>
      <c r="L878" s="38" t="s">
        <v>939</v>
      </c>
      <c r="N878" s="39">
        <v>8</v>
      </c>
      <c r="O878" s="38" t="s">
        <v>117</v>
      </c>
      <c r="Q878" s="43"/>
      <c r="R878" s="49" t="s">
        <v>940</v>
      </c>
      <c r="S878" s="50"/>
      <c r="U878" s="51"/>
      <c r="V878" s="46"/>
      <c r="W878" s="51" t="str">
        <f>IF(NOTA[[#This Row],[HARGA/ CTN]]="",NOTA[[#This Row],[JUMLAH_H]],NOTA[[#This Row],[HARGA/ CTN]]*IF(NOTA[[#This Row],[C]]="",0,NOTA[[#This Row],[C]]))</f>
        <v/>
      </c>
      <c r="X878" s="51" t="str">
        <f>IF(NOTA[[#This Row],[JUMLAH]]="","",NOTA[[#This Row],[JUMLAH]]*NOTA[[#This Row],[DISC 1]])</f>
        <v/>
      </c>
      <c r="Y878" s="51" t="str">
        <f>IF(NOTA[[#This Row],[JUMLAH]]="","",(NOTA[[#This Row],[JUMLAH]]-NOTA[[#This Row],[DISC 1-]])*NOTA[[#This Row],[DISC 2]])</f>
        <v/>
      </c>
      <c r="Z878" s="51" t="str">
        <f>IF(NOTA[[#This Row],[JUMLAH]]="","",NOTA[[#This Row],[DISC 1-]]+NOTA[[#This Row],[DISC 2-]])</f>
        <v/>
      </c>
      <c r="AA878" s="51" t="str">
        <f>IF(NOTA[[#This Row],[JUMLAH]]="","",NOTA[[#This Row],[JUMLAH]]-NOTA[[#This Row],[DISC]])</f>
        <v/>
      </c>
      <c r="AB878" s="51"/>
      <c r="AC8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67092000</v>
      </c>
      <c r="AE87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78" s="51" t="str">
        <f>IF(OR(NOTA[[#This Row],[QTY]]="",NOTA[[#This Row],[HARGA SATUAN]]="",),"",NOTA[[#This Row],[QTY]]*NOTA[[#This Row],[HARGA SATUAN]])</f>
        <v/>
      </c>
      <c r="AG878" s="40">
        <f ca="1">IF(NOTA[ID_H]="","",INDEX(NOTA[TANGGAL],MATCH(,INDIRECT(ADDRESS(ROW(NOTA[TANGGAL]),COLUMN(NOTA[TANGGAL]))&amp;":"&amp;ADDRESS(ROW(),COLUMN(NOTA[TANGGAL]))),-1)))</f>
        <v>45140</v>
      </c>
      <c r="AH878" s="42" t="str">
        <f ca="1">IF(NOTA[[#This Row],[NAMA BARANG]]="","",INDEX(NOTA[SUPPLIER],MATCH(,INDIRECT(ADDRESS(ROW(NOTA[ID]),COLUMN(NOTA[ID]))&amp;":"&amp;ADDRESS(ROW(),COLUMN(NOTA[ID]))),-1)))</f>
        <v>DB STATIONERY</v>
      </c>
      <c r="AI878" s="42" t="str">
        <f ca="1">IF(NOTA[[#This Row],[ID_H]]="","",IF(NOTA[[#This Row],[FAKTUR]]="",INDIRECT(ADDRESS(ROW()-1,COLUMN())),NOTA[[#This Row],[FAKTUR]]))</f>
        <v>UNTANA</v>
      </c>
      <c r="AJ878" s="39" t="str">
        <f ca="1">IF(NOTA[[#This Row],[ID]]="","",COUNTIF(NOTA[ID_H],NOTA[[#This Row],[ID_H]]))</f>
        <v/>
      </c>
      <c r="AK878" s="39">
        <f ca="1">IF(NOTA[[#This Row],[TGL.NOTA]]="",IF(NOTA[[#This Row],[SUPPLIER_H]]="","",AK877),MONTH(NOTA[[#This Row],[TGL.NOTA]]))</f>
        <v>7</v>
      </c>
      <c r="AL878" s="39" t="str">
        <f>LOWER(SUBSTITUTE(SUBSTITUTE(SUBSTITUTE(SUBSTITUTE(SUBSTITUTE(SUBSTITUTE(SUBSTITUTE(SUBSTITUTE(SUBSTITUTE(NOTA[NAMA BARANG]," ",),".",""),"-",""),"(",""),")",""),",",""),"/",""),"""",""),"+",""))</f>
        <v>rmejaxlgsx003602l</v>
      </c>
      <c r="AM8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rmejaxlgsx003602l0</v>
      </c>
      <c r="AN8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rmejaxlgsx003602l0</v>
      </c>
      <c r="AO8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39" t="str">
        <f>IF(NOTA[[#This Row],[CONCAT4]]="","",_xlfn.IFNA(MATCH(NOTA[[#This Row],[CONCAT4]],[2]!RAW[CONCAT_H],0),FALSE))</f>
        <v/>
      </c>
      <c r="AQ878" s="39">
        <f>IF(NOTA[[#This Row],[CONCAT1]]="","",MATCH(NOTA[[#This Row],[CONCAT1]],[3]!db[NB NOTA_C],0))</f>
        <v>88</v>
      </c>
      <c r="AR878" s="39" t="b">
        <f>IF(NOTA[[#This Row],[QTY/ CTN]]="","",TRUE)</f>
        <v>1</v>
      </c>
      <c r="AS878" s="39" t="str">
        <f ca="1">IF(NOTA[[#This Row],[ID_H]]="","",IF(NOTA[[#This Row],[Column3]]=TRUE,NOTA[[#This Row],[QTY/ CTN]],INDEX([3]!db[QTY/ CTN],NOTA[[#This Row],[//DB]])))</f>
        <v>8 PCS</v>
      </c>
      <c r="AT8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rmejaxlgsx003602l8pcsuntana</v>
      </c>
      <c r="AU878" s="39" t="e">
        <f ca="1">IF(NOTA[[#This Row],[ID_H]]="","",MATCH(NOTA[[#This Row],[NB NOTA_C_QTY]],[4]!db[NB NOTA_C_QTY+F],0))</f>
        <v>#REF!</v>
      </c>
      <c r="AV878" s="55">
        <f ca="1">IF(NOTA[[#This Row],[NB NOTA_C_QTY]]="","",ROW()-2)</f>
        <v>876</v>
      </c>
    </row>
    <row r="879" spans="1:48" ht="20.100000000000001" customHeight="1" x14ac:dyDescent="0.25">
      <c r="A8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47"/>
      <c r="H879" s="48"/>
      <c r="N879" s="39"/>
      <c r="Q879" s="43"/>
      <c r="R879" s="49"/>
      <c r="S879" s="50"/>
      <c r="U879" s="51"/>
      <c r="V879" s="46"/>
      <c r="W879" s="51" t="str">
        <f>IF(NOTA[[#This Row],[HARGA/ CTN]]="",NOTA[[#This Row],[JUMLAH_H]],NOTA[[#This Row],[HARGA/ CTN]]*IF(NOTA[[#This Row],[C]]="",0,NOTA[[#This Row],[C]]))</f>
        <v/>
      </c>
      <c r="X879" s="51" t="str">
        <f>IF(NOTA[[#This Row],[JUMLAH]]="","",NOTA[[#This Row],[JUMLAH]]*NOTA[[#This Row],[DISC 1]])</f>
        <v/>
      </c>
      <c r="Y879" s="51" t="str">
        <f>IF(NOTA[[#This Row],[JUMLAH]]="","",(NOTA[[#This Row],[JUMLAH]]-NOTA[[#This Row],[DISC 1-]])*NOTA[[#This Row],[DISC 2]])</f>
        <v/>
      </c>
      <c r="Z879" s="51" t="str">
        <f>IF(NOTA[[#This Row],[JUMLAH]]="","",NOTA[[#This Row],[DISC 1-]]+NOTA[[#This Row],[DISC 2-]])</f>
        <v/>
      </c>
      <c r="AA879" s="51" t="str">
        <f>IF(NOTA[[#This Row],[JUMLAH]]="","",NOTA[[#This Row],[JUMLAH]]-NOTA[[#This Row],[DISC]])</f>
        <v/>
      </c>
      <c r="AB879" s="51"/>
      <c r="AC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51" t="str">
        <f>IF(OR(NOTA[[#This Row],[QTY]]="",NOTA[[#This Row],[HARGA SATUAN]]="",),"",NOTA[[#This Row],[QTY]]*NOTA[[#This Row],[HARGA SATUAN]])</f>
        <v/>
      </c>
      <c r="AG879" s="40" t="str">
        <f ca="1">IF(NOTA[ID_H]="","",INDEX(NOTA[TANGGAL],MATCH(,INDIRECT(ADDRESS(ROW(NOTA[TANGGAL]),COLUMN(NOTA[TANGGAL]))&amp;":"&amp;ADDRESS(ROW(),COLUMN(NOTA[TANGGAL]))),-1)))</f>
        <v/>
      </c>
      <c r="AH879" s="42" t="str">
        <f ca="1">IF(NOTA[[#This Row],[NAMA BARANG]]="","",INDEX(NOTA[SUPPLIER],MATCH(,INDIRECT(ADDRESS(ROW(NOTA[ID]),COLUMN(NOTA[ID]))&amp;":"&amp;ADDRESS(ROW(),COLUMN(NOTA[ID]))),-1)))</f>
        <v/>
      </c>
      <c r="AI879" s="42" t="str">
        <f ca="1">IF(NOTA[[#This Row],[ID_H]]="","",IF(NOTA[[#This Row],[FAKTUR]]="",INDIRECT(ADDRESS(ROW()-1,COLUMN())),NOTA[[#This Row],[FAKTUR]]))</f>
        <v/>
      </c>
      <c r="AJ879" s="39" t="str">
        <f ca="1">IF(NOTA[[#This Row],[ID]]="","",COUNTIF(NOTA[ID_H],NOTA[[#This Row],[ID_H]]))</f>
        <v/>
      </c>
      <c r="AK879" s="39" t="str">
        <f ca="1">IF(NOTA[[#This Row],[TGL.NOTA]]="",IF(NOTA[[#This Row],[SUPPLIER_H]]="","",AK878),MONTH(NOTA[[#This Row],[TGL.NOTA]]))</f>
        <v/>
      </c>
      <c r="AL879" s="39" t="str">
        <f>LOWER(SUBSTITUTE(SUBSTITUTE(SUBSTITUTE(SUBSTITUTE(SUBSTITUTE(SUBSTITUTE(SUBSTITUTE(SUBSTITUTE(SUBSTITUTE(NOTA[NAMA BARANG]," ",),".",""),"-",""),"(",""),")",""),",",""),"/",""),"""",""),"+",""))</f>
        <v/>
      </c>
      <c r="AM8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39" t="str">
        <f>IF(NOTA[[#This Row],[CONCAT4]]="","",_xlfn.IFNA(MATCH(NOTA[[#This Row],[CONCAT4]],[2]!RAW[CONCAT_H],0),FALSE))</f>
        <v/>
      </c>
      <c r="AQ879" s="39" t="str">
        <f>IF(NOTA[[#This Row],[CONCAT1]]="","",MATCH(NOTA[[#This Row],[CONCAT1]],[3]!db[NB NOTA_C],0))</f>
        <v/>
      </c>
      <c r="AR879" s="39" t="str">
        <f>IF(NOTA[[#This Row],[QTY/ CTN]]="","",TRUE)</f>
        <v/>
      </c>
      <c r="AS879" s="39" t="str">
        <f ca="1">IF(NOTA[[#This Row],[ID_H]]="","",IF(NOTA[[#This Row],[Column3]]=TRUE,NOTA[[#This Row],[QTY/ CTN]],INDEX([3]!db[QTY/ CTN],NOTA[[#This Row],[//DB]])))</f>
        <v/>
      </c>
      <c r="AT8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39" t="str">
        <f ca="1">IF(NOTA[[#This Row],[ID_H]]="","",MATCH(NOTA[[#This Row],[NB NOTA_C_QTY]],[4]!db[NB NOTA_C_QTY+F],0))</f>
        <v/>
      </c>
      <c r="AV879" s="55" t="str">
        <f ca="1">IF(NOTA[[#This Row],[NB NOTA_C_QTY]]="","",ROW()-2)</f>
        <v/>
      </c>
    </row>
    <row r="880" spans="1:48" ht="20.100000000000001" customHeight="1" x14ac:dyDescent="0.25">
      <c r="A880" s="42">
        <f ca="1">IF(INDIRECT(ADDRESS(ROW()-1,COLUMN(NOTA[[#Headers],[ID]])))="ID",1,IF(NOTA[[#This Row],[FAKTUR]]="","",COUNT(INDIRECT(ADDRESS(ROW(NOTA[ID]),COLUMN(NOTA[ID]))&amp;":"&amp;ADDRESS(ROW()-1,COLUMN(NOTA[ID]))))+1))</f>
        <v>168</v>
      </c>
      <c r="B8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DBS_0208_923-12</v>
      </c>
      <c r="C880" s="39" t="e">
        <f ca="1">IF(NOTA[[#This Row],[ID_P]]="","",MATCH(NOTA[[#This Row],[ID_P]],[1]!B_MSK[N_ID],0))</f>
        <v>#REF!</v>
      </c>
      <c r="D880" s="39">
        <f ca="1">IF(NOTA[[#This Row],[NAMA BARANG]]="","",INDEX(NOTA[ID],MATCH(,INDIRECT(ADDRESS(ROW(NOTA[ID]),COLUMN(NOTA[ID]))&amp;":"&amp;ADDRESS(ROW(),COLUMN(NOTA[ID]))),-1)))</f>
        <v>168</v>
      </c>
      <c r="E880" s="47"/>
      <c r="F880" s="38" t="s">
        <v>218</v>
      </c>
      <c r="G880" s="38" t="s">
        <v>145</v>
      </c>
      <c r="H880" s="48" t="s">
        <v>941</v>
      </c>
      <c r="J880" s="40">
        <v>45138</v>
      </c>
      <c r="L880" s="38" t="s">
        <v>246</v>
      </c>
      <c r="M880" s="41">
        <v>7</v>
      </c>
      <c r="N880" s="39">
        <v>672</v>
      </c>
      <c r="O880" s="38" t="s">
        <v>152</v>
      </c>
      <c r="P880" s="42">
        <v>31500</v>
      </c>
      <c r="Q880" s="43"/>
      <c r="R880" s="49" t="s">
        <v>161</v>
      </c>
      <c r="S880" s="50"/>
      <c r="U880" s="51"/>
      <c r="V880" s="46"/>
      <c r="W880" s="51">
        <f>IF(NOTA[[#This Row],[HARGA/ CTN]]="",NOTA[[#This Row],[JUMLAH_H]],NOTA[[#This Row],[HARGA/ CTN]]*IF(NOTA[[#This Row],[C]]="",0,NOTA[[#This Row],[C]]))</f>
        <v>21168000</v>
      </c>
      <c r="X880" s="51">
        <f>IF(NOTA[[#This Row],[JUMLAH]]="","",NOTA[[#This Row],[JUMLAH]]*NOTA[[#This Row],[DISC 1]])</f>
        <v>0</v>
      </c>
      <c r="Y880" s="51">
        <f>IF(NOTA[[#This Row],[JUMLAH]]="","",(NOTA[[#This Row],[JUMLAH]]-NOTA[[#This Row],[DISC 1-]])*NOTA[[#This Row],[DISC 2]])</f>
        <v>0</v>
      </c>
      <c r="Z880" s="51">
        <f>IF(NOTA[[#This Row],[JUMLAH]]="","",NOTA[[#This Row],[DISC 1-]]+NOTA[[#This Row],[DISC 2-]])</f>
        <v>0</v>
      </c>
      <c r="AA880" s="51">
        <f>IF(NOTA[[#This Row],[JUMLAH]]="","",NOTA[[#This Row],[JUMLAH]]-NOTA[[#This Row],[DISC]])</f>
        <v>21168000</v>
      </c>
      <c r="AB880" s="51"/>
      <c r="AC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80" s="51">
        <f>IF(OR(NOTA[[#This Row],[QTY]]="",NOTA[[#This Row],[HARGA SATUAN]]="",),"",NOTA[[#This Row],[QTY]]*NOTA[[#This Row],[HARGA SATUAN]])</f>
        <v>21168000</v>
      </c>
      <c r="AG880" s="40">
        <f ca="1">IF(NOTA[ID_H]="","",INDEX(NOTA[TANGGAL],MATCH(,INDIRECT(ADDRESS(ROW(NOTA[TANGGAL]),COLUMN(NOTA[TANGGAL]))&amp;":"&amp;ADDRESS(ROW(),COLUMN(NOTA[TANGGAL]))),-1)))</f>
        <v>45140</v>
      </c>
      <c r="AH880" s="42" t="str">
        <f ca="1">IF(NOTA[[#This Row],[NAMA BARANG]]="","",INDEX(NOTA[SUPPLIER],MATCH(,INDIRECT(ADDRESS(ROW(NOTA[ID]),COLUMN(NOTA[ID]))&amp;":"&amp;ADDRESS(ROW(),COLUMN(NOTA[ID]))),-1)))</f>
        <v>DB STATIONERY</v>
      </c>
      <c r="AI880" s="42" t="str">
        <f ca="1">IF(NOTA[[#This Row],[ID_H]]="","",IF(NOTA[[#This Row],[FAKTUR]]="",INDIRECT(ADDRESS(ROW()-1,COLUMN())),NOTA[[#This Row],[FAKTUR]]))</f>
        <v>UNTANA</v>
      </c>
      <c r="AJ880" s="39">
        <f ca="1">IF(NOTA[[#This Row],[ID]]="","",COUNTIF(NOTA[ID_H],NOTA[[#This Row],[ID_H]]))</f>
        <v>12</v>
      </c>
      <c r="AK880" s="39">
        <f>IF(NOTA[[#This Row],[TGL.NOTA]]="",IF(NOTA[[#This Row],[SUPPLIER_H]]="","",AK879),MONTH(NOTA[[#This Row],[TGL.NOTA]]))</f>
        <v>7</v>
      </c>
      <c r="AL880" s="39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8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STATIONERYUNTANAJUG739/2345138gelpentizo10tg340</v>
      </c>
      <c r="AP880" s="39" t="e">
        <f>IF(NOTA[[#This Row],[CONCAT4]]="","",_xlfn.IFNA(MATCH(NOTA[[#This Row],[CONCAT4]],[2]!RAW[CONCAT_H],0),FALSE))</f>
        <v>#REF!</v>
      </c>
      <c r="AQ880" s="39">
        <f>IF(NOTA[[#This Row],[CONCAT1]]="","",MATCH(NOTA[[#This Row],[CONCAT1]],[3]!db[NB NOTA_C],0))</f>
        <v>700</v>
      </c>
      <c r="AR880" s="39" t="b">
        <f>IF(NOTA[[#This Row],[QTY/ CTN]]="","",TRUE)</f>
        <v>1</v>
      </c>
      <c r="AS880" s="39" t="str">
        <f ca="1">IF(NOTA[[#This Row],[ID_H]]="","",IF(NOTA[[#This Row],[Column3]]=TRUE,NOTA[[#This Row],[QTY/ CTN]],INDEX([3]!db[QTY/ CTN],NOTA[[#This Row],[//DB]])))</f>
        <v>96 LSN</v>
      </c>
      <c r="AT8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880" s="39" t="e">
        <f ca="1">IF(NOTA[[#This Row],[ID_H]]="","",MATCH(NOTA[[#This Row],[NB NOTA_C_QTY]],[4]!db[NB NOTA_C_QTY+F],0))</f>
        <v>#REF!</v>
      </c>
      <c r="AV880" s="55">
        <f ca="1">IF(NOTA[[#This Row],[NB NOTA_C_QTY]]="","",ROW()-2)</f>
        <v>878</v>
      </c>
    </row>
    <row r="881" spans="1:48" ht="20.100000000000001" customHeight="1" x14ac:dyDescent="0.25">
      <c r="A8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>
        <f ca="1">IF(NOTA[[#This Row],[NAMA BARANG]]="","",INDEX(NOTA[ID],MATCH(,INDIRECT(ADDRESS(ROW(NOTA[ID]),COLUMN(NOTA[ID]))&amp;":"&amp;ADDRESS(ROW(),COLUMN(NOTA[ID]))),-1)))</f>
        <v>168</v>
      </c>
      <c r="E881" s="47"/>
      <c r="H881" s="48"/>
      <c r="L881" s="38" t="s">
        <v>992</v>
      </c>
      <c r="M881" s="41">
        <v>3</v>
      </c>
      <c r="N881" s="39">
        <v>288</v>
      </c>
      <c r="O881" s="38" t="s">
        <v>152</v>
      </c>
      <c r="P881" s="42">
        <v>31500</v>
      </c>
      <c r="Q881" s="43"/>
      <c r="R881" s="49" t="s">
        <v>161</v>
      </c>
      <c r="S881" s="50"/>
      <c r="U881" s="51"/>
      <c r="V881" s="46"/>
      <c r="W881" s="51">
        <f>IF(NOTA[[#This Row],[HARGA/ CTN]]="",NOTA[[#This Row],[JUMLAH_H]],NOTA[[#This Row],[HARGA/ CTN]]*IF(NOTA[[#This Row],[C]]="",0,NOTA[[#This Row],[C]]))</f>
        <v>9072000</v>
      </c>
      <c r="X881" s="51">
        <f>IF(NOTA[[#This Row],[JUMLAH]]="","",NOTA[[#This Row],[JUMLAH]]*NOTA[[#This Row],[DISC 1]])</f>
        <v>0</v>
      </c>
      <c r="Y881" s="51">
        <f>IF(NOTA[[#This Row],[JUMLAH]]="","",(NOTA[[#This Row],[JUMLAH]]-NOTA[[#This Row],[DISC 1-]])*NOTA[[#This Row],[DISC 2]])</f>
        <v>0</v>
      </c>
      <c r="Z881" s="51">
        <f>IF(NOTA[[#This Row],[JUMLAH]]="","",NOTA[[#This Row],[DISC 1-]]+NOTA[[#This Row],[DISC 2-]])</f>
        <v>0</v>
      </c>
      <c r="AA881" s="51">
        <f>IF(NOTA[[#This Row],[JUMLAH]]="","",NOTA[[#This Row],[JUMLAH]]-NOTA[[#This Row],[DISC]])</f>
        <v>9072000</v>
      </c>
      <c r="AB881" s="51"/>
      <c r="AC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81" s="51">
        <f>IF(OR(NOTA[[#This Row],[QTY]]="",NOTA[[#This Row],[HARGA SATUAN]]="",),"",NOTA[[#This Row],[QTY]]*NOTA[[#This Row],[HARGA SATUAN]])</f>
        <v>9072000</v>
      </c>
      <c r="AG881" s="40">
        <f ca="1">IF(NOTA[ID_H]="","",INDEX(NOTA[TANGGAL],MATCH(,INDIRECT(ADDRESS(ROW(NOTA[TANGGAL]),COLUMN(NOTA[TANGGAL]))&amp;":"&amp;ADDRESS(ROW(),COLUMN(NOTA[TANGGAL]))),-1)))</f>
        <v>45140</v>
      </c>
      <c r="AH881" s="42" t="str">
        <f ca="1">IF(NOTA[[#This Row],[NAMA BARANG]]="","",INDEX(NOTA[SUPPLIER],MATCH(,INDIRECT(ADDRESS(ROW(NOTA[ID]),COLUMN(NOTA[ID]))&amp;":"&amp;ADDRESS(ROW(),COLUMN(NOTA[ID]))),-1)))</f>
        <v>DB STATIONERY</v>
      </c>
      <c r="AI881" s="42" t="str">
        <f ca="1">IF(NOTA[[#This Row],[ID_H]]="","",IF(NOTA[[#This Row],[FAKTUR]]="",INDIRECT(ADDRESS(ROW()-1,COLUMN())),NOTA[[#This Row],[FAKTUR]]))</f>
        <v>UNTANA</v>
      </c>
      <c r="AJ881" s="39" t="str">
        <f ca="1">IF(NOTA[[#This Row],[ID]]="","",COUNTIF(NOTA[ID_H],NOTA[[#This Row],[ID_H]]))</f>
        <v/>
      </c>
      <c r="AK881" s="39">
        <f ca="1">IF(NOTA[[#This Row],[TGL.NOTA]]="",IF(NOTA[[#This Row],[SUPPLIER_H]]="","",AK880),MONTH(NOTA[[#This Row],[TGL.NOTA]]))</f>
        <v>7</v>
      </c>
      <c r="AL881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39" t="str">
        <f>IF(NOTA[[#This Row],[CONCAT4]]="","",_xlfn.IFNA(MATCH(NOTA[[#This Row],[CONCAT4]],[2]!RAW[CONCAT_H],0),FALSE))</f>
        <v/>
      </c>
      <c r="AQ881" s="39">
        <f>IF(NOTA[[#This Row],[CONCAT1]]="","",MATCH(NOTA[[#This Row],[CONCAT1]],[3]!db[NB NOTA_C],0))</f>
        <v>702</v>
      </c>
      <c r="AR881" s="39" t="b">
        <f>IF(NOTA[[#This Row],[QTY/ CTN]]="","",TRUE)</f>
        <v>1</v>
      </c>
      <c r="AS881" s="39" t="str">
        <f ca="1">IF(NOTA[[#This Row],[ID_H]]="","",IF(NOTA[[#This Row],[Column3]]=TRUE,NOTA[[#This Row],[QTY/ CTN]],INDEX([3]!db[QTY/ CTN],NOTA[[#This Row],[//DB]])))</f>
        <v>96 LSN</v>
      </c>
      <c r="AT8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881" s="39" t="e">
        <f ca="1">IF(NOTA[[#This Row],[ID_H]]="","",MATCH(NOTA[[#This Row],[NB NOTA_C_QTY]],[4]!db[NB NOTA_C_QTY+F],0))</f>
        <v>#REF!</v>
      </c>
      <c r="AV881" s="55">
        <f ca="1">IF(NOTA[[#This Row],[NB NOTA_C_QTY]]="","",ROW()-2)</f>
        <v>879</v>
      </c>
    </row>
    <row r="882" spans="1:48" ht="20.100000000000001" customHeight="1" x14ac:dyDescent="0.25">
      <c r="A8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>
        <f ca="1">IF(NOTA[[#This Row],[NAMA BARANG]]="","",INDEX(NOTA[ID],MATCH(,INDIRECT(ADDRESS(ROW(NOTA[ID]),COLUMN(NOTA[ID]))&amp;":"&amp;ADDRESS(ROW(),COLUMN(NOTA[ID]))),-1)))</f>
        <v>168</v>
      </c>
      <c r="E882" s="47"/>
      <c r="H882" s="48"/>
      <c r="L882" s="38" t="s">
        <v>942</v>
      </c>
      <c r="M882" s="41">
        <v>5</v>
      </c>
      <c r="N882" s="39">
        <v>160</v>
      </c>
      <c r="O882" s="38" t="s">
        <v>210</v>
      </c>
      <c r="P882" s="42">
        <v>49500</v>
      </c>
      <c r="Q882" s="43"/>
      <c r="R882" s="49" t="s">
        <v>943</v>
      </c>
      <c r="S882" s="50"/>
      <c r="U882" s="51"/>
      <c r="V882" s="46"/>
      <c r="W882" s="51">
        <f>IF(NOTA[[#This Row],[HARGA/ CTN]]="",NOTA[[#This Row],[JUMLAH_H]],NOTA[[#This Row],[HARGA/ CTN]]*IF(NOTA[[#This Row],[C]]="",0,NOTA[[#This Row],[C]]))</f>
        <v>7920000</v>
      </c>
      <c r="X882" s="51">
        <f>IF(NOTA[[#This Row],[JUMLAH]]="","",NOTA[[#This Row],[JUMLAH]]*NOTA[[#This Row],[DISC 1]])</f>
        <v>0</v>
      </c>
      <c r="Y882" s="51">
        <f>IF(NOTA[[#This Row],[JUMLAH]]="","",(NOTA[[#This Row],[JUMLAH]]-NOTA[[#This Row],[DISC 1-]])*NOTA[[#This Row],[DISC 2]])</f>
        <v>0</v>
      </c>
      <c r="Z882" s="51">
        <f>IF(NOTA[[#This Row],[JUMLAH]]="","",NOTA[[#This Row],[DISC 1-]]+NOTA[[#This Row],[DISC 2-]])</f>
        <v>0</v>
      </c>
      <c r="AA882" s="51">
        <f>IF(NOTA[[#This Row],[JUMLAH]]="","",NOTA[[#This Row],[JUMLAH]]-NOTA[[#This Row],[DISC]])</f>
        <v>7920000</v>
      </c>
      <c r="AB882" s="51"/>
      <c r="AC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2" s="51">
        <f>IF(OR(NOTA[[#This Row],[QTY]]="",NOTA[[#This Row],[HARGA SATUAN]]="",),"",NOTA[[#This Row],[QTY]]*NOTA[[#This Row],[HARGA SATUAN]])</f>
        <v>7920000</v>
      </c>
      <c r="AG882" s="40">
        <f ca="1">IF(NOTA[ID_H]="","",INDEX(NOTA[TANGGAL],MATCH(,INDIRECT(ADDRESS(ROW(NOTA[TANGGAL]),COLUMN(NOTA[TANGGAL]))&amp;":"&amp;ADDRESS(ROW(),COLUMN(NOTA[TANGGAL]))),-1)))</f>
        <v>45140</v>
      </c>
      <c r="AH882" s="42" t="str">
        <f ca="1">IF(NOTA[[#This Row],[NAMA BARANG]]="","",INDEX(NOTA[SUPPLIER],MATCH(,INDIRECT(ADDRESS(ROW(NOTA[ID]),COLUMN(NOTA[ID]))&amp;":"&amp;ADDRESS(ROW(),COLUMN(NOTA[ID]))),-1)))</f>
        <v>DB STATIONERY</v>
      </c>
      <c r="AI882" s="42" t="str">
        <f ca="1">IF(NOTA[[#This Row],[ID_H]]="","",IF(NOTA[[#This Row],[FAKTUR]]="",INDIRECT(ADDRESS(ROW()-1,COLUMN())),NOTA[[#This Row],[FAKTUR]]))</f>
        <v>UNTANA</v>
      </c>
      <c r="AJ882" s="39" t="str">
        <f ca="1">IF(NOTA[[#This Row],[ID]]="","",COUNTIF(NOTA[ID_H],NOTA[[#This Row],[ID_H]]))</f>
        <v/>
      </c>
      <c r="AK882" s="39">
        <f ca="1">IF(NOTA[[#This Row],[TGL.NOTA]]="",IF(NOTA[[#This Row],[SUPPLIER_H]]="","",AK881),MONTH(NOTA[[#This Row],[TGL.NOTA]]))</f>
        <v>7</v>
      </c>
      <c r="AL882" s="39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M8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N8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O8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39" t="str">
        <f>IF(NOTA[[#This Row],[CONCAT4]]="","",_xlfn.IFNA(MATCH(NOTA[[#This Row],[CONCAT4]],[2]!RAW[CONCAT_H],0),FALSE))</f>
        <v/>
      </c>
      <c r="AQ882" s="39">
        <f>IF(NOTA[[#This Row],[CONCAT1]]="","",MATCH(NOTA[[#This Row],[CONCAT1]],[3]!db[NB NOTA_C],0))</f>
        <v>2425</v>
      </c>
      <c r="AR882" s="39" t="b">
        <f>IF(NOTA[[#This Row],[QTY/ CTN]]="","",TRUE)</f>
        <v>1</v>
      </c>
      <c r="AS882" s="39" t="str">
        <f ca="1">IF(NOTA[[#This Row],[ID_H]]="","",IF(NOTA[[#This Row],[Column3]]=TRUE,NOTA[[#This Row],[QTY/ CTN]],INDEX([3]!db[QTY/ CTN],NOTA[[#This Row],[//DB]])))</f>
        <v>32 PAK (24 PCS)</v>
      </c>
      <c r="AT8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highlighter24pcstf61632pak24pcsuntana</v>
      </c>
      <c r="AU882" s="39" t="e">
        <f ca="1">IF(NOTA[[#This Row],[ID_H]]="","",MATCH(NOTA[[#This Row],[NB NOTA_C_QTY]],[4]!db[NB NOTA_C_QTY+F],0))</f>
        <v>#REF!</v>
      </c>
      <c r="AV882" s="55">
        <f ca="1">IF(NOTA[[#This Row],[NB NOTA_C_QTY]]="","",ROW()-2)</f>
        <v>880</v>
      </c>
    </row>
    <row r="883" spans="1:48" ht="20.100000000000001" customHeight="1" x14ac:dyDescent="0.25">
      <c r="A8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>
        <f ca="1">IF(NOTA[[#This Row],[NAMA BARANG]]="","",INDEX(NOTA[ID],MATCH(,INDIRECT(ADDRESS(ROW(NOTA[ID]),COLUMN(NOTA[ID]))&amp;":"&amp;ADDRESS(ROW(),COLUMN(NOTA[ID]))),-1)))</f>
        <v>168</v>
      </c>
      <c r="E883" s="47"/>
      <c r="H883" s="48"/>
      <c r="L883" s="38" t="s">
        <v>248</v>
      </c>
      <c r="M883" s="41">
        <v>3</v>
      </c>
      <c r="N883" s="39">
        <v>288</v>
      </c>
      <c r="O883" s="38" t="s">
        <v>152</v>
      </c>
      <c r="P883" s="42">
        <v>9500</v>
      </c>
      <c r="Q883" s="43"/>
      <c r="R883" s="49" t="s">
        <v>161</v>
      </c>
      <c r="S883" s="50"/>
      <c r="U883" s="51"/>
      <c r="V883" s="46"/>
      <c r="W883" s="51">
        <f>IF(NOTA[[#This Row],[HARGA/ CTN]]="",NOTA[[#This Row],[JUMLAH_H]],NOTA[[#This Row],[HARGA/ CTN]]*IF(NOTA[[#This Row],[C]]="",0,NOTA[[#This Row],[C]]))</f>
        <v>2736000</v>
      </c>
      <c r="X883" s="51">
        <f>IF(NOTA[[#This Row],[JUMLAH]]="","",NOTA[[#This Row],[JUMLAH]]*NOTA[[#This Row],[DISC 1]])</f>
        <v>0</v>
      </c>
      <c r="Y883" s="51">
        <f>IF(NOTA[[#This Row],[JUMLAH]]="","",(NOTA[[#This Row],[JUMLAH]]-NOTA[[#This Row],[DISC 1-]])*NOTA[[#This Row],[DISC 2]])</f>
        <v>0</v>
      </c>
      <c r="Z883" s="51">
        <f>IF(NOTA[[#This Row],[JUMLAH]]="","",NOTA[[#This Row],[DISC 1-]]+NOTA[[#This Row],[DISC 2-]])</f>
        <v>0</v>
      </c>
      <c r="AA883" s="51">
        <f>IF(NOTA[[#This Row],[JUMLAH]]="","",NOTA[[#This Row],[JUMLAH]]-NOTA[[#This Row],[DISC]])</f>
        <v>2736000</v>
      </c>
      <c r="AB883" s="51"/>
      <c r="AC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883" s="51">
        <f>IF(OR(NOTA[[#This Row],[QTY]]="",NOTA[[#This Row],[HARGA SATUAN]]="",),"",NOTA[[#This Row],[QTY]]*NOTA[[#This Row],[HARGA SATUAN]])</f>
        <v>2736000</v>
      </c>
      <c r="AG883" s="40">
        <f ca="1">IF(NOTA[ID_H]="","",INDEX(NOTA[TANGGAL],MATCH(,INDIRECT(ADDRESS(ROW(NOTA[TANGGAL]),COLUMN(NOTA[TANGGAL]))&amp;":"&amp;ADDRESS(ROW(),COLUMN(NOTA[TANGGAL]))),-1)))</f>
        <v>45140</v>
      </c>
      <c r="AH883" s="42" t="str">
        <f ca="1">IF(NOTA[[#This Row],[NAMA BARANG]]="","",INDEX(NOTA[SUPPLIER],MATCH(,INDIRECT(ADDRESS(ROW(NOTA[ID]),COLUMN(NOTA[ID]))&amp;":"&amp;ADDRESS(ROW(),COLUMN(NOTA[ID]))),-1)))</f>
        <v>DB STATIONERY</v>
      </c>
      <c r="AI883" s="42" t="str">
        <f ca="1">IF(NOTA[[#This Row],[ID_H]]="","",IF(NOTA[[#This Row],[FAKTUR]]="",INDIRECT(ADDRESS(ROW()-1,COLUMN())),NOTA[[#This Row],[FAKTUR]]))</f>
        <v>UNTANA</v>
      </c>
      <c r="AJ883" s="39" t="str">
        <f ca="1">IF(NOTA[[#This Row],[ID]]="","",COUNTIF(NOTA[ID_H],NOTA[[#This Row],[ID_H]]))</f>
        <v/>
      </c>
      <c r="AK883" s="39">
        <f ca="1">IF(NOTA[[#This Row],[TGL.NOTA]]="",IF(NOTA[[#This Row],[SUPPLIER_H]]="","",AK882),MONTH(NOTA[[#This Row],[TGL.NOTA]]))</f>
        <v>7</v>
      </c>
      <c r="AL883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8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8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8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39" t="str">
        <f>IF(NOTA[[#This Row],[CONCAT4]]="","",_xlfn.IFNA(MATCH(NOTA[[#This Row],[CONCAT4]],[2]!RAW[CONCAT_H],0),FALSE))</f>
        <v/>
      </c>
      <c r="AQ883" s="39">
        <f>IF(NOTA[[#This Row],[CONCAT1]]="","",MATCH(NOTA[[#This Row],[CONCAT1]],[3]!db[NB NOTA_C],0))</f>
        <v>1319</v>
      </c>
      <c r="AR883" s="39" t="b">
        <f>IF(NOTA[[#This Row],[QTY/ CTN]]="","",TRUE)</f>
        <v>1</v>
      </c>
      <c r="AS883" s="39" t="str">
        <f ca="1">IF(NOTA[[#This Row],[ID_H]]="","",IF(NOTA[[#This Row],[Column3]]=TRUE,NOTA[[#This Row],[QTY/ CTN]],INDEX([3]!db[QTY/ CTN],NOTA[[#This Row],[//DB]])))</f>
        <v>96 LSN</v>
      </c>
      <c r="AT8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883" s="39" t="e">
        <f ca="1">IF(NOTA[[#This Row],[ID_H]]="","",MATCH(NOTA[[#This Row],[NB NOTA_C_QTY]],[4]!db[NB NOTA_C_QTY+F],0))</f>
        <v>#REF!</v>
      </c>
      <c r="AV883" s="55">
        <f ca="1">IF(NOTA[[#This Row],[NB NOTA_C_QTY]]="","",ROW()-2)</f>
        <v>881</v>
      </c>
    </row>
    <row r="884" spans="1:48" ht="20.100000000000001" customHeight="1" x14ac:dyDescent="0.25">
      <c r="A8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39" t="str">
        <f>IF(NOTA[[#This Row],[ID_P]]="","",MATCH(NOTA[[#This Row],[ID_P]],[1]!B_MSK[N_ID],0))</f>
        <v/>
      </c>
      <c r="D884" s="39">
        <f ca="1">IF(NOTA[[#This Row],[NAMA BARANG]]="","",INDEX(NOTA[ID],MATCH(,INDIRECT(ADDRESS(ROW(NOTA[ID]),COLUMN(NOTA[ID]))&amp;":"&amp;ADDRESS(ROW(),COLUMN(NOTA[ID]))),-1)))</f>
        <v>168</v>
      </c>
      <c r="E884" s="47"/>
      <c r="H884" s="48"/>
      <c r="L884" s="38" t="s">
        <v>537</v>
      </c>
      <c r="M884" s="41">
        <v>5</v>
      </c>
      <c r="N884" s="39">
        <v>720</v>
      </c>
      <c r="O884" s="38" t="s">
        <v>152</v>
      </c>
      <c r="P884" s="42">
        <v>22500</v>
      </c>
      <c r="Q884" s="43"/>
      <c r="R884" s="49" t="s">
        <v>538</v>
      </c>
      <c r="S884" s="50"/>
      <c r="U884" s="51"/>
      <c r="V884" s="46"/>
      <c r="W884" s="51">
        <f>IF(NOTA[[#This Row],[HARGA/ CTN]]="",NOTA[[#This Row],[JUMLAH_H]],NOTA[[#This Row],[HARGA/ CTN]]*IF(NOTA[[#This Row],[C]]="",0,NOTA[[#This Row],[C]]))</f>
        <v>16200000</v>
      </c>
      <c r="X884" s="51">
        <f>IF(NOTA[[#This Row],[JUMLAH]]="","",NOTA[[#This Row],[JUMLAH]]*NOTA[[#This Row],[DISC 1]])</f>
        <v>0</v>
      </c>
      <c r="Y884" s="51">
        <f>IF(NOTA[[#This Row],[JUMLAH]]="","",(NOTA[[#This Row],[JUMLAH]]-NOTA[[#This Row],[DISC 1-]])*NOTA[[#This Row],[DISC 2]])</f>
        <v>0</v>
      </c>
      <c r="Z884" s="51">
        <f>IF(NOTA[[#This Row],[JUMLAH]]="","",NOTA[[#This Row],[DISC 1-]]+NOTA[[#This Row],[DISC 2-]])</f>
        <v>0</v>
      </c>
      <c r="AA884" s="51">
        <f>IF(NOTA[[#This Row],[JUMLAH]]="","",NOTA[[#This Row],[JUMLAH]]-NOTA[[#This Row],[DISC]])</f>
        <v>16200000</v>
      </c>
      <c r="AB884" s="51"/>
      <c r="AC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84" s="51">
        <f>IF(OR(NOTA[[#This Row],[QTY]]="",NOTA[[#This Row],[HARGA SATUAN]]="",),"",NOTA[[#This Row],[QTY]]*NOTA[[#This Row],[HARGA SATUAN]])</f>
        <v>16200000</v>
      </c>
      <c r="AG884" s="40">
        <f ca="1">IF(NOTA[ID_H]="","",INDEX(NOTA[TANGGAL],MATCH(,INDIRECT(ADDRESS(ROW(NOTA[TANGGAL]),COLUMN(NOTA[TANGGAL]))&amp;":"&amp;ADDRESS(ROW(),COLUMN(NOTA[TANGGAL]))),-1)))</f>
        <v>45140</v>
      </c>
      <c r="AH884" s="42" t="str">
        <f ca="1">IF(NOTA[[#This Row],[NAMA BARANG]]="","",INDEX(NOTA[SUPPLIER],MATCH(,INDIRECT(ADDRESS(ROW(NOTA[ID]),COLUMN(NOTA[ID]))&amp;":"&amp;ADDRESS(ROW(),COLUMN(NOTA[ID]))),-1)))</f>
        <v>DB STATIONERY</v>
      </c>
      <c r="AI884" s="42" t="str">
        <f ca="1">IF(NOTA[[#This Row],[ID_H]]="","",IF(NOTA[[#This Row],[FAKTUR]]="",INDIRECT(ADDRESS(ROW()-1,COLUMN())),NOTA[[#This Row],[FAKTUR]]))</f>
        <v>UNTANA</v>
      </c>
      <c r="AJ884" s="39" t="str">
        <f ca="1">IF(NOTA[[#This Row],[ID]]="","",COUNTIF(NOTA[ID_H],NOTA[[#This Row],[ID_H]]))</f>
        <v/>
      </c>
      <c r="AK884" s="39">
        <f ca="1">IF(NOTA[[#This Row],[TGL.NOTA]]="",IF(NOTA[[#This Row],[SUPPLIER_H]]="","",AK883),MONTH(NOTA[[#This Row],[TGL.NOTA]]))</f>
        <v>7</v>
      </c>
      <c r="AL884" s="39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39" t="str">
        <f>IF(NOTA[[#This Row],[CONCAT4]]="","",_xlfn.IFNA(MATCH(NOTA[[#This Row],[CONCAT4]],[2]!RAW[CONCAT_H],0),FALSE))</f>
        <v/>
      </c>
      <c r="AQ884" s="39">
        <f>IF(NOTA[[#This Row],[CONCAT1]]="","",MATCH(NOTA[[#This Row],[CONCAT1]],[3]!db[NB NOTA_C],0))</f>
        <v>707</v>
      </c>
      <c r="AR884" s="39" t="b">
        <f>IF(NOTA[[#This Row],[QTY/ CTN]]="","",TRUE)</f>
        <v>1</v>
      </c>
      <c r="AS884" s="39" t="str">
        <f ca="1">IF(NOTA[[#This Row],[ID_H]]="","",IF(NOTA[[#This Row],[Column3]]=TRUE,NOTA[[#This Row],[QTY/ CTN]],INDEX([3]!db[QTY/ CTN],NOTA[[#This Row],[//DB]])))</f>
        <v>144 LSN</v>
      </c>
      <c r="AT8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U884" s="39" t="e">
        <f ca="1">IF(NOTA[[#This Row],[ID_H]]="","",MATCH(NOTA[[#This Row],[NB NOTA_C_QTY]],[4]!db[NB NOTA_C_QTY+F],0))</f>
        <v>#REF!</v>
      </c>
      <c r="AV884" s="55">
        <f ca="1">IF(NOTA[[#This Row],[NB NOTA_C_QTY]]="","",ROW()-2)</f>
        <v>882</v>
      </c>
    </row>
    <row r="885" spans="1:48" ht="20.100000000000001" customHeight="1" x14ac:dyDescent="0.25">
      <c r="A8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>
        <f ca="1">IF(NOTA[[#This Row],[NAMA BARANG]]="","",INDEX(NOTA[ID],MATCH(,INDIRECT(ADDRESS(ROW(NOTA[ID]),COLUMN(NOTA[ID]))&amp;":"&amp;ADDRESS(ROW(),COLUMN(NOTA[ID]))),-1)))</f>
        <v>168</v>
      </c>
      <c r="E885" s="47"/>
      <c r="H885" s="48"/>
      <c r="L885" s="38" t="s">
        <v>944</v>
      </c>
      <c r="M885" s="41">
        <v>1</v>
      </c>
      <c r="N885" s="39">
        <v>80</v>
      </c>
      <c r="O885" s="38" t="s">
        <v>152</v>
      </c>
      <c r="P885" s="42">
        <v>28000</v>
      </c>
      <c r="Q885" s="43"/>
      <c r="R885" s="49" t="s">
        <v>764</v>
      </c>
      <c r="S885" s="50"/>
      <c r="U885" s="51"/>
      <c r="V885" s="46"/>
      <c r="W885" s="51">
        <f>IF(NOTA[[#This Row],[HARGA/ CTN]]="",NOTA[[#This Row],[JUMLAH_H]],NOTA[[#This Row],[HARGA/ CTN]]*IF(NOTA[[#This Row],[C]]="",0,NOTA[[#This Row],[C]]))</f>
        <v>2240000</v>
      </c>
      <c r="X885" s="51">
        <f>IF(NOTA[[#This Row],[JUMLAH]]="","",NOTA[[#This Row],[JUMLAH]]*NOTA[[#This Row],[DISC 1]])</f>
        <v>0</v>
      </c>
      <c r="Y885" s="51">
        <f>IF(NOTA[[#This Row],[JUMLAH]]="","",(NOTA[[#This Row],[JUMLAH]]-NOTA[[#This Row],[DISC 1-]])*NOTA[[#This Row],[DISC 2]])</f>
        <v>0</v>
      </c>
      <c r="Z885" s="51">
        <f>IF(NOTA[[#This Row],[JUMLAH]]="","",NOTA[[#This Row],[DISC 1-]]+NOTA[[#This Row],[DISC 2-]])</f>
        <v>0</v>
      </c>
      <c r="AA885" s="51">
        <f>IF(NOTA[[#This Row],[JUMLAH]]="","",NOTA[[#This Row],[JUMLAH]]-NOTA[[#This Row],[DISC]])</f>
        <v>2240000</v>
      </c>
      <c r="AB885" s="51"/>
      <c r="AC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42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85" s="51">
        <f>IF(OR(NOTA[[#This Row],[QTY]]="",NOTA[[#This Row],[HARGA SATUAN]]="",),"",NOTA[[#This Row],[QTY]]*NOTA[[#This Row],[HARGA SATUAN]])</f>
        <v>2240000</v>
      </c>
      <c r="AG885" s="40">
        <f ca="1">IF(NOTA[ID_H]="","",INDEX(NOTA[TANGGAL],MATCH(,INDIRECT(ADDRESS(ROW(NOTA[TANGGAL]),COLUMN(NOTA[TANGGAL]))&amp;":"&amp;ADDRESS(ROW(),COLUMN(NOTA[TANGGAL]))),-1)))</f>
        <v>45140</v>
      </c>
      <c r="AH885" s="42" t="str">
        <f ca="1">IF(NOTA[[#This Row],[NAMA BARANG]]="","",INDEX(NOTA[SUPPLIER],MATCH(,INDIRECT(ADDRESS(ROW(NOTA[ID]),COLUMN(NOTA[ID]))&amp;":"&amp;ADDRESS(ROW(),COLUMN(NOTA[ID]))),-1)))</f>
        <v>DB STATIONERY</v>
      </c>
      <c r="AI885" s="42" t="str">
        <f ca="1">IF(NOTA[[#This Row],[ID_H]]="","",IF(NOTA[[#This Row],[FAKTUR]]="",INDIRECT(ADDRESS(ROW()-1,COLUMN())),NOTA[[#This Row],[FAKTUR]]))</f>
        <v>UNTANA</v>
      </c>
      <c r="AJ885" s="39" t="str">
        <f ca="1">IF(NOTA[[#This Row],[ID]]="","",COUNTIF(NOTA[ID_H],NOTA[[#This Row],[ID_H]]))</f>
        <v/>
      </c>
      <c r="AK885" s="39">
        <f ca="1">IF(NOTA[[#This Row],[TGL.NOTA]]="",IF(NOTA[[#This Row],[SUPPLIER_H]]="","",AK884),MONTH(NOTA[[#This Row],[TGL.NOTA]]))</f>
        <v>7</v>
      </c>
      <c r="AL885" s="39" t="str">
        <f>LOWER(SUBSTITUTE(SUBSTITUTE(SUBSTITUTE(SUBSTITUTE(SUBSTITUTE(SUBSTITUTE(SUBSTITUTE(SUBSTITUTE(SUBSTITUTE(NOTA[NAMA BARANG]," ",),".",""),"-",""),"(",""),")",""),",",""),"/",""),"""",""),"+",""))</f>
        <v>guntingbenangkxgb007</v>
      </c>
      <c r="AM8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guntingbenangkxgb0072240000</v>
      </c>
      <c r="AN8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guntingbenangkxgb0072240000</v>
      </c>
      <c r="AO8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39" t="str">
        <f>IF(NOTA[[#This Row],[CONCAT4]]="","",_xlfn.IFNA(MATCH(NOTA[[#This Row],[CONCAT4]],[2]!RAW[CONCAT_H],0),FALSE))</f>
        <v/>
      </c>
      <c r="AQ885" s="39">
        <f>IF(NOTA[[#This Row],[CONCAT1]]="","",MATCH(NOTA[[#This Row],[CONCAT1]],[3]!db[NB NOTA_C],0))</f>
        <v>1219</v>
      </c>
      <c r="AR885" s="39" t="b">
        <f>IF(NOTA[[#This Row],[QTY/ CTN]]="","",TRUE)</f>
        <v>1</v>
      </c>
      <c r="AS885" s="39" t="str">
        <f ca="1">IF(NOTA[[#This Row],[ID_H]]="","",IF(NOTA[[#This Row],[Column3]]=TRUE,NOTA[[#This Row],[QTY/ CTN]],INDEX([3]!db[QTY/ CTN],NOTA[[#This Row],[//DB]])))</f>
        <v>80 LSN</v>
      </c>
      <c r="AT8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guntingbenangkxgb00780lsnuntana</v>
      </c>
      <c r="AU885" s="39" t="e">
        <f ca="1">IF(NOTA[[#This Row],[ID_H]]="","",MATCH(NOTA[[#This Row],[NB NOTA_C_QTY]],[4]!db[NB NOTA_C_QTY+F],0))</f>
        <v>#REF!</v>
      </c>
      <c r="AV885" s="55">
        <f ca="1">IF(NOTA[[#This Row],[NB NOTA_C_QTY]]="","",ROW()-2)</f>
        <v>883</v>
      </c>
    </row>
    <row r="886" spans="1:48" ht="20.100000000000001" customHeight="1" x14ac:dyDescent="0.25">
      <c r="A8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39" t="str">
        <f>IF(NOTA[[#This Row],[ID_P]]="","",MATCH(NOTA[[#This Row],[ID_P]],[1]!B_MSK[N_ID],0))</f>
        <v/>
      </c>
      <c r="D886" s="39">
        <f ca="1">IF(NOTA[[#This Row],[NAMA BARANG]]="","",INDEX(NOTA[ID],MATCH(,INDIRECT(ADDRESS(ROW(NOTA[ID]),COLUMN(NOTA[ID]))&amp;":"&amp;ADDRESS(ROW(),COLUMN(NOTA[ID]))),-1)))</f>
        <v>168</v>
      </c>
      <c r="E886" s="47"/>
      <c r="H886" s="48"/>
      <c r="L886" s="38" t="s">
        <v>945</v>
      </c>
      <c r="M886" s="41">
        <v>5</v>
      </c>
      <c r="N886" s="39">
        <v>600</v>
      </c>
      <c r="O886" s="38" t="s">
        <v>152</v>
      </c>
      <c r="P886" s="42">
        <v>30500</v>
      </c>
      <c r="Q886" s="43"/>
      <c r="R886" s="49" t="s">
        <v>226</v>
      </c>
      <c r="S886" s="50"/>
      <c r="U886" s="51"/>
      <c r="V886" s="46"/>
      <c r="W886" s="51">
        <f>IF(NOTA[[#This Row],[HARGA/ CTN]]="",NOTA[[#This Row],[JUMLAH_H]],NOTA[[#This Row],[HARGA/ CTN]]*IF(NOTA[[#This Row],[C]]="",0,NOTA[[#This Row],[C]]))</f>
        <v>18300000</v>
      </c>
      <c r="X886" s="51">
        <f>IF(NOTA[[#This Row],[JUMLAH]]="","",NOTA[[#This Row],[JUMLAH]]*NOTA[[#This Row],[DISC 1]])</f>
        <v>0</v>
      </c>
      <c r="Y886" s="51">
        <f>IF(NOTA[[#This Row],[JUMLAH]]="","",(NOTA[[#This Row],[JUMLAH]]-NOTA[[#This Row],[DISC 1-]])*NOTA[[#This Row],[DISC 2]])</f>
        <v>0</v>
      </c>
      <c r="Z886" s="51">
        <f>IF(NOTA[[#This Row],[JUMLAH]]="","",NOTA[[#This Row],[DISC 1-]]+NOTA[[#This Row],[DISC 2-]])</f>
        <v>0</v>
      </c>
      <c r="AA886" s="51">
        <f>IF(NOTA[[#This Row],[JUMLAH]]="","",NOTA[[#This Row],[JUMLAH]]-NOTA[[#This Row],[DISC]])</f>
        <v>18300000</v>
      </c>
      <c r="AB886" s="51"/>
      <c r="AC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42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F886" s="51">
        <f>IF(OR(NOTA[[#This Row],[QTY]]="",NOTA[[#This Row],[HARGA SATUAN]]="",),"",NOTA[[#This Row],[QTY]]*NOTA[[#This Row],[HARGA SATUAN]])</f>
        <v>18300000</v>
      </c>
      <c r="AG886" s="40">
        <f ca="1">IF(NOTA[ID_H]="","",INDEX(NOTA[TANGGAL],MATCH(,INDIRECT(ADDRESS(ROW(NOTA[TANGGAL]),COLUMN(NOTA[TANGGAL]))&amp;":"&amp;ADDRESS(ROW(),COLUMN(NOTA[TANGGAL]))),-1)))</f>
        <v>45140</v>
      </c>
      <c r="AH886" s="42" t="str">
        <f ca="1">IF(NOTA[[#This Row],[NAMA BARANG]]="","",INDEX(NOTA[SUPPLIER],MATCH(,INDIRECT(ADDRESS(ROW(NOTA[ID]),COLUMN(NOTA[ID]))&amp;":"&amp;ADDRESS(ROW(),COLUMN(NOTA[ID]))),-1)))</f>
        <v>DB STATIONERY</v>
      </c>
      <c r="AI886" s="42" t="str">
        <f ca="1">IF(NOTA[[#This Row],[ID_H]]="","",IF(NOTA[[#This Row],[FAKTUR]]="",INDIRECT(ADDRESS(ROW()-1,COLUMN())),NOTA[[#This Row],[FAKTUR]]))</f>
        <v>UNTANA</v>
      </c>
      <c r="AJ886" s="39" t="str">
        <f ca="1">IF(NOTA[[#This Row],[ID]]="","",COUNTIF(NOTA[ID_H],NOTA[[#This Row],[ID_H]]))</f>
        <v/>
      </c>
      <c r="AK886" s="39">
        <f ca="1">IF(NOTA[[#This Row],[TGL.NOTA]]="",IF(NOTA[[#This Row],[SUPPLIER_H]]="","",AK885),MONTH(NOTA[[#This Row],[TGL.NOTA]]))</f>
        <v>7</v>
      </c>
      <c r="AL886" s="39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M8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N8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O8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39" t="str">
        <f>IF(NOTA[[#This Row],[CONCAT4]]="","",_xlfn.IFNA(MATCH(NOTA[[#This Row],[CONCAT4]],[2]!RAW[CONCAT_H],0),FALSE))</f>
        <v/>
      </c>
      <c r="AQ886" s="39">
        <f>IF(NOTA[[#This Row],[CONCAT1]]="","",MATCH(NOTA[[#This Row],[CONCAT1]],[3]!db[NB NOTA_C],0))</f>
        <v>426</v>
      </c>
      <c r="AR886" s="39" t="b">
        <f>IF(NOTA[[#This Row],[QTY/ CTN]]="","",TRUE)</f>
        <v>1</v>
      </c>
      <c r="AS886" s="39" t="str">
        <f ca="1">IF(NOTA[[#This Row],[ID_H]]="","",IF(NOTA[[#This Row],[Column3]]=TRUE,NOTA[[#This Row],[QTY/ CTN]],INDEX([3]!db[QTY/ CTN],NOTA[[#This Row],[//DB]])))</f>
        <v>120 LSN</v>
      </c>
      <c r="AT8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gelclick028debozzdbg028120lsnuntana</v>
      </c>
      <c r="AU886" s="39" t="e">
        <f ca="1">IF(NOTA[[#This Row],[ID_H]]="","",MATCH(NOTA[[#This Row],[NB NOTA_C_QTY]],[4]!db[NB NOTA_C_QTY+F],0))</f>
        <v>#REF!</v>
      </c>
      <c r="AV886" s="55">
        <f ca="1">IF(NOTA[[#This Row],[NB NOTA_C_QTY]]="","",ROW()-2)</f>
        <v>884</v>
      </c>
    </row>
    <row r="887" spans="1:48" ht="20.100000000000001" customHeight="1" x14ac:dyDescent="0.25">
      <c r="A8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>
        <f ca="1">IF(NOTA[[#This Row],[NAMA BARANG]]="","",INDEX(NOTA[ID],MATCH(,INDIRECT(ADDRESS(ROW(NOTA[ID]),COLUMN(NOTA[ID]))&amp;":"&amp;ADDRESS(ROW(),COLUMN(NOTA[ID]))),-1)))</f>
        <v>168</v>
      </c>
      <c r="E887" s="47"/>
      <c r="H887" s="48"/>
      <c r="L887" s="38" t="s">
        <v>946</v>
      </c>
      <c r="M887" s="41">
        <v>2</v>
      </c>
      <c r="N887" s="39">
        <v>216</v>
      </c>
      <c r="O887" s="38" t="s">
        <v>152</v>
      </c>
      <c r="P887" s="42">
        <v>16000</v>
      </c>
      <c r="Q887" s="43"/>
      <c r="R887" s="49" t="s">
        <v>947</v>
      </c>
      <c r="S887" s="50"/>
      <c r="U887" s="51"/>
      <c r="V887" s="46"/>
      <c r="W887" s="51">
        <f>IF(NOTA[[#This Row],[HARGA/ CTN]]="",NOTA[[#This Row],[JUMLAH_H]],NOTA[[#This Row],[HARGA/ CTN]]*IF(NOTA[[#This Row],[C]]="",0,NOTA[[#This Row],[C]]))</f>
        <v>3456000</v>
      </c>
      <c r="X887" s="51">
        <f>IF(NOTA[[#This Row],[JUMLAH]]="","",NOTA[[#This Row],[JUMLAH]]*NOTA[[#This Row],[DISC 1]])</f>
        <v>0</v>
      </c>
      <c r="Y887" s="51">
        <f>IF(NOTA[[#This Row],[JUMLAH]]="","",(NOTA[[#This Row],[JUMLAH]]-NOTA[[#This Row],[DISC 1-]])*NOTA[[#This Row],[DISC 2]])</f>
        <v>0</v>
      </c>
      <c r="Z887" s="51">
        <f>IF(NOTA[[#This Row],[JUMLAH]]="","",NOTA[[#This Row],[DISC 1-]]+NOTA[[#This Row],[DISC 2-]])</f>
        <v>0</v>
      </c>
      <c r="AA887" s="51">
        <f>IF(NOTA[[#This Row],[JUMLAH]]="","",NOTA[[#This Row],[JUMLAH]]-NOTA[[#This Row],[DISC]])</f>
        <v>3456000</v>
      </c>
      <c r="AB887" s="51"/>
      <c r="AC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87" s="51">
        <f>IF(OR(NOTA[[#This Row],[QTY]]="",NOTA[[#This Row],[HARGA SATUAN]]="",),"",NOTA[[#This Row],[QTY]]*NOTA[[#This Row],[HARGA SATUAN]])</f>
        <v>3456000</v>
      </c>
      <c r="AG887" s="40">
        <f ca="1">IF(NOTA[ID_H]="","",INDEX(NOTA[TANGGAL],MATCH(,INDIRECT(ADDRESS(ROW(NOTA[TANGGAL]),COLUMN(NOTA[TANGGAL]))&amp;":"&amp;ADDRESS(ROW(),COLUMN(NOTA[TANGGAL]))),-1)))</f>
        <v>45140</v>
      </c>
      <c r="AH887" s="42" t="str">
        <f ca="1">IF(NOTA[[#This Row],[NAMA BARANG]]="","",INDEX(NOTA[SUPPLIER],MATCH(,INDIRECT(ADDRESS(ROW(NOTA[ID]),COLUMN(NOTA[ID]))&amp;":"&amp;ADDRESS(ROW(),COLUMN(NOTA[ID]))),-1)))</f>
        <v>DB STATIONERY</v>
      </c>
      <c r="AI887" s="42" t="str">
        <f ca="1">IF(NOTA[[#This Row],[ID_H]]="","",IF(NOTA[[#This Row],[FAKTUR]]="",INDIRECT(ADDRESS(ROW()-1,COLUMN())),NOTA[[#This Row],[FAKTUR]]))</f>
        <v>UNTANA</v>
      </c>
      <c r="AJ887" s="39" t="str">
        <f ca="1">IF(NOTA[[#This Row],[ID]]="","",COUNTIF(NOTA[ID_H],NOTA[[#This Row],[ID_H]]))</f>
        <v/>
      </c>
      <c r="AK887" s="39">
        <f ca="1">IF(NOTA[[#This Row],[TGL.NOTA]]="",IF(NOTA[[#This Row],[SUPPLIER_H]]="","",AK886),MONTH(NOTA[[#This Row],[TGL.NOTA]]))</f>
        <v>7</v>
      </c>
      <c r="AL887" s="39" t="str">
        <f>LOWER(SUBSTITUTE(SUBSTITUTE(SUBSTITUTE(SUBSTITUTE(SUBSTITUTE(SUBSTITUTE(SUBSTITUTE(SUBSTITUTE(SUBSTITUTE(NOTA[NAMA BARANG]," ",),".",""),"-",""),"(",""),")",""),",",""),"/",""),"""",""),"+",""))</f>
        <v>rautankayagi12pcsky393b</v>
      </c>
      <c r="AM8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rautankayagi12pcsky393b1728000</v>
      </c>
      <c r="AN8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rautankayagi12pcsky393b1728000</v>
      </c>
      <c r="AO8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39" t="str">
        <f>IF(NOTA[[#This Row],[CONCAT4]]="","",_xlfn.IFNA(MATCH(NOTA[[#This Row],[CONCAT4]],[2]!RAW[CONCAT_H],0),FALSE))</f>
        <v/>
      </c>
      <c r="AQ887" s="39">
        <f>IF(NOTA[[#This Row],[CONCAT1]]="","",MATCH(NOTA[[#This Row],[CONCAT1]],[3]!db[NB NOTA_C],0))</f>
        <v>69</v>
      </c>
      <c r="AR887" s="39" t="b">
        <f>IF(NOTA[[#This Row],[QTY/ CTN]]="","",TRUE)</f>
        <v>1</v>
      </c>
      <c r="AS887" s="39" t="str">
        <f ca="1">IF(NOTA[[#This Row],[ID_H]]="","",IF(NOTA[[#This Row],[Column3]]=TRUE,NOTA[[#This Row],[QTY/ CTN]],INDEX([3]!db[QTY/ CTN],NOTA[[#This Row],[//DB]])))</f>
        <v>108 LSN</v>
      </c>
      <c r="AT8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rautankayagi12pcsky393b108lsnuntana</v>
      </c>
      <c r="AU887" s="39" t="e">
        <f ca="1">IF(NOTA[[#This Row],[ID_H]]="","",MATCH(NOTA[[#This Row],[NB NOTA_C_QTY]],[4]!db[NB NOTA_C_QTY+F],0))</f>
        <v>#REF!</v>
      </c>
      <c r="AV887" s="55">
        <f ca="1">IF(NOTA[[#This Row],[NB NOTA_C_QTY]]="","",ROW()-2)</f>
        <v>885</v>
      </c>
    </row>
    <row r="888" spans="1:48" ht="20.100000000000001" customHeight="1" x14ac:dyDescent="0.25">
      <c r="A8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39" t="str">
        <f>IF(NOTA[[#This Row],[ID_P]]="","",MATCH(NOTA[[#This Row],[ID_P]],[1]!B_MSK[N_ID],0))</f>
        <v/>
      </c>
      <c r="D888" s="39">
        <f ca="1">IF(NOTA[[#This Row],[NAMA BARANG]]="","",INDEX(NOTA[ID],MATCH(,INDIRECT(ADDRESS(ROW(NOTA[ID]),COLUMN(NOTA[ID]))&amp;":"&amp;ADDRESS(ROW(),COLUMN(NOTA[ID]))),-1)))</f>
        <v>168</v>
      </c>
      <c r="E888" s="47"/>
      <c r="H888" s="48"/>
      <c r="L888" s="38" t="s">
        <v>949</v>
      </c>
      <c r="M888" s="41">
        <v>2</v>
      </c>
      <c r="N888" s="39">
        <v>216</v>
      </c>
      <c r="O888" s="38" t="s">
        <v>152</v>
      </c>
      <c r="P888" s="42">
        <v>16000</v>
      </c>
      <c r="Q888" s="43"/>
      <c r="R888" s="49" t="s">
        <v>947</v>
      </c>
      <c r="S888" s="50"/>
      <c r="U888" s="51"/>
      <c r="V888" s="46"/>
      <c r="W888" s="51">
        <f>IF(NOTA[[#This Row],[HARGA/ CTN]]="",NOTA[[#This Row],[JUMLAH_H]],NOTA[[#This Row],[HARGA/ CTN]]*IF(NOTA[[#This Row],[C]]="",0,NOTA[[#This Row],[C]]))</f>
        <v>3456000</v>
      </c>
      <c r="X888" s="51">
        <f>IF(NOTA[[#This Row],[JUMLAH]]="","",NOTA[[#This Row],[JUMLAH]]*NOTA[[#This Row],[DISC 1]])</f>
        <v>0</v>
      </c>
      <c r="Y888" s="51">
        <f>IF(NOTA[[#This Row],[JUMLAH]]="","",(NOTA[[#This Row],[JUMLAH]]-NOTA[[#This Row],[DISC 1-]])*NOTA[[#This Row],[DISC 2]])</f>
        <v>0</v>
      </c>
      <c r="Z888" s="51">
        <f>IF(NOTA[[#This Row],[JUMLAH]]="","",NOTA[[#This Row],[DISC 1-]]+NOTA[[#This Row],[DISC 2-]])</f>
        <v>0</v>
      </c>
      <c r="AA888" s="51">
        <f>IF(NOTA[[#This Row],[JUMLAH]]="","",NOTA[[#This Row],[JUMLAH]]-NOTA[[#This Row],[DISC]])</f>
        <v>3456000</v>
      </c>
      <c r="AB888" s="51"/>
      <c r="AC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88" s="51">
        <f>IF(OR(NOTA[[#This Row],[QTY]]="",NOTA[[#This Row],[HARGA SATUAN]]="",),"",NOTA[[#This Row],[QTY]]*NOTA[[#This Row],[HARGA SATUAN]])</f>
        <v>3456000</v>
      </c>
      <c r="AG888" s="40">
        <f ca="1">IF(NOTA[ID_H]="","",INDEX(NOTA[TANGGAL],MATCH(,INDIRECT(ADDRESS(ROW(NOTA[TANGGAL]),COLUMN(NOTA[TANGGAL]))&amp;":"&amp;ADDRESS(ROW(),COLUMN(NOTA[TANGGAL]))),-1)))</f>
        <v>45140</v>
      </c>
      <c r="AH888" s="42" t="str">
        <f ca="1">IF(NOTA[[#This Row],[NAMA BARANG]]="","",INDEX(NOTA[SUPPLIER],MATCH(,INDIRECT(ADDRESS(ROW(NOTA[ID]),COLUMN(NOTA[ID]))&amp;":"&amp;ADDRESS(ROW(),COLUMN(NOTA[ID]))),-1)))</f>
        <v>DB STATIONERY</v>
      </c>
      <c r="AI888" s="42" t="str">
        <f ca="1">IF(NOTA[[#This Row],[ID_H]]="","",IF(NOTA[[#This Row],[FAKTUR]]="",INDIRECT(ADDRESS(ROW()-1,COLUMN())),NOTA[[#This Row],[FAKTUR]]))</f>
        <v>UNTANA</v>
      </c>
      <c r="AJ888" s="39" t="str">
        <f ca="1">IF(NOTA[[#This Row],[ID]]="","",COUNTIF(NOTA[ID_H],NOTA[[#This Row],[ID_H]]))</f>
        <v/>
      </c>
      <c r="AK888" s="39">
        <f ca="1">IF(NOTA[[#This Row],[TGL.NOTA]]="",IF(NOTA[[#This Row],[SUPPLIER_H]]="","",AK887),MONTH(NOTA[[#This Row],[TGL.NOTA]]))</f>
        <v>7</v>
      </c>
      <c r="AL888" s="39" t="str">
        <f>LOWER(SUBSTITUTE(SUBSTITUTE(SUBSTITUTE(SUBSTITUTE(SUBSTITUTE(SUBSTITUTE(SUBSTITUTE(SUBSTITUTE(SUBSTITUTE(NOTA[NAMA BARANG]," ",),".",""),"-",""),"(",""),")",""),",",""),"/",""),"""",""),"+",""))</f>
        <v>rautankayagi12pcsky394b</v>
      </c>
      <c r="AM8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rautankayagi12pcsky394b1728000</v>
      </c>
      <c r="AN8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rautankayagi12pcsky394b1728000</v>
      </c>
      <c r="AO8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39" t="str">
        <f>IF(NOTA[[#This Row],[CONCAT4]]="","",_xlfn.IFNA(MATCH(NOTA[[#This Row],[CONCAT4]],[2]!RAW[CONCAT_H],0),FALSE))</f>
        <v/>
      </c>
      <c r="AQ888" s="39">
        <f>IF(NOTA[[#This Row],[CONCAT1]]="","",MATCH(NOTA[[#This Row],[CONCAT1]],[3]!db[NB NOTA_C],0))</f>
        <v>70</v>
      </c>
      <c r="AR888" s="39" t="b">
        <f>IF(NOTA[[#This Row],[QTY/ CTN]]="","",TRUE)</f>
        <v>1</v>
      </c>
      <c r="AS888" s="39" t="str">
        <f ca="1">IF(NOTA[[#This Row],[ID_H]]="","",IF(NOTA[[#This Row],[Column3]]=TRUE,NOTA[[#This Row],[QTY/ CTN]],INDEX([3]!db[QTY/ CTN],NOTA[[#This Row],[//DB]])))</f>
        <v>108 LSN</v>
      </c>
      <c r="AT8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rautankayagi12pcsky394b108lsnuntana</v>
      </c>
      <c r="AU888" s="39" t="e">
        <f ca="1">IF(NOTA[[#This Row],[ID_H]]="","",MATCH(NOTA[[#This Row],[NB NOTA_C_QTY]],[4]!db[NB NOTA_C_QTY+F],0))</f>
        <v>#REF!</v>
      </c>
      <c r="AV888" s="55">
        <f ca="1">IF(NOTA[[#This Row],[NB NOTA_C_QTY]]="","",ROW()-2)</f>
        <v>886</v>
      </c>
    </row>
    <row r="889" spans="1:48" ht="20.100000000000001" customHeight="1" x14ac:dyDescent="0.25">
      <c r="A8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>
        <f ca="1">IF(NOTA[[#This Row],[NAMA BARANG]]="","",INDEX(NOTA[ID],MATCH(,INDIRECT(ADDRESS(ROW(NOTA[ID]),COLUMN(NOTA[ID]))&amp;":"&amp;ADDRESS(ROW(),COLUMN(NOTA[ID]))),-1)))</f>
        <v>168</v>
      </c>
      <c r="E889" s="47"/>
      <c r="H889" s="48"/>
      <c r="L889" s="38" t="s">
        <v>948</v>
      </c>
      <c r="M889" s="41">
        <v>2</v>
      </c>
      <c r="N889" s="39">
        <v>216</v>
      </c>
      <c r="O889" s="38" t="s">
        <v>152</v>
      </c>
      <c r="P889" s="42">
        <v>16000</v>
      </c>
      <c r="Q889" s="43"/>
      <c r="R889" s="49" t="s">
        <v>947</v>
      </c>
      <c r="S889" s="50"/>
      <c r="U889" s="51"/>
      <c r="V889" s="46"/>
      <c r="W889" s="51">
        <f>IF(NOTA[[#This Row],[HARGA/ CTN]]="",NOTA[[#This Row],[JUMLAH_H]],NOTA[[#This Row],[HARGA/ CTN]]*IF(NOTA[[#This Row],[C]]="",0,NOTA[[#This Row],[C]]))</f>
        <v>3456000</v>
      </c>
      <c r="X889" s="51">
        <f>IF(NOTA[[#This Row],[JUMLAH]]="","",NOTA[[#This Row],[JUMLAH]]*NOTA[[#This Row],[DISC 1]])</f>
        <v>0</v>
      </c>
      <c r="Y889" s="51">
        <f>IF(NOTA[[#This Row],[JUMLAH]]="","",(NOTA[[#This Row],[JUMLAH]]-NOTA[[#This Row],[DISC 1-]])*NOTA[[#This Row],[DISC 2]])</f>
        <v>0</v>
      </c>
      <c r="Z889" s="51">
        <f>IF(NOTA[[#This Row],[JUMLAH]]="","",NOTA[[#This Row],[DISC 1-]]+NOTA[[#This Row],[DISC 2-]])</f>
        <v>0</v>
      </c>
      <c r="AA889" s="51">
        <f>IF(NOTA[[#This Row],[JUMLAH]]="","",NOTA[[#This Row],[JUMLAH]]-NOTA[[#This Row],[DISC]])</f>
        <v>3456000</v>
      </c>
      <c r="AB889" s="51"/>
      <c r="AC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89" s="51">
        <f>IF(OR(NOTA[[#This Row],[QTY]]="",NOTA[[#This Row],[HARGA SATUAN]]="",),"",NOTA[[#This Row],[QTY]]*NOTA[[#This Row],[HARGA SATUAN]])</f>
        <v>3456000</v>
      </c>
      <c r="AG889" s="40">
        <f ca="1">IF(NOTA[ID_H]="","",INDEX(NOTA[TANGGAL],MATCH(,INDIRECT(ADDRESS(ROW(NOTA[TANGGAL]),COLUMN(NOTA[TANGGAL]))&amp;":"&amp;ADDRESS(ROW(),COLUMN(NOTA[TANGGAL]))),-1)))</f>
        <v>45140</v>
      </c>
      <c r="AH889" s="42" t="str">
        <f ca="1">IF(NOTA[[#This Row],[NAMA BARANG]]="","",INDEX(NOTA[SUPPLIER],MATCH(,INDIRECT(ADDRESS(ROW(NOTA[ID]),COLUMN(NOTA[ID]))&amp;":"&amp;ADDRESS(ROW(),COLUMN(NOTA[ID]))),-1)))</f>
        <v>DB STATIONERY</v>
      </c>
      <c r="AI889" s="42" t="str">
        <f ca="1">IF(NOTA[[#This Row],[ID_H]]="","",IF(NOTA[[#This Row],[FAKTUR]]="",INDIRECT(ADDRESS(ROW()-1,COLUMN())),NOTA[[#This Row],[FAKTUR]]))</f>
        <v>UNTANA</v>
      </c>
      <c r="AJ889" s="39" t="str">
        <f ca="1">IF(NOTA[[#This Row],[ID]]="","",COUNTIF(NOTA[ID_H],NOTA[[#This Row],[ID_H]]))</f>
        <v/>
      </c>
      <c r="AK889" s="39">
        <f ca="1">IF(NOTA[[#This Row],[TGL.NOTA]]="",IF(NOTA[[#This Row],[SUPPLIER_H]]="","",AK888),MONTH(NOTA[[#This Row],[TGL.NOTA]]))</f>
        <v>7</v>
      </c>
      <c r="AL889" s="39" t="str">
        <f>LOWER(SUBSTITUTE(SUBSTITUTE(SUBSTITUTE(SUBSTITUTE(SUBSTITUTE(SUBSTITUTE(SUBSTITUTE(SUBSTITUTE(SUBSTITUTE(NOTA[NAMA BARANG]," ",),".",""),"-",""),"(",""),")",""),",",""),"/",""),"""",""),"+",""))</f>
        <v>rautankayagi12pcsky395b</v>
      </c>
      <c r="AM8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rautankayagi12pcsky395b1728000</v>
      </c>
      <c r="AN8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rautankayagi12pcsky395b1728000</v>
      </c>
      <c r="AO8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39" t="str">
        <f>IF(NOTA[[#This Row],[CONCAT4]]="","",_xlfn.IFNA(MATCH(NOTA[[#This Row],[CONCAT4]],[2]!RAW[CONCAT_H],0),FALSE))</f>
        <v/>
      </c>
      <c r="AQ889" s="39">
        <f>IF(NOTA[[#This Row],[CONCAT1]]="","",MATCH(NOTA[[#This Row],[CONCAT1]],[3]!db[NB NOTA_C],0))</f>
        <v>71</v>
      </c>
      <c r="AR889" s="39" t="b">
        <f>IF(NOTA[[#This Row],[QTY/ CTN]]="","",TRUE)</f>
        <v>1</v>
      </c>
      <c r="AS889" s="39" t="str">
        <f ca="1">IF(NOTA[[#This Row],[ID_H]]="","",IF(NOTA[[#This Row],[Column3]]=TRUE,NOTA[[#This Row],[QTY/ CTN]],INDEX([3]!db[QTY/ CTN],NOTA[[#This Row],[//DB]])))</f>
        <v>108 LSN</v>
      </c>
      <c r="AT8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rautankayagi12pcsky395b108lsnuntana</v>
      </c>
      <c r="AU889" s="39" t="e">
        <f ca="1">IF(NOTA[[#This Row],[ID_H]]="","",MATCH(NOTA[[#This Row],[NB NOTA_C_QTY]],[4]!db[NB NOTA_C_QTY+F],0))</f>
        <v>#REF!</v>
      </c>
      <c r="AV889" s="55">
        <f ca="1">IF(NOTA[[#This Row],[NB NOTA_C_QTY]]="","",ROW()-2)</f>
        <v>887</v>
      </c>
    </row>
    <row r="890" spans="1:48" ht="20.100000000000001" customHeight="1" x14ac:dyDescent="0.25">
      <c r="A8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>
        <f ca="1">IF(NOTA[[#This Row],[NAMA BARANG]]="","",INDEX(NOTA[ID],MATCH(,INDIRECT(ADDRESS(ROW(NOTA[ID]),COLUMN(NOTA[ID]))&amp;":"&amp;ADDRESS(ROW(),COLUMN(NOTA[ID]))),-1)))</f>
        <v>168</v>
      </c>
      <c r="E890" s="47"/>
      <c r="H890" s="48"/>
      <c r="L890" s="38" t="s">
        <v>950</v>
      </c>
      <c r="M890" s="41">
        <v>1</v>
      </c>
      <c r="N890" s="39">
        <v>160</v>
      </c>
      <c r="O890" s="38" t="s">
        <v>263</v>
      </c>
      <c r="P890" s="42">
        <v>16500</v>
      </c>
      <c r="Q890" s="43"/>
      <c r="R890" s="49" t="s">
        <v>951</v>
      </c>
      <c r="S890" s="50"/>
      <c r="U890" s="51"/>
      <c r="V890" s="46"/>
      <c r="W890" s="51">
        <f>IF(NOTA[[#This Row],[HARGA/ CTN]]="",NOTA[[#This Row],[JUMLAH_H]],NOTA[[#This Row],[HARGA/ CTN]]*IF(NOTA[[#This Row],[C]]="",0,NOTA[[#This Row],[C]]))</f>
        <v>2640000</v>
      </c>
      <c r="X890" s="51">
        <f>IF(NOTA[[#This Row],[JUMLAH]]="","",NOTA[[#This Row],[JUMLAH]]*NOTA[[#This Row],[DISC 1]])</f>
        <v>0</v>
      </c>
      <c r="Y890" s="51">
        <f>IF(NOTA[[#This Row],[JUMLAH]]="","",(NOTA[[#This Row],[JUMLAH]]-NOTA[[#This Row],[DISC 1-]])*NOTA[[#This Row],[DISC 2]])</f>
        <v>0</v>
      </c>
      <c r="Z890" s="51">
        <f>IF(NOTA[[#This Row],[JUMLAH]]="","",NOTA[[#This Row],[DISC 1-]]+NOTA[[#This Row],[DISC 2-]])</f>
        <v>0</v>
      </c>
      <c r="AA890" s="51">
        <f>IF(NOTA[[#This Row],[JUMLAH]]="","",NOTA[[#This Row],[JUMLAH]]-NOTA[[#This Row],[DISC]])</f>
        <v>2640000</v>
      </c>
      <c r="AB890" s="51"/>
      <c r="AC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4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890" s="51">
        <f>IF(OR(NOTA[[#This Row],[QTY]]="",NOTA[[#This Row],[HARGA SATUAN]]="",),"",NOTA[[#This Row],[QTY]]*NOTA[[#This Row],[HARGA SATUAN]])</f>
        <v>2640000</v>
      </c>
      <c r="AG890" s="40">
        <f ca="1">IF(NOTA[ID_H]="","",INDEX(NOTA[TANGGAL],MATCH(,INDIRECT(ADDRESS(ROW(NOTA[TANGGAL]),COLUMN(NOTA[TANGGAL]))&amp;":"&amp;ADDRESS(ROW(),COLUMN(NOTA[TANGGAL]))),-1)))</f>
        <v>45140</v>
      </c>
      <c r="AH890" s="42" t="str">
        <f ca="1">IF(NOTA[[#This Row],[NAMA BARANG]]="","",INDEX(NOTA[SUPPLIER],MATCH(,INDIRECT(ADDRESS(ROW(NOTA[ID]),COLUMN(NOTA[ID]))&amp;":"&amp;ADDRESS(ROW(),COLUMN(NOTA[ID]))),-1)))</f>
        <v>DB STATIONERY</v>
      </c>
      <c r="AI890" s="42" t="str">
        <f ca="1">IF(NOTA[[#This Row],[ID_H]]="","",IF(NOTA[[#This Row],[FAKTUR]]="",INDIRECT(ADDRESS(ROW()-1,COLUMN())),NOTA[[#This Row],[FAKTUR]]))</f>
        <v>UNTANA</v>
      </c>
      <c r="AJ890" s="39" t="str">
        <f ca="1">IF(NOTA[[#This Row],[ID]]="","",COUNTIF(NOTA[ID_H],NOTA[[#This Row],[ID_H]]))</f>
        <v/>
      </c>
      <c r="AK890" s="39">
        <f ca="1">IF(NOTA[[#This Row],[TGL.NOTA]]="",IF(NOTA[[#This Row],[SUPPLIER_H]]="","",AK889),MONTH(NOTA[[#This Row],[TGL.NOTA]]))</f>
        <v>7</v>
      </c>
      <c r="AL890" s="39" t="str">
        <f>LOWER(SUBSTITUTE(SUBSTITUTE(SUBSTITUTE(SUBSTITUTE(SUBSTITUTE(SUBSTITUTE(SUBSTITUTE(SUBSTITUTE(SUBSTITUTE(NOTA[NAMA BARANG]," ",),".",""),"-",""),"(",""),")",""),",",""),"/",""),"""",""),"+",""))</f>
        <v>mekpsl12warnatizotm02630</v>
      </c>
      <c r="AM8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mekpsl12warnatizotm026302640000</v>
      </c>
      <c r="AN8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mekpsl12warnatizotm026302640000</v>
      </c>
      <c r="AO8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39" t="str">
        <f>IF(NOTA[[#This Row],[CONCAT4]]="","",_xlfn.IFNA(MATCH(NOTA[[#This Row],[CONCAT4]],[2]!RAW[CONCAT_H],0),FALSE))</f>
        <v/>
      </c>
      <c r="AQ890" s="39">
        <f>IF(NOTA[[#This Row],[CONCAT1]]="","",MATCH(NOTA[[#This Row],[CONCAT1]],[3]!db[NB NOTA_C],0))</f>
        <v>1002</v>
      </c>
      <c r="AR890" s="39" t="b">
        <f>IF(NOTA[[#This Row],[QTY/ CTN]]="","",TRUE)</f>
        <v>1</v>
      </c>
      <c r="AS890" s="39" t="str">
        <f ca="1">IF(NOTA[[#This Row],[ID_H]]="","",IF(NOTA[[#This Row],[Column3]]=TRUE,NOTA[[#This Row],[QTY/ CTN]],INDEX([3]!db[QTY/ CTN],NOTA[[#This Row],[//DB]])))</f>
        <v>160 SET</v>
      </c>
      <c r="AT8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mekpsl12warnatizotm02630160setuntana</v>
      </c>
      <c r="AU890" s="39" t="e">
        <f ca="1">IF(NOTA[[#This Row],[ID_H]]="","",MATCH(NOTA[[#This Row],[NB NOTA_C_QTY]],[4]!db[NB NOTA_C_QTY+F],0))</f>
        <v>#REF!</v>
      </c>
      <c r="AV890" s="55">
        <f ca="1">IF(NOTA[[#This Row],[NB NOTA_C_QTY]]="","",ROW()-2)</f>
        <v>888</v>
      </c>
    </row>
    <row r="891" spans="1:48" ht="20.100000000000001" customHeight="1" x14ac:dyDescent="0.25">
      <c r="A8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>
        <f ca="1">IF(NOTA[[#This Row],[NAMA BARANG]]="","",INDEX(NOTA[ID],MATCH(,INDIRECT(ADDRESS(ROW(NOTA[ID]),COLUMN(NOTA[ID]))&amp;":"&amp;ADDRESS(ROW(),COLUMN(NOTA[ID]))),-1)))</f>
        <v>168</v>
      </c>
      <c r="E891" s="47"/>
      <c r="H891" s="48"/>
      <c r="L891" s="38" t="s">
        <v>952</v>
      </c>
      <c r="M891" s="41">
        <v>1</v>
      </c>
      <c r="N891" s="39">
        <v>96</v>
      </c>
      <c r="O891" s="38" t="s">
        <v>263</v>
      </c>
      <c r="P891" s="42">
        <v>24000</v>
      </c>
      <c r="Q891" s="43"/>
      <c r="R891" s="49" t="s">
        <v>953</v>
      </c>
      <c r="S891" s="50"/>
      <c r="U891" s="51"/>
      <c r="V891" s="46"/>
      <c r="W891" s="51">
        <f>IF(NOTA[[#This Row],[HARGA/ CTN]]="",NOTA[[#This Row],[JUMLAH_H]],NOTA[[#This Row],[HARGA/ CTN]]*IF(NOTA[[#This Row],[C]]="",0,NOTA[[#This Row],[C]]))</f>
        <v>2304000</v>
      </c>
      <c r="X891" s="51">
        <f>IF(NOTA[[#This Row],[JUMLAH]]="","",NOTA[[#This Row],[JUMLAH]]*NOTA[[#This Row],[DISC 1]])</f>
        <v>0</v>
      </c>
      <c r="Y891" s="51">
        <f>IF(NOTA[[#This Row],[JUMLAH]]="","",(NOTA[[#This Row],[JUMLAH]]-NOTA[[#This Row],[DISC 1-]])*NOTA[[#This Row],[DISC 2]])</f>
        <v>0</v>
      </c>
      <c r="Z891" s="51">
        <f>IF(NOTA[[#This Row],[JUMLAH]]="","",NOTA[[#This Row],[DISC 1-]]+NOTA[[#This Row],[DISC 2-]])</f>
        <v>0</v>
      </c>
      <c r="AA891" s="51">
        <f>IF(NOTA[[#This Row],[JUMLAH]]="","",NOTA[[#This Row],[JUMLAH]]-NOTA[[#This Row],[DISC]])</f>
        <v>2304000</v>
      </c>
      <c r="AB891" s="51"/>
      <c r="AC8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92948000</v>
      </c>
      <c r="AE891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91" s="51">
        <f>IF(OR(NOTA[[#This Row],[QTY]]="",NOTA[[#This Row],[HARGA SATUAN]]="",),"",NOTA[[#This Row],[QTY]]*NOTA[[#This Row],[HARGA SATUAN]])</f>
        <v>2304000</v>
      </c>
      <c r="AG891" s="40">
        <f ca="1">IF(NOTA[ID_H]="","",INDEX(NOTA[TANGGAL],MATCH(,INDIRECT(ADDRESS(ROW(NOTA[TANGGAL]),COLUMN(NOTA[TANGGAL]))&amp;":"&amp;ADDRESS(ROW(),COLUMN(NOTA[TANGGAL]))),-1)))</f>
        <v>45140</v>
      </c>
      <c r="AH891" s="42" t="str">
        <f ca="1">IF(NOTA[[#This Row],[NAMA BARANG]]="","",INDEX(NOTA[SUPPLIER],MATCH(,INDIRECT(ADDRESS(ROW(NOTA[ID]),COLUMN(NOTA[ID]))&amp;":"&amp;ADDRESS(ROW(),COLUMN(NOTA[ID]))),-1)))</f>
        <v>DB STATIONERY</v>
      </c>
      <c r="AI891" s="42" t="str">
        <f ca="1">IF(NOTA[[#This Row],[ID_H]]="","",IF(NOTA[[#This Row],[FAKTUR]]="",INDIRECT(ADDRESS(ROW()-1,COLUMN())),NOTA[[#This Row],[FAKTUR]]))</f>
        <v>UNTANA</v>
      </c>
      <c r="AJ891" s="39" t="str">
        <f ca="1">IF(NOTA[[#This Row],[ID]]="","",COUNTIF(NOTA[ID_H],NOTA[[#This Row],[ID_H]]))</f>
        <v/>
      </c>
      <c r="AK891" s="39">
        <f ca="1">IF(NOTA[[#This Row],[TGL.NOTA]]="",IF(NOTA[[#This Row],[SUPPLIER_H]]="","",AK890),MONTH(NOTA[[#This Row],[TGL.NOTA]]))</f>
        <v>7</v>
      </c>
      <c r="AL891" s="39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M8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N8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O8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39" t="str">
        <f>IF(NOTA[[#This Row],[CONCAT4]]="","",_xlfn.IFNA(MATCH(NOTA[[#This Row],[CONCAT4]],[2]!RAW[CONCAT_H],0),FALSE))</f>
        <v/>
      </c>
      <c r="AQ891" s="39">
        <f>IF(NOTA[[#This Row],[CONCAT1]]="","",MATCH(NOTA[[#This Row],[CONCAT1]],[3]!db[NB NOTA_C],0))</f>
        <v>1685</v>
      </c>
      <c r="AR891" s="39" t="b">
        <f>IF(NOTA[[#This Row],[QTY/ CTN]]="","",TRUE)</f>
        <v>1</v>
      </c>
      <c r="AS891" s="39" t="str">
        <f ca="1">IF(NOTA[[#This Row],[ID_H]]="","",IF(NOTA[[#This Row],[Column3]]=TRUE,NOTA[[#This Row],[QTY/ CTN]],INDEX([3]!db[QTY/ CTN],NOTA[[#This Row],[//DB]])))</f>
        <v>96 SET</v>
      </c>
      <c r="AT8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U891" s="39" t="e">
        <f ca="1">IF(NOTA[[#This Row],[ID_H]]="","",MATCH(NOTA[[#This Row],[NB NOTA_C_QTY]],[4]!db[NB NOTA_C_QTY+F],0))</f>
        <v>#REF!</v>
      </c>
      <c r="AV891" s="55">
        <f ca="1">IF(NOTA[[#This Row],[NB NOTA_C_QTY]]="","",ROW()-2)</f>
        <v>889</v>
      </c>
    </row>
    <row r="892" spans="1:48" ht="20.100000000000001" customHeight="1" x14ac:dyDescent="0.25">
      <c r="A8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 t="str">
        <f ca="1">IF(NOTA[[#This Row],[NAMA BARANG]]="","",INDEX(NOTA[ID],MATCH(,INDIRECT(ADDRESS(ROW(NOTA[ID]),COLUMN(NOTA[ID]))&amp;":"&amp;ADDRESS(ROW(),COLUMN(NOTA[ID]))),-1)))</f>
        <v/>
      </c>
      <c r="E892" s="47"/>
      <c r="H892" s="48"/>
      <c r="N892" s="39"/>
      <c r="Q892" s="43"/>
      <c r="R892" s="49"/>
      <c r="S892" s="50"/>
      <c r="U892" s="51"/>
      <c r="V892" s="46"/>
      <c r="W892" s="51" t="str">
        <f>IF(NOTA[[#This Row],[HARGA/ CTN]]="",NOTA[[#This Row],[JUMLAH_H]],NOTA[[#This Row],[HARGA/ CTN]]*IF(NOTA[[#This Row],[C]]="",0,NOTA[[#This Row],[C]]))</f>
        <v/>
      </c>
      <c r="X892" s="51" t="str">
        <f>IF(NOTA[[#This Row],[JUMLAH]]="","",NOTA[[#This Row],[JUMLAH]]*NOTA[[#This Row],[DISC 1]])</f>
        <v/>
      </c>
      <c r="Y892" s="51" t="str">
        <f>IF(NOTA[[#This Row],[JUMLAH]]="","",(NOTA[[#This Row],[JUMLAH]]-NOTA[[#This Row],[DISC 1-]])*NOTA[[#This Row],[DISC 2]])</f>
        <v/>
      </c>
      <c r="Z892" s="51" t="str">
        <f>IF(NOTA[[#This Row],[JUMLAH]]="","",NOTA[[#This Row],[DISC 1-]]+NOTA[[#This Row],[DISC 2-]])</f>
        <v/>
      </c>
      <c r="AA892" s="51" t="str">
        <f>IF(NOTA[[#This Row],[JUMLAH]]="","",NOTA[[#This Row],[JUMLAH]]-NOTA[[#This Row],[DISC]])</f>
        <v/>
      </c>
      <c r="AB892" s="51"/>
      <c r="AC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51" t="str">
        <f>IF(OR(NOTA[[#This Row],[QTY]]="",NOTA[[#This Row],[HARGA SATUAN]]="",),"",NOTA[[#This Row],[QTY]]*NOTA[[#This Row],[HARGA SATUAN]])</f>
        <v/>
      </c>
      <c r="AG892" s="40" t="str">
        <f ca="1">IF(NOTA[ID_H]="","",INDEX(NOTA[TANGGAL],MATCH(,INDIRECT(ADDRESS(ROW(NOTA[TANGGAL]),COLUMN(NOTA[TANGGAL]))&amp;":"&amp;ADDRESS(ROW(),COLUMN(NOTA[TANGGAL]))),-1)))</f>
        <v/>
      </c>
      <c r="AH892" s="42" t="str">
        <f ca="1">IF(NOTA[[#This Row],[NAMA BARANG]]="","",INDEX(NOTA[SUPPLIER],MATCH(,INDIRECT(ADDRESS(ROW(NOTA[ID]),COLUMN(NOTA[ID]))&amp;":"&amp;ADDRESS(ROW(),COLUMN(NOTA[ID]))),-1)))</f>
        <v/>
      </c>
      <c r="AI892" s="42" t="str">
        <f ca="1">IF(NOTA[[#This Row],[ID_H]]="","",IF(NOTA[[#This Row],[FAKTUR]]="",INDIRECT(ADDRESS(ROW()-1,COLUMN())),NOTA[[#This Row],[FAKTUR]]))</f>
        <v/>
      </c>
      <c r="AJ892" s="39" t="str">
        <f ca="1">IF(NOTA[[#This Row],[ID]]="","",COUNTIF(NOTA[ID_H],NOTA[[#This Row],[ID_H]]))</f>
        <v/>
      </c>
      <c r="AK892" s="39" t="str">
        <f ca="1">IF(NOTA[[#This Row],[TGL.NOTA]]="",IF(NOTA[[#This Row],[SUPPLIER_H]]="","",AK891),MONTH(NOTA[[#This Row],[TGL.NOTA]]))</f>
        <v/>
      </c>
      <c r="AL892" s="39" t="str">
        <f>LOWER(SUBSTITUTE(SUBSTITUTE(SUBSTITUTE(SUBSTITUTE(SUBSTITUTE(SUBSTITUTE(SUBSTITUTE(SUBSTITUTE(SUBSTITUTE(NOTA[NAMA BARANG]," ",),".",""),"-",""),"(",""),")",""),",",""),"/",""),"""",""),"+",""))</f>
        <v/>
      </c>
      <c r="AM8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39" t="str">
        <f>IF(NOTA[[#This Row],[CONCAT4]]="","",_xlfn.IFNA(MATCH(NOTA[[#This Row],[CONCAT4]],[2]!RAW[CONCAT_H],0),FALSE))</f>
        <v/>
      </c>
      <c r="AQ892" s="39" t="str">
        <f>IF(NOTA[[#This Row],[CONCAT1]]="","",MATCH(NOTA[[#This Row],[CONCAT1]],[3]!db[NB NOTA_C],0))</f>
        <v/>
      </c>
      <c r="AR892" s="39" t="str">
        <f>IF(NOTA[[#This Row],[QTY/ CTN]]="","",TRUE)</f>
        <v/>
      </c>
      <c r="AS892" s="39" t="str">
        <f ca="1">IF(NOTA[[#This Row],[ID_H]]="","",IF(NOTA[[#This Row],[Column3]]=TRUE,NOTA[[#This Row],[QTY/ CTN]],INDEX([3]!db[QTY/ CTN],NOTA[[#This Row],[//DB]])))</f>
        <v/>
      </c>
      <c r="AT8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39" t="str">
        <f ca="1">IF(NOTA[[#This Row],[ID_H]]="","",MATCH(NOTA[[#This Row],[NB NOTA_C_QTY]],[4]!db[NB NOTA_C_QTY+F],0))</f>
        <v/>
      </c>
      <c r="AV892" s="55" t="str">
        <f ca="1">IF(NOTA[[#This Row],[NB NOTA_C_QTY]]="","",ROW()-2)</f>
        <v/>
      </c>
    </row>
    <row r="893" spans="1:48" ht="20.100000000000001" customHeight="1" x14ac:dyDescent="0.25">
      <c r="A893" s="42">
        <f ca="1">IF(INDIRECT(ADDRESS(ROW()-1,COLUMN(NOTA[[#Headers],[ID]])))="ID",1,IF(NOTA[[#This Row],[FAKTUR]]="","",COUNT(INDIRECT(ADDRESS(ROW(NOTA[ID]),COLUMN(NOTA[ID]))&amp;":"&amp;ADDRESS(ROW()-1,COLUMN(NOTA[ID]))))+1))</f>
        <v>169</v>
      </c>
      <c r="B8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WIN_0408_COD-2</v>
      </c>
      <c r="C893" s="39" t="e">
        <f ca="1">IF(NOTA[[#This Row],[ID_P]]="","",MATCH(NOTA[[#This Row],[ID_P]],[1]!B_MSK[N_ID],0))</f>
        <v>#REF!</v>
      </c>
      <c r="D893" s="39">
        <f ca="1">IF(NOTA[[#This Row],[NAMA BARANG]]="","",INDEX(NOTA[ID],MATCH(,INDIRECT(ADDRESS(ROW(NOTA[ID]),COLUMN(NOTA[ID]))&amp;":"&amp;ADDRESS(ROW(),COLUMN(NOTA[ID]))),-1)))</f>
        <v>169</v>
      </c>
      <c r="E893" s="47">
        <v>45142</v>
      </c>
      <c r="F893" s="38" t="s">
        <v>613</v>
      </c>
      <c r="G893" s="38" t="s">
        <v>145</v>
      </c>
      <c r="H893" s="48" t="s">
        <v>954</v>
      </c>
      <c r="J893" s="40">
        <v>45138</v>
      </c>
      <c r="L893" s="38" t="s">
        <v>955</v>
      </c>
      <c r="M893" s="41">
        <v>26</v>
      </c>
      <c r="N893" s="39">
        <f>40*26</f>
        <v>1040</v>
      </c>
      <c r="O893" s="38" t="s">
        <v>117</v>
      </c>
      <c r="P893" s="42">
        <f>740000/40</f>
        <v>18500</v>
      </c>
      <c r="Q893" s="43"/>
      <c r="R893" s="49" t="s">
        <v>559</v>
      </c>
      <c r="S893" s="50"/>
      <c r="U893" s="51"/>
      <c r="V893" s="46"/>
      <c r="W893" s="51">
        <f>IF(NOTA[[#This Row],[HARGA/ CTN]]="",NOTA[[#This Row],[JUMLAH_H]],NOTA[[#This Row],[HARGA/ CTN]]*IF(NOTA[[#This Row],[C]]="",0,NOTA[[#This Row],[C]]))</f>
        <v>19240000</v>
      </c>
      <c r="X893" s="51">
        <f>IF(NOTA[[#This Row],[JUMLAH]]="","",NOTA[[#This Row],[JUMLAH]]*NOTA[[#This Row],[DISC 1]])</f>
        <v>0</v>
      </c>
      <c r="Y893" s="51">
        <f>IF(NOTA[[#This Row],[JUMLAH]]="","",(NOTA[[#This Row],[JUMLAH]]-NOTA[[#This Row],[DISC 1-]])*NOTA[[#This Row],[DISC 2]])</f>
        <v>0</v>
      </c>
      <c r="Z893" s="51">
        <f>IF(NOTA[[#This Row],[JUMLAH]]="","",NOTA[[#This Row],[DISC 1-]]+NOTA[[#This Row],[DISC 2-]])</f>
        <v>0</v>
      </c>
      <c r="AA893" s="51">
        <f>IF(NOTA[[#This Row],[JUMLAH]]="","",NOTA[[#This Row],[JUMLAH]]-NOTA[[#This Row],[DISC]])</f>
        <v>19240000</v>
      </c>
      <c r="AB893" s="51"/>
      <c r="AC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893" s="51">
        <f>IF(OR(NOTA[[#This Row],[QTY]]="",NOTA[[#This Row],[HARGA SATUAN]]="",),"",NOTA[[#This Row],[QTY]]*NOTA[[#This Row],[HARGA SATUAN]])</f>
        <v>19240000</v>
      </c>
      <c r="AG893" s="40">
        <f ca="1">IF(NOTA[ID_H]="","",INDEX(NOTA[TANGGAL],MATCH(,INDIRECT(ADDRESS(ROW(NOTA[TANGGAL]),COLUMN(NOTA[TANGGAL]))&amp;":"&amp;ADDRESS(ROW(),COLUMN(NOTA[TANGGAL]))),-1)))</f>
        <v>45142</v>
      </c>
      <c r="AH893" s="42" t="str">
        <f ca="1">IF(NOTA[[#This Row],[NAMA BARANG]]="","",INDEX(NOTA[SUPPLIER],MATCH(,INDIRECT(ADDRESS(ROW(NOTA[ID]),COLUMN(NOTA[ID]))&amp;":"&amp;ADDRESS(ROW(),COLUMN(NOTA[ID]))),-1)))</f>
        <v>WIN'S SENTOSA</v>
      </c>
      <c r="AI893" s="42" t="str">
        <f ca="1">IF(NOTA[[#This Row],[ID_H]]="","",IF(NOTA[[#This Row],[FAKTUR]]="",INDIRECT(ADDRESS(ROW()-1,COLUMN())),NOTA[[#This Row],[FAKTUR]]))</f>
        <v>UNTANA</v>
      </c>
      <c r="AJ893" s="39">
        <f ca="1">IF(NOTA[[#This Row],[ID]]="","",COUNTIF(NOTA[ID_H],NOTA[[#This Row],[ID_H]]))</f>
        <v>2</v>
      </c>
      <c r="AK893" s="39">
        <f>IF(NOTA[[#This Row],[TGL.NOTA]]="",IF(NOTA[[#This Row],[SUPPLIER_H]]="","",AK892),MONTH(NOTA[[#This Row],[TGL.NOTA]]))</f>
        <v>7</v>
      </c>
      <c r="AL893" s="39" t="str">
        <f>LOWER(SUBSTITUTE(SUBSTITUTE(SUBSTITUTE(SUBSTITUTE(SUBSTITUTE(SUBSTITUTE(SUBSTITUTE(SUBSTITUTE(SUBSTITUTE(NOTA[NAMA BARANG]," ",),".",""),"-",""),"(",""),")",""),",",""),"/",""),"""",""),"+",""))</f>
        <v>pitajpnlistgoldmix</v>
      </c>
      <c r="AM8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pitajpnlistgoldmix740000</v>
      </c>
      <c r="AN8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pitajpnlistgoldmix740000</v>
      </c>
      <c r="AO893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SENTOSAUNTANASI-2023/07-0270/COD45138pitajpnlistgoldmix</v>
      </c>
      <c r="AP893" s="39" t="e">
        <f>IF(NOTA[[#This Row],[CONCAT4]]="","",_xlfn.IFNA(MATCH(NOTA[[#This Row],[CONCAT4]],[2]!RAW[CONCAT_H],0),FALSE))</f>
        <v>#REF!</v>
      </c>
      <c r="AQ893" s="39">
        <f>IF(NOTA[[#This Row],[CONCAT1]]="","",MATCH(NOTA[[#This Row],[CONCAT1]],[3]!db[NB NOTA_C],0))</f>
        <v>2258</v>
      </c>
      <c r="AR893" s="39" t="b">
        <f>IF(NOTA[[#This Row],[QTY/ CTN]]="","",TRUE)</f>
        <v>1</v>
      </c>
      <c r="AS893" s="39" t="str">
        <f ca="1">IF(NOTA[[#This Row],[ID_H]]="","",IF(NOTA[[#This Row],[Column3]]=TRUE,NOTA[[#This Row],[QTY/ CTN]],INDEX([3]!db[QTY/ CTN],NOTA[[#This Row],[//DB]])))</f>
        <v>40 PCS</v>
      </c>
      <c r="AT8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pitajpnlistgoldmix40pcsuntana</v>
      </c>
      <c r="AU893" s="39" t="e">
        <f ca="1">IF(NOTA[[#This Row],[ID_H]]="","",MATCH(NOTA[[#This Row],[NB NOTA_C_QTY]],[4]!db[NB NOTA_C_QTY+F],0))</f>
        <v>#REF!</v>
      </c>
      <c r="AV893" s="55">
        <f ca="1">IF(NOTA[[#This Row],[NB NOTA_C_QTY]]="","",ROW()-2)</f>
        <v>891</v>
      </c>
    </row>
    <row r="894" spans="1:48" ht="20.100000000000001" customHeight="1" x14ac:dyDescent="0.25">
      <c r="A8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39" t="str">
        <f>IF(NOTA[[#This Row],[ID_P]]="","",MATCH(NOTA[[#This Row],[ID_P]],[1]!B_MSK[N_ID],0))</f>
        <v/>
      </c>
      <c r="D894" s="39">
        <f ca="1">IF(NOTA[[#This Row],[NAMA BARANG]]="","",INDEX(NOTA[ID],MATCH(,INDIRECT(ADDRESS(ROW(NOTA[ID]),COLUMN(NOTA[ID]))&amp;":"&amp;ADDRESS(ROW(),COLUMN(NOTA[ID]))),-1)))</f>
        <v>169</v>
      </c>
      <c r="E894" s="47"/>
      <c r="H894" s="48"/>
      <c r="L894" s="38" t="s">
        <v>956</v>
      </c>
      <c r="M894" s="41">
        <v>14</v>
      </c>
      <c r="N894" s="39">
        <f>40*14</f>
        <v>560</v>
      </c>
      <c r="O894" s="38" t="s">
        <v>117</v>
      </c>
      <c r="P894" s="42">
        <f>740000/40</f>
        <v>18500</v>
      </c>
      <c r="Q894" s="43"/>
      <c r="R894" s="49" t="s">
        <v>559</v>
      </c>
      <c r="S894" s="50"/>
      <c r="U894" s="51"/>
      <c r="V894" s="46"/>
      <c r="W894" s="51">
        <f>IF(NOTA[[#This Row],[HARGA/ CTN]]="",NOTA[[#This Row],[JUMLAH_H]],NOTA[[#This Row],[HARGA/ CTN]]*IF(NOTA[[#This Row],[C]]="",0,NOTA[[#This Row],[C]]))</f>
        <v>10360000</v>
      </c>
      <c r="X894" s="51">
        <f>IF(NOTA[[#This Row],[JUMLAH]]="","",NOTA[[#This Row],[JUMLAH]]*NOTA[[#This Row],[DISC 1]])</f>
        <v>0</v>
      </c>
      <c r="Y894" s="51">
        <f>IF(NOTA[[#This Row],[JUMLAH]]="","",(NOTA[[#This Row],[JUMLAH]]-NOTA[[#This Row],[DISC 1-]])*NOTA[[#This Row],[DISC 2]])</f>
        <v>0</v>
      </c>
      <c r="Z894" s="51">
        <f>IF(NOTA[[#This Row],[JUMLAH]]="","",NOTA[[#This Row],[DISC 1-]]+NOTA[[#This Row],[DISC 2-]])</f>
        <v>0</v>
      </c>
      <c r="AA894" s="51">
        <f>IF(NOTA[[#This Row],[JUMLAH]]="","",NOTA[[#This Row],[JUMLAH]]-NOTA[[#This Row],[DISC]])</f>
        <v>10360000</v>
      </c>
      <c r="AB894" s="51"/>
      <c r="AC8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29600000</v>
      </c>
      <c r="AE894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F894" s="51">
        <f>IF(OR(NOTA[[#This Row],[QTY]]="",NOTA[[#This Row],[HARGA SATUAN]]="",),"",NOTA[[#This Row],[QTY]]*NOTA[[#This Row],[HARGA SATUAN]])</f>
        <v>10360000</v>
      </c>
      <c r="AG894" s="40">
        <f ca="1">IF(NOTA[ID_H]="","",INDEX(NOTA[TANGGAL],MATCH(,INDIRECT(ADDRESS(ROW(NOTA[TANGGAL]),COLUMN(NOTA[TANGGAL]))&amp;":"&amp;ADDRESS(ROW(),COLUMN(NOTA[TANGGAL]))),-1)))</f>
        <v>45142</v>
      </c>
      <c r="AH894" s="42" t="str">
        <f ca="1">IF(NOTA[[#This Row],[NAMA BARANG]]="","",INDEX(NOTA[SUPPLIER],MATCH(,INDIRECT(ADDRESS(ROW(NOTA[ID]),COLUMN(NOTA[ID]))&amp;":"&amp;ADDRESS(ROW(),COLUMN(NOTA[ID]))),-1)))</f>
        <v>WIN'S SENTOSA</v>
      </c>
      <c r="AI894" s="42" t="str">
        <f ca="1">IF(NOTA[[#This Row],[ID_H]]="","",IF(NOTA[[#This Row],[FAKTUR]]="",INDIRECT(ADDRESS(ROW()-1,COLUMN())),NOTA[[#This Row],[FAKTUR]]))</f>
        <v>UNTANA</v>
      </c>
      <c r="AJ894" s="39" t="str">
        <f ca="1">IF(NOTA[[#This Row],[ID]]="","",COUNTIF(NOTA[ID_H],NOTA[[#This Row],[ID_H]]))</f>
        <v/>
      </c>
      <c r="AK894" s="39">
        <f ca="1">IF(NOTA[[#This Row],[TGL.NOTA]]="",IF(NOTA[[#This Row],[SUPPLIER_H]]="","",AK893),MONTH(NOTA[[#This Row],[TGL.NOTA]]))</f>
        <v>7</v>
      </c>
      <c r="AL894" s="39" t="str">
        <f>LOWER(SUBSTITUTE(SUBSTITUTE(SUBSTITUTE(SUBSTITUTE(SUBSTITUTE(SUBSTITUTE(SUBSTITUTE(SUBSTITUTE(SUBSTITUTE(NOTA[NAMA BARANG]," ",),".",""),"-",""),"(",""),")",""),",",""),"/",""),"""",""),"+",""))</f>
        <v>pitajpnpolosmix</v>
      </c>
      <c r="AM8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pitajpnpolosmix740000</v>
      </c>
      <c r="AN8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pitajpnpolosmix740000</v>
      </c>
      <c r="AO8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39" t="str">
        <f>IF(NOTA[[#This Row],[CONCAT4]]="","",_xlfn.IFNA(MATCH(NOTA[[#This Row],[CONCAT4]],[2]!RAW[CONCAT_H],0),FALSE))</f>
        <v/>
      </c>
      <c r="AQ894" s="39">
        <f>IF(NOTA[[#This Row],[CONCAT1]]="","",MATCH(NOTA[[#This Row],[CONCAT1]],[3]!db[NB NOTA_C],0))</f>
        <v>2263</v>
      </c>
      <c r="AR894" s="39" t="b">
        <f>IF(NOTA[[#This Row],[QTY/ CTN]]="","",TRUE)</f>
        <v>1</v>
      </c>
      <c r="AS894" s="39" t="str">
        <f ca="1">IF(NOTA[[#This Row],[ID_H]]="","",IF(NOTA[[#This Row],[Column3]]=TRUE,NOTA[[#This Row],[QTY/ CTN]],INDEX([3]!db[QTY/ CTN],NOTA[[#This Row],[//DB]])))</f>
        <v>40 PCS</v>
      </c>
      <c r="AT8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pitajpnpolosmix40pcsuntana</v>
      </c>
      <c r="AU894" s="39" t="e">
        <f ca="1">IF(NOTA[[#This Row],[ID_H]]="","",MATCH(NOTA[[#This Row],[NB NOTA_C_QTY]],[4]!db[NB NOTA_C_QTY+F],0))</f>
        <v>#REF!</v>
      </c>
      <c r="AV894" s="55">
        <f ca="1">IF(NOTA[[#This Row],[NB NOTA_C_QTY]]="","",ROW()-2)</f>
        <v>892</v>
      </c>
    </row>
    <row r="895" spans="1:48" ht="20.100000000000001" customHeight="1" x14ac:dyDescent="0.25">
      <c r="A8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47"/>
      <c r="H895" s="48"/>
      <c r="N895" s="39"/>
      <c r="Q895" s="43"/>
      <c r="R895" s="49"/>
      <c r="S895" s="50"/>
      <c r="U895" s="51"/>
      <c r="V895" s="46"/>
      <c r="W895" s="51" t="str">
        <f>IF(NOTA[[#This Row],[HARGA/ CTN]]="",NOTA[[#This Row],[JUMLAH_H]],NOTA[[#This Row],[HARGA/ CTN]]*IF(NOTA[[#This Row],[C]]="",0,NOTA[[#This Row],[C]]))</f>
        <v/>
      </c>
      <c r="X895" s="51" t="str">
        <f>IF(NOTA[[#This Row],[JUMLAH]]="","",NOTA[[#This Row],[JUMLAH]]*NOTA[[#This Row],[DISC 1]])</f>
        <v/>
      </c>
      <c r="Y895" s="51" t="str">
        <f>IF(NOTA[[#This Row],[JUMLAH]]="","",(NOTA[[#This Row],[JUMLAH]]-NOTA[[#This Row],[DISC 1-]])*NOTA[[#This Row],[DISC 2]])</f>
        <v/>
      </c>
      <c r="Z895" s="51" t="str">
        <f>IF(NOTA[[#This Row],[JUMLAH]]="","",NOTA[[#This Row],[DISC 1-]]+NOTA[[#This Row],[DISC 2-]])</f>
        <v/>
      </c>
      <c r="AA895" s="51" t="str">
        <f>IF(NOTA[[#This Row],[JUMLAH]]="","",NOTA[[#This Row],[JUMLAH]]-NOTA[[#This Row],[DISC]])</f>
        <v/>
      </c>
      <c r="AB895" s="51"/>
      <c r="AC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51" t="str">
        <f>IF(OR(NOTA[[#This Row],[QTY]]="",NOTA[[#This Row],[HARGA SATUAN]]="",),"",NOTA[[#This Row],[QTY]]*NOTA[[#This Row],[HARGA SATUAN]])</f>
        <v/>
      </c>
      <c r="AG895" s="40" t="str">
        <f ca="1">IF(NOTA[ID_H]="","",INDEX(NOTA[TANGGAL],MATCH(,INDIRECT(ADDRESS(ROW(NOTA[TANGGAL]),COLUMN(NOTA[TANGGAL]))&amp;":"&amp;ADDRESS(ROW(),COLUMN(NOTA[TANGGAL]))),-1)))</f>
        <v/>
      </c>
      <c r="AH895" s="42" t="str">
        <f ca="1">IF(NOTA[[#This Row],[NAMA BARANG]]="","",INDEX(NOTA[SUPPLIER],MATCH(,INDIRECT(ADDRESS(ROW(NOTA[ID]),COLUMN(NOTA[ID]))&amp;":"&amp;ADDRESS(ROW(),COLUMN(NOTA[ID]))),-1)))</f>
        <v/>
      </c>
      <c r="AI895" s="42" t="str">
        <f ca="1">IF(NOTA[[#This Row],[ID_H]]="","",IF(NOTA[[#This Row],[FAKTUR]]="",INDIRECT(ADDRESS(ROW()-1,COLUMN())),NOTA[[#This Row],[FAKTUR]]))</f>
        <v/>
      </c>
      <c r="AJ895" s="39" t="str">
        <f ca="1">IF(NOTA[[#This Row],[ID]]="","",COUNTIF(NOTA[ID_H],NOTA[[#This Row],[ID_H]]))</f>
        <v/>
      </c>
      <c r="AK895" s="39" t="str">
        <f ca="1">IF(NOTA[[#This Row],[TGL.NOTA]]="",IF(NOTA[[#This Row],[SUPPLIER_H]]="","",AK894),MONTH(NOTA[[#This Row],[TGL.NOTA]]))</f>
        <v/>
      </c>
      <c r="AL895" s="39" t="str">
        <f>LOWER(SUBSTITUTE(SUBSTITUTE(SUBSTITUTE(SUBSTITUTE(SUBSTITUTE(SUBSTITUTE(SUBSTITUTE(SUBSTITUTE(SUBSTITUTE(NOTA[NAMA BARANG]," ",),".",""),"-",""),"(",""),")",""),",",""),"/",""),"""",""),"+",""))</f>
        <v/>
      </c>
      <c r="AM8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39" t="str">
        <f>IF(NOTA[[#This Row],[CONCAT4]]="","",_xlfn.IFNA(MATCH(NOTA[[#This Row],[CONCAT4]],[2]!RAW[CONCAT_H],0),FALSE))</f>
        <v/>
      </c>
      <c r="AQ895" s="39" t="str">
        <f>IF(NOTA[[#This Row],[CONCAT1]]="","",MATCH(NOTA[[#This Row],[CONCAT1]],[3]!db[NB NOTA_C],0))</f>
        <v/>
      </c>
      <c r="AR895" s="39" t="str">
        <f>IF(NOTA[[#This Row],[QTY/ CTN]]="","",TRUE)</f>
        <v/>
      </c>
      <c r="AS895" s="39" t="str">
        <f ca="1">IF(NOTA[[#This Row],[ID_H]]="","",IF(NOTA[[#This Row],[Column3]]=TRUE,NOTA[[#This Row],[QTY/ CTN]],INDEX([3]!db[QTY/ CTN],NOTA[[#This Row],[//DB]])))</f>
        <v/>
      </c>
      <c r="AT8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39" t="str">
        <f ca="1">IF(NOTA[[#This Row],[ID_H]]="","",MATCH(NOTA[[#This Row],[NB NOTA_C_QTY]],[4]!db[NB NOTA_C_QTY+F],0))</f>
        <v/>
      </c>
      <c r="AV895" s="55" t="str">
        <f ca="1">IF(NOTA[[#This Row],[NB NOTA_C_QTY]]="","",ROW()-2)</f>
        <v/>
      </c>
    </row>
    <row r="896" spans="1:48" ht="20.100000000000001" customHeight="1" x14ac:dyDescent="0.25">
      <c r="A896" s="42">
        <f ca="1">IF(INDIRECT(ADDRESS(ROW()-1,COLUMN(NOTA[[#Headers],[ID]])))="ID",1,IF(NOTA[[#This Row],[FAKTUR]]="","",COUNT(INDIRECT(ADDRESS(ROW(NOTA[ID]),COLUMN(NOTA[ID]))&amp;":"&amp;ADDRESS(ROW()-1,COLUMN(NOTA[ID]))))+1))</f>
        <v>170</v>
      </c>
      <c r="B8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WIN_0408_660-1</v>
      </c>
      <c r="C896" s="39" t="e">
        <f ca="1">IF(NOTA[[#This Row],[ID_P]]="","",MATCH(NOTA[[#This Row],[ID_P]],[1]!B_MSK[N_ID],0))</f>
        <v>#REF!</v>
      </c>
      <c r="D896" s="39">
        <f ca="1">IF(NOTA[[#This Row],[NAMA BARANG]]="","",INDEX(NOTA[ID],MATCH(,INDIRECT(ADDRESS(ROW(NOTA[ID]),COLUMN(NOTA[ID]))&amp;":"&amp;ADDRESS(ROW(),COLUMN(NOTA[ID]))),-1)))</f>
        <v>170</v>
      </c>
      <c r="E896" s="47"/>
      <c r="F896" s="38" t="s">
        <v>613</v>
      </c>
      <c r="G896" s="38" t="s">
        <v>145</v>
      </c>
      <c r="H896" s="48" t="s">
        <v>957</v>
      </c>
      <c r="J896" s="40">
        <v>45140</v>
      </c>
      <c r="L896" s="38" t="s">
        <v>958</v>
      </c>
      <c r="M896" s="41">
        <v>15</v>
      </c>
      <c r="N896" s="39">
        <f>40*18</f>
        <v>720</v>
      </c>
      <c r="O896" s="38" t="s">
        <v>117</v>
      </c>
      <c r="P896" s="42">
        <v>18500</v>
      </c>
      <c r="Q896" s="43"/>
      <c r="R896" s="49" t="s">
        <v>559</v>
      </c>
      <c r="S896" s="50"/>
      <c r="U896" s="51"/>
      <c r="V896" s="46"/>
      <c r="W896" s="51">
        <f>IF(NOTA[[#This Row],[HARGA/ CTN]]="",NOTA[[#This Row],[JUMLAH_H]],NOTA[[#This Row],[HARGA/ CTN]]*IF(NOTA[[#This Row],[C]]="",0,NOTA[[#This Row],[C]]))</f>
        <v>13320000</v>
      </c>
      <c r="X896" s="51">
        <f>IF(NOTA[[#This Row],[JUMLAH]]="","",NOTA[[#This Row],[JUMLAH]]*NOTA[[#This Row],[DISC 1]])</f>
        <v>0</v>
      </c>
      <c r="Y896" s="51">
        <f>IF(NOTA[[#This Row],[JUMLAH]]="","",(NOTA[[#This Row],[JUMLAH]]-NOTA[[#This Row],[DISC 1-]])*NOTA[[#This Row],[DISC 2]])</f>
        <v>0</v>
      </c>
      <c r="Z896" s="51">
        <f>IF(NOTA[[#This Row],[JUMLAH]]="","",NOTA[[#This Row],[DISC 1-]]+NOTA[[#This Row],[DISC 2-]])</f>
        <v>0</v>
      </c>
      <c r="AA896" s="51">
        <f>IF(NOTA[[#This Row],[JUMLAH]]="","",NOTA[[#This Row],[JUMLAH]]-NOTA[[#This Row],[DISC]])</f>
        <v>13320000</v>
      </c>
      <c r="AB896" s="51"/>
      <c r="AC8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E896" s="42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896" s="51">
        <f>IF(OR(NOTA[[#This Row],[QTY]]="",NOTA[[#This Row],[HARGA SATUAN]]="",),"",NOTA[[#This Row],[QTY]]*NOTA[[#This Row],[HARGA SATUAN]])</f>
        <v>13320000</v>
      </c>
      <c r="AG896" s="40">
        <f ca="1">IF(NOTA[ID_H]="","",INDEX(NOTA[TANGGAL],MATCH(,INDIRECT(ADDRESS(ROW(NOTA[TANGGAL]),COLUMN(NOTA[TANGGAL]))&amp;":"&amp;ADDRESS(ROW(),COLUMN(NOTA[TANGGAL]))),-1)))</f>
        <v>45142</v>
      </c>
      <c r="AH896" s="42" t="str">
        <f ca="1">IF(NOTA[[#This Row],[NAMA BARANG]]="","",INDEX(NOTA[SUPPLIER],MATCH(,INDIRECT(ADDRESS(ROW(NOTA[ID]),COLUMN(NOTA[ID]))&amp;":"&amp;ADDRESS(ROW(),COLUMN(NOTA[ID]))),-1)))</f>
        <v>WIN'S SENTOSA</v>
      </c>
      <c r="AI896" s="42" t="str">
        <f ca="1">IF(NOTA[[#This Row],[ID_H]]="","",IF(NOTA[[#This Row],[FAKTUR]]="",INDIRECT(ADDRESS(ROW()-1,COLUMN())),NOTA[[#This Row],[FAKTUR]]))</f>
        <v>UNTANA</v>
      </c>
      <c r="AJ896" s="39">
        <f ca="1">IF(NOTA[[#This Row],[ID]]="","",COUNTIF(NOTA[ID_H],NOTA[[#This Row],[ID_H]]))</f>
        <v>1</v>
      </c>
      <c r="AK896" s="39">
        <f>IF(NOTA[[#This Row],[TGL.NOTA]]="",IF(NOTA[[#This Row],[SUPPLIER_H]]="","",AK895),MONTH(NOTA[[#This Row],[TGL.NOTA]]))</f>
        <v>8</v>
      </c>
      <c r="AL896" s="39" t="str">
        <f>LOWER(SUBSTITUTE(SUBSTITUTE(SUBSTITUTE(SUBSTITUTE(SUBSTITUTE(SUBSTITUTE(SUBSTITUTE(SUBSTITUTE(SUBSTITUTE(NOTA[NAMA BARANG]," ",),".",""),"-",""),"(",""),")",""),",",""),"/",""),"""",""),"+",""))</f>
        <v>pitajpnlistgoldb</v>
      </c>
      <c r="AM8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pitajpnlistgoldb888000</v>
      </c>
      <c r="AN8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pitajpnlistgoldb888000</v>
      </c>
      <c r="AO896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SENTOSAUNTANA3166045140pitajpnlistgoldb</v>
      </c>
      <c r="AP896" s="39" t="e">
        <f>IF(NOTA[[#This Row],[CONCAT4]]="","",_xlfn.IFNA(MATCH(NOTA[[#This Row],[CONCAT4]],[2]!RAW[CONCAT_H],0),FALSE))</f>
        <v>#REF!</v>
      </c>
      <c r="AQ896" s="39">
        <f>IF(NOTA[[#This Row],[CONCAT1]]="","",MATCH(NOTA[[#This Row],[CONCAT1]],[3]!db[NB NOTA_C],0))</f>
        <v>2257</v>
      </c>
      <c r="AR896" s="39" t="b">
        <f>IF(NOTA[[#This Row],[QTY/ CTN]]="","",TRUE)</f>
        <v>1</v>
      </c>
      <c r="AS896" s="39" t="str">
        <f ca="1">IF(NOTA[[#This Row],[ID_H]]="","",IF(NOTA[[#This Row],[Column3]]=TRUE,NOTA[[#This Row],[QTY/ CTN]],INDEX([3]!db[QTY/ CTN],NOTA[[#This Row],[//DB]])))</f>
        <v>40 PCS</v>
      </c>
      <c r="AT8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pitajpnlistgoldb40pcsuntana</v>
      </c>
      <c r="AU896" s="39" t="e">
        <f ca="1">IF(NOTA[[#This Row],[ID_H]]="","",MATCH(NOTA[[#This Row],[NB NOTA_C_QTY]],[4]!db[NB NOTA_C_QTY+F],0))</f>
        <v>#REF!</v>
      </c>
      <c r="AV896" s="55">
        <f ca="1">IF(NOTA[[#This Row],[NB NOTA_C_QTY]]="","",ROW()-2)</f>
        <v>894</v>
      </c>
    </row>
    <row r="897" spans="1:48" ht="20.100000000000001" customHeight="1" x14ac:dyDescent="0.25">
      <c r="A8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39" t="str">
        <f>IF(NOTA[[#This Row],[ID_P]]="","",MATCH(NOTA[[#This Row],[ID_P]],[1]!B_MSK[N_ID],0))</f>
        <v/>
      </c>
      <c r="D897" s="39" t="str">
        <f ca="1">IF(NOTA[[#This Row],[NAMA BARANG]]="","",INDEX(NOTA[ID],MATCH(,INDIRECT(ADDRESS(ROW(NOTA[ID]),COLUMN(NOTA[ID]))&amp;":"&amp;ADDRESS(ROW(),COLUMN(NOTA[ID]))),-1)))</f>
        <v/>
      </c>
      <c r="E897" s="47"/>
      <c r="H897" s="48"/>
      <c r="N897" s="39"/>
      <c r="Q897" s="43"/>
      <c r="R897" s="49"/>
      <c r="S897" s="50"/>
      <c r="U897" s="51"/>
      <c r="V897" s="46"/>
      <c r="W897" s="51" t="str">
        <f>IF(NOTA[[#This Row],[HARGA/ CTN]]="",NOTA[[#This Row],[JUMLAH_H]],NOTA[[#This Row],[HARGA/ CTN]]*IF(NOTA[[#This Row],[C]]="",0,NOTA[[#This Row],[C]]))</f>
        <v/>
      </c>
      <c r="X897" s="51" t="str">
        <f>IF(NOTA[[#This Row],[JUMLAH]]="","",NOTA[[#This Row],[JUMLAH]]*NOTA[[#This Row],[DISC 1]])</f>
        <v/>
      </c>
      <c r="Y897" s="51" t="str">
        <f>IF(NOTA[[#This Row],[JUMLAH]]="","",(NOTA[[#This Row],[JUMLAH]]-NOTA[[#This Row],[DISC 1-]])*NOTA[[#This Row],[DISC 2]])</f>
        <v/>
      </c>
      <c r="Z897" s="51" t="str">
        <f>IF(NOTA[[#This Row],[JUMLAH]]="","",NOTA[[#This Row],[DISC 1-]]+NOTA[[#This Row],[DISC 2-]])</f>
        <v/>
      </c>
      <c r="AA897" s="51" t="str">
        <f>IF(NOTA[[#This Row],[JUMLAH]]="","",NOTA[[#This Row],[JUMLAH]]-NOTA[[#This Row],[DISC]])</f>
        <v/>
      </c>
      <c r="AB897" s="51"/>
      <c r="AC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51" t="str">
        <f>IF(OR(NOTA[[#This Row],[QTY]]="",NOTA[[#This Row],[HARGA SATUAN]]="",),"",NOTA[[#This Row],[QTY]]*NOTA[[#This Row],[HARGA SATUAN]])</f>
        <v/>
      </c>
      <c r="AG897" s="40" t="str">
        <f ca="1">IF(NOTA[ID_H]="","",INDEX(NOTA[TANGGAL],MATCH(,INDIRECT(ADDRESS(ROW(NOTA[TANGGAL]),COLUMN(NOTA[TANGGAL]))&amp;":"&amp;ADDRESS(ROW(),COLUMN(NOTA[TANGGAL]))),-1)))</f>
        <v/>
      </c>
      <c r="AH897" s="42" t="str">
        <f ca="1">IF(NOTA[[#This Row],[NAMA BARANG]]="","",INDEX(NOTA[SUPPLIER],MATCH(,INDIRECT(ADDRESS(ROW(NOTA[ID]),COLUMN(NOTA[ID]))&amp;":"&amp;ADDRESS(ROW(),COLUMN(NOTA[ID]))),-1)))</f>
        <v/>
      </c>
      <c r="AI897" s="42" t="str">
        <f ca="1">IF(NOTA[[#This Row],[ID_H]]="","",IF(NOTA[[#This Row],[FAKTUR]]="",INDIRECT(ADDRESS(ROW()-1,COLUMN())),NOTA[[#This Row],[FAKTUR]]))</f>
        <v/>
      </c>
      <c r="AJ897" s="39" t="str">
        <f ca="1">IF(NOTA[[#This Row],[ID]]="","",COUNTIF(NOTA[ID_H],NOTA[[#This Row],[ID_H]]))</f>
        <v/>
      </c>
      <c r="AK897" s="39" t="str">
        <f ca="1">IF(NOTA[[#This Row],[TGL.NOTA]]="",IF(NOTA[[#This Row],[SUPPLIER_H]]="","",AK896),MONTH(NOTA[[#This Row],[TGL.NOTA]]))</f>
        <v/>
      </c>
      <c r="AL897" s="39" t="str">
        <f>LOWER(SUBSTITUTE(SUBSTITUTE(SUBSTITUTE(SUBSTITUTE(SUBSTITUTE(SUBSTITUTE(SUBSTITUTE(SUBSTITUTE(SUBSTITUTE(NOTA[NAMA BARANG]," ",),".",""),"-",""),"(",""),")",""),",",""),"/",""),"""",""),"+",""))</f>
        <v/>
      </c>
      <c r="AM8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39" t="str">
        <f>IF(NOTA[[#This Row],[CONCAT4]]="","",_xlfn.IFNA(MATCH(NOTA[[#This Row],[CONCAT4]],[2]!RAW[CONCAT_H],0),FALSE))</f>
        <v/>
      </c>
      <c r="AQ897" s="39" t="str">
        <f>IF(NOTA[[#This Row],[CONCAT1]]="","",MATCH(NOTA[[#This Row],[CONCAT1]],[3]!db[NB NOTA_C],0))</f>
        <v/>
      </c>
      <c r="AR897" s="39" t="str">
        <f>IF(NOTA[[#This Row],[QTY/ CTN]]="","",TRUE)</f>
        <v/>
      </c>
      <c r="AS897" s="39" t="str">
        <f ca="1">IF(NOTA[[#This Row],[ID_H]]="","",IF(NOTA[[#This Row],[Column3]]=TRUE,NOTA[[#This Row],[QTY/ CTN]],INDEX([3]!db[QTY/ CTN],NOTA[[#This Row],[//DB]])))</f>
        <v/>
      </c>
      <c r="AT8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39" t="str">
        <f ca="1">IF(NOTA[[#This Row],[ID_H]]="","",MATCH(NOTA[[#This Row],[NB NOTA_C_QTY]],[4]!db[NB NOTA_C_QTY+F],0))</f>
        <v/>
      </c>
      <c r="AV897" s="55" t="str">
        <f ca="1">IF(NOTA[[#This Row],[NB NOTA_C_QTY]]="","",ROW()-2)</f>
        <v/>
      </c>
    </row>
    <row r="898" spans="1:48" ht="20.100000000000001" customHeight="1" x14ac:dyDescent="0.25">
      <c r="A898" s="42">
        <f ca="1">IF(INDIRECT(ADDRESS(ROW()-1,COLUMN(NOTA[[#Headers],[ID]])))="ID",1,IF(NOTA[[#This Row],[FAKTUR]]="","",COUNT(INDIRECT(ADDRESS(ROW(NOTA[ID]),COLUMN(NOTA[ID]))&amp;":"&amp;ADDRESS(ROW()-1,COLUMN(NOTA[ID]))))+1))</f>
        <v>171</v>
      </c>
      <c r="B8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SAH_0308_-23-11</v>
      </c>
      <c r="C898" s="39" t="e">
        <f ca="1">IF(NOTA[[#This Row],[ID_P]]="","",MATCH(NOTA[[#This Row],[ID_P]],[1]!B_MSK[N_ID],0))</f>
        <v>#REF!</v>
      </c>
      <c r="D898" s="39">
        <f ca="1">IF(NOTA[[#This Row],[NAMA BARANG]]="","",INDEX(NOTA[ID],MATCH(,INDIRECT(ADDRESS(ROW(NOTA[ID]),COLUMN(NOTA[ID]))&amp;":"&amp;ADDRESS(ROW(),COLUMN(NOTA[ID]))),-1)))</f>
        <v>171</v>
      </c>
      <c r="E898" s="47">
        <v>45141</v>
      </c>
      <c r="F898" s="38" t="s">
        <v>959</v>
      </c>
      <c r="G898" s="38" t="s">
        <v>145</v>
      </c>
      <c r="H898" s="48" t="s">
        <v>960</v>
      </c>
      <c r="J898" s="40">
        <v>45139</v>
      </c>
      <c r="L898" s="38" t="s">
        <v>997</v>
      </c>
      <c r="M898" s="41">
        <v>1</v>
      </c>
      <c r="N898" s="39">
        <v>200</v>
      </c>
      <c r="O898" s="38" t="s">
        <v>117</v>
      </c>
      <c r="P898" s="42">
        <v>11500</v>
      </c>
      <c r="Q898" s="43"/>
      <c r="R898" s="49" t="s">
        <v>961</v>
      </c>
      <c r="S898" s="50"/>
      <c r="U898" s="51"/>
      <c r="V898" s="46"/>
      <c r="W898" s="51">
        <f>IF(NOTA[[#This Row],[HARGA/ CTN]]="",NOTA[[#This Row],[JUMLAH_H]],NOTA[[#This Row],[HARGA/ CTN]]*IF(NOTA[[#This Row],[C]]="",0,NOTA[[#This Row],[C]]))</f>
        <v>2300000</v>
      </c>
      <c r="X898" s="51">
        <f>IF(NOTA[[#This Row],[JUMLAH]]="","",NOTA[[#This Row],[JUMLAH]]*NOTA[[#This Row],[DISC 1]])</f>
        <v>0</v>
      </c>
      <c r="Y898" s="51">
        <f>IF(NOTA[[#This Row],[JUMLAH]]="","",(NOTA[[#This Row],[JUMLAH]]-NOTA[[#This Row],[DISC 1-]])*NOTA[[#This Row],[DISC 2]])</f>
        <v>0</v>
      </c>
      <c r="Z898" s="51">
        <f>IF(NOTA[[#This Row],[JUMLAH]]="","",NOTA[[#This Row],[DISC 1-]]+NOTA[[#This Row],[DISC 2-]])</f>
        <v>0</v>
      </c>
      <c r="AA898" s="51">
        <f>IF(NOTA[[#This Row],[JUMLAH]]="","",NOTA[[#This Row],[JUMLAH]]-NOTA[[#This Row],[DISC]])</f>
        <v>2300000</v>
      </c>
      <c r="AB898" s="51"/>
      <c r="AC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42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F898" s="51">
        <f>IF(OR(NOTA[[#This Row],[QTY]]="",NOTA[[#This Row],[HARGA SATUAN]]="",),"",NOTA[[#This Row],[QTY]]*NOTA[[#This Row],[HARGA SATUAN]])</f>
        <v>2300000</v>
      </c>
      <c r="AG898" s="40">
        <f ca="1">IF(NOTA[ID_H]="","",INDEX(NOTA[TANGGAL],MATCH(,INDIRECT(ADDRESS(ROW(NOTA[TANGGAL]),COLUMN(NOTA[TANGGAL]))&amp;":"&amp;ADDRESS(ROW(),COLUMN(NOTA[TANGGAL]))),-1)))</f>
        <v>45141</v>
      </c>
      <c r="AH898" s="42" t="str">
        <f ca="1">IF(NOTA[[#This Row],[NAMA BARANG]]="","",INDEX(NOTA[SUPPLIER],MATCH(,INDIRECT(ADDRESS(ROW(NOTA[ID]),COLUMN(NOTA[ID]))&amp;":"&amp;ADDRESS(ROW(),COLUMN(NOTA[ID]))),-1)))</f>
        <v>SAHABAT REJEKI</v>
      </c>
      <c r="AI898" s="42" t="str">
        <f ca="1">IF(NOTA[[#This Row],[ID_H]]="","",IF(NOTA[[#This Row],[FAKTUR]]="",INDIRECT(ADDRESS(ROW()-1,COLUMN())),NOTA[[#This Row],[FAKTUR]]))</f>
        <v>UNTANA</v>
      </c>
      <c r="AJ898" s="39">
        <f ca="1">IF(NOTA[[#This Row],[ID]]="","",COUNTIF(NOTA[ID_H],NOTA[[#This Row],[ID_H]]))</f>
        <v>11</v>
      </c>
      <c r="AK898" s="39">
        <f>IF(NOTA[[#This Row],[TGL.NOTA]]="",IF(NOTA[[#This Row],[SUPPLIER_H]]="","",AK897),MONTH(NOTA[[#This Row],[TGL.NOTA]]))</f>
        <v>8</v>
      </c>
      <c r="AL898" s="39" t="str">
        <f>LOWER(SUBSTITUTE(SUBSTITUTE(SUBSTITUTE(SUBSTITUTE(SUBSTITUTE(SUBSTITUTE(SUBSTITUTE(SUBSTITUTE(SUBSTITUTE(NOTA[NAMA BARANG]," ",),".",""),"-",""),"(",""),")",""),",",""),"/",""),"""",""),"+",""))</f>
        <v>notebookdividercxqfa5819rainbowjelly</v>
      </c>
      <c r="AM8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notebookdividercxqfa5819rainbowjelly2300000</v>
      </c>
      <c r="AN8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notebookdividercxqfa5819rainbowjelly2300000</v>
      </c>
      <c r="AO898" s="39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REJEKIUNTANASIW/0744/08-2345139notebookdividercxqfa5819rainbowjelly</v>
      </c>
      <c r="AP898" s="39" t="e">
        <f>IF(NOTA[[#This Row],[CONCAT4]]="","",_xlfn.IFNA(MATCH(NOTA[[#This Row],[CONCAT4]],[2]!RAW[CONCAT_H],0),FALSE))</f>
        <v>#REF!</v>
      </c>
      <c r="AQ898" s="39">
        <f>IF(NOTA[[#This Row],[CONCAT1]]="","",MATCH(NOTA[[#This Row],[CONCAT1]],[3]!db[NB NOTA_C],0))</f>
        <v>1747</v>
      </c>
      <c r="AR898" s="39" t="b">
        <f>IF(NOTA[[#This Row],[QTY/ CTN]]="","",TRUE)</f>
        <v>1</v>
      </c>
      <c r="AS898" s="39" t="str">
        <f ca="1">IF(NOTA[[#This Row],[ID_H]]="","",IF(NOTA[[#This Row],[Column3]]=TRUE,NOTA[[#This Row],[QTY/ CTN]],INDEX([3]!db[QTY/ CTN],NOTA[[#This Row],[//DB]])))</f>
        <v>200 PCS</v>
      </c>
      <c r="AT8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notebookdividercxqfa5819rainbowjelly200pcsuntana</v>
      </c>
      <c r="AU898" s="39" t="e">
        <f ca="1">IF(NOTA[[#This Row],[ID_H]]="","",MATCH(NOTA[[#This Row],[NB NOTA_C_QTY]],[4]!db[NB NOTA_C_QTY+F],0))</f>
        <v>#REF!</v>
      </c>
      <c r="AV898" s="55">
        <f ca="1">IF(NOTA[[#This Row],[NB NOTA_C_QTY]]="","",ROW()-2)</f>
        <v>896</v>
      </c>
    </row>
    <row r="899" spans="1:48" ht="20.100000000000001" customHeight="1" x14ac:dyDescent="0.25">
      <c r="A8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39" t="str">
        <f>IF(NOTA[[#This Row],[ID_P]]="","",MATCH(NOTA[[#This Row],[ID_P]],[1]!B_MSK[N_ID],0))</f>
        <v/>
      </c>
      <c r="D899" s="39">
        <f ca="1">IF(NOTA[[#This Row],[NAMA BARANG]]="","",INDEX(NOTA[ID],MATCH(,INDIRECT(ADDRESS(ROW(NOTA[ID]),COLUMN(NOTA[ID]))&amp;":"&amp;ADDRESS(ROW(),COLUMN(NOTA[ID]))),-1)))</f>
        <v>171</v>
      </c>
      <c r="E899" s="47"/>
      <c r="H899" s="48"/>
      <c r="L899" s="38" t="s">
        <v>971</v>
      </c>
      <c r="M899" s="41">
        <v>1</v>
      </c>
      <c r="N899" s="39">
        <v>480</v>
      </c>
      <c r="O899" s="38" t="s">
        <v>117</v>
      </c>
      <c r="P899" s="42">
        <v>8500</v>
      </c>
      <c r="Q899" s="43"/>
      <c r="R899" s="49" t="s">
        <v>354</v>
      </c>
      <c r="S899" s="50"/>
      <c r="U899" s="51"/>
      <c r="V899" s="46"/>
      <c r="W899" s="51">
        <f>IF(NOTA[[#This Row],[HARGA/ CTN]]="",NOTA[[#This Row],[JUMLAH_H]],NOTA[[#This Row],[HARGA/ CTN]]*IF(NOTA[[#This Row],[C]]="",0,NOTA[[#This Row],[C]]))</f>
        <v>4080000</v>
      </c>
      <c r="X899" s="51">
        <f>IF(NOTA[[#This Row],[JUMLAH]]="","",NOTA[[#This Row],[JUMLAH]]*NOTA[[#This Row],[DISC 1]])</f>
        <v>0</v>
      </c>
      <c r="Y899" s="51">
        <f>IF(NOTA[[#This Row],[JUMLAH]]="","",(NOTA[[#This Row],[JUMLAH]]-NOTA[[#This Row],[DISC 1-]])*NOTA[[#This Row],[DISC 2]])</f>
        <v>0</v>
      </c>
      <c r="Z899" s="51">
        <f>IF(NOTA[[#This Row],[JUMLAH]]="","",NOTA[[#This Row],[DISC 1-]]+NOTA[[#This Row],[DISC 2-]])</f>
        <v>0</v>
      </c>
      <c r="AA899" s="51">
        <f>IF(NOTA[[#This Row],[JUMLAH]]="","",NOTA[[#This Row],[JUMLAH]]-NOTA[[#This Row],[DISC]])</f>
        <v>4080000</v>
      </c>
      <c r="AB899" s="51"/>
      <c r="AC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9" s="51">
        <f>IF(OR(NOTA[[#This Row],[QTY]]="",NOTA[[#This Row],[HARGA SATUAN]]="",),"",NOTA[[#This Row],[QTY]]*NOTA[[#This Row],[HARGA SATUAN]])</f>
        <v>4080000</v>
      </c>
      <c r="AG899" s="40">
        <f ca="1">IF(NOTA[ID_H]="","",INDEX(NOTA[TANGGAL],MATCH(,INDIRECT(ADDRESS(ROW(NOTA[TANGGAL]),COLUMN(NOTA[TANGGAL]))&amp;":"&amp;ADDRESS(ROW(),COLUMN(NOTA[TANGGAL]))),-1)))</f>
        <v>45141</v>
      </c>
      <c r="AH899" s="42" t="str">
        <f ca="1">IF(NOTA[[#This Row],[NAMA BARANG]]="","",INDEX(NOTA[SUPPLIER],MATCH(,INDIRECT(ADDRESS(ROW(NOTA[ID]),COLUMN(NOTA[ID]))&amp;":"&amp;ADDRESS(ROW(),COLUMN(NOTA[ID]))),-1)))</f>
        <v>SAHABAT REJEKI</v>
      </c>
      <c r="AI899" s="42" t="str">
        <f ca="1">IF(NOTA[[#This Row],[ID_H]]="","",IF(NOTA[[#This Row],[FAKTUR]]="",INDIRECT(ADDRESS(ROW()-1,COLUMN())),NOTA[[#This Row],[FAKTUR]]))</f>
        <v>UNTANA</v>
      </c>
      <c r="AJ899" s="39" t="str">
        <f ca="1">IF(NOTA[[#This Row],[ID]]="","",COUNTIF(NOTA[ID_H],NOTA[[#This Row],[ID_H]]))</f>
        <v/>
      </c>
      <c r="AK899" s="39">
        <f ca="1">IF(NOTA[[#This Row],[TGL.NOTA]]="",IF(NOTA[[#This Row],[SUPPLIER_H]]="","",AK898),MONTH(NOTA[[#This Row],[TGL.NOTA]]))</f>
        <v>8</v>
      </c>
      <c r="AL899" s="39" t="str">
        <f>LOWER(SUBSTITUTE(SUBSTITUTE(SUBSTITUTE(SUBSTITUTE(SUBSTITUTE(SUBSTITUTE(SUBSTITUTE(SUBSTITUTE(SUBSTITUTE(NOTA[NAMA BARANG]," ",),".",""),"-",""),"(",""),")",""),",",""),"/",""),"""",""),"+",""))</f>
        <v>measuretapehc25851apple</v>
      </c>
      <c r="AM8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measuretapehc25851apple4080000</v>
      </c>
      <c r="AN8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measuretapehc25851apple4080000</v>
      </c>
      <c r="AO8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39" t="str">
        <f>IF(NOTA[[#This Row],[CONCAT4]]="","",_xlfn.IFNA(MATCH(NOTA[[#This Row],[CONCAT4]],[2]!RAW[CONCAT_H],0),FALSE))</f>
        <v/>
      </c>
      <c r="AQ899" s="39">
        <f>IF(NOTA[[#This Row],[CONCAT1]]="","",MATCH(NOTA[[#This Row],[CONCAT1]],[3]!db[NB NOTA_C],0))</f>
        <v>1343</v>
      </c>
      <c r="AR899" s="39" t="b">
        <f>IF(NOTA[[#This Row],[QTY/ CTN]]="","",TRUE)</f>
        <v>1</v>
      </c>
      <c r="AS899" s="39" t="str">
        <f ca="1">IF(NOTA[[#This Row],[ID_H]]="","",IF(NOTA[[#This Row],[Column3]]=TRUE,NOTA[[#This Row],[QTY/ CTN]],INDEX([3]!db[QTY/ CTN],NOTA[[#This Row],[//DB]])))</f>
        <v>480 PCS</v>
      </c>
      <c r="AT8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measuretapehc25851apple480pcsuntana</v>
      </c>
      <c r="AU899" s="39" t="e">
        <f ca="1">IF(NOTA[[#This Row],[ID_H]]="","",MATCH(NOTA[[#This Row],[NB NOTA_C_QTY]],[4]!db[NB NOTA_C_QTY+F],0))</f>
        <v>#REF!</v>
      </c>
      <c r="AV899" s="55">
        <f ca="1">IF(NOTA[[#This Row],[NB NOTA_C_QTY]]="","",ROW()-2)</f>
        <v>897</v>
      </c>
    </row>
    <row r="900" spans="1:48" ht="20.100000000000001" customHeight="1" x14ac:dyDescent="0.25">
      <c r="A9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39" t="str">
        <f>IF(NOTA[[#This Row],[ID_P]]="","",MATCH(NOTA[[#This Row],[ID_P]],[1]!B_MSK[N_ID],0))</f>
        <v/>
      </c>
      <c r="D900" s="39">
        <f ca="1">IF(NOTA[[#This Row],[NAMA BARANG]]="","",INDEX(NOTA[ID],MATCH(,INDIRECT(ADDRESS(ROW(NOTA[ID]),COLUMN(NOTA[ID]))&amp;":"&amp;ADDRESS(ROW(),COLUMN(NOTA[ID]))),-1)))</f>
        <v>171</v>
      </c>
      <c r="E900" s="47"/>
      <c r="H900" s="48"/>
      <c r="L900" s="38" t="s">
        <v>962</v>
      </c>
      <c r="M900" s="41">
        <v>1</v>
      </c>
      <c r="N900" s="39">
        <v>144</v>
      </c>
      <c r="O900" s="38" t="s">
        <v>117</v>
      </c>
      <c r="P900" s="42">
        <v>12000</v>
      </c>
      <c r="Q900" s="43"/>
      <c r="R900" s="49" t="s">
        <v>413</v>
      </c>
      <c r="S900" s="50"/>
      <c r="U900" s="51"/>
      <c r="V900" s="46"/>
      <c r="W900" s="51">
        <f>IF(NOTA[[#This Row],[HARGA/ CTN]]="",NOTA[[#This Row],[JUMLAH_H]],NOTA[[#This Row],[HARGA/ CTN]]*IF(NOTA[[#This Row],[C]]="",0,NOTA[[#This Row],[C]]))</f>
        <v>1728000</v>
      </c>
      <c r="X900" s="51">
        <f>IF(NOTA[[#This Row],[JUMLAH]]="","",NOTA[[#This Row],[JUMLAH]]*NOTA[[#This Row],[DISC 1]])</f>
        <v>0</v>
      </c>
      <c r="Y900" s="51">
        <f>IF(NOTA[[#This Row],[JUMLAH]]="","",(NOTA[[#This Row],[JUMLAH]]-NOTA[[#This Row],[DISC 1-]])*NOTA[[#This Row],[DISC 2]])</f>
        <v>0</v>
      </c>
      <c r="Z900" s="51">
        <f>IF(NOTA[[#This Row],[JUMLAH]]="","",NOTA[[#This Row],[DISC 1-]]+NOTA[[#This Row],[DISC 2-]])</f>
        <v>0</v>
      </c>
      <c r="AA900" s="51">
        <f>IF(NOTA[[#This Row],[JUMLAH]]="","",NOTA[[#This Row],[JUMLAH]]-NOTA[[#This Row],[DISC]])</f>
        <v>1728000</v>
      </c>
      <c r="AB900" s="51"/>
      <c r="AC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51">
        <f>IF(OR(NOTA[[#This Row],[QTY]]="",NOTA[[#This Row],[HARGA SATUAN]]="",),"",NOTA[[#This Row],[QTY]]*NOTA[[#This Row],[HARGA SATUAN]])</f>
        <v>1728000</v>
      </c>
      <c r="AG900" s="40">
        <f ca="1">IF(NOTA[ID_H]="","",INDEX(NOTA[TANGGAL],MATCH(,INDIRECT(ADDRESS(ROW(NOTA[TANGGAL]),COLUMN(NOTA[TANGGAL]))&amp;":"&amp;ADDRESS(ROW(),COLUMN(NOTA[TANGGAL]))),-1)))</f>
        <v>45141</v>
      </c>
      <c r="AH900" s="42" t="str">
        <f ca="1">IF(NOTA[[#This Row],[NAMA BARANG]]="","",INDEX(NOTA[SUPPLIER],MATCH(,INDIRECT(ADDRESS(ROW(NOTA[ID]),COLUMN(NOTA[ID]))&amp;":"&amp;ADDRESS(ROW(),COLUMN(NOTA[ID]))),-1)))</f>
        <v>SAHABAT REJEKI</v>
      </c>
      <c r="AI900" s="42" t="str">
        <f ca="1">IF(NOTA[[#This Row],[ID_H]]="","",IF(NOTA[[#This Row],[FAKTUR]]="",INDIRECT(ADDRESS(ROW()-1,COLUMN())),NOTA[[#This Row],[FAKTUR]]))</f>
        <v>UNTANA</v>
      </c>
      <c r="AJ900" s="39" t="str">
        <f ca="1">IF(NOTA[[#This Row],[ID]]="","",COUNTIF(NOTA[ID_H],NOTA[[#This Row],[ID_H]]))</f>
        <v/>
      </c>
      <c r="AK900" s="39">
        <f ca="1">IF(NOTA[[#This Row],[TGL.NOTA]]="",IF(NOTA[[#This Row],[SUPPLIER_H]]="","",AK899),MONTH(NOTA[[#This Row],[TGL.NOTA]]))</f>
        <v>8</v>
      </c>
      <c r="AL900" s="39" t="str">
        <f>LOWER(SUBSTITUTE(SUBSTITUTE(SUBSTITUTE(SUBSTITUTE(SUBSTITUTE(SUBSTITUTE(SUBSTITUTE(SUBSTITUTE(SUBSTITUTE(NOTA[NAMA BARANG]," ",),".",""),"-",""),"(",""),")",""),",",""),"/",""),"""",""),"+",""))</f>
        <v>diary64k1302cutisan100lbr</v>
      </c>
      <c r="AM9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diary64k1302cutisan100lbr1728000</v>
      </c>
      <c r="AN9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diary64k1302cutisan100lbr1728000</v>
      </c>
      <c r="AO9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39" t="str">
        <f>IF(NOTA[[#This Row],[CONCAT4]]="","",_xlfn.IFNA(MATCH(NOTA[[#This Row],[CONCAT4]],[2]!RAW[CONCAT_H],0),FALSE))</f>
        <v/>
      </c>
      <c r="AQ900" s="39">
        <f>IF(NOTA[[#This Row],[CONCAT1]]="","",MATCH(NOTA[[#This Row],[CONCAT1]],[3]!db[NB NOTA_C],0))</f>
        <v>241</v>
      </c>
      <c r="AR900" s="39" t="b">
        <f>IF(NOTA[[#This Row],[QTY/ CTN]]="","",TRUE)</f>
        <v>1</v>
      </c>
      <c r="AS900" s="39" t="str">
        <f ca="1">IF(NOTA[[#This Row],[ID_H]]="","",IF(NOTA[[#This Row],[Column3]]=TRUE,NOTA[[#This Row],[QTY/ CTN]],INDEX([3]!db[QTY/ CTN],NOTA[[#This Row],[//DB]])))</f>
        <v>144 PCS</v>
      </c>
      <c r="AT9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diary64k1302cutisan100lbr144pcsuntana</v>
      </c>
      <c r="AU900" s="39" t="e">
        <f ca="1">IF(NOTA[[#This Row],[ID_H]]="","",MATCH(NOTA[[#This Row],[NB NOTA_C_QTY]],[4]!db[NB NOTA_C_QTY+F],0))</f>
        <v>#REF!</v>
      </c>
      <c r="AV900" s="55">
        <f ca="1">IF(NOTA[[#This Row],[NB NOTA_C_QTY]]="","",ROW()-2)</f>
        <v>898</v>
      </c>
    </row>
    <row r="901" spans="1:48" ht="20.100000000000001" customHeight="1" x14ac:dyDescent="0.25">
      <c r="A9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39" t="str">
        <f>IF(NOTA[[#This Row],[ID_P]]="","",MATCH(NOTA[[#This Row],[ID_P]],[1]!B_MSK[N_ID],0))</f>
        <v/>
      </c>
      <c r="D901" s="39">
        <f ca="1">IF(NOTA[[#This Row],[NAMA BARANG]]="","",INDEX(NOTA[ID],MATCH(,INDIRECT(ADDRESS(ROW(NOTA[ID]),COLUMN(NOTA[ID]))&amp;":"&amp;ADDRESS(ROW(),COLUMN(NOTA[ID]))),-1)))</f>
        <v>171</v>
      </c>
      <c r="E901" s="47"/>
      <c r="H901" s="48"/>
      <c r="L901" s="38" t="s">
        <v>963</v>
      </c>
      <c r="M901" s="41">
        <v>1</v>
      </c>
      <c r="N901" s="39">
        <v>96</v>
      </c>
      <c r="O901" s="38" t="s">
        <v>117</v>
      </c>
      <c r="P901" s="42">
        <v>16500</v>
      </c>
      <c r="Q901" s="43"/>
      <c r="R901" s="49" t="s">
        <v>561</v>
      </c>
      <c r="S901" s="50"/>
      <c r="U901" s="51"/>
      <c r="V901" s="46"/>
      <c r="W901" s="51">
        <f>IF(NOTA[[#This Row],[HARGA/ CTN]]="",NOTA[[#This Row],[JUMLAH_H]],NOTA[[#This Row],[HARGA/ CTN]]*IF(NOTA[[#This Row],[C]]="",0,NOTA[[#This Row],[C]]))</f>
        <v>1584000</v>
      </c>
      <c r="X901" s="51">
        <f>IF(NOTA[[#This Row],[JUMLAH]]="","",NOTA[[#This Row],[JUMLAH]]*NOTA[[#This Row],[DISC 1]])</f>
        <v>0</v>
      </c>
      <c r="Y901" s="51">
        <f>IF(NOTA[[#This Row],[JUMLAH]]="","",(NOTA[[#This Row],[JUMLAH]]-NOTA[[#This Row],[DISC 1-]])*NOTA[[#This Row],[DISC 2]])</f>
        <v>0</v>
      </c>
      <c r="Z901" s="51">
        <f>IF(NOTA[[#This Row],[JUMLAH]]="","",NOTA[[#This Row],[DISC 1-]]+NOTA[[#This Row],[DISC 2-]])</f>
        <v>0</v>
      </c>
      <c r="AA901" s="51">
        <f>IF(NOTA[[#This Row],[JUMLAH]]="","",NOTA[[#This Row],[JUMLAH]]-NOTA[[#This Row],[DISC]])</f>
        <v>1584000</v>
      </c>
      <c r="AB901" s="51"/>
      <c r="AC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1" s="51">
        <f>IF(OR(NOTA[[#This Row],[QTY]]="",NOTA[[#This Row],[HARGA SATUAN]]="",),"",NOTA[[#This Row],[QTY]]*NOTA[[#This Row],[HARGA SATUAN]])</f>
        <v>1584000</v>
      </c>
      <c r="AG901" s="40">
        <f ca="1">IF(NOTA[ID_H]="","",INDEX(NOTA[TANGGAL],MATCH(,INDIRECT(ADDRESS(ROW(NOTA[TANGGAL]),COLUMN(NOTA[TANGGAL]))&amp;":"&amp;ADDRESS(ROW(),COLUMN(NOTA[TANGGAL]))),-1)))</f>
        <v>45141</v>
      </c>
      <c r="AH901" s="42" t="str">
        <f ca="1">IF(NOTA[[#This Row],[NAMA BARANG]]="","",INDEX(NOTA[SUPPLIER],MATCH(,INDIRECT(ADDRESS(ROW(NOTA[ID]),COLUMN(NOTA[ID]))&amp;":"&amp;ADDRESS(ROW(),COLUMN(NOTA[ID]))),-1)))</f>
        <v>SAHABAT REJEKI</v>
      </c>
      <c r="AI901" s="42" t="str">
        <f ca="1">IF(NOTA[[#This Row],[ID_H]]="","",IF(NOTA[[#This Row],[FAKTUR]]="",INDIRECT(ADDRESS(ROW()-1,COLUMN())),NOTA[[#This Row],[FAKTUR]]))</f>
        <v>UNTANA</v>
      </c>
      <c r="AJ901" s="39" t="str">
        <f ca="1">IF(NOTA[[#This Row],[ID]]="","",COUNTIF(NOTA[ID_H],NOTA[[#This Row],[ID_H]]))</f>
        <v/>
      </c>
      <c r="AK901" s="39">
        <f ca="1">IF(NOTA[[#This Row],[TGL.NOTA]]="",IF(NOTA[[#This Row],[SUPPLIER_H]]="","",AK900),MONTH(NOTA[[#This Row],[TGL.NOTA]]))</f>
        <v>8</v>
      </c>
      <c r="AL901" s="39" t="str">
        <f>LOWER(SUBSTITUTE(SUBSTITUTE(SUBSTITUTE(SUBSTITUTE(SUBSTITUTE(SUBSTITUTE(SUBSTITUTE(SUBSTITUTE(SUBSTITUTE(NOTA[NAMA BARANG]," ",),".",""),"-",""),"(",""),")",""),",",""),"/",""),"""",""),"+",""))</f>
        <v>diaryhl321011flower32k96lbr</v>
      </c>
      <c r="AM9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diaryhl321011flower32k96lbr1584000</v>
      </c>
      <c r="AN9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diaryhl321011flower32k96lbr1584000</v>
      </c>
      <c r="AO9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39" t="str">
        <f>IF(NOTA[[#This Row],[CONCAT4]]="","",_xlfn.IFNA(MATCH(NOTA[[#This Row],[CONCAT4]],[2]!RAW[CONCAT_H],0),FALSE))</f>
        <v/>
      </c>
      <c r="AQ901" s="39">
        <f>IF(NOTA[[#This Row],[CONCAT1]]="","",MATCH(NOTA[[#This Row],[CONCAT1]],[3]!db[NB NOTA_C],0))</f>
        <v>242</v>
      </c>
      <c r="AR901" s="39" t="b">
        <f>IF(NOTA[[#This Row],[QTY/ CTN]]="","",TRUE)</f>
        <v>1</v>
      </c>
      <c r="AS901" s="39" t="str">
        <f ca="1">IF(NOTA[[#This Row],[ID_H]]="","",IF(NOTA[[#This Row],[Column3]]=TRUE,NOTA[[#This Row],[QTY/ CTN]],INDEX([3]!db[QTY/ CTN],NOTA[[#This Row],[//DB]])))</f>
        <v>96 PCS</v>
      </c>
      <c r="AT9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diaryhl321011flower32k96lbr96pcsuntana</v>
      </c>
      <c r="AU901" s="39" t="e">
        <f ca="1">IF(NOTA[[#This Row],[ID_H]]="","",MATCH(NOTA[[#This Row],[NB NOTA_C_QTY]],[4]!db[NB NOTA_C_QTY+F],0))</f>
        <v>#REF!</v>
      </c>
      <c r="AV901" s="55">
        <f ca="1">IF(NOTA[[#This Row],[NB NOTA_C_QTY]]="","",ROW()-2)</f>
        <v>899</v>
      </c>
    </row>
    <row r="902" spans="1:48" ht="20.100000000000001" customHeight="1" x14ac:dyDescent="0.25">
      <c r="A9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39" t="str">
        <f>IF(NOTA[[#This Row],[ID_P]]="","",MATCH(NOTA[[#This Row],[ID_P]],[1]!B_MSK[N_ID],0))</f>
        <v/>
      </c>
      <c r="D902" s="39">
        <f ca="1">IF(NOTA[[#This Row],[NAMA BARANG]]="","",INDEX(NOTA[ID],MATCH(,INDIRECT(ADDRESS(ROW(NOTA[ID]),COLUMN(NOTA[ID]))&amp;":"&amp;ADDRESS(ROW(),COLUMN(NOTA[ID]))),-1)))</f>
        <v>171</v>
      </c>
      <c r="E902" s="47"/>
      <c r="H902" s="48"/>
      <c r="L902" s="38" t="s">
        <v>964</v>
      </c>
      <c r="M902" s="41">
        <v>1</v>
      </c>
      <c r="N902" s="39">
        <v>96</v>
      </c>
      <c r="O902" s="38" t="s">
        <v>117</v>
      </c>
      <c r="P902" s="42">
        <v>16500</v>
      </c>
      <c r="Q902" s="43"/>
      <c r="R902" s="49" t="s">
        <v>561</v>
      </c>
      <c r="S902" s="50"/>
      <c r="U902" s="51"/>
      <c r="V902" s="46"/>
      <c r="W902" s="51">
        <f>IF(NOTA[[#This Row],[HARGA/ CTN]]="",NOTA[[#This Row],[JUMLAH_H]],NOTA[[#This Row],[HARGA/ CTN]]*IF(NOTA[[#This Row],[C]]="",0,NOTA[[#This Row],[C]]))</f>
        <v>1584000</v>
      </c>
      <c r="X902" s="51">
        <f>IF(NOTA[[#This Row],[JUMLAH]]="","",NOTA[[#This Row],[JUMLAH]]*NOTA[[#This Row],[DISC 1]])</f>
        <v>0</v>
      </c>
      <c r="Y902" s="51">
        <f>IF(NOTA[[#This Row],[JUMLAH]]="","",(NOTA[[#This Row],[JUMLAH]]-NOTA[[#This Row],[DISC 1-]])*NOTA[[#This Row],[DISC 2]])</f>
        <v>0</v>
      </c>
      <c r="Z902" s="51">
        <f>IF(NOTA[[#This Row],[JUMLAH]]="","",NOTA[[#This Row],[DISC 1-]]+NOTA[[#This Row],[DISC 2-]])</f>
        <v>0</v>
      </c>
      <c r="AA902" s="51">
        <f>IF(NOTA[[#This Row],[JUMLAH]]="","",NOTA[[#This Row],[JUMLAH]]-NOTA[[#This Row],[DISC]])</f>
        <v>1584000</v>
      </c>
      <c r="AB902" s="51"/>
      <c r="AC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2" s="51">
        <f>IF(OR(NOTA[[#This Row],[QTY]]="",NOTA[[#This Row],[HARGA SATUAN]]="",),"",NOTA[[#This Row],[QTY]]*NOTA[[#This Row],[HARGA SATUAN]])</f>
        <v>1584000</v>
      </c>
      <c r="AG902" s="40">
        <f ca="1">IF(NOTA[ID_H]="","",INDEX(NOTA[TANGGAL],MATCH(,INDIRECT(ADDRESS(ROW(NOTA[TANGGAL]),COLUMN(NOTA[TANGGAL]))&amp;":"&amp;ADDRESS(ROW(),COLUMN(NOTA[TANGGAL]))),-1)))</f>
        <v>45141</v>
      </c>
      <c r="AH902" s="42" t="str">
        <f ca="1">IF(NOTA[[#This Row],[NAMA BARANG]]="","",INDEX(NOTA[SUPPLIER],MATCH(,INDIRECT(ADDRESS(ROW(NOTA[ID]),COLUMN(NOTA[ID]))&amp;":"&amp;ADDRESS(ROW(),COLUMN(NOTA[ID]))),-1)))</f>
        <v>SAHABAT REJEKI</v>
      </c>
      <c r="AI902" s="42" t="str">
        <f ca="1">IF(NOTA[[#This Row],[ID_H]]="","",IF(NOTA[[#This Row],[FAKTUR]]="",INDIRECT(ADDRESS(ROW()-1,COLUMN())),NOTA[[#This Row],[FAKTUR]]))</f>
        <v>UNTANA</v>
      </c>
      <c r="AJ902" s="39" t="str">
        <f ca="1">IF(NOTA[[#This Row],[ID]]="","",COUNTIF(NOTA[ID_H],NOTA[[#This Row],[ID_H]]))</f>
        <v/>
      </c>
      <c r="AK902" s="39">
        <f ca="1">IF(NOTA[[#This Row],[TGL.NOTA]]="",IF(NOTA[[#This Row],[SUPPLIER_H]]="","",AK901),MONTH(NOTA[[#This Row],[TGL.NOTA]]))</f>
        <v>8</v>
      </c>
      <c r="AL902" s="39" t="str">
        <f>LOWER(SUBSTITUTE(SUBSTITUTE(SUBSTITUTE(SUBSTITUTE(SUBSTITUTE(SUBSTITUTE(SUBSTITUTE(SUBSTITUTE(SUBSTITUTE(NOTA[NAMA BARANG]," ",),".",""),"-",""),"(",""),")",""),",",""),"/",""),"""",""),"+",""))</f>
        <v>diaryhl323014morningmemory32k128lbr</v>
      </c>
      <c r="AM9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diaryhl323014morningmemory32k128lbr1584000</v>
      </c>
      <c r="AN9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diaryhl323014morningmemory32k128lbr1584000</v>
      </c>
      <c r="AO9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39" t="str">
        <f>IF(NOTA[[#This Row],[CONCAT4]]="","",_xlfn.IFNA(MATCH(NOTA[[#This Row],[CONCAT4]],[2]!RAW[CONCAT_H],0),FALSE))</f>
        <v/>
      </c>
      <c r="AQ902" s="39">
        <f>IF(NOTA[[#This Row],[CONCAT1]]="","",MATCH(NOTA[[#This Row],[CONCAT1]],[3]!db[NB NOTA_C],0))</f>
        <v>243</v>
      </c>
      <c r="AR902" s="39" t="b">
        <f>IF(NOTA[[#This Row],[QTY/ CTN]]="","",TRUE)</f>
        <v>1</v>
      </c>
      <c r="AS902" s="39" t="str">
        <f ca="1">IF(NOTA[[#This Row],[ID_H]]="","",IF(NOTA[[#This Row],[Column3]]=TRUE,NOTA[[#This Row],[QTY/ CTN]],INDEX([3]!db[QTY/ CTN],NOTA[[#This Row],[//DB]])))</f>
        <v>96 PCS</v>
      </c>
      <c r="AT9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diaryhl323014morningmemory32k128lbr96pcsuntana</v>
      </c>
      <c r="AU902" s="39" t="e">
        <f ca="1">IF(NOTA[[#This Row],[ID_H]]="","",MATCH(NOTA[[#This Row],[NB NOTA_C_QTY]],[4]!db[NB NOTA_C_QTY+F],0))</f>
        <v>#REF!</v>
      </c>
      <c r="AV902" s="55">
        <f ca="1">IF(NOTA[[#This Row],[NB NOTA_C_QTY]]="","",ROW()-2)</f>
        <v>900</v>
      </c>
    </row>
    <row r="903" spans="1:48" ht="20.100000000000001" customHeight="1" x14ac:dyDescent="0.25">
      <c r="A9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39" t="str">
        <f>IF(NOTA[[#This Row],[ID_P]]="","",MATCH(NOTA[[#This Row],[ID_P]],[1]!B_MSK[N_ID],0))</f>
        <v/>
      </c>
      <c r="D903" s="39">
        <f ca="1">IF(NOTA[[#This Row],[NAMA BARANG]]="","",INDEX(NOTA[ID],MATCH(,INDIRECT(ADDRESS(ROW(NOTA[ID]),COLUMN(NOTA[ID]))&amp;":"&amp;ADDRESS(ROW(),COLUMN(NOTA[ID]))),-1)))</f>
        <v>171</v>
      </c>
      <c r="E903" s="47"/>
      <c r="H903" s="48"/>
      <c r="L903" s="38" t="s">
        <v>965</v>
      </c>
      <c r="M903" s="41">
        <v>1</v>
      </c>
      <c r="N903" s="39">
        <v>96</v>
      </c>
      <c r="O903" s="38" t="s">
        <v>117</v>
      </c>
      <c r="P903" s="42">
        <v>16500</v>
      </c>
      <c r="Q903" s="43"/>
      <c r="R903" s="49" t="s">
        <v>561</v>
      </c>
      <c r="S903" s="50"/>
      <c r="U903" s="51"/>
      <c r="V903" s="46"/>
      <c r="W903" s="51">
        <f>IF(NOTA[[#This Row],[HARGA/ CTN]]="",NOTA[[#This Row],[JUMLAH_H]],NOTA[[#This Row],[HARGA/ CTN]]*IF(NOTA[[#This Row],[C]]="",0,NOTA[[#This Row],[C]]))</f>
        <v>1584000</v>
      </c>
      <c r="X903" s="51">
        <f>IF(NOTA[[#This Row],[JUMLAH]]="","",NOTA[[#This Row],[JUMLAH]]*NOTA[[#This Row],[DISC 1]])</f>
        <v>0</v>
      </c>
      <c r="Y903" s="51">
        <f>IF(NOTA[[#This Row],[JUMLAH]]="","",(NOTA[[#This Row],[JUMLAH]]-NOTA[[#This Row],[DISC 1-]])*NOTA[[#This Row],[DISC 2]])</f>
        <v>0</v>
      </c>
      <c r="Z903" s="51">
        <f>IF(NOTA[[#This Row],[JUMLAH]]="","",NOTA[[#This Row],[DISC 1-]]+NOTA[[#This Row],[DISC 2-]])</f>
        <v>0</v>
      </c>
      <c r="AA903" s="51">
        <f>IF(NOTA[[#This Row],[JUMLAH]]="","",NOTA[[#This Row],[JUMLAH]]-NOTA[[#This Row],[DISC]])</f>
        <v>1584000</v>
      </c>
      <c r="AB903" s="51"/>
      <c r="AC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3" s="51">
        <f>IF(OR(NOTA[[#This Row],[QTY]]="",NOTA[[#This Row],[HARGA SATUAN]]="",),"",NOTA[[#This Row],[QTY]]*NOTA[[#This Row],[HARGA SATUAN]])</f>
        <v>1584000</v>
      </c>
      <c r="AG903" s="40">
        <f ca="1">IF(NOTA[ID_H]="","",INDEX(NOTA[TANGGAL],MATCH(,INDIRECT(ADDRESS(ROW(NOTA[TANGGAL]),COLUMN(NOTA[TANGGAL]))&amp;":"&amp;ADDRESS(ROW(),COLUMN(NOTA[TANGGAL]))),-1)))</f>
        <v>45141</v>
      </c>
      <c r="AH903" s="42" t="str">
        <f ca="1">IF(NOTA[[#This Row],[NAMA BARANG]]="","",INDEX(NOTA[SUPPLIER],MATCH(,INDIRECT(ADDRESS(ROW(NOTA[ID]),COLUMN(NOTA[ID]))&amp;":"&amp;ADDRESS(ROW(),COLUMN(NOTA[ID]))),-1)))</f>
        <v>SAHABAT REJEKI</v>
      </c>
      <c r="AI903" s="42" t="str">
        <f ca="1">IF(NOTA[[#This Row],[ID_H]]="","",IF(NOTA[[#This Row],[FAKTUR]]="",INDIRECT(ADDRESS(ROW()-1,COLUMN())),NOTA[[#This Row],[FAKTUR]]))</f>
        <v>UNTANA</v>
      </c>
      <c r="AJ903" s="39" t="str">
        <f ca="1">IF(NOTA[[#This Row],[ID]]="","",COUNTIF(NOTA[ID_H],NOTA[[#This Row],[ID_H]]))</f>
        <v/>
      </c>
      <c r="AK903" s="39">
        <f ca="1">IF(NOTA[[#This Row],[TGL.NOTA]]="",IF(NOTA[[#This Row],[SUPPLIER_H]]="","",AK902),MONTH(NOTA[[#This Row],[TGL.NOTA]]))</f>
        <v>8</v>
      </c>
      <c r="AL903" s="39" t="str">
        <f>LOWER(SUBSTITUTE(SUBSTITUTE(SUBSTITUTE(SUBSTITUTE(SUBSTITUTE(SUBSTITUTE(SUBSTITUTE(SUBSTITUTE(SUBSTITUTE(NOTA[NAMA BARANG]," ",),".",""),"-",""),"(",""),")",""),",",""),"/",""),"""",""),"+",""))</f>
        <v>diaryhl323041moco32k128lbr</v>
      </c>
      <c r="AM9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diaryhl323041moco32k128lbr1584000</v>
      </c>
      <c r="AN9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diaryhl323041moco32k128lbr1584000</v>
      </c>
      <c r="AO9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39" t="str">
        <f>IF(NOTA[[#This Row],[CONCAT4]]="","",_xlfn.IFNA(MATCH(NOTA[[#This Row],[CONCAT4]],[2]!RAW[CONCAT_H],0),FALSE))</f>
        <v/>
      </c>
      <c r="AQ903" s="39">
        <f>IF(NOTA[[#This Row],[CONCAT1]]="","",MATCH(NOTA[[#This Row],[CONCAT1]],[3]!db[NB NOTA_C],0))</f>
        <v>244</v>
      </c>
      <c r="AR903" s="39" t="b">
        <f>IF(NOTA[[#This Row],[QTY/ CTN]]="","",TRUE)</f>
        <v>1</v>
      </c>
      <c r="AS903" s="39" t="str">
        <f ca="1">IF(NOTA[[#This Row],[ID_H]]="","",IF(NOTA[[#This Row],[Column3]]=TRUE,NOTA[[#This Row],[QTY/ CTN]],INDEX([3]!db[QTY/ CTN],NOTA[[#This Row],[//DB]])))</f>
        <v>96 PCS</v>
      </c>
      <c r="AT9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diaryhl323041moco32k128lbr96pcsuntana</v>
      </c>
      <c r="AU903" s="39" t="e">
        <f ca="1">IF(NOTA[[#This Row],[ID_H]]="","",MATCH(NOTA[[#This Row],[NB NOTA_C_QTY]],[4]!db[NB NOTA_C_QTY+F],0))</f>
        <v>#REF!</v>
      </c>
      <c r="AV903" s="55">
        <f ca="1">IF(NOTA[[#This Row],[NB NOTA_C_QTY]]="","",ROW()-2)</f>
        <v>901</v>
      </c>
    </row>
    <row r="904" spans="1:48" ht="20.100000000000001" customHeight="1" x14ac:dyDescent="0.25">
      <c r="A9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39" t="str">
        <f>IF(NOTA[[#This Row],[ID_P]]="","",MATCH(NOTA[[#This Row],[ID_P]],[1]!B_MSK[N_ID],0))</f>
        <v/>
      </c>
      <c r="D904" s="39">
        <f ca="1">IF(NOTA[[#This Row],[NAMA BARANG]]="","",INDEX(NOTA[ID],MATCH(,INDIRECT(ADDRESS(ROW(NOTA[ID]),COLUMN(NOTA[ID]))&amp;":"&amp;ADDRESS(ROW(),COLUMN(NOTA[ID]))),-1)))</f>
        <v>171</v>
      </c>
      <c r="E904" s="47"/>
      <c r="H904" s="48"/>
      <c r="L904" s="38" t="s">
        <v>966</v>
      </c>
      <c r="M904" s="41">
        <v>1</v>
      </c>
      <c r="N904" s="39">
        <v>96</v>
      </c>
      <c r="O904" s="38" t="s">
        <v>117</v>
      </c>
      <c r="P904" s="42">
        <v>16500</v>
      </c>
      <c r="Q904" s="43"/>
      <c r="R904" s="49" t="s">
        <v>561</v>
      </c>
      <c r="S904" s="50"/>
      <c r="U904" s="51"/>
      <c r="V904" s="46"/>
      <c r="W904" s="51">
        <f>IF(NOTA[[#This Row],[HARGA/ CTN]]="",NOTA[[#This Row],[JUMLAH_H]],NOTA[[#This Row],[HARGA/ CTN]]*IF(NOTA[[#This Row],[C]]="",0,NOTA[[#This Row],[C]]))</f>
        <v>1584000</v>
      </c>
      <c r="X904" s="51">
        <f>IF(NOTA[[#This Row],[JUMLAH]]="","",NOTA[[#This Row],[JUMLAH]]*NOTA[[#This Row],[DISC 1]])</f>
        <v>0</v>
      </c>
      <c r="Y904" s="51">
        <f>IF(NOTA[[#This Row],[JUMLAH]]="","",(NOTA[[#This Row],[JUMLAH]]-NOTA[[#This Row],[DISC 1-]])*NOTA[[#This Row],[DISC 2]])</f>
        <v>0</v>
      </c>
      <c r="Z904" s="51">
        <f>IF(NOTA[[#This Row],[JUMLAH]]="","",NOTA[[#This Row],[DISC 1-]]+NOTA[[#This Row],[DISC 2-]])</f>
        <v>0</v>
      </c>
      <c r="AA904" s="51">
        <f>IF(NOTA[[#This Row],[JUMLAH]]="","",NOTA[[#This Row],[JUMLAH]]-NOTA[[#This Row],[DISC]])</f>
        <v>1584000</v>
      </c>
      <c r="AB904" s="51"/>
      <c r="AC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4" s="51">
        <f>IF(OR(NOTA[[#This Row],[QTY]]="",NOTA[[#This Row],[HARGA SATUAN]]="",),"",NOTA[[#This Row],[QTY]]*NOTA[[#This Row],[HARGA SATUAN]])</f>
        <v>1584000</v>
      </c>
      <c r="AG904" s="40">
        <f ca="1">IF(NOTA[ID_H]="","",INDEX(NOTA[TANGGAL],MATCH(,INDIRECT(ADDRESS(ROW(NOTA[TANGGAL]),COLUMN(NOTA[TANGGAL]))&amp;":"&amp;ADDRESS(ROW(),COLUMN(NOTA[TANGGAL]))),-1)))</f>
        <v>45141</v>
      </c>
      <c r="AH904" s="42" t="str">
        <f ca="1">IF(NOTA[[#This Row],[NAMA BARANG]]="","",INDEX(NOTA[SUPPLIER],MATCH(,INDIRECT(ADDRESS(ROW(NOTA[ID]),COLUMN(NOTA[ID]))&amp;":"&amp;ADDRESS(ROW(),COLUMN(NOTA[ID]))),-1)))</f>
        <v>SAHABAT REJEKI</v>
      </c>
      <c r="AI904" s="42" t="str">
        <f ca="1">IF(NOTA[[#This Row],[ID_H]]="","",IF(NOTA[[#This Row],[FAKTUR]]="",INDIRECT(ADDRESS(ROW()-1,COLUMN())),NOTA[[#This Row],[FAKTUR]]))</f>
        <v>UNTANA</v>
      </c>
      <c r="AJ904" s="39" t="str">
        <f ca="1">IF(NOTA[[#This Row],[ID]]="","",COUNTIF(NOTA[ID_H],NOTA[[#This Row],[ID_H]]))</f>
        <v/>
      </c>
      <c r="AK904" s="39">
        <f ca="1">IF(NOTA[[#This Row],[TGL.NOTA]]="",IF(NOTA[[#This Row],[SUPPLIER_H]]="","",AK903),MONTH(NOTA[[#This Row],[TGL.NOTA]]))</f>
        <v>8</v>
      </c>
      <c r="AL904" s="39" t="str">
        <f>LOWER(SUBSTITUTE(SUBSTITUTE(SUBSTITUTE(SUBSTITUTE(SUBSTITUTE(SUBSTITUTE(SUBSTITUTE(SUBSTITUTE(SUBSTITUTE(NOTA[NAMA BARANG]," ",),".",""),"-",""),"(",""),")",""),",",""),"/",""),"""",""),"+",""))</f>
        <v>diaryhl323042flowertravel32k128lbr</v>
      </c>
      <c r="AM9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diaryhl323042flowertravel32k128lbr1584000</v>
      </c>
      <c r="AN9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diaryhl323042flowertravel32k128lbr1584000</v>
      </c>
      <c r="AO9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39" t="str">
        <f>IF(NOTA[[#This Row],[CONCAT4]]="","",_xlfn.IFNA(MATCH(NOTA[[#This Row],[CONCAT4]],[2]!RAW[CONCAT_H],0),FALSE))</f>
        <v/>
      </c>
      <c r="AQ904" s="39">
        <f>IF(NOTA[[#This Row],[CONCAT1]]="","",MATCH(NOTA[[#This Row],[CONCAT1]],[3]!db[NB NOTA_C],0))</f>
        <v>245</v>
      </c>
      <c r="AR904" s="39" t="b">
        <f>IF(NOTA[[#This Row],[QTY/ CTN]]="","",TRUE)</f>
        <v>1</v>
      </c>
      <c r="AS904" s="39" t="str">
        <f ca="1">IF(NOTA[[#This Row],[ID_H]]="","",IF(NOTA[[#This Row],[Column3]]=TRUE,NOTA[[#This Row],[QTY/ CTN]],INDEX([3]!db[QTY/ CTN],NOTA[[#This Row],[//DB]])))</f>
        <v>96 PCS</v>
      </c>
      <c r="AT9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diaryhl323042flowertravel32k128lbr96pcsuntana</v>
      </c>
      <c r="AU904" s="39" t="e">
        <f ca="1">IF(NOTA[[#This Row],[ID_H]]="","",MATCH(NOTA[[#This Row],[NB NOTA_C_QTY]],[4]!db[NB NOTA_C_QTY+F],0))</f>
        <v>#REF!</v>
      </c>
      <c r="AV904" s="55">
        <f ca="1">IF(NOTA[[#This Row],[NB NOTA_C_QTY]]="","",ROW()-2)</f>
        <v>902</v>
      </c>
    </row>
    <row r="905" spans="1:48" ht="20.100000000000001" customHeight="1" x14ac:dyDescent="0.25">
      <c r="A9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39" t="str">
        <f>IF(NOTA[[#This Row],[ID_P]]="","",MATCH(NOTA[[#This Row],[ID_P]],[1]!B_MSK[N_ID],0))</f>
        <v/>
      </c>
      <c r="D905" s="39">
        <f ca="1">IF(NOTA[[#This Row],[NAMA BARANG]]="","",INDEX(NOTA[ID],MATCH(,INDIRECT(ADDRESS(ROW(NOTA[ID]),COLUMN(NOTA[ID]))&amp;":"&amp;ADDRESS(ROW(),COLUMN(NOTA[ID]))),-1)))</f>
        <v>171</v>
      </c>
      <c r="E905" s="47"/>
      <c r="H905" s="48"/>
      <c r="L905" s="38" t="s">
        <v>967</v>
      </c>
      <c r="M905" s="41">
        <v>1</v>
      </c>
      <c r="N905" s="39">
        <v>96</v>
      </c>
      <c r="O905" s="38" t="s">
        <v>117</v>
      </c>
      <c r="P905" s="42">
        <v>16500</v>
      </c>
      <c r="Q905" s="43"/>
      <c r="R905" s="49" t="s">
        <v>561</v>
      </c>
      <c r="S905" s="50"/>
      <c r="U905" s="51"/>
      <c r="V905" s="46"/>
      <c r="W905" s="51">
        <f>IF(NOTA[[#This Row],[HARGA/ CTN]]="",NOTA[[#This Row],[JUMLAH_H]],NOTA[[#This Row],[HARGA/ CTN]]*IF(NOTA[[#This Row],[C]]="",0,NOTA[[#This Row],[C]]))</f>
        <v>1584000</v>
      </c>
      <c r="X905" s="51">
        <f>IF(NOTA[[#This Row],[JUMLAH]]="","",NOTA[[#This Row],[JUMLAH]]*NOTA[[#This Row],[DISC 1]])</f>
        <v>0</v>
      </c>
      <c r="Y905" s="51">
        <f>IF(NOTA[[#This Row],[JUMLAH]]="","",(NOTA[[#This Row],[JUMLAH]]-NOTA[[#This Row],[DISC 1-]])*NOTA[[#This Row],[DISC 2]])</f>
        <v>0</v>
      </c>
      <c r="Z905" s="51">
        <f>IF(NOTA[[#This Row],[JUMLAH]]="","",NOTA[[#This Row],[DISC 1-]]+NOTA[[#This Row],[DISC 2-]])</f>
        <v>0</v>
      </c>
      <c r="AA905" s="51">
        <f>IF(NOTA[[#This Row],[JUMLAH]]="","",NOTA[[#This Row],[JUMLAH]]-NOTA[[#This Row],[DISC]])</f>
        <v>1584000</v>
      </c>
      <c r="AB905" s="51"/>
      <c r="AC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5" s="51">
        <f>IF(OR(NOTA[[#This Row],[QTY]]="",NOTA[[#This Row],[HARGA SATUAN]]="",),"",NOTA[[#This Row],[QTY]]*NOTA[[#This Row],[HARGA SATUAN]])</f>
        <v>1584000</v>
      </c>
      <c r="AG905" s="40">
        <f ca="1">IF(NOTA[ID_H]="","",INDEX(NOTA[TANGGAL],MATCH(,INDIRECT(ADDRESS(ROW(NOTA[TANGGAL]),COLUMN(NOTA[TANGGAL]))&amp;":"&amp;ADDRESS(ROW(),COLUMN(NOTA[TANGGAL]))),-1)))</f>
        <v>45141</v>
      </c>
      <c r="AH905" s="42" t="str">
        <f ca="1">IF(NOTA[[#This Row],[NAMA BARANG]]="","",INDEX(NOTA[SUPPLIER],MATCH(,INDIRECT(ADDRESS(ROW(NOTA[ID]),COLUMN(NOTA[ID]))&amp;":"&amp;ADDRESS(ROW(),COLUMN(NOTA[ID]))),-1)))</f>
        <v>SAHABAT REJEKI</v>
      </c>
      <c r="AI905" s="42" t="str">
        <f ca="1">IF(NOTA[[#This Row],[ID_H]]="","",IF(NOTA[[#This Row],[FAKTUR]]="",INDIRECT(ADDRESS(ROW()-1,COLUMN())),NOTA[[#This Row],[FAKTUR]]))</f>
        <v>UNTANA</v>
      </c>
      <c r="AJ905" s="39" t="str">
        <f ca="1">IF(NOTA[[#This Row],[ID]]="","",COUNTIF(NOTA[ID_H],NOTA[[#This Row],[ID_H]]))</f>
        <v/>
      </c>
      <c r="AK905" s="39">
        <f ca="1">IF(NOTA[[#This Row],[TGL.NOTA]]="",IF(NOTA[[#This Row],[SUPPLIER_H]]="","",AK904),MONTH(NOTA[[#This Row],[TGL.NOTA]]))</f>
        <v>8</v>
      </c>
      <c r="AL905" s="39" t="str">
        <f>LOWER(SUBSTITUTE(SUBSTITUTE(SUBSTITUTE(SUBSTITUTE(SUBSTITUTE(SUBSTITUTE(SUBSTITUTE(SUBSTITUTE(SUBSTITUTE(NOTA[NAMA BARANG]," ",),".",""),"-",""),"(",""),")",""),",",""),"/",""),"""",""),"+",""))</f>
        <v>diaryhl323045sweetmemory32k128lbr</v>
      </c>
      <c r="AM9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diaryhl323045sweetmemory32k128lbr1584000</v>
      </c>
      <c r="AN9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diaryhl323045sweetmemory32k128lbr1584000</v>
      </c>
      <c r="AO9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39" t="str">
        <f>IF(NOTA[[#This Row],[CONCAT4]]="","",_xlfn.IFNA(MATCH(NOTA[[#This Row],[CONCAT4]],[2]!RAW[CONCAT_H],0),FALSE))</f>
        <v/>
      </c>
      <c r="AQ905" s="39">
        <f>IF(NOTA[[#This Row],[CONCAT1]]="","",MATCH(NOTA[[#This Row],[CONCAT1]],[3]!db[NB NOTA_C],0))</f>
        <v>246</v>
      </c>
      <c r="AR905" s="39" t="b">
        <f>IF(NOTA[[#This Row],[QTY/ CTN]]="","",TRUE)</f>
        <v>1</v>
      </c>
      <c r="AS905" s="39" t="str">
        <f ca="1">IF(NOTA[[#This Row],[ID_H]]="","",IF(NOTA[[#This Row],[Column3]]=TRUE,NOTA[[#This Row],[QTY/ CTN]],INDEX([3]!db[QTY/ CTN],NOTA[[#This Row],[//DB]])))</f>
        <v>96 PCS</v>
      </c>
      <c r="AT9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diaryhl323045sweetmemory32k128lbr96pcsuntana</v>
      </c>
      <c r="AU905" s="39" t="e">
        <f ca="1">IF(NOTA[[#This Row],[ID_H]]="","",MATCH(NOTA[[#This Row],[NB NOTA_C_QTY]],[4]!db[NB NOTA_C_QTY+F],0))</f>
        <v>#REF!</v>
      </c>
      <c r="AV905" s="55">
        <f ca="1">IF(NOTA[[#This Row],[NB NOTA_C_QTY]]="","",ROW()-2)</f>
        <v>903</v>
      </c>
    </row>
    <row r="906" spans="1:48" ht="20.100000000000001" customHeight="1" x14ac:dyDescent="0.25">
      <c r="A9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39" t="str">
        <f>IF(NOTA[[#This Row],[ID_P]]="","",MATCH(NOTA[[#This Row],[ID_P]],[1]!B_MSK[N_ID],0))</f>
        <v/>
      </c>
      <c r="D906" s="39">
        <f ca="1">IF(NOTA[[#This Row],[NAMA BARANG]]="","",INDEX(NOTA[ID],MATCH(,INDIRECT(ADDRESS(ROW(NOTA[ID]),COLUMN(NOTA[ID]))&amp;":"&amp;ADDRESS(ROW(),COLUMN(NOTA[ID]))),-1)))</f>
        <v>171</v>
      </c>
      <c r="E906" s="47"/>
      <c r="H906" s="48"/>
      <c r="L906" s="38" t="s">
        <v>968</v>
      </c>
      <c r="M906" s="41">
        <v>1</v>
      </c>
      <c r="N906" s="39">
        <v>96</v>
      </c>
      <c r="O906" s="38" t="s">
        <v>117</v>
      </c>
      <c r="P906" s="42">
        <v>16500</v>
      </c>
      <c r="Q906" s="43"/>
      <c r="R906" s="49" t="s">
        <v>561</v>
      </c>
      <c r="S906" s="50"/>
      <c r="U906" s="51"/>
      <c r="V906" s="46"/>
      <c r="W906" s="51">
        <f>IF(NOTA[[#This Row],[HARGA/ CTN]]="",NOTA[[#This Row],[JUMLAH_H]],NOTA[[#This Row],[HARGA/ CTN]]*IF(NOTA[[#This Row],[C]]="",0,NOTA[[#This Row],[C]]))</f>
        <v>1584000</v>
      </c>
      <c r="X906" s="51">
        <f>IF(NOTA[[#This Row],[JUMLAH]]="","",NOTA[[#This Row],[JUMLAH]]*NOTA[[#This Row],[DISC 1]])</f>
        <v>0</v>
      </c>
      <c r="Y906" s="51">
        <f>IF(NOTA[[#This Row],[JUMLAH]]="","",(NOTA[[#This Row],[JUMLAH]]-NOTA[[#This Row],[DISC 1-]])*NOTA[[#This Row],[DISC 2]])</f>
        <v>0</v>
      </c>
      <c r="Z906" s="51">
        <f>IF(NOTA[[#This Row],[JUMLAH]]="","",NOTA[[#This Row],[DISC 1-]]+NOTA[[#This Row],[DISC 2-]])</f>
        <v>0</v>
      </c>
      <c r="AA906" s="51">
        <f>IF(NOTA[[#This Row],[JUMLAH]]="","",NOTA[[#This Row],[JUMLAH]]-NOTA[[#This Row],[DISC]])</f>
        <v>1584000</v>
      </c>
      <c r="AB906" s="51"/>
      <c r="AC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6" s="51">
        <f>IF(OR(NOTA[[#This Row],[QTY]]="",NOTA[[#This Row],[HARGA SATUAN]]="",),"",NOTA[[#This Row],[QTY]]*NOTA[[#This Row],[HARGA SATUAN]])</f>
        <v>1584000</v>
      </c>
      <c r="AG906" s="40">
        <f ca="1">IF(NOTA[ID_H]="","",INDEX(NOTA[TANGGAL],MATCH(,INDIRECT(ADDRESS(ROW(NOTA[TANGGAL]),COLUMN(NOTA[TANGGAL]))&amp;":"&amp;ADDRESS(ROW(),COLUMN(NOTA[TANGGAL]))),-1)))</f>
        <v>45141</v>
      </c>
      <c r="AH906" s="42" t="str">
        <f ca="1">IF(NOTA[[#This Row],[NAMA BARANG]]="","",INDEX(NOTA[SUPPLIER],MATCH(,INDIRECT(ADDRESS(ROW(NOTA[ID]),COLUMN(NOTA[ID]))&amp;":"&amp;ADDRESS(ROW(),COLUMN(NOTA[ID]))),-1)))</f>
        <v>SAHABAT REJEKI</v>
      </c>
      <c r="AI906" s="42" t="str">
        <f ca="1">IF(NOTA[[#This Row],[ID_H]]="","",IF(NOTA[[#This Row],[FAKTUR]]="",INDIRECT(ADDRESS(ROW()-1,COLUMN())),NOTA[[#This Row],[FAKTUR]]))</f>
        <v>UNTANA</v>
      </c>
      <c r="AJ906" s="39" t="str">
        <f ca="1">IF(NOTA[[#This Row],[ID]]="","",COUNTIF(NOTA[ID_H],NOTA[[#This Row],[ID_H]]))</f>
        <v/>
      </c>
      <c r="AK906" s="39">
        <f ca="1">IF(NOTA[[#This Row],[TGL.NOTA]]="",IF(NOTA[[#This Row],[SUPPLIER_H]]="","",AK905),MONTH(NOTA[[#This Row],[TGL.NOTA]]))</f>
        <v>8</v>
      </c>
      <c r="AL906" s="39" t="str">
        <f>LOWER(SUBSTITUTE(SUBSTITUTE(SUBSTITUTE(SUBSTITUTE(SUBSTITUTE(SUBSTITUTE(SUBSTITUTE(SUBSTITUTE(SUBSTITUTE(NOTA[NAMA BARANG]," ",),".",""),"-",""),"(",""),")",""),",",""),"/",""),"""",""),"+",""))</f>
        <v>diaryhl323046fairyland32k128lbr</v>
      </c>
      <c r="AM9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diaryhl323046fairyland32k128lbr1584000</v>
      </c>
      <c r="AN9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diaryhl323046fairyland32k128lbr1584000</v>
      </c>
      <c r="AO9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39" t="str">
        <f>IF(NOTA[[#This Row],[CONCAT4]]="","",_xlfn.IFNA(MATCH(NOTA[[#This Row],[CONCAT4]],[2]!RAW[CONCAT_H],0),FALSE))</f>
        <v/>
      </c>
      <c r="AQ906" s="39">
        <f>IF(NOTA[[#This Row],[CONCAT1]]="","",MATCH(NOTA[[#This Row],[CONCAT1]],[3]!db[NB NOTA_C],0))</f>
        <v>247</v>
      </c>
      <c r="AR906" s="39" t="b">
        <f>IF(NOTA[[#This Row],[QTY/ CTN]]="","",TRUE)</f>
        <v>1</v>
      </c>
      <c r="AS906" s="39" t="str">
        <f ca="1">IF(NOTA[[#This Row],[ID_H]]="","",IF(NOTA[[#This Row],[Column3]]=TRUE,NOTA[[#This Row],[QTY/ CTN]],INDEX([3]!db[QTY/ CTN],NOTA[[#This Row],[//DB]])))</f>
        <v>96 PCS</v>
      </c>
      <c r="AT9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diaryhl323046fairyland32k128lbr96pcsuntana</v>
      </c>
      <c r="AU906" s="39" t="e">
        <f ca="1">IF(NOTA[[#This Row],[ID_H]]="","",MATCH(NOTA[[#This Row],[NB NOTA_C_QTY]],[4]!db[NB NOTA_C_QTY+F],0))</f>
        <v>#REF!</v>
      </c>
      <c r="AV906" s="55">
        <f ca="1">IF(NOTA[[#This Row],[NB NOTA_C_QTY]]="","",ROW()-2)</f>
        <v>904</v>
      </c>
    </row>
    <row r="907" spans="1:48" ht="20.100000000000001" customHeight="1" x14ac:dyDescent="0.25">
      <c r="A9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39" t="str">
        <f>IF(NOTA[[#This Row],[ID_P]]="","",MATCH(NOTA[[#This Row],[ID_P]],[1]!B_MSK[N_ID],0))</f>
        <v/>
      </c>
      <c r="D907" s="39">
        <f ca="1">IF(NOTA[[#This Row],[NAMA BARANG]]="","",INDEX(NOTA[ID],MATCH(,INDIRECT(ADDRESS(ROW(NOTA[ID]),COLUMN(NOTA[ID]))&amp;":"&amp;ADDRESS(ROW(),COLUMN(NOTA[ID]))),-1)))</f>
        <v>171</v>
      </c>
      <c r="E907" s="47"/>
      <c r="H907" s="48"/>
      <c r="L907" s="38" t="s">
        <v>969</v>
      </c>
      <c r="M907" s="41">
        <v>1</v>
      </c>
      <c r="N907" s="39">
        <v>96</v>
      </c>
      <c r="O907" s="38" t="s">
        <v>117</v>
      </c>
      <c r="P907" s="42">
        <v>16500</v>
      </c>
      <c r="Q907" s="43"/>
      <c r="R907" s="49" t="s">
        <v>561</v>
      </c>
      <c r="S907" s="50"/>
      <c r="U907" s="51"/>
      <c r="V907" s="46"/>
      <c r="W907" s="51">
        <f>IF(NOTA[[#This Row],[HARGA/ CTN]]="",NOTA[[#This Row],[JUMLAH_H]],NOTA[[#This Row],[HARGA/ CTN]]*IF(NOTA[[#This Row],[C]]="",0,NOTA[[#This Row],[C]]))</f>
        <v>1584000</v>
      </c>
      <c r="X907" s="51">
        <f>IF(NOTA[[#This Row],[JUMLAH]]="","",NOTA[[#This Row],[JUMLAH]]*NOTA[[#This Row],[DISC 1]])</f>
        <v>0</v>
      </c>
      <c r="Y907" s="51">
        <f>IF(NOTA[[#This Row],[JUMLAH]]="","",(NOTA[[#This Row],[JUMLAH]]-NOTA[[#This Row],[DISC 1-]])*NOTA[[#This Row],[DISC 2]])</f>
        <v>0</v>
      </c>
      <c r="Z907" s="51">
        <f>IF(NOTA[[#This Row],[JUMLAH]]="","",NOTA[[#This Row],[DISC 1-]]+NOTA[[#This Row],[DISC 2-]])</f>
        <v>0</v>
      </c>
      <c r="AA907" s="51">
        <f>IF(NOTA[[#This Row],[JUMLAH]]="","",NOTA[[#This Row],[JUMLAH]]-NOTA[[#This Row],[DISC]])</f>
        <v>1584000</v>
      </c>
      <c r="AB907" s="51"/>
      <c r="AC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7" s="51">
        <f>IF(OR(NOTA[[#This Row],[QTY]]="",NOTA[[#This Row],[HARGA SATUAN]]="",),"",NOTA[[#This Row],[QTY]]*NOTA[[#This Row],[HARGA SATUAN]])</f>
        <v>1584000</v>
      </c>
      <c r="AG907" s="40">
        <f ca="1">IF(NOTA[ID_H]="","",INDEX(NOTA[TANGGAL],MATCH(,INDIRECT(ADDRESS(ROW(NOTA[TANGGAL]),COLUMN(NOTA[TANGGAL]))&amp;":"&amp;ADDRESS(ROW(),COLUMN(NOTA[TANGGAL]))),-1)))</f>
        <v>45141</v>
      </c>
      <c r="AH907" s="42" t="str">
        <f ca="1">IF(NOTA[[#This Row],[NAMA BARANG]]="","",INDEX(NOTA[SUPPLIER],MATCH(,INDIRECT(ADDRESS(ROW(NOTA[ID]),COLUMN(NOTA[ID]))&amp;":"&amp;ADDRESS(ROW(),COLUMN(NOTA[ID]))),-1)))</f>
        <v>SAHABAT REJEKI</v>
      </c>
      <c r="AI907" s="42" t="str">
        <f ca="1">IF(NOTA[[#This Row],[ID_H]]="","",IF(NOTA[[#This Row],[FAKTUR]]="",INDIRECT(ADDRESS(ROW()-1,COLUMN())),NOTA[[#This Row],[FAKTUR]]))</f>
        <v>UNTANA</v>
      </c>
      <c r="AJ907" s="39" t="str">
        <f ca="1">IF(NOTA[[#This Row],[ID]]="","",COUNTIF(NOTA[ID_H],NOTA[[#This Row],[ID_H]]))</f>
        <v/>
      </c>
      <c r="AK907" s="39">
        <f ca="1">IF(NOTA[[#This Row],[TGL.NOTA]]="",IF(NOTA[[#This Row],[SUPPLIER_H]]="","",AK906),MONTH(NOTA[[#This Row],[TGL.NOTA]]))</f>
        <v>8</v>
      </c>
      <c r="AL907" s="39" t="str">
        <f>LOWER(SUBSTITUTE(SUBSTITUTE(SUBSTITUTE(SUBSTITUTE(SUBSTITUTE(SUBSTITUTE(SUBSTITUTE(SUBSTITUTE(SUBSTITUTE(NOTA[NAMA BARANG]," ",),".",""),"-",""),"(",""),")",""),",",""),"/",""),"""",""),"+",""))</f>
        <v>diaryhl323047thevelvetrabbit32k128lbr</v>
      </c>
      <c r="AM9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diaryhl323047thevelvetrabbit32k128lbr1584000</v>
      </c>
      <c r="AN9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diaryhl323047thevelvetrabbit32k128lbr1584000</v>
      </c>
      <c r="AO9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39" t="str">
        <f>IF(NOTA[[#This Row],[CONCAT4]]="","",_xlfn.IFNA(MATCH(NOTA[[#This Row],[CONCAT4]],[2]!RAW[CONCAT_H],0),FALSE))</f>
        <v/>
      </c>
      <c r="AQ907" s="39">
        <f>IF(NOTA[[#This Row],[CONCAT1]]="","",MATCH(NOTA[[#This Row],[CONCAT1]],[3]!db[NB NOTA_C],0))</f>
        <v>248</v>
      </c>
      <c r="AR907" s="39" t="b">
        <f>IF(NOTA[[#This Row],[QTY/ CTN]]="","",TRUE)</f>
        <v>1</v>
      </c>
      <c r="AS907" s="39" t="str">
        <f ca="1">IF(NOTA[[#This Row],[ID_H]]="","",IF(NOTA[[#This Row],[Column3]]=TRUE,NOTA[[#This Row],[QTY/ CTN]],INDEX([3]!db[QTY/ CTN],NOTA[[#This Row],[//DB]])))</f>
        <v>96 PCS</v>
      </c>
      <c r="AT9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diaryhl323047thevelvetrabbit32k128lbr96pcsuntana</v>
      </c>
      <c r="AU907" s="39" t="e">
        <f ca="1">IF(NOTA[[#This Row],[ID_H]]="","",MATCH(NOTA[[#This Row],[NB NOTA_C_QTY]],[4]!db[NB NOTA_C_QTY+F],0))</f>
        <v>#REF!</v>
      </c>
      <c r="AV907" s="55">
        <f ca="1">IF(NOTA[[#This Row],[NB NOTA_C_QTY]]="","",ROW()-2)</f>
        <v>905</v>
      </c>
    </row>
    <row r="908" spans="1:48" ht="20.100000000000001" customHeight="1" x14ac:dyDescent="0.25">
      <c r="A9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39" t="str">
        <f>IF(NOTA[[#This Row],[ID_P]]="","",MATCH(NOTA[[#This Row],[ID_P]],[1]!B_MSK[N_ID],0))</f>
        <v/>
      </c>
      <c r="D908" s="39">
        <f ca="1">IF(NOTA[[#This Row],[NAMA BARANG]]="","",INDEX(NOTA[ID],MATCH(,INDIRECT(ADDRESS(ROW(NOTA[ID]),COLUMN(NOTA[ID]))&amp;":"&amp;ADDRESS(ROW(),COLUMN(NOTA[ID]))),-1)))</f>
        <v>171</v>
      </c>
      <c r="E908" s="47"/>
      <c r="H908" s="48"/>
      <c r="L908" s="38" t="s">
        <v>970</v>
      </c>
      <c r="M908" s="41">
        <v>1</v>
      </c>
      <c r="N908" s="39">
        <v>96</v>
      </c>
      <c r="O908" s="38" t="s">
        <v>117</v>
      </c>
      <c r="P908" s="42">
        <v>16500</v>
      </c>
      <c r="Q908" s="43"/>
      <c r="R908" s="49" t="s">
        <v>561</v>
      </c>
      <c r="S908" s="50"/>
      <c r="U908" s="51"/>
      <c r="V908" s="46"/>
      <c r="W908" s="51">
        <f>IF(NOTA[[#This Row],[HARGA/ CTN]]="",NOTA[[#This Row],[JUMLAH_H]],NOTA[[#This Row],[HARGA/ CTN]]*IF(NOTA[[#This Row],[C]]="",0,NOTA[[#This Row],[C]]))</f>
        <v>1584000</v>
      </c>
      <c r="X908" s="51">
        <f>IF(NOTA[[#This Row],[JUMLAH]]="","",NOTA[[#This Row],[JUMLAH]]*NOTA[[#This Row],[DISC 1]])</f>
        <v>0</v>
      </c>
      <c r="Y908" s="51">
        <f>IF(NOTA[[#This Row],[JUMLAH]]="","",(NOTA[[#This Row],[JUMLAH]]-NOTA[[#This Row],[DISC 1-]])*NOTA[[#This Row],[DISC 2]])</f>
        <v>0</v>
      </c>
      <c r="Z908" s="51">
        <f>IF(NOTA[[#This Row],[JUMLAH]]="","",NOTA[[#This Row],[DISC 1-]]+NOTA[[#This Row],[DISC 2-]])</f>
        <v>0</v>
      </c>
      <c r="AA908" s="51">
        <f>IF(NOTA[[#This Row],[JUMLAH]]="","",NOTA[[#This Row],[JUMLAH]]-NOTA[[#This Row],[DISC]])</f>
        <v>1584000</v>
      </c>
      <c r="AB908" s="51"/>
      <c r="AC9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20780000</v>
      </c>
      <c r="AE908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08" s="51">
        <f>IF(OR(NOTA[[#This Row],[QTY]]="",NOTA[[#This Row],[HARGA SATUAN]]="",),"",NOTA[[#This Row],[QTY]]*NOTA[[#This Row],[HARGA SATUAN]])</f>
        <v>1584000</v>
      </c>
      <c r="AG908" s="40">
        <f ca="1">IF(NOTA[ID_H]="","",INDEX(NOTA[TANGGAL],MATCH(,INDIRECT(ADDRESS(ROW(NOTA[TANGGAL]),COLUMN(NOTA[TANGGAL]))&amp;":"&amp;ADDRESS(ROW(),COLUMN(NOTA[TANGGAL]))),-1)))</f>
        <v>45141</v>
      </c>
      <c r="AH908" s="42" t="str">
        <f ca="1">IF(NOTA[[#This Row],[NAMA BARANG]]="","",INDEX(NOTA[SUPPLIER],MATCH(,INDIRECT(ADDRESS(ROW(NOTA[ID]),COLUMN(NOTA[ID]))&amp;":"&amp;ADDRESS(ROW(),COLUMN(NOTA[ID]))),-1)))</f>
        <v>SAHABAT REJEKI</v>
      </c>
      <c r="AI908" s="42" t="str">
        <f ca="1">IF(NOTA[[#This Row],[ID_H]]="","",IF(NOTA[[#This Row],[FAKTUR]]="",INDIRECT(ADDRESS(ROW()-1,COLUMN())),NOTA[[#This Row],[FAKTUR]]))</f>
        <v>UNTANA</v>
      </c>
      <c r="AJ908" s="39" t="str">
        <f ca="1">IF(NOTA[[#This Row],[ID]]="","",COUNTIF(NOTA[ID_H],NOTA[[#This Row],[ID_H]]))</f>
        <v/>
      </c>
      <c r="AK908" s="39">
        <f ca="1">IF(NOTA[[#This Row],[TGL.NOTA]]="",IF(NOTA[[#This Row],[SUPPLIER_H]]="","",AK907),MONTH(NOTA[[#This Row],[TGL.NOTA]]))</f>
        <v>8</v>
      </c>
      <c r="AL908" s="39" t="str">
        <f>LOWER(SUBSTITUTE(SUBSTITUTE(SUBSTITUTE(SUBSTITUTE(SUBSTITUTE(SUBSTITUTE(SUBSTITUTE(SUBSTITUTE(SUBSTITUTE(NOTA[NAMA BARANG]," ",),".",""),"-",""),"(",""),")",""),",",""),"/",""),"""",""),"+",""))</f>
        <v>diaryhl323049spacetravel32k128lbr</v>
      </c>
      <c r="AM9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diaryhl323049spacetravel32k128lbr1584000</v>
      </c>
      <c r="AN9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diaryhl323049spacetravel32k128lbr1584000</v>
      </c>
      <c r="AO9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39" t="str">
        <f>IF(NOTA[[#This Row],[CONCAT4]]="","",_xlfn.IFNA(MATCH(NOTA[[#This Row],[CONCAT4]],[2]!RAW[CONCAT_H],0),FALSE))</f>
        <v/>
      </c>
      <c r="AQ908" s="39">
        <f>IF(NOTA[[#This Row],[CONCAT1]]="","",MATCH(NOTA[[#This Row],[CONCAT1]],[3]!db[NB NOTA_C],0))</f>
        <v>249</v>
      </c>
      <c r="AR908" s="39" t="b">
        <f>IF(NOTA[[#This Row],[QTY/ CTN]]="","",TRUE)</f>
        <v>1</v>
      </c>
      <c r="AS908" s="39" t="str">
        <f ca="1">IF(NOTA[[#This Row],[ID_H]]="","",IF(NOTA[[#This Row],[Column3]]=TRUE,NOTA[[#This Row],[QTY/ CTN]],INDEX([3]!db[QTY/ CTN],NOTA[[#This Row],[//DB]])))</f>
        <v>96 PCS</v>
      </c>
      <c r="AT9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diaryhl323049spacetravel32k128lbr96pcsuntana</v>
      </c>
      <c r="AU908" s="39" t="e">
        <f ca="1">IF(NOTA[[#This Row],[ID_H]]="","",MATCH(NOTA[[#This Row],[NB NOTA_C_QTY]],[4]!db[NB NOTA_C_QTY+F],0))</f>
        <v>#REF!</v>
      </c>
      <c r="AV908" s="55">
        <f ca="1">IF(NOTA[[#This Row],[NB NOTA_C_QTY]]="","",ROW()-2)</f>
        <v>906</v>
      </c>
    </row>
    <row r="909" spans="1:48" ht="20.100000000000001" customHeight="1" x14ac:dyDescent="0.25">
      <c r="A9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39" t="str">
        <f>IF(NOTA[[#This Row],[ID_P]]="","",MATCH(NOTA[[#This Row],[ID_P]],[1]!B_MSK[N_ID],0))</f>
        <v/>
      </c>
      <c r="D909" s="39" t="str">
        <f ca="1">IF(NOTA[[#This Row],[NAMA BARANG]]="","",INDEX(NOTA[ID],MATCH(,INDIRECT(ADDRESS(ROW(NOTA[ID]),COLUMN(NOTA[ID]))&amp;":"&amp;ADDRESS(ROW(),COLUMN(NOTA[ID]))),-1)))</f>
        <v/>
      </c>
      <c r="E909" s="47"/>
      <c r="H909" s="48"/>
      <c r="N909" s="39"/>
      <c r="Q909" s="43"/>
      <c r="R909" s="49"/>
      <c r="S909" s="50"/>
      <c r="U909" s="51"/>
      <c r="V909" s="46"/>
      <c r="W909" s="51" t="str">
        <f>IF(NOTA[[#This Row],[HARGA/ CTN]]="",NOTA[[#This Row],[JUMLAH_H]],NOTA[[#This Row],[HARGA/ CTN]]*IF(NOTA[[#This Row],[C]]="",0,NOTA[[#This Row],[C]]))</f>
        <v/>
      </c>
      <c r="X909" s="51" t="str">
        <f>IF(NOTA[[#This Row],[JUMLAH]]="","",NOTA[[#This Row],[JUMLAH]]*NOTA[[#This Row],[DISC 1]])</f>
        <v/>
      </c>
      <c r="Y909" s="51" t="str">
        <f>IF(NOTA[[#This Row],[JUMLAH]]="","",(NOTA[[#This Row],[JUMLAH]]-NOTA[[#This Row],[DISC 1-]])*NOTA[[#This Row],[DISC 2]])</f>
        <v/>
      </c>
      <c r="Z909" s="51" t="str">
        <f>IF(NOTA[[#This Row],[JUMLAH]]="","",NOTA[[#This Row],[DISC 1-]]+NOTA[[#This Row],[DISC 2-]])</f>
        <v/>
      </c>
      <c r="AA909" s="51" t="str">
        <f>IF(NOTA[[#This Row],[JUMLAH]]="","",NOTA[[#This Row],[JUMLAH]]-NOTA[[#This Row],[DISC]])</f>
        <v/>
      </c>
      <c r="AB909" s="51"/>
      <c r="AC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51" t="str">
        <f>IF(OR(NOTA[[#This Row],[QTY]]="",NOTA[[#This Row],[HARGA SATUAN]]="",),"",NOTA[[#This Row],[QTY]]*NOTA[[#This Row],[HARGA SATUAN]])</f>
        <v/>
      </c>
      <c r="AG909" s="40" t="str">
        <f ca="1">IF(NOTA[ID_H]="","",INDEX(NOTA[TANGGAL],MATCH(,INDIRECT(ADDRESS(ROW(NOTA[TANGGAL]),COLUMN(NOTA[TANGGAL]))&amp;":"&amp;ADDRESS(ROW(),COLUMN(NOTA[TANGGAL]))),-1)))</f>
        <v/>
      </c>
      <c r="AH909" s="42" t="str">
        <f ca="1">IF(NOTA[[#This Row],[NAMA BARANG]]="","",INDEX(NOTA[SUPPLIER],MATCH(,INDIRECT(ADDRESS(ROW(NOTA[ID]),COLUMN(NOTA[ID]))&amp;":"&amp;ADDRESS(ROW(),COLUMN(NOTA[ID]))),-1)))</f>
        <v/>
      </c>
      <c r="AI909" s="42" t="str">
        <f ca="1">IF(NOTA[[#This Row],[ID_H]]="","",IF(NOTA[[#This Row],[FAKTUR]]="",INDIRECT(ADDRESS(ROW()-1,COLUMN())),NOTA[[#This Row],[FAKTUR]]))</f>
        <v/>
      </c>
      <c r="AJ909" s="39" t="str">
        <f ca="1">IF(NOTA[[#This Row],[ID]]="","",COUNTIF(NOTA[ID_H],NOTA[[#This Row],[ID_H]]))</f>
        <v/>
      </c>
      <c r="AK909" s="39" t="str">
        <f ca="1">IF(NOTA[[#This Row],[TGL.NOTA]]="",IF(NOTA[[#This Row],[SUPPLIER_H]]="","",AK908),MONTH(NOTA[[#This Row],[TGL.NOTA]]))</f>
        <v/>
      </c>
      <c r="AL909" s="39" t="str">
        <f>LOWER(SUBSTITUTE(SUBSTITUTE(SUBSTITUTE(SUBSTITUTE(SUBSTITUTE(SUBSTITUTE(SUBSTITUTE(SUBSTITUTE(SUBSTITUTE(NOTA[NAMA BARANG]," ",),".",""),"-",""),"(",""),")",""),",",""),"/",""),"""",""),"+",""))</f>
        <v/>
      </c>
      <c r="AM9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39" t="str">
        <f>IF(NOTA[[#This Row],[CONCAT4]]="","",_xlfn.IFNA(MATCH(NOTA[[#This Row],[CONCAT4]],[2]!RAW[CONCAT_H],0),FALSE))</f>
        <v/>
      </c>
      <c r="AQ909" s="39" t="str">
        <f>IF(NOTA[[#This Row],[CONCAT1]]="","",MATCH(NOTA[[#This Row],[CONCAT1]],[3]!db[NB NOTA_C],0))</f>
        <v/>
      </c>
      <c r="AR909" s="39" t="str">
        <f>IF(NOTA[[#This Row],[QTY/ CTN]]="","",TRUE)</f>
        <v/>
      </c>
      <c r="AS909" s="39" t="str">
        <f ca="1">IF(NOTA[[#This Row],[ID_H]]="","",IF(NOTA[[#This Row],[Column3]]=TRUE,NOTA[[#This Row],[QTY/ CTN]],INDEX([3]!db[QTY/ CTN],NOTA[[#This Row],[//DB]])))</f>
        <v/>
      </c>
      <c r="AT9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39" t="str">
        <f ca="1">IF(NOTA[[#This Row],[ID_H]]="","",MATCH(NOTA[[#This Row],[NB NOTA_C_QTY]],[4]!db[NB NOTA_C_QTY+F],0))</f>
        <v/>
      </c>
      <c r="AV909" s="55" t="str">
        <f ca="1">IF(NOTA[[#This Row],[NB NOTA_C_QTY]]="","",ROW()-2)</f>
        <v/>
      </c>
    </row>
    <row r="910" spans="1:48" ht="20.100000000000001" customHeight="1" x14ac:dyDescent="0.25">
      <c r="A910" s="4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ETJ_0308_123-6</v>
      </c>
      <c r="C910" s="39" t="e">
        <f ca="1">IF(NOTA[[#This Row],[ID_P]]="","",MATCH(NOTA[[#This Row],[ID_P]],[1]!B_MSK[N_ID],0))</f>
        <v>#REF!</v>
      </c>
      <c r="D910" s="39">
        <f ca="1">IF(NOTA[[#This Row],[NAMA BARANG]]="","",INDEX(NOTA[ID],MATCH(,INDIRECT(ADDRESS(ROW(NOTA[ID]),COLUMN(NOTA[ID]))&amp;":"&amp;ADDRESS(ROW(),COLUMN(NOTA[ID]))),-1)))</f>
        <v>172</v>
      </c>
      <c r="E910" s="47">
        <v>45141</v>
      </c>
      <c r="F910" s="38" t="s">
        <v>151</v>
      </c>
      <c r="G910" s="38" t="s">
        <v>145</v>
      </c>
      <c r="H910" s="48" t="s">
        <v>972</v>
      </c>
      <c r="J910" s="40">
        <v>45139</v>
      </c>
      <c r="L910" s="38" t="s">
        <v>993</v>
      </c>
      <c r="M910" s="41">
        <v>2</v>
      </c>
      <c r="N910" s="39">
        <v>32</v>
      </c>
      <c r="O910" s="38" t="s">
        <v>152</v>
      </c>
      <c r="P910" s="42">
        <v>120000</v>
      </c>
      <c r="Q910" s="43"/>
      <c r="R910" s="49" t="s">
        <v>973</v>
      </c>
      <c r="S910" s="50"/>
      <c r="U910" s="51"/>
      <c r="V910" s="46"/>
      <c r="W910" s="51">
        <f>IF(NOTA[[#This Row],[HARGA/ CTN]]="",NOTA[[#This Row],[JUMLAH_H]],NOTA[[#This Row],[HARGA/ CTN]]*IF(NOTA[[#This Row],[C]]="",0,NOTA[[#This Row],[C]]))</f>
        <v>3840000</v>
      </c>
      <c r="X910" s="51">
        <f>IF(NOTA[[#This Row],[JUMLAH]]="","",NOTA[[#This Row],[JUMLAH]]*NOTA[[#This Row],[DISC 1]])</f>
        <v>0</v>
      </c>
      <c r="Y910" s="51">
        <f>IF(NOTA[[#This Row],[JUMLAH]]="","",(NOTA[[#This Row],[JUMLAH]]-NOTA[[#This Row],[DISC 1-]])*NOTA[[#This Row],[DISC 2]])</f>
        <v>0</v>
      </c>
      <c r="Z910" s="51">
        <f>IF(NOTA[[#This Row],[JUMLAH]]="","",NOTA[[#This Row],[DISC 1-]]+NOTA[[#This Row],[DISC 2-]])</f>
        <v>0</v>
      </c>
      <c r="AA910" s="51">
        <f>IF(NOTA[[#This Row],[JUMLAH]]="","",NOTA[[#This Row],[JUMLAH]]-NOTA[[#This Row],[DISC]])</f>
        <v>3840000</v>
      </c>
      <c r="AB910" s="51"/>
      <c r="AC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4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10" s="51">
        <f>IF(OR(NOTA[[#This Row],[QTY]]="",NOTA[[#This Row],[HARGA SATUAN]]="",),"",NOTA[[#This Row],[QTY]]*NOTA[[#This Row],[HARGA SATUAN]])</f>
        <v>3840000</v>
      </c>
      <c r="AG910" s="40">
        <f ca="1">IF(NOTA[ID_H]="","",INDEX(NOTA[TANGGAL],MATCH(,INDIRECT(ADDRESS(ROW(NOTA[TANGGAL]),COLUMN(NOTA[TANGGAL]))&amp;":"&amp;ADDRESS(ROW(),COLUMN(NOTA[TANGGAL]))),-1)))</f>
        <v>45141</v>
      </c>
      <c r="AH910" s="42" t="str">
        <f ca="1">IF(NOTA[[#This Row],[NAMA BARANG]]="","",INDEX(NOTA[SUPPLIER],MATCH(,INDIRECT(ADDRESS(ROW(NOTA[ID]),COLUMN(NOTA[ID]))&amp;":"&amp;ADDRESS(ROW(),COLUMN(NOTA[ID]))),-1)))</f>
        <v>ETJ</v>
      </c>
      <c r="AI910" s="42" t="str">
        <f ca="1">IF(NOTA[[#This Row],[ID_H]]="","",IF(NOTA[[#This Row],[FAKTUR]]="",INDIRECT(ADDRESS(ROW()-1,COLUMN())),NOTA[[#This Row],[FAKTUR]]))</f>
        <v>UNTANA</v>
      </c>
      <c r="AJ910" s="39">
        <f ca="1">IF(NOTA[[#This Row],[ID]]="","",COUNTIF(NOTA[ID_H],NOTA[[#This Row],[ID_H]]))</f>
        <v>6</v>
      </c>
      <c r="AK910" s="39">
        <f>IF(NOTA[[#This Row],[TGL.NOTA]]="",IF(NOTA[[#This Row],[SUPPLIER_H]]="","",AK909),MONTH(NOTA[[#This Row],[TGL.NOTA]]))</f>
        <v>8</v>
      </c>
      <c r="AL910" s="39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9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9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91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ETJUNTANAMY1.2345139kojikosegitigano12</v>
      </c>
      <c r="AP910" s="39" t="e">
        <f>IF(NOTA[[#This Row],[CONCAT4]]="","",_xlfn.IFNA(MATCH(NOTA[[#This Row],[CONCAT4]],[2]!RAW[CONCAT_H],0),FALSE))</f>
        <v>#REF!</v>
      </c>
      <c r="AQ910" s="39">
        <f>IF(NOTA[[#This Row],[CONCAT1]]="","",MATCH(NOTA[[#This Row],[CONCAT1]],[3]!db[NB NOTA_C],0))</f>
        <v>1144</v>
      </c>
      <c r="AR910" s="39" t="b">
        <f>IF(NOTA[[#This Row],[QTY/ CTN]]="","",TRUE)</f>
        <v>1</v>
      </c>
      <c r="AS910" s="39" t="str">
        <f ca="1">IF(NOTA[[#This Row],[ID_H]]="","",IF(NOTA[[#This Row],[Column3]]=TRUE,NOTA[[#This Row],[QTY/ CTN]],INDEX([3]!db[QTY/ CTN],NOTA[[#This Row],[//DB]])))</f>
        <v>16 LSN</v>
      </c>
      <c r="AT9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kojikosegitigano1216lsnuntana</v>
      </c>
      <c r="AU910" s="39" t="e">
        <f ca="1">IF(NOTA[[#This Row],[ID_H]]="","",MATCH(NOTA[[#This Row],[NB NOTA_C_QTY]],[4]!db[NB NOTA_C_QTY+F],0))</f>
        <v>#REF!</v>
      </c>
      <c r="AV910" s="55">
        <f ca="1">IF(NOTA[[#This Row],[NB NOTA_C_QTY]]="","",ROW()-2)</f>
        <v>908</v>
      </c>
    </row>
    <row r="911" spans="1:48" ht="20.100000000000001" customHeight="1" x14ac:dyDescent="0.25">
      <c r="A9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39" t="str">
        <f>IF(NOTA[[#This Row],[ID_P]]="","",MATCH(NOTA[[#This Row],[ID_P]],[1]!B_MSK[N_ID],0))</f>
        <v/>
      </c>
      <c r="D911" s="39">
        <f ca="1">IF(NOTA[[#This Row],[NAMA BARANG]]="","",INDEX(NOTA[ID],MATCH(,INDIRECT(ADDRESS(ROW(NOTA[ID]),COLUMN(NOTA[ID]))&amp;":"&amp;ADDRESS(ROW(),COLUMN(NOTA[ID]))),-1)))</f>
        <v>172</v>
      </c>
      <c r="E911" s="47"/>
      <c r="H911" s="48"/>
      <c r="L911" s="38" t="s">
        <v>974</v>
      </c>
      <c r="M911" s="41">
        <v>1</v>
      </c>
      <c r="N911" s="39">
        <v>24</v>
      </c>
      <c r="O911" s="38" t="s">
        <v>152</v>
      </c>
      <c r="P911" s="42">
        <v>67500</v>
      </c>
      <c r="Q911" s="43"/>
      <c r="R911" s="49" t="s">
        <v>240</v>
      </c>
      <c r="S911" s="50"/>
      <c r="U911" s="51"/>
      <c r="V911" s="46"/>
      <c r="W911" s="51">
        <f>IF(NOTA[[#This Row],[HARGA/ CTN]]="",NOTA[[#This Row],[JUMLAH_H]],NOTA[[#This Row],[HARGA/ CTN]]*IF(NOTA[[#This Row],[C]]="",0,NOTA[[#This Row],[C]]))</f>
        <v>1620000</v>
      </c>
      <c r="X911" s="51">
        <f>IF(NOTA[[#This Row],[JUMLAH]]="","",NOTA[[#This Row],[JUMLAH]]*NOTA[[#This Row],[DISC 1]])</f>
        <v>0</v>
      </c>
      <c r="Y911" s="51">
        <f>IF(NOTA[[#This Row],[JUMLAH]]="","",(NOTA[[#This Row],[JUMLAH]]-NOTA[[#This Row],[DISC 1-]])*NOTA[[#This Row],[DISC 2]])</f>
        <v>0</v>
      </c>
      <c r="Z911" s="51">
        <f>IF(NOTA[[#This Row],[JUMLAH]]="","",NOTA[[#This Row],[DISC 1-]]+NOTA[[#This Row],[DISC 2-]])</f>
        <v>0</v>
      </c>
      <c r="AA911" s="51">
        <f>IF(NOTA[[#This Row],[JUMLAH]]="","",NOTA[[#This Row],[JUMLAH]]-NOTA[[#This Row],[DISC]])</f>
        <v>1620000</v>
      </c>
      <c r="AB911" s="51"/>
      <c r="AC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4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911" s="51">
        <f>IF(OR(NOTA[[#This Row],[QTY]]="",NOTA[[#This Row],[HARGA SATUAN]]="",),"",NOTA[[#This Row],[QTY]]*NOTA[[#This Row],[HARGA SATUAN]])</f>
        <v>1620000</v>
      </c>
      <c r="AG911" s="40">
        <f ca="1">IF(NOTA[ID_H]="","",INDEX(NOTA[TANGGAL],MATCH(,INDIRECT(ADDRESS(ROW(NOTA[TANGGAL]),COLUMN(NOTA[TANGGAL]))&amp;":"&amp;ADDRESS(ROW(),COLUMN(NOTA[TANGGAL]))),-1)))</f>
        <v>45141</v>
      </c>
      <c r="AH911" s="42" t="str">
        <f ca="1">IF(NOTA[[#This Row],[NAMA BARANG]]="","",INDEX(NOTA[SUPPLIER],MATCH(,INDIRECT(ADDRESS(ROW(NOTA[ID]),COLUMN(NOTA[ID]))&amp;":"&amp;ADDRESS(ROW(),COLUMN(NOTA[ID]))),-1)))</f>
        <v>ETJ</v>
      </c>
      <c r="AI911" s="42" t="str">
        <f ca="1">IF(NOTA[[#This Row],[ID_H]]="","",IF(NOTA[[#This Row],[FAKTUR]]="",INDIRECT(ADDRESS(ROW()-1,COLUMN())),NOTA[[#This Row],[FAKTUR]]))</f>
        <v>UNTANA</v>
      </c>
      <c r="AJ911" s="39" t="str">
        <f ca="1">IF(NOTA[[#This Row],[ID]]="","",COUNTIF(NOTA[ID_H],NOTA[[#This Row],[ID_H]]))</f>
        <v/>
      </c>
      <c r="AK911" s="39">
        <f ca="1">IF(NOTA[[#This Row],[TGL.NOTA]]="",IF(NOTA[[#This Row],[SUPPLIER_H]]="","",AK910),MONTH(NOTA[[#This Row],[TGL.NOTA]]))</f>
        <v>8</v>
      </c>
      <c r="AL911" s="39" t="str">
        <f>LOWER(SUBSTITUTE(SUBSTITUTE(SUBSTITUTE(SUBSTITUTE(SUBSTITUTE(SUBSTITUTE(SUBSTITUTE(SUBSTITUTE(SUBSTITUTE(NOTA[NAMA BARANG]," ",),".",""),"-",""),"(",""),")",""),",",""),"/",""),"""",""),"+",""))</f>
        <v>kojikosegitigano8</v>
      </c>
      <c r="AM9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9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9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39" t="str">
        <f>IF(NOTA[[#This Row],[CONCAT4]]="","",_xlfn.IFNA(MATCH(NOTA[[#This Row],[CONCAT4]],[2]!RAW[CONCAT_H],0),FALSE))</f>
        <v/>
      </c>
      <c r="AQ911" s="39">
        <f>IF(NOTA[[#This Row],[CONCAT1]]="","",MATCH(NOTA[[#This Row],[CONCAT1]],[3]!db[NB NOTA_C],0))</f>
        <v>1146</v>
      </c>
      <c r="AR911" s="39" t="b">
        <f>IF(NOTA[[#This Row],[QTY/ CTN]]="","",TRUE)</f>
        <v>1</v>
      </c>
      <c r="AS911" s="39" t="str">
        <f ca="1">IF(NOTA[[#This Row],[ID_H]]="","",IF(NOTA[[#This Row],[Column3]]=TRUE,NOTA[[#This Row],[QTY/ CTN]],INDEX([3]!db[QTY/ CTN],NOTA[[#This Row],[//DB]])))</f>
        <v>24 LSN</v>
      </c>
      <c r="AT9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kojikosegitigano824lsnuntana</v>
      </c>
      <c r="AU911" s="39" t="e">
        <f ca="1">IF(NOTA[[#This Row],[ID_H]]="","",MATCH(NOTA[[#This Row],[NB NOTA_C_QTY]],[4]!db[NB NOTA_C_QTY+F],0))</f>
        <v>#REF!</v>
      </c>
      <c r="AV911" s="55">
        <f ca="1">IF(NOTA[[#This Row],[NB NOTA_C_QTY]]="","",ROW()-2)</f>
        <v>909</v>
      </c>
    </row>
    <row r="912" spans="1:48" ht="20.100000000000001" customHeight="1" x14ac:dyDescent="0.25">
      <c r="A9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39" t="str">
        <f>IF(NOTA[[#This Row],[ID_P]]="","",MATCH(NOTA[[#This Row],[ID_P]],[1]!B_MSK[N_ID],0))</f>
        <v/>
      </c>
      <c r="D912" s="39">
        <f ca="1">IF(NOTA[[#This Row],[NAMA BARANG]]="","",INDEX(NOTA[ID],MATCH(,INDIRECT(ADDRESS(ROW(NOTA[ID]),COLUMN(NOTA[ID]))&amp;":"&amp;ADDRESS(ROW(),COLUMN(NOTA[ID]))),-1)))</f>
        <v>172</v>
      </c>
      <c r="E912" s="47"/>
      <c r="H912" s="48"/>
      <c r="L912" s="38" t="s">
        <v>975</v>
      </c>
      <c r="N912" s="39">
        <v>8</v>
      </c>
      <c r="O912" s="38" t="s">
        <v>152</v>
      </c>
      <c r="P912" s="42">
        <v>85000</v>
      </c>
      <c r="Q912" s="43"/>
      <c r="R912" s="49"/>
      <c r="S912" s="50"/>
      <c r="U912" s="51"/>
      <c r="V912" s="46"/>
      <c r="W912" s="51">
        <f>IF(NOTA[[#This Row],[HARGA/ CTN]]="",NOTA[[#This Row],[JUMLAH_H]],NOTA[[#This Row],[HARGA/ CTN]]*IF(NOTA[[#This Row],[C]]="",0,NOTA[[#This Row],[C]]))</f>
        <v>680000</v>
      </c>
      <c r="X912" s="51">
        <f>IF(NOTA[[#This Row],[JUMLAH]]="","",NOTA[[#This Row],[JUMLAH]]*NOTA[[#This Row],[DISC 1]])</f>
        <v>0</v>
      </c>
      <c r="Y912" s="51">
        <f>IF(NOTA[[#This Row],[JUMLAH]]="","",(NOTA[[#This Row],[JUMLAH]]-NOTA[[#This Row],[DISC 1-]])*NOTA[[#This Row],[DISC 2]])</f>
        <v>0</v>
      </c>
      <c r="Z912" s="51">
        <f>IF(NOTA[[#This Row],[JUMLAH]]="","",NOTA[[#This Row],[DISC 1-]]+NOTA[[#This Row],[DISC 2-]])</f>
        <v>0</v>
      </c>
      <c r="AA912" s="51">
        <f>IF(NOTA[[#This Row],[JUMLAH]]="","",NOTA[[#This Row],[JUMLAH]]-NOTA[[#This Row],[DISC]])</f>
        <v>680000</v>
      </c>
      <c r="AB912" s="51"/>
      <c r="AC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42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F912" s="51">
        <f>IF(OR(NOTA[[#This Row],[QTY]]="",NOTA[[#This Row],[HARGA SATUAN]]="",),"",NOTA[[#This Row],[QTY]]*NOTA[[#This Row],[HARGA SATUAN]])</f>
        <v>680000</v>
      </c>
      <c r="AG912" s="40">
        <f ca="1">IF(NOTA[ID_H]="","",INDEX(NOTA[TANGGAL],MATCH(,INDIRECT(ADDRESS(ROW(NOTA[TANGGAL]),COLUMN(NOTA[TANGGAL]))&amp;":"&amp;ADDRESS(ROW(),COLUMN(NOTA[TANGGAL]))),-1)))</f>
        <v>45141</v>
      </c>
      <c r="AH912" s="42" t="str">
        <f ca="1">IF(NOTA[[#This Row],[NAMA BARANG]]="","",INDEX(NOTA[SUPPLIER],MATCH(,INDIRECT(ADDRESS(ROW(NOTA[ID]),COLUMN(NOTA[ID]))&amp;":"&amp;ADDRESS(ROW(),COLUMN(NOTA[ID]))),-1)))</f>
        <v>ETJ</v>
      </c>
      <c r="AI912" s="42" t="str">
        <f ca="1">IF(NOTA[[#This Row],[ID_H]]="","",IF(NOTA[[#This Row],[FAKTUR]]="",INDIRECT(ADDRESS(ROW()-1,COLUMN())),NOTA[[#This Row],[FAKTUR]]))</f>
        <v>UNTANA</v>
      </c>
      <c r="AJ912" s="39" t="str">
        <f ca="1">IF(NOTA[[#This Row],[ID]]="","",COUNTIF(NOTA[ID_H],NOTA[[#This Row],[ID_H]]))</f>
        <v/>
      </c>
      <c r="AK912" s="39">
        <f ca="1">IF(NOTA[[#This Row],[TGL.NOTA]]="",IF(NOTA[[#This Row],[SUPPLIER_H]]="","",AK911),MONTH(NOTA[[#This Row],[TGL.NOTA]]))</f>
        <v>8</v>
      </c>
      <c r="AL912" s="39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9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kojikosegitigano10680000</v>
      </c>
      <c r="AN9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kojikosegitigano1085000</v>
      </c>
      <c r="AO9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39" t="str">
        <f>IF(NOTA[[#This Row],[CONCAT4]]="","",_xlfn.IFNA(MATCH(NOTA[[#This Row],[CONCAT4]],[2]!RAW[CONCAT_H],0),FALSE))</f>
        <v/>
      </c>
      <c r="AQ912" s="39">
        <f>IF(NOTA[[#This Row],[CONCAT1]]="","",MATCH(NOTA[[#This Row],[CONCAT1]],[3]!db[NB NOTA_C],0))</f>
        <v>1142</v>
      </c>
      <c r="AR912" s="39" t="str">
        <f>IF(NOTA[[#This Row],[QTY/ CTN]]="","",TRUE)</f>
        <v/>
      </c>
      <c r="AS912" s="39" t="str">
        <f ca="1">IF(NOTA[[#This Row],[ID_H]]="","",IF(NOTA[[#This Row],[Column3]]=TRUE,NOTA[[#This Row],[QTY/ CTN]],INDEX([3]!db[QTY/ CTN],NOTA[[#This Row],[//DB]])))</f>
        <v>16 LSN</v>
      </c>
      <c r="AT9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U912" s="39" t="e">
        <f ca="1">IF(NOTA[[#This Row],[ID_H]]="","",MATCH(NOTA[[#This Row],[NB NOTA_C_QTY]],[4]!db[NB NOTA_C_QTY+F],0))</f>
        <v>#REF!</v>
      </c>
      <c r="AV912" s="55">
        <f ca="1">IF(NOTA[[#This Row],[NB NOTA_C_QTY]]="","",ROW()-2)</f>
        <v>910</v>
      </c>
    </row>
    <row r="913" spans="1:48" ht="20.100000000000001" customHeight="1" x14ac:dyDescent="0.25">
      <c r="A9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39" t="str">
        <f>IF(NOTA[[#This Row],[ID_P]]="","",MATCH(NOTA[[#This Row],[ID_P]],[1]!B_MSK[N_ID],0))</f>
        <v/>
      </c>
      <c r="D913" s="39">
        <f ca="1">IF(NOTA[[#This Row],[NAMA BARANG]]="","",INDEX(NOTA[ID],MATCH(,INDIRECT(ADDRESS(ROW(NOTA[ID]),COLUMN(NOTA[ID]))&amp;":"&amp;ADDRESS(ROW(),COLUMN(NOTA[ID]))),-1)))</f>
        <v>172</v>
      </c>
      <c r="E913" s="47"/>
      <c r="H913" s="48"/>
      <c r="L913" s="38" t="s">
        <v>976</v>
      </c>
      <c r="N913" s="39">
        <v>16</v>
      </c>
      <c r="O913" s="38" t="s">
        <v>977</v>
      </c>
      <c r="P913" s="42">
        <v>27500</v>
      </c>
      <c r="Q913" s="43"/>
      <c r="R913" s="49"/>
      <c r="S913" s="50"/>
      <c r="U913" s="51"/>
      <c r="V913" s="46"/>
      <c r="W913" s="51">
        <f>IF(NOTA[[#This Row],[HARGA/ CTN]]="",NOTA[[#This Row],[JUMLAH_H]],NOTA[[#This Row],[HARGA/ CTN]]*IF(NOTA[[#This Row],[C]]="",0,NOTA[[#This Row],[C]]))</f>
        <v>440000</v>
      </c>
      <c r="X913" s="51">
        <f>IF(NOTA[[#This Row],[JUMLAH]]="","",NOTA[[#This Row],[JUMLAH]]*NOTA[[#This Row],[DISC 1]])</f>
        <v>0</v>
      </c>
      <c r="Y913" s="51">
        <f>IF(NOTA[[#This Row],[JUMLAH]]="","",(NOTA[[#This Row],[JUMLAH]]-NOTA[[#This Row],[DISC 1-]])*NOTA[[#This Row],[DISC 2]])</f>
        <v>0</v>
      </c>
      <c r="Z913" s="51">
        <f>IF(NOTA[[#This Row],[JUMLAH]]="","",NOTA[[#This Row],[DISC 1-]]+NOTA[[#This Row],[DISC 2-]])</f>
        <v>0</v>
      </c>
      <c r="AA913" s="51">
        <f>IF(NOTA[[#This Row],[JUMLAH]]="","",NOTA[[#This Row],[JUMLAH]]-NOTA[[#This Row],[DISC]])</f>
        <v>440000</v>
      </c>
      <c r="AB913" s="51"/>
      <c r="AC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42">
        <f>IF(NOTA[[#This Row],[NAMA BARANG]]="","",IF(NOTA[[#This Row],[JUMLAH_H]]="",NOTA[[#This Row],[HARGA/ CTN]],NOTA[[#This Row],[QTY]]*NOTA[[#This Row],[HARGA SATUAN]]/IF(ISNUMBER(NOTA[[#This Row],[C]]),NOTA[[#This Row],[C]],1)))</f>
        <v>440000</v>
      </c>
      <c r="AF913" s="51">
        <f>IF(OR(NOTA[[#This Row],[QTY]]="",NOTA[[#This Row],[HARGA SATUAN]]="",),"",NOTA[[#This Row],[QTY]]*NOTA[[#This Row],[HARGA SATUAN]])</f>
        <v>440000</v>
      </c>
      <c r="AG913" s="40">
        <f ca="1">IF(NOTA[ID_H]="","",INDEX(NOTA[TANGGAL],MATCH(,INDIRECT(ADDRESS(ROW(NOTA[TANGGAL]),COLUMN(NOTA[TANGGAL]))&amp;":"&amp;ADDRESS(ROW(),COLUMN(NOTA[TANGGAL]))),-1)))</f>
        <v>45141</v>
      </c>
      <c r="AH913" s="42" t="str">
        <f ca="1">IF(NOTA[[#This Row],[NAMA BARANG]]="","",INDEX(NOTA[SUPPLIER],MATCH(,INDIRECT(ADDRESS(ROW(NOTA[ID]),COLUMN(NOTA[ID]))&amp;":"&amp;ADDRESS(ROW(),COLUMN(NOTA[ID]))),-1)))</f>
        <v>ETJ</v>
      </c>
      <c r="AI913" s="42" t="str">
        <f ca="1">IF(NOTA[[#This Row],[ID_H]]="","",IF(NOTA[[#This Row],[FAKTUR]]="",INDIRECT(ADDRESS(ROW()-1,COLUMN())),NOTA[[#This Row],[FAKTUR]]))</f>
        <v>UNTANA</v>
      </c>
      <c r="AJ913" s="39" t="str">
        <f ca="1">IF(NOTA[[#This Row],[ID]]="","",COUNTIF(NOTA[ID_H],NOTA[[#This Row],[ID_H]]))</f>
        <v/>
      </c>
      <c r="AK913" s="39">
        <f ca="1">IF(NOTA[[#This Row],[TGL.NOTA]]="",IF(NOTA[[#This Row],[SUPPLIER_H]]="","",AK912),MONTH(NOTA[[#This Row],[TGL.NOTA]]))</f>
        <v>8</v>
      </c>
      <c r="AL913" s="39" t="str">
        <f>LOWER(SUBSTITUTE(SUBSTITUTE(SUBSTITUTE(SUBSTITUTE(SUBSTITUTE(SUBSTITUTE(SUBSTITUTE(SUBSTITUTE(SUBSTITUTE(NOTA[NAMA BARANG]," ",),".",""),"-",""),"(",""),")",""),",",""),"/",""),"""",""),"+",""))</f>
        <v>enterwbb803</v>
      </c>
      <c r="AM9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enterwbb803440000</v>
      </c>
      <c r="AN9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enterwbb80327500</v>
      </c>
      <c r="AO9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39" t="str">
        <f>IF(NOTA[[#This Row],[CONCAT4]]="","",_xlfn.IFNA(MATCH(NOTA[[#This Row],[CONCAT4]],[2]!RAW[CONCAT_H],0),FALSE))</f>
        <v/>
      </c>
      <c r="AQ913" s="39">
        <f>IF(NOTA[[#This Row],[CONCAT1]]="","",MATCH(NOTA[[#This Row],[CONCAT1]],[3]!db[NB NOTA_C],0))</f>
        <v>2146</v>
      </c>
      <c r="AR913" s="39" t="str">
        <f>IF(NOTA[[#This Row],[QTY/ CTN]]="","",TRUE)</f>
        <v/>
      </c>
      <c r="AS913" s="39" t="str">
        <f ca="1">IF(NOTA[[#This Row],[ID_H]]="","",IF(NOTA[[#This Row],[Column3]]=TRUE,NOTA[[#This Row],[QTY/ CTN]],INDEX([3]!db[QTY/ CTN],NOTA[[#This Row],[//DB]])))</f>
        <v>48 LSN</v>
      </c>
      <c r="AT9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U913" s="39" t="e">
        <f ca="1">IF(NOTA[[#This Row],[ID_H]]="","",MATCH(NOTA[[#This Row],[NB NOTA_C_QTY]],[4]!db[NB NOTA_C_QTY+F],0))</f>
        <v>#REF!</v>
      </c>
      <c r="AV913" s="55">
        <f ca="1">IF(NOTA[[#This Row],[NB NOTA_C_QTY]]="","",ROW()-2)</f>
        <v>911</v>
      </c>
    </row>
    <row r="914" spans="1:48" ht="20.100000000000001" customHeight="1" x14ac:dyDescent="0.25">
      <c r="A9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39" t="str">
        <f>IF(NOTA[[#This Row],[ID_P]]="","",MATCH(NOTA[[#This Row],[ID_P]],[1]!B_MSK[N_ID],0))</f>
        <v/>
      </c>
      <c r="D914" s="39">
        <f ca="1">IF(NOTA[[#This Row],[NAMA BARANG]]="","",INDEX(NOTA[ID],MATCH(,INDIRECT(ADDRESS(ROW(NOTA[ID]),COLUMN(NOTA[ID]))&amp;":"&amp;ADDRESS(ROW(),COLUMN(NOTA[ID]))),-1)))</f>
        <v>172</v>
      </c>
      <c r="E914" s="47"/>
      <c r="H914" s="48"/>
      <c r="L914" s="38" t="s">
        <v>994</v>
      </c>
      <c r="M914" s="41">
        <v>1</v>
      </c>
      <c r="N914" s="39">
        <v>500</v>
      </c>
      <c r="O914" s="38" t="s">
        <v>308</v>
      </c>
      <c r="P914" s="42">
        <v>5800</v>
      </c>
      <c r="Q914" s="43"/>
      <c r="R914" s="49" t="s">
        <v>770</v>
      </c>
      <c r="S914" s="50"/>
      <c r="U914" s="51"/>
      <c r="V914" s="46"/>
      <c r="W914" s="51">
        <f>IF(NOTA[[#This Row],[HARGA/ CTN]]="",NOTA[[#This Row],[JUMLAH_H]],NOTA[[#This Row],[HARGA/ CTN]]*IF(NOTA[[#This Row],[C]]="",0,NOTA[[#This Row],[C]]))</f>
        <v>2900000</v>
      </c>
      <c r="X914" s="51">
        <f>IF(NOTA[[#This Row],[JUMLAH]]="","",NOTA[[#This Row],[JUMLAH]]*NOTA[[#This Row],[DISC 1]])</f>
        <v>0</v>
      </c>
      <c r="Y914" s="51">
        <f>IF(NOTA[[#This Row],[JUMLAH]]="","",(NOTA[[#This Row],[JUMLAH]]-NOTA[[#This Row],[DISC 1-]])*NOTA[[#This Row],[DISC 2]])</f>
        <v>0</v>
      </c>
      <c r="Z914" s="51">
        <f>IF(NOTA[[#This Row],[JUMLAH]]="","",NOTA[[#This Row],[DISC 1-]]+NOTA[[#This Row],[DISC 2-]])</f>
        <v>0</v>
      </c>
      <c r="AA914" s="51">
        <f>IF(NOTA[[#This Row],[JUMLAH]]="","",NOTA[[#This Row],[JUMLAH]]-NOTA[[#This Row],[DISC]])</f>
        <v>2900000</v>
      </c>
      <c r="AB914" s="51"/>
      <c r="AC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4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914" s="51">
        <f>IF(OR(NOTA[[#This Row],[QTY]]="",NOTA[[#This Row],[HARGA SATUAN]]="",),"",NOTA[[#This Row],[QTY]]*NOTA[[#This Row],[HARGA SATUAN]])</f>
        <v>2900000</v>
      </c>
      <c r="AG914" s="40">
        <f ca="1">IF(NOTA[ID_H]="","",INDEX(NOTA[TANGGAL],MATCH(,INDIRECT(ADDRESS(ROW(NOTA[TANGGAL]),COLUMN(NOTA[TANGGAL]))&amp;":"&amp;ADDRESS(ROW(),COLUMN(NOTA[TANGGAL]))),-1)))</f>
        <v>45141</v>
      </c>
      <c r="AH914" s="42" t="str">
        <f ca="1">IF(NOTA[[#This Row],[NAMA BARANG]]="","",INDEX(NOTA[SUPPLIER],MATCH(,INDIRECT(ADDRESS(ROW(NOTA[ID]),COLUMN(NOTA[ID]))&amp;":"&amp;ADDRESS(ROW(),COLUMN(NOTA[ID]))),-1)))</f>
        <v>ETJ</v>
      </c>
      <c r="AI914" s="42" t="str">
        <f ca="1">IF(NOTA[[#This Row],[ID_H]]="","",IF(NOTA[[#This Row],[FAKTUR]]="",INDIRECT(ADDRESS(ROW()-1,COLUMN())),NOTA[[#This Row],[FAKTUR]]))</f>
        <v>UNTANA</v>
      </c>
      <c r="AJ914" s="39" t="str">
        <f ca="1">IF(NOTA[[#This Row],[ID]]="","",COUNTIF(NOTA[ID_H],NOTA[[#This Row],[ID_H]]))</f>
        <v/>
      </c>
      <c r="AK914" s="39">
        <f ca="1">IF(NOTA[[#This Row],[TGL.NOTA]]="",IF(NOTA[[#This Row],[SUPPLIER_H]]="","",AK913),MONTH(NOTA[[#This Row],[TGL.NOTA]]))</f>
        <v>8</v>
      </c>
      <c r="AL914" s="39" t="str">
        <f>LOWER(SUBSTITUTE(SUBSTITUTE(SUBSTITUTE(SUBSTITUTE(SUBSTITUTE(SUBSTITUTE(SUBSTITUTE(SUBSTITUTE(SUBSTITUTE(NOTA[NAMA BARANG]," ",),".",""),"-",""),"(",""),")",""),",",""),"/",""),"""",""),"+",""))</f>
        <v>dust344</v>
      </c>
      <c r="AM9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N9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O9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39" t="str">
        <f>IF(NOTA[[#This Row],[CONCAT4]]="","",_xlfn.IFNA(MATCH(NOTA[[#This Row],[CONCAT4]],[2]!RAW[CONCAT_H],0),FALSE))</f>
        <v/>
      </c>
      <c r="AQ914" s="39">
        <f>IF(NOTA[[#This Row],[CONCAT1]]="","",MATCH(NOTA[[#This Row],[CONCAT1]],[3]!db[NB NOTA_C],0))</f>
        <v>2371</v>
      </c>
      <c r="AR914" s="39" t="b">
        <f>IF(NOTA[[#This Row],[QTY/ CTN]]="","",TRUE)</f>
        <v>1</v>
      </c>
      <c r="AS914" s="39" t="str">
        <f ca="1">IF(NOTA[[#This Row],[ID_H]]="","",IF(NOTA[[#This Row],[Column3]]=TRUE,NOTA[[#This Row],[QTY/ CTN]],INDEX([3]!db[QTY/ CTN],NOTA[[#This Row],[//DB]])))</f>
        <v>500 ROL</v>
      </c>
      <c r="AT9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dust344500roluntana</v>
      </c>
      <c r="AU914" s="39" t="e">
        <f ca="1">IF(NOTA[[#This Row],[ID_H]]="","",MATCH(NOTA[[#This Row],[NB NOTA_C_QTY]],[4]!db[NB NOTA_C_QTY+F],0))</f>
        <v>#REF!</v>
      </c>
      <c r="AV914" s="55">
        <f ca="1">IF(NOTA[[#This Row],[NB NOTA_C_QTY]]="","",ROW()-2)</f>
        <v>912</v>
      </c>
    </row>
    <row r="915" spans="1:48" ht="20.100000000000001" customHeight="1" x14ac:dyDescent="0.25">
      <c r="A9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39" t="str">
        <f>IF(NOTA[[#This Row],[ID_P]]="","",MATCH(NOTA[[#This Row],[ID_P]],[1]!B_MSK[N_ID],0))</f>
        <v/>
      </c>
      <c r="D915" s="39">
        <f ca="1">IF(NOTA[[#This Row],[NAMA BARANG]]="","",INDEX(NOTA[ID],MATCH(,INDIRECT(ADDRESS(ROW(NOTA[ID]),COLUMN(NOTA[ID]))&amp;":"&amp;ADDRESS(ROW(),COLUMN(NOTA[ID]))),-1)))</f>
        <v>172</v>
      </c>
      <c r="E915" s="47"/>
      <c r="H915" s="48"/>
      <c r="L915" s="38" t="s">
        <v>995</v>
      </c>
      <c r="M915" s="41">
        <v>1</v>
      </c>
      <c r="N915" s="39">
        <v>500</v>
      </c>
      <c r="O915" s="38" t="s">
        <v>308</v>
      </c>
      <c r="P915" s="42">
        <v>4700</v>
      </c>
      <c r="Q915" s="43"/>
      <c r="R915" s="49" t="s">
        <v>770</v>
      </c>
      <c r="S915" s="50"/>
      <c r="U915" s="51"/>
      <c r="V915" s="46"/>
      <c r="W915" s="51">
        <f>IF(NOTA[[#This Row],[HARGA/ CTN]]="",NOTA[[#This Row],[JUMLAH_H]],NOTA[[#This Row],[HARGA/ CTN]]*IF(NOTA[[#This Row],[C]]="",0,NOTA[[#This Row],[C]]))</f>
        <v>2350000</v>
      </c>
      <c r="X915" s="51">
        <f>IF(NOTA[[#This Row],[JUMLAH]]="","",NOTA[[#This Row],[JUMLAH]]*NOTA[[#This Row],[DISC 1]])</f>
        <v>0</v>
      </c>
      <c r="Y915" s="51">
        <f>IF(NOTA[[#This Row],[JUMLAH]]="","",(NOTA[[#This Row],[JUMLAH]]-NOTA[[#This Row],[DISC 1-]])*NOTA[[#This Row],[DISC 2]])</f>
        <v>0</v>
      </c>
      <c r="Z915" s="51">
        <f>IF(NOTA[[#This Row],[JUMLAH]]="","",NOTA[[#This Row],[DISC 1-]]+NOTA[[#This Row],[DISC 2-]])</f>
        <v>0</v>
      </c>
      <c r="AA915" s="51">
        <f>IF(NOTA[[#This Row],[JUMLAH]]="","",NOTA[[#This Row],[JUMLAH]]-NOTA[[#This Row],[DISC]])</f>
        <v>2350000</v>
      </c>
      <c r="AB915" s="51"/>
      <c r="AC9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11830000</v>
      </c>
      <c r="AE915" s="4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915" s="51">
        <f>IF(OR(NOTA[[#This Row],[QTY]]="",NOTA[[#This Row],[HARGA SATUAN]]="",),"",NOTA[[#This Row],[QTY]]*NOTA[[#This Row],[HARGA SATUAN]])</f>
        <v>2350000</v>
      </c>
      <c r="AG915" s="40">
        <f ca="1">IF(NOTA[ID_H]="","",INDEX(NOTA[TANGGAL],MATCH(,INDIRECT(ADDRESS(ROW(NOTA[TANGGAL]),COLUMN(NOTA[TANGGAL]))&amp;":"&amp;ADDRESS(ROW(),COLUMN(NOTA[TANGGAL]))),-1)))</f>
        <v>45141</v>
      </c>
      <c r="AH915" s="42" t="str">
        <f ca="1">IF(NOTA[[#This Row],[NAMA BARANG]]="","",INDEX(NOTA[SUPPLIER],MATCH(,INDIRECT(ADDRESS(ROW(NOTA[ID]),COLUMN(NOTA[ID]))&amp;":"&amp;ADDRESS(ROW(),COLUMN(NOTA[ID]))),-1)))</f>
        <v>ETJ</v>
      </c>
      <c r="AI915" s="42" t="str">
        <f ca="1">IF(NOTA[[#This Row],[ID_H]]="","",IF(NOTA[[#This Row],[FAKTUR]]="",INDIRECT(ADDRESS(ROW()-1,COLUMN())),NOTA[[#This Row],[FAKTUR]]))</f>
        <v>UNTANA</v>
      </c>
      <c r="AJ915" s="39" t="str">
        <f ca="1">IF(NOTA[[#This Row],[ID]]="","",COUNTIF(NOTA[ID_H],NOTA[[#This Row],[ID_H]]))</f>
        <v/>
      </c>
      <c r="AK915" s="39">
        <f ca="1">IF(NOTA[[#This Row],[TGL.NOTA]]="",IF(NOTA[[#This Row],[SUPPLIER_H]]="","",AK914),MONTH(NOTA[[#This Row],[TGL.NOTA]]))</f>
        <v>8</v>
      </c>
      <c r="AL915" s="39" t="str">
        <f>LOWER(SUBSTITUTE(SUBSTITUTE(SUBSTITUTE(SUBSTITUTE(SUBSTITUTE(SUBSTITUTE(SUBSTITUTE(SUBSTITUTE(SUBSTITUTE(NOTA[NAMA BARANG]," ",),".",""),"-",""),"(",""),")",""),",",""),"/",""),"""",""),"+",""))</f>
        <v>dust254</v>
      </c>
      <c r="AM9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N9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O9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39" t="str">
        <f>IF(NOTA[[#This Row],[CONCAT4]]="","",_xlfn.IFNA(MATCH(NOTA[[#This Row],[CONCAT4]],[2]!RAW[CONCAT_H],0),FALSE))</f>
        <v/>
      </c>
      <c r="AQ915" s="39">
        <f>IF(NOTA[[#This Row],[CONCAT1]]="","",MATCH(NOTA[[#This Row],[CONCAT1]],[3]!db[NB NOTA_C],0))</f>
        <v>2370</v>
      </c>
      <c r="AR915" s="39" t="b">
        <f>IF(NOTA[[#This Row],[QTY/ CTN]]="","",TRUE)</f>
        <v>1</v>
      </c>
      <c r="AS915" s="39" t="str">
        <f ca="1">IF(NOTA[[#This Row],[ID_H]]="","",IF(NOTA[[#This Row],[Column3]]=TRUE,NOTA[[#This Row],[QTY/ CTN]],INDEX([3]!db[QTY/ CTN],NOTA[[#This Row],[//DB]])))</f>
        <v>500 ROL</v>
      </c>
      <c r="AT9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dust254500roluntana</v>
      </c>
      <c r="AU915" s="39" t="e">
        <f ca="1">IF(NOTA[[#This Row],[ID_H]]="","",MATCH(NOTA[[#This Row],[NB NOTA_C_QTY]],[4]!db[NB NOTA_C_QTY+F],0))</f>
        <v>#REF!</v>
      </c>
      <c r="AV915" s="55">
        <f ca="1">IF(NOTA[[#This Row],[NB NOTA_C_QTY]]="","",ROW()-2)</f>
        <v>913</v>
      </c>
    </row>
    <row r="916" spans="1:48" ht="20.100000000000001" customHeight="1" x14ac:dyDescent="0.25">
      <c r="A9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39" t="str">
        <f>IF(NOTA[[#This Row],[ID_P]]="","",MATCH(NOTA[[#This Row],[ID_P]],[1]!B_MSK[N_ID],0))</f>
        <v/>
      </c>
      <c r="D916" s="39" t="str">
        <f ca="1">IF(NOTA[[#This Row],[NAMA BARANG]]="","",INDEX(NOTA[ID],MATCH(,INDIRECT(ADDRESS(ROW(NOTA[ID]),COLUMN(NOTA[ID]))&amp;":"&amp;ADDRESS(ROW(),COLUMN(NOTA[ID]))),-1)))</f>
        <v/>
      </c>
      <c r="E916" s="47"/>
      <c r="H916" s="48"/>
      <c r="N916" s="39"/>
      <c r="Q916" s="43"/>
      <c r="R916" s="49"/>
      <c r="S916" s="50"/>
      <c r="U916" s="51"/>
      <c r="V916" s="46"/>
      <c r="W916" s="51" t="str">
        <f>IF(NOTA[[#This Row],[HARGA/ CTN]]="",NOTA[[#This Row],[JUMLAH_H]],NOTA[[#This Row],[HARGA/ CTN]]*IF(NOTA[[#This Row],[C]]="",0,NOTA[[#This Row],[C]]))</f>
        <v/>
      </c>
      <c r="X916" s="51" t="str">
        <f>IF(NOTA[[#This Row],[JUMLAH]]="","",NOTA[[#This Row],[JUMLAH]]*NOTA[[#This Row],[DISC 1]])</f>
        <v/>
      </c>
      <c r="Y916" s="51" t="str">
        <f>IF(NOTA[[#This Row],[JUMLAH]]="","",(NOTA[[#This Row],[JUMLAH]]-NOTA[[#This Row],[DISC 1-]])*NOTA[[#This Row],[DISC 2]])</f>
        <v/>
      </c>
      <c r="Z916" s="51" t="str">
        <f>IF(NOTA[[#This Row],[JUMLAH]]="","",NOTA[[#This Row],[DISC 1-]]+NOTA[[#This Row],[DISC 2-]])</f>
        <v/>
      </c>
      <c r="AA916" s="51" t="str">
        <f>IF(NOTA[[#This Row],[JUMLAH]]="","",NOTA[[#This Row],[JUMLAH]]-NOTA[[#This Row],[DISC]])</f>
        <v/>
      </c>
      <c r="AB916" s="51"/>
      <c r="AC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51" t="str">
        <f>IF(OR(NOTA[[#This Row],[QTY]]="",NOTA[[#This Row],[HARGA SATUAN]]="",),"",NOTA[[#This Row],[QTY]]*NOTA[[#This Row],[HARGA SATUAN]])</f>
        <v/>
      </c>
      <c r="AG916" s="40" t="str">
        <f ca="1">IF(NOTA[ID_H]="","",INDEX(NOTA[TANGGAL],MATCH(,INDIRECT(ADDRESS(ROW(NOTA[TANGGAL]),COLUMN(NOTA[TANGGAL]))&amp;":"&amp;ADDRESS(ROW(),COLUMN(NOTA[TANGGAL]))),-1)))</f>
        <v/>
      </c>
      <c r="AH916" s="42" t="str">
        <f ca="1">IF(NOTA[[#This Row],[NAMA BARANG]]="","",INDEX(NOTA[SUPPLIER],MATCH(,INDIRECT(ADDRESS(ROW(NOTA[ID]),COLUMN(NOTA[ID]))&amp;":"&amp;ADDRESS(ROW(),COLUMN(NOTA[ID]))),-1)))</f>
        <v/>
      </c>
      <c r="AI916" s="42" t="str">
        <f ca="1">IF(NOTA[[#This Row],[ID_H]]="","",IF(NOTA[[#This Row],[FAKTUR]]="",INDIRECT(ADDRESS(ROW()-1,COLUMN())),NOTA[[#This Row],[FAKTUR]]))</f>
        <v/>
      </c>
      <c r="AJ916" s="39" t="str">
        <f ca="1">IF(NOTA[[#This Row],[ID]]="","",COUNTIF(NOTA[ID_H],NOTA[[#This Row],[ID_H]]))</f>
        <v/>
      </c>
      <c r="AK916" s="39" t="str">
        <f ca="1">IF(NOTA[[#This Row],[TGL.NOTA]]="",IF(NOTA[[#This Row],[SUPPLIER_H]]="","",AK915),MONTH(NOTA[[#This Row],[TGL.NOTA]]))</f>
        <v/>
      </c>
      <c r="AL916" s="39" t="str">
        <f>LOWER(SUBSTITUTE(SUBSTITUTE(SUBSTITUTE(SUBSTITUTE(SUBSTITUTE(SUBSTITUTE(SUBSTITUTE(SUBSTITUTE(SUBSTITUTE(NOTA[NAMA BARANG]," ",),".",""),"-",""),"(",""),")",""),",",""),"/",""),"""",""),"+",""))</f>
        <v/>
      </c>
      <c r="AM9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39" t="str">
        <f>IF(NOTA[[#This Row],[CONCAT4]]="","",_xlfn.IFNA(MATCH(NOTA[[#This Row],[CONCAT4]],[2]!RAW[CONCAT_H],0),FALSE))</f>
        <v/>
      </c>
      <c r="AQ916" s="39" t="str">
        <f>IF(NOTA[[#This Row],[CONCAT1]]="","",MATCH(NOTA[[#This Row],[CONCAT1]],[3]!db[NB NOTA_C],0))</f>
        <v/>
      </c>
      <c r="AR916" s="39" t="str">
        <f>IF(NOTA[[#This Row],[QTY/ CTN]]="","",TRUE)</f>
        <v/>
      </c>
      <c r="AS916" s="39" t="str">
        <f ca="1">IF(NOTA[[#This Row],[ID_H]]="","",IF(NOTA[[#This Row],[Column3]]=TRUE,NOTA[[#This Row],[QTY/ CTN]],INDEX([3]!db[QTY/ CTN],NOTA[[#This Row],[//DB]])))</f>
        <v/>
      </c>
      <c r="AT9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39" t="str">
        <f ca="1">IF(NOTA[[#This Row],[ID_H]]="","",MATCH(NOTA[[#This Row],[NB NOTA_C_QTY]],[4]!db[NB NOTA_C_QTY+F],0))</f>
        <v/>
      </c>
      <c r="AV916" s="55" t="str">
        <f ca="1">IF(NOTA[[#This Row],[NB NOTA_C_QTY]]="","",ROW()-2)</f>
        <v/>
      </c>
    </row>
    <row r="917" spans="1:48" ht="20.100000000000001" customHeight="1" x14ac:dyDescent="0.25">
      <c r="A917" s="4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GRA_0308_-4</v>
      </c>
      <c r="C917" s="39" t="e">
        <f ca="1">IF(NOTA[[#This Row],[ID_P]]="","",MATCH(NOTA[[#This Row],[ID_P]],[1]!B_MSK[N_ID],0))</f>
        <v>#REF!</v>
      </c>
      <c r="D917" s="39">
        <f ca="1">IF(NOTA[[#This Row],[NAMA BARANG]]="","",INDEX(NOTA[ID],MATCH(,INDIRECT(ADDRESS(ROW(NOTA[ID]),COLUMN(NOTA[ID]))&amp;":"&amp;ADDRESS(ROW(),COLUMN(NOTA[ID]))),-1)))</f>
        <v>173</v>
      </c>
      <c r="E917" s="47"/>
      <c r="F917" s="38" t="s">
        <v>204</v>
      </c>
      <c r="G917" s="38" t="s">
        <v>145</v>
      </c>
      <c r="H917" s="48"/>
      <c r="J917" s="40">
        <v>45139</v>
      </c>
      <c r="L917" s="38" t="s">
        <v>978</v>
      </c>
      <c r="M917" s="41">
        <f>3312/144</f>
        <v>23</v>
      </c>
      <c r="N917" s="39">
        <v>3312</v>
      </c>
      <c r="O917" s="38" t="s">
        <v>152</v>
      </c>
      <c r="P917" s="42">
        <v>9750</v>
      </c>
      <c r="Q917" s="43"/>
      <c r="R917" s="49" t="s">
        <v>538</v>
      </c>
      <c r="S917" s="50"/>
      <c r="U917" s="51"/>
      <c r="V917" s="46"/>
      <c r="W917" s="51">
        <f>IF(NOTA[[#This Row],[HARGA/ CTN]]="",NOTA[[#This Row],[JUMLAH_H]],NOTA[[#This Row],[HARGA/ CTN]]*IF(NOTA[[#This Row],[C]]="",0,NOTA[[#This Row],[C]]))</f>
        <v>32292000</v>
      </c>
      <c r="X917" s="51">
        <f>IF(NOTA[[#This Row],[JUMLAH]]="","",NOTA[[#This Row],[JUMLAH]]*NOTA[[#This Row],[DISC 1]])</f>
        <v>0</v>
      </c>
      <c r="Y917" s="51">
        <f>IF(NOTA[[#This Row],[JUMLAH]]="","",(NOTA[[#This Row],[JUMLAH]]-NOTA[[#This Row],[DISC 1-]])*NOTA[[#This Row],[DISC 2]])</f>
        <v>0</v>
      </c>
      <c r="Z917" s="51">
        <f>IF(NOTA[[#This Row],[JUMLAH]]="","",NOTA[[#This Row],[DISC 1-]]+NOTA[[#This Row],[DISC 2-]])</f>
        <v>0</v>
      </c>
      <c r="AA917" s="51">
        <f>IF(NOTA[[#This Row],[JUMLAH]]="","",NOTA[[#This Row],[JUMLAH]]-NOTA[[#This Row],[DISC]])</f>
        <v>32292000</v>
      </c>
      <c r="AB917" s="51"/>
      <c r="AC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917" s="51">
        <f>IF(OR(NOTA[[#This Row],[QTY]]="",NOTA[[#This Row],[HARGA SATUAN]]="",),"",NOTA[[#This Row],[QTY]]*NOTA[[#This Row],[HARGA SATUAN]])</f>
        <v>32292000</v>
      </c>
      <c r="AG917" s="40">
        <f ca="1">IF(NOTA[ID_H]="","",INDEX(NOTA[TANGGAL],MATCH(,INDIRECT(ADDRESS(ROW(NOTA[TANGGAL]),COLUMN(NOTA[TANGGAL]))&amp;":"&amp;ADDRESS(ROW(),COLUMN(NOTA[TANGGAL]))),-1)))</f>
        <v>45141</v>
      </c>
      <c r="AH917" s="42" t="str">
        <f ca="1">IF(NOTA[[#This Row],[NAMA BARANG]]="","",INDEX(NOTA[SUPPLIER],MATCH(,INDIRECT(ADDRESS(ROW(NOTA[ID]),COLUMN(NOTA[ID]))&amp;":"&amp;ADDRESS(ROW(),COLUMN(NOTA[ID]))),-1)))</f>
        <v>GRAFINDO</v>
      </c>
      <c r="AI917" s="42" t="str">
        <f ca="1">IF(NOTA[[#This Row],[ID_H]]="","",IF(NOTA[[#This Row],[FAKTUR]]="",INDIRECT(ADDRESS(ROW()-1,COLUMN())),NOTA[[#This Row],[FAKTUR]]))</f>
        <v>UNTANA</v>
      </c>
      <c r="AJ917" s="39">
        <f ca="1">IF(NOTA[[#This Row],[ID]]="","",COUNTIF(NOTA[ID_H],NOTA[[#This Row],[ID_H]]))</f>
        <v>4</v>
      </c>
      <c r="AK917" s="39">
        <f>IF(NOTA[[#This Row],[TGL.NOTA]]="",IF(NOTA[[#This Row],[SUPPLIER_H]]="","",AK916),MONTH(NOTA[[#This Row],[TGL.NOTA]]))</f>
        <v>8</v>
      </c>
      <c r="AL917" s="39" t="str">
        <f>LOWER(SUBSTITUTE(SUBSTITUTE(SUBSTITUTE(SUBSTITUTE(SUBSTITUTE(SUBSTITUTE(SUBSTITUTE(SUBSTITUTE(SUBSTITUTE(NOTA[NAMA BARANG]," ",),".",""),"-",""),"(",""),")",""),",",""),"/",""),"""",""),"+",""))</f>
        <v>gelpenodomeigp9933</v>
      </c>
      <c r="AM9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gelpenodomeigp99331404000</v>
      </c>
      <c r="AN9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gelpenodomeigp99331404000</v>
      </c>
      <c r="AO917" s="39" t="str">
        <f>IF(NOTA[[#This Row],[SUPPLIER]]="","",NOTA[[#This Row],[SUPPLIER]]&amp;NOTA[[#This Row],[FAKTUR]]&amp;NOTA[[#This Row],[NO.NOTA]]&amp;NOTA[[#This Row],[NO.SJ]]&amp;NOTA[[#This Row],[TGL.NOTA]]&amp;NOTA[[#This Row],[CONCAT1]])</f>
        <v>GRAFINDOUNTANA45139gelpenodomeigp9933</v>
      </c>
      <c r="AP917" s="39" t="e">
        <f>IF(NOTA[[#This Row],[CONCAT4]]="","",_xlfn.IFNA(MATCH(NOTA[[#This Row],[CONCAT4]],[2]!RAW[CONCAT_H],0),FALSE))</f>
        <v>#REF!</v>
      </c>
      <c r="AQ917" s="39">
        <f>IF(NOTA[[#This Row],[CONCAT1]]="","",MATCH(NOTA[[#This Row],[CONCAT1]],[3]!db[NB NOTA_C],0))</f>
        <v>682</v>
      </c>
      <c r="AR917" s="39" t="b">
        <f>IF(NOTA[[#This Row],[QTY/ CTN]]="","",TRUE)</f>
        <v>1</v>
      </c>
      <c r="AS917" s="39" t="str">
        <f ca="1">IF(NOTA[[#This Row],[ID_H]]="","",IF(NOTA[[#This Row],[Column3]]=TRUE,NOTA[[#This Row],[QTY/ CTN]],INDEX([3]!db[QTY/ CTN],NOTA[[#This Row],[//DB]])))</f>
        <v>144 LSN</v>
      </c>
      <c r="AT9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gelpenodomeigp9933144lsnuntana</v>
      </c>
      <c r="AU917" s="39" t="e">
        <f ca="1">IF(NOTA[[#This Row],[ID_H]]="","",MATCH(NOTA[[#This Row],[NB NOTA_C_QTY]],[4]!db[NB NOTA_C_QTY+F],0))</f>
        <v>#REF!</v>
      </c>
      <c r="AV917" s="55">
        <f ca="1">IF(NOTA[[#This Row],[NB NOTA_C_QTY]]="","",ROW()-2)</f>
        <v>915</v>
      </c>
    </row>
    <row r="918" spans="1:48" ht="20.100000000000001" customHeight="1" x14ac:dyDescent="0.25">
      <c r="A9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39" t="str">
        <f>IF(NOTA[[#This Row],[ID_P]]="","",MATCH(NOTA[[#This Row],[ID_P]],[1]!B_MSK[N_ID],0))</f>
        <v/>
      </c>
      <c r="D918" s="39">
        <f ca="1">IF(NOTA[[#This Row],[NAMA BARANG]]="","",INDEX(NOTA[ID],MATCH(,INDIRECT(ADDRESS(ROW(NOTA[ID]),COLUMN(NOTA[ID]))&amp;":"&amp;ADDRESS(ROW(),COLUMN(NOTA[ID]))),-1)))</f>
        <v>173</v>
      </c>
      <c r="E918" s="47"/>
      <c r="H918" s="48"/>
      <c r="L918" s="38" t="s">
        <v>979</v>
      </c>
      <c r="M918" s="41">
        <v>1</v>
      </c>
      <c r="N918" s="39">
        <v>144</v>
      </c>
      <c r="O918" s="38" t="s">
        <v>152</v>
      </c>
      <c r="P918" s="42">
        <v>9750</v>
      </c>
      <c r="Q918" s="43"/>
      <c r="R918" s="49" t="s">
        <v>538</v>
      </c>
      <c r="S918" s="50"/>
      <c r="U918" s="51"/>
      <c r="V918" s="46"/>
      <c r="W918" s="51">
        <f>IF(NOTA[[#This Row],[HARGA/ CTN]]="",NOTA[[#This Row],[JUMLAH_H]],NOTA[[#This Row],[HARGA/ CTN]]*IF(NOTA[[#This Row],[C]]="",0,NOTA[[#This Row],[C]]))</f>
        <v>1404000</v>
      </c>
      <c r="X918" s="51">
        <f>IF(NOTA[[#This Row],[JUMLAH]]="","",NOTA[[#This Row],[JUMLAH]]*NOTA[[#This Row],[DISC 1]])</f>
        <v>0</v>
      </c>
      <c r="Y918" s="51">
        <f>IF(NOTA[[#This Row],[JUMLAH]]="","",(NOTA[[#This Row],[JUMLAH]]-NOTA[[#This Row],[DISC 1-]])*NOTA[[#This Row],[DISC 2]])</f>
        <v>0</v>
      </c>
      <c r="Z918" s="51">
        <f>IF(NOTA[[#This Row],[JUMLAH]]="","",NOTA[[#This Row],[DISC 1-]]+NOTA[[#This Row],[DISC 2-]])</f>
        <v>0</v>
      </c>
      <c r="AA918" s="51">
        <f>IF(NOTA[[#This Row],[JUMLAH]]="","",NOTA[[#This Row],[JUMLAH]]-NOTA[[#This Row],[DISC]])</f>
        <v>1404000</v>
      </c>
      <c r="AB918" s="51"/>
      <c r="AC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918" s="51">
        <f>IF(OR(NOTA[[#This Row],[QTY]]="",NOTA[[#This Row],[HARGA SATUAN]]="",),"",NOTA[[#This Row],[QTY]]*NOTA[[#This Row],[HARGA SATUAN]])</f>
        <v>1404000</v>
      </c>
      <c r="AG918" s="40">
        <f ca="1">IF(NOTA[ID_H]="","",INDEX(NOTA[TANGGAL],MATCH(,INDIRECT(ADDRESS(ROW(NOTA[TANGGAL]),COLUMN(NOTA[TANGGAL]))&amp;":"&amp;ADDRESS(ROW(),COLUMN(NOTA[TANGGAL]))),-1)))</f>
        <v>45141</v>
      </c>
      <c r="AH918" s="42" t="str">
        <f ca="1">IF(NOTA[[#This Row],[NAMA BARANG]]="","",INDEX(NOTA[SUPPLIER],MATCH(,INDIRECT(ADDRESS(ROW(NOTA[ID]),COLUMN(NOTA[ID]))&amp;":"&amp;ADDRESS(ROW(),COLUMN(NOTA[ID]))),-1)))</f>
        <v>GRAFINDO</v>
      </c>
      <c r="AI918" s="42" t="str">
        <f ca="1">IF(NOTA[[#This Row],[ID_H]]="","",IF(NOTA[[#This Row],[FAKTUR]]="",INDIRECT(ADDRESS(ROW()-1,COLUMN())),NOTA[[#This Row],[FAKTUR]]))</f>
        <v>UNTANA</v>
      </c>
      <c r="AJ918" s="39" t="str">
        <f ca="1">IF(NOTA[[#This Row],[ID]]="","",COUNTIF(NOTA[ID_H],NOTA[[#This Row],[ID_H]]))</f>
        <v/>
      </c>
      <c r="AK918" s="39">
        <f ca="1">IF(NOTA[[#This Row],[TGL.NOTA]]="",IF(NOTA[[#This Row],[SUPPLIER_H]]="","",AK917),MONTH(NOTA[[#This Row],[TGL.NOTA]]))</f>
        <v>8</v>
      </c>
      <c r="AL918" s="39" t="str">
        <f>LOWER(SUBSTITUTE(SUBSTITUTE(SUBSTITUTE(SUBSTITUTE(SUBSTITUTE(SUBSTITUTE(SUBSTITUTE(SUBSTITUTE(SUBSTITUTE(NOTA[NAMA BARANG]," ",),".",""),"-",""),"(",""),")",""),",",""),"/",""),"""",""),"+",""))</f>
        <v>gelpenodomeigp9905</v>
      </c>
      <c r="AM9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gelpenodomeigp99051404000</v>
      </c>
      <c r="AN9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gelpenodomeigp99051404000</v>
      </c>
      <c r="AO9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39" t="str">
        <f>IF(NOTA[[#This Row],[CONCAT4]]="","",_xlfn.IFNA(MATCH(NOTA[[#This Row],[CONCAT4]],[2]!RAW[CONCAT_H],0),FALSE))</f>
        <v/>
      </c>
      <c r="AQ918" s="39">
        <f>IF(NOTA[[#This Row],[CONCAT1]]="","",MATCH(NOTA[[#This Row],[CONCAT1]],[3]!db[NB NOTA_C],0))</f>
        <v>681</v>
      </c>
      <c r="AR918" s="39" t="b">
        <f>IF(NOTA[[#This Row],[QTY/ CTN]]="","",TRUE)</f>
        <v>1</v>
      </c>
      <c r="AS918" s="39" t="str">
        <f ca="1">IF(NOTA[[#This Row],[ID_H]]="","",IF(NOTA[[#This Row],[Column3]]=TRUE,NOTA[[#This Row],[QTY/ CTN]],INDEX([3]!db[QTY/ CTN],NOTA[[#This Row],[//DB]])))</f>
        <v>144 LSN</v>
      </c>
      <c r="AT9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gelpenodomeigp9905144lsnuntana</v>
      </c>
      <c r="AU918" s="39" t="e">
        <f ca="1">IF(NOTA[[#This Row],[ID_H]]="","",MATCH(NOTA[[#This Row],[NB NOTA_C_QTY]],[4]!db[NB NOTA_C_QTY+F],0))</f>
        <v>#REF!</v>
      </c>
      <c r="AV918" s="55">
        <f ca="1">IF(NOTA[[#This Row],[NB NOTA_C_QTY]]="","",ROW()-2)</f>
        <v>916</v>
      </c>
    </row>
    <row r="919" spans="1:48" ht="20.100000000000001" customHeight="1" x14ac:dyDescent="0.25">
      <c r="A9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39" t="str">
        <f>IF(NOTA[[#This Row],[ID_P]]="","",MATCH(NOTA[[#This Row],[ID_P]],[1]!B_MSK[N_ID],0))</f>
        <v/>
      </c>
      <c r="D919" s="39">
        <f ca="1">IF(NOTA[[#This Row],[NAMA BARANG]]="","",INDEX(NOTA[ID],MATCH(,INDIRECT(ADDRESS(ROW(NOTA[ID]),COLUMN(NOTA[ID]))&amp;":"&amp;ADDRESS(ROW(),COLUMN(NOTA[ID]))),-1)))</f>
        <v>173</v>
      </c>
      <c r="E919" s="47"/>
      <c r="H919" s="48"/>
      <c r="L919" s="38" t="s">
        <v>980</v>
      </c>
      <c r="M919" s="41">
        <v>9</v>
      </c>
      <c r="N919" s="39">
        <v>1296</v>
      </c>
      <c r="O919" s="38" t="s">
        <v>152</v>
      </c>
      <c r="P919" s="42">
        <v>9750</v>
      </c>
      <c r="Q919" s="43"/>
      <c r="R919" s="49" t="s">
        <v>538</v>
      </c>
      <c r="S919" s="50"/>
      <c r="U919" s="51"/>
      <c r="V919" s="46"/>
      <c r="W919" s="51">
        <f>IF(NOTA[[#This Row],[HARGA/ CTN]]="",NOTA[[#This Row],[JUMLAH_H]],NOTA[[#This Row],[HARGA/ CTN]]*IF(NOTA[[#This Row],[C]]="",0,NOTA[[#This Row],[C]]))</f>
        <v>12636000</v>
      </c>
      <c r="X919" s="51">
        <f>IF(NOTA[[#This Row],[JUMLAH]]="","",NOTA[[#This Row],[JUMLAH]]*NOTA[[#This Row],[DISC 1]])</f>
        <v>0</v>
      </c>
      <c r="Y919" s="51">
        <f>IF(NOTA[[#This Row],[JUMLAH]]="","",(NOTA[[#This Row],[JUMLAH]]-NOTA[[#This Row],[DISC 1-]])*NOTA[[#This Row],[DISC 2]])</f>
        <v>0</v>
      </c>
      <c r="Z919" s="51">
        <f>IF(NOTA[[#This Row],[JUMLAH]]="","",NOTA[[#This Row],[DISC 1-]]+NOTA[[#This Row],[DISC 2-]])</f>
        <v>0</v>
      </c>
      <c r="AA919" s="51">
        <f>IF(NOTA[[#This Row],[JUMLAH]]="","",NOTA[[#This Row],[JUMLAH]]-NOTA[[#This Row],[DISC]])</f>
        <v>12636000</v>
      </c>
      <c r="AB919" s="51"/>
      <c r="AC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919" s="51">
        <f>IF(OR(NOTA[[#This Row],[QTY]]="",NOTA[[#This Row],[HARGA SATUAN]]="",),"",NOTA[[#This Row],[QTY]]*NOTA[[#This Row],[HARGA SATUAN]])</f>
        <v>12636000</v>
      </c>
      <c r="AG919" s="40">
        <f ca="1">IF(NOTA[ID_H]="","",INDEX(NOTA[TANGGAL],MATCH(,INDIRECT(ADDRESS(ROW(NOTA[TANGGAL]),COLUMN(NOTA[TANGGAL]))&amp;":"&amp;ADDRESS(ROW(),COLUMN(NOTA[TANGGAL]))),-1)))</f>
        <v>45141</v>
      </c>
      <c r="AH919" s="42" t="str">
        <f ca="1">IF(NOTA[[#This Row],[NAMA BARANG]]="","",INDEX(NOTA[SUPPLIER],MATCH(,INDIRECT(ADDRESS(ROW(NOTA[ID]),COLUMN(NOTA[ID]))&amp;":"&amp;ADDRESS(ROW(),COLUMN(NOTA[ID]))),-1)))</f>
        <v>GRAFINDO</v>
      </c>
      <c r="AI919" s="42" t="str">
        <f ca="1">IF(NOTA[[#This Row],[ID_H]]="","",IF(NOTA[[#This Row],[FAKTUR]]="",INDIRECT(ADDRESS(ROW()-1,COLUMN())),NOTA[[#This Row],[FAKTUR]]))</f>
        <v>UNTANA</v>
      </c>
      <c r="AJ919" s="39" t="str">
        <f ca="1">IF(NOTA[[#This Row],[ID]]="","",COUNTIF(NOTA[ID_H],NOTA[[#This Row],[ID_H]]))</f>
        <v/>
      </c>
      <c r="AK919" s="39">
        <f ca="1">IF(NOTA[[#This Row],[TGL.NOTA]]="",IF(NOTA[[#This Row],[SUPPLIER_H]]="","",AK918),MONTH(NOTA[[#This Row],[TGL.NOTA]]))</f>
        <v>8</v>
      </c>
      <c r="AL919" s="39" t="str">
        <f>LOWER(SUBSTITUTE(SUBSTITUTE(SUBSTITUTE(SUBSTITUTE(SUBSTITUTE(SUBSTITUTE(SUBSTITUTE(SUBSTITUTE(SUBSTITUTE(NOTA[NAMA BARANG]," ",),".",""),"-",""),"(",""),")",""),",",""),"/",""),"""",""),"+",""))</f>
        <v>gelpenodomeigp9932</v>
      </c>
      <c r="AM9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gelpenodomeigp99321404000</v>
      </c>
      <c r="AN9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gelpenodomeigp99321404000</v>
      </c>
      <c r="AO9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39" t="str">
        <f>IF(NOTA[[#This Row],[CONCAT4]]="","",_xlfn.IFNA(MATCH(NOTA[[#This Row],[CONCAT4]],[2]!RAW[CONCAT_H],0),FALSE))</f>
        <v/>
      </c>
      <c r="AQ919" s="39">
        <f>IF(NOTA[[#This Row],[CONCAT1]]="","",MATCH(NOTA[[#This Row],[CONCAT1]],[3]!db[NB NOTA_C],0))</f>
        <v>683</v>
      </c>
      <c r="AR919" s="39" t="b">
        <f>IF(NOTA[[#This Row],[QTY/ CTN]]="","",TRUE)</f>
        <v>1</v>
      </c>
      <c r="AS919" s="39" t="str">
        <f ca="1">IF(NOTA[[#This Row],[ID_H]]="","",IF(NOTA[[#This Row],[Column3]]=TRUE,NOTA[[#This Row],[QTY/ CTN]],INDEX([3]!db[QTY/ CTN],NOTA[[#This Row],[//DB]])))</f>
        <v>144 LSN</v>
      </c>
      <c r="AT9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gelpenodomeigp9932144lsnuntana</v>
      </c>
      <c r="AU919" s="39" t="e">
        <f ca="1">IF(NOTA[[#This Row],[ID_H]]="","",MATCH(NOTA[[#This Row],[NB NOTA_C_QTY]],[4]!db[NB NOTA_C_QTY+F],0))</f>
        <v>#REF!</v>
      </c>
      <c r="AV919" s="55">
        <f ca="1">IF(NOTA[[#This Row],[NB NOTA_C_QTY]]="","",ROW()-2)</f>
        <v>917</v>
      </c>
    </row>
    <row r="920" spans="1:48" ht="20.100000000000001" customHeight="1" x14ac:dyDescent="0.25">
      <c r="A9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39" t="str">
        <f>IF(NOTA[[#This Row],[ID_P]]="","",MATCH(NOTA[[#This Row],[ID_P]],[1]!B_MSK[N_ID],0))</f>
        <v/>
      </c>
      <c r="D920" s="39">
        <f ca="1">IF(NOTA[[#This Row],[NAMA BARANG]]="","",INDEX(NOTA[ID],MATCH(,INDIRECT(ADDRESS(ROW(NOTA[ID]),COLUMN(NOTA[ID]))&amp;":"&amp;ADDRESS(ROW(),COLUMN(NOTA[ID]))),-1)))</f>
        <v>173</v>
      </c>
      <c r="E920" s="47"/>
      <c r="H920" s="48"/>
      <c r="L920" s="38" t="s">
        <v>980</v>
      </c>
      <c r="N920" s="39">
        <v>143</v>
      </c>
      <c r="O920" s="38" t="s">
        <v>152</v>
      </c>
      <c r="P920" s="42">
        <v>9750</v>
      </c>
      <c r="Q920" s="43"/>
      <c r="R920" s="49" t="s">
        <v>538</v>
      </c>
      <c r="S920" s="50"/>
      <c r="U920" s="51"/>
      <c r="V920" s="46"/>
      <c r="W920" s="51">
        <f>IF(NOTA[[#This Row],[HARGA/ CTN]]="",NOTA[[#This Row],[JUMLAH_H]],NOTA[[#This Row],[HARGA/ CTN]]*IF(NOTA[[#This Row],[C]]="",0,NOTA[[#This Row],[C]]))</f>
        <v>1394250</v>
      </c>
      <c r="X920" s="51">
        <f>IF(NOTA[[#This Row],[JUMLAH]]="","",NOTA[[#This Row],[JUMLAH]]*NOTA[[#This Row],[DISC 1]])</f>
        <v>0</v>
      </c>
      <c r="Y920" s="51">
        <f>IF(NOTA[[#This Row],[JUMLAH]]="","",(NOTA[[#This Row],[JUMLAH]]-NOTA[[#This Row],[DISC 1-]])*NOTA[[#This Row],[DISC 2]])</f>
        <v>0</v>
      </c>
      <c r="Z920" s="51">
        <f>IF(NOTA[[#This Row],[JUMLAH]]="","",NOTA[[#This Row],[DISC 1-]]+NOTA[[#This Row],[DISC 2-]])</f>
        <v>0</v>
      </c>
      <c r="AA920" s="51">
        <f>IF(NOTA[[#This Row],[JUMLAH]]="","",NOTA[[#This Row],[JUMLAH]]-NOTA[[#This Row],[DISC]])</f>
        <v>1394250</v>
      </c>
      <c r="AB920" s="51"/>
      <c r="AC9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47726250</v>
      </c>
      <c r="AE920" s="42">
        <f>IF(NOTA[[#This Row],[NAMA BARANG]]="","",IF(NOTA[[#This Row],[JUMLAH_H]]="",NOTA[[#This Row],[HARGA/ CTN]],NOTA[[#This Row],[QTY]]*NOTA[[#This Row],[HARGA SATUAN]]/IF(ISNUMBER(NOTA[[#This Row],[C]]),NOTA[[#This Row],[C]],1)))</f>
        <v>1394250</v>
      </c>
      <c r="AF920" s="51">
        <f>IF(OR(NOTA[[#This Row],[QTY]]="",NOTA[[#This Row],[HARGA SATUAN]]="",),"",NOTA[[#This Row],[QTY]]*NOTA[[#This Row],[HARGA SATUAN]])</f>
        <v>1394250</v>
      </c>
      <c r="AG920" s="40">
        <f ca="1">IF(NOTA[ID_H]="","",INDEX(NOTA[TANGGAL],MATCH(,INDIRECT(ADDRESS(ROW(NOTA[TANGGAL]),COLUMN(NOTA[TANGGAL]))&amp;":"&amp;ADDRESS(ROW(),COLUMN(NOTA[TANGGAL]))),-1)))</f>
        <v>45141</v>
      </c>
      <c r="AH920" s="42" t="str">
        <f ca="1">IF(NOTA[[#This Row],[NAMA BARANG]]="","",INDEX(NOTA[SUPPLIER],MATCH(,INDIRECT(ADDRESS(ROW(NOTA[ID]),COLUMN(NOTA[ID]))&amp;":"&amp;ADDRESS(ROW(),COLUMN(NOTA[ID]))),-1)))</f>
        <v>GRAFINDO</v>
      </c>
      <c r="AI920" s="42" t="str">
        <f ca="1">IF(NOTA[[#This Row],[ID_H]]="","",IF(NOTA[[#This Row],[FAKTUR]]="",INDIRECT(ADDRESS(ROW()-1,COLUMN())),NOTA[[#This Row],[FAKTUR]]))</f>
        <v>UNTANA</v>
      </c>
      <c r="AJ920" s="39" t="str">
        <f ca="1">IF(NOTA[[#This Row],[ID]]="","",COUNTIF(NOTA[ID_H],NOTA[[#This Row],[ID_H]]))</f>
        <v/>
      </c>
      <c r="AK920" s="39">
        <f ca="1">IF(NOTA[[#This Row],[TGL.NOTA]]="",IF(NOTA[[#This Row],[SUPPLIER_H]]="","",AK919),MONTH(NOTA[[#This Row],[TGL.NOTA]]))</f>
        <v>8</v>
      </c>
      <c r="AL920" s="39" t="str">
        <f>LOWER(SUBSTITUTE(SUBSTITUTE(SUBSTITUTE(SUBSTITUTE(SUBSTITUTE(SUBSTITUTE(SUBSTITUTE(SUBSTITUTE(SUBSTITUTE(NOTA[NAMA BARANG]," ",),".",""),"-",""),"(",""),")",""),",",""),"/",""),"""",""),"+",""))</f>
        <v>gelpenodomeigp9932</v>
      </c>
      <c r="AM9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gelpenodomeigp99321394250</v>
      </c>
      <c r="AN9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gelpenodomeigp99329750</v>
      </c>
      <c r="AO9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39" t="str">
        <f>IF(NOTA[[#This Row],[CONCAT4]]="","",_xlfn.IFNA(MATCH(NOTA[[#This Row],[CONCAT4]],[2]!RAW[CONCAT_H],0),FALSE))</f>
        <v/>
      </c>
      <c r="AQ920" s="39">
        <f>IF(NOTA[[#This Row],[CONCAT1]]="","",MATCH(NOTA[[#This Row],[CONCAT1]],[3]!db[NB NOTA_C],0))</f>
        <v>683</v>
      </c>
      <c r="AR920" s="39" t="b">
        <f>IF(NOTA[[#This Row],[QTY/ CTN]]="","",TRUE)</f>
        <v>1</v>
      </c>
      <c r="AS920" s="39" t="str">
        <f ca="1">IF(NOTA[[#This Row],[ID_H]]="","",IF(NOTA[[#This Row],[Column3]]=TRUE,NOTA[[#This Row],[QTY/ CTN]],INDEX([3]!db[QTY/ CTN],NOTA[[#This Row],[//DB]])))</f>
        <v>144 LSN</v>
      </c>
      <c r="AT9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gelpenodomeigp9932144lsnuntana</v>
      </c>
      <c r="AU920" s="39" t="e">
        <f ca="1">IF(NOTA[[#This Row],[ID_H]]="","",MATCH(NOTA[[#This Row],[NB NOTA_C_QTY]],[4]!db[NB NOTA_C_QTY+F],0))</f>
        <v>#REF!</v>
      </c>
      <c r="AV920" s="55">
        <f ca="1">IF(NOTA[[#This Row],[NB NOTA_C_QTY]]="","",ROW()-2)</f>
        <v>918</v>
      </c>
    </row>
    <row r="921" spans="1:48" ht="20.100000000000001" customHeight="1" x14ac:dyDescent="0.25">
      <c r="A9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39" t="str">
        <f>IF(NOTA[[#This Row],[ID_P]]="","",MATCH(NOTA[[#This Row],[ID_P]],[1]!B_MSK[N_ID],0))</f>
        <v/>
      </c>
      <c r="D921" s="39" t="str">
        <f ca="1">IF(NOTA[[#This Row],[NAMA BARANG]]="","",INDEX(NOTA[ID],MATCH(,INDIRECT(ADDRESS(ROW(NOTA[ID]),COLUMN(NOTA[ID]))&amp;":"&amp;ADDRESS(ROW(),COLUMN(NOTA[ID]))),-1)))</f>
        <v/>
      </c>
      <c r="E921" s="47"/>
      <c r="H921" s="48"/>
      <c r="N921" s="39"/>
      <c r="Q921" s="43"/>
      <c r="R921" s="49"/>
      <c r="S921" s="50"/>
      <c r="U921" s="51"/>
      <c r="V921" s="46"/>
      <c r="W921" s="51" t="str">
        <f>IF(NOTA[[#This Row],[HARGA/ CTN]]="",NOTA[[#This Row],[JUMLAH_H]],NOTA[[#This Row],[HARGA/ CTN]]*IF(NOTA[[#This Row],[C]]="",0,NOTA[[#This Row],[C]]))</f>
        <v/>
      </c>
      <c r="X921" s="51" t="str">
        <f>IF(NOTA[[#This Row],[JUMLAH]]="","",NOTA[[#This Row],[JUMLAH]]*NOTA[[#This Row],[DISC 1]])</f>
        <v/>
      </c>
      <c r="Y921" s="51" t="str">
        <f>IF(NOTA[[#This Row],[JUMLAH]]="","",(NOTA[[#This Row],[JUMLAH]]-NOTA[[#This Row],[DISC 1-]])*NOTA[[#This Row],[DISC 2]])</f>
        <v/>
      </c>
      <c r="Z921" s="51" t="str">
        <f>IF(NOTA[[#This Row],[JUMLAH]]="","",NOTA[[#This Row],[DISC 1-]]+NOTA[[#This Row],[DISC 2-]])</f>
        <v/>
      </c>
      <c r="AA921" s="51" t="str">
        <f>IF(NOTA[[#This Row],[JUMLAH]]="","",NOTA[[#This Row],[JUMLAH]]-NOTA[[#This Row],[DISC]])</f>
        <v/>
      </c>
      <c r="AB921" s="51"/>
      <c r="AC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51" t="str">
        <f>IF(OR(NOTA[[#This Row],[QTY]]="",NOTA[[#This Row],[HARGA SATUAN]]="",),"",NOTA[[#This Row],[QTY]]*NOTA[[#This Row],[HARGA SATUAN]])</f>
        <v/>
      </c>
      <c r="AG921" s="40" t="str">
        <f ca="1">IF(NOTA[ID_H]="","",INDEX(NOTA[TANGGAL],MATCH(,INDIRECT(ADDRESS(ROW(NOTA[TANGGAL]),COLUMN(NOTA[TANGGAL]))&amp;":"&amp;ADDRESS(ROW(),COLUMN(NOTA[TANGGAL]))),-1)))</f>
        <v/>
      </c>
      <c r="AH921" s="42" t="str">
        <f ca="1">IF(NOTA[[#This Row],[NAMA BARANG]]="","",INDEX(NOTA[SUPPLIER],MATCH(,INDIRECT(ADDRESS(ROW(NOTA[ID]),COLUMN(NOTA[ID]))&amp;":"&amp;ADDRESS(ROW(),COLUMN(NOTA[ID]))),-1)))</f>
        <v/>
      </c>
      <c r="AI921" s="42" t="str">
        <f ca="1">IF(NOTA[[#This Row],[ID_H]]="","",IF(NOTA[[#This Row],[FAKTUR]]="",INDIRECT(ADDRESS(ROW()-1,COLUMN())),NOTA[[#This Row],[FAKTUR]]))</f>
        <v/>
      </c>
      <c r="AJ921" s="39" t="str">
        <f ca="1">IF(NOTA[[#This Row],[ID]]="","",COUNTIF(NOTA[ID_H],NOTA[[#This Row],[ID_H]]))</f>
        <v/>
      </c>
      <c r="AK921" s="39" t="str">
        <f ca="1">IF(NOTA[[#This Row],[TGL.NOTA]]="",IF(NOTA[[#This Row],[SUPPLIER_H]]="","",AK920),MONTH(NOTA[[#This Row],[TGL.NOTA]]))</f>
        <v/>
      </c>
      <c r="AL921" s="39" t="str">
        <f>LOWER(SUBSTITUTE(SUBSTITUTE(SUBSTITUTE(SUBSTITUTE(SUBSTITUTE(SUBSTITUTE(SUBSTITUTE(SUBSTITUTE(SUBSTITUTE(NOTA[NAMA BARANG]," ",),".",""),"-",""),"(",""),")",""),",",""),"/",""),"""",""),"+",""))</f>
        <v/>
      </c>
      <c r="AM9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39" t="str">
        <f>IF(NOTA[[#This Row],[CONCAT4]]="","",_xlfn.IFNA(MATCH(NOTA[[#This Row],[CONCAT4]],[2]!RAW[CONCAT_H],0),FALSE))</f>
        <v/>
      </c>
      <c r="AQ921" s="39" t="str">
        <f>IF(NOTA[[#This Row],[CONCAT1]]="","",MATCH(NOTA[[#This Row],[CONCAT1]],[3]!db[NB NOTA_C],0))</f>
        <v/>
      </c>
      <c r="AR921" s="39" t="str">
        <f>IF(NOTA[[#This Row],[QTY/ CTN]]="","",TRUE)</f>
        <v/>
      </c>
      <c r="AS921" s="39" t="str">
        <f ca="1">IF(NOTA[[#This Row],[ID_H]]="","",IF(NOTA[[#This Row],[Column3]]=TRUE,NOTA[[#This Row],[QTY/ CTN]],INDEX([3]!db[QTY/ CTN],NOTA[[#This Row],[//DB]])))</f>
        <v/>
      </c>
      <c r="AT9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39" t="str">
        <f ca="1">IF(NOTA[[#This Row],[ID_H]]="","",MATCH(NOTA[[#This Row],[NB NOTA_C_QTY]],[4]!db[NB NOTA_C_QTY+F],0))</f>
        <v/>
      </c>
      <c r="AV921" s="55" t="str">
        <f ca="1">IF(NOTA[[#This Row],[NB NOTA_C_QTY]]="","",ROW()-2)</f>
        <v/>
      </c>
    </row>
    <row r="922" spans="1:48" ht="20.100000000000001" customHeight="1" x14ac:dyDescent="0.25">
      <c r="A922" s="4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SUR_0408_006-8</v>
      </c>
      <c r="C922" s="39" t="e">
        <f ca="1">IF(NOTA[[#This Row],[ID_P]]="","",MATCH(NOTA[[#This Row],[ID_P]],[1]!B_MSK[N_ID],0))</f>
        <v>#REF!</v>
      </c>
      <c r="D922" s="39">
        <f ca="1">IF(NOTA[[#This Row],[NAMA BARANG]]="","",INDEX(NOTA[ID],MATCH(,INDIRECT(ADDRESS(ROW(NOTA[ID]),COLUMN(NOTA[ID]))&amp;":"&amp;ADDRESS(ROW(),COLUMN(NOTA[ID]))),-1)))</f>
        <v>174</v>
      </c>
      <c r="E922" s="47">
        <v>45142</v>
      </c>
      <c r="F922" s="38" t="s">
        <v>215</v>
      </c>
      <c r="G922" s="38" t="s">
        <v>145</v>
      </c>
      <c r="H922" s="48" t="s">
        <v>981</v>
      </c>
      <c r="J922" s="40">
        <v>45139</v>
      </c>
      <c r="L922" s="38" t="s">
        <v>982</v>
      </c>
      <c r="M922" s="41">
        <v>7</v>
      </c>
      <c r="N922" s="39">
        <f>240*7</f>
        <v>1680</v>
      </c>
      <c r="O922" s="38" t="s">
        <v>117</v>
      </c>
      <c r="P922" s="42">
        <v>5300</v>
      </c>
      <c r="Q922" s="43"/>
      <c r="R922" s="49" t="s">
        <v>259</v>
      </c>
      <c r="S922" s="50"/>
      <c r="U922" s="51"/>
      <c r="V922" s="46"/>
      <c r="W922" s="51">
        <f>IF(NOTA[[#This Row],[HARGA/ CTN]]="",NOTA[[#This Row],[JUMLAH_H]],NOTA[[#This Row],[HARGA/ CTN]]*IF(NOTA[[#This Row],[C]]="",0,NOTA[[#This Row],[C]]))</f>
        <v>8904000</v>
      </c>
      <c r="X922" s="51">
        <f>IF(NOTA[[#This Row],[JUMLAH]]="","",NOTA[[#This Row],[JUMLAH]]*NOTA[[#This Row],[DISC 1]])</f>
        <v>0</v>
      </c>
      <c r="Y922" s="51">
        <f>IF(NOTA[[#This Row],[JUMLAH]]="","",(NOTA[[#This Row],[JUMLAH]]-NOTA[[#This Row],[DISC 1-]])*NOTA[[#This Row],[DISC 2]])</f>
        <v>0</v>
      </c>
      <c r="Z922" s="51">
        <f>IF(NOTA[[#This Row],[JUMLAH]]="","",NOTA[[#This Row],[DISC 1-]]+NOTA[[#This Row],[DISC 2-]])</f>
        <v>0</v>
      </c>
      <c r="AA922" s="51">
        <f>IF(NOTA[[#This Row],[JUMLAH]]="","",NOTA[[#This Row],[JUMLAH]]-NOTA[[#This Row],[DISC]])</f>
        <v>8904000</v>
      </c>
      <c r="AB922" s="51"/>
      <c r="AC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2" s="51">
        <f>IF(OR(NOTA[[#This Row],[QTY]]="",NOTA[[#This Row],[HARGA SATUAN]]="",),"",NOTA[[#This Row],[QTY]]*NOTA[[#This Row],[HARGA SATUAN]])</f>
        <v>8904000</v>
      </c>
      <c r="AG922" s="40">
        <f ca="1">IF(NOTA[ID_H]="","",INDEX(NOTA[TANGGAL],MATCH(,INDIRECT(ADDRESS(ROW(NOTA[TANGGAL]),COLUMN(NOTA[TANGGAL]))&amp;":"&amp;ADDRESS(ROW(),COLUMN(NOTA[TANGGAL]))),-1)))</f>
        <v>45142</v>
      </c>
      <c r="AH922" s="42" t="str">
        <f ca="1">IF(NOTA[[#This Row],[NAMA BARANG]]="","",INDEX(NOTA[SUPPLIER],MATCH(,INDIRECT(ADDRESS(ROW(NOTA[ID]),COLUMN(NOTA[ID]))&amp;":"&amp;ADDRESS(ROW(),COLUMN(NOTA[ID]))),-1)))</f>
        <v>SURYA PRATAMA</v>
      </c>
      <c r="AI922" s="42" t="str">
        <f ca="1">IF(NOTA[[#This Row],[ID_H]]="","",IF(NOTA[[#This Row],[FAKTUR]]="",INDIRECT(ADDRESS(ROW()-1,COLUMN())),NOTA[[#This Row],[FAKTUR]]))</f>
        <v>UNTANA</v>
      </c>
      <c r="AJ922" s="39">
        <f ca="1">IF(NOTA[[#This Row],[ID]]="","",COUNTIF(NOTA[ID_H],NOTA[[#This Row],[ID_H]]))</f>
        <v>8</v>
      </c>
      <c r="AK922" s="39">
        <f>IF(NOTA[[#This Row],[TGL.NOTA]]="",IF(NOTA[[#This Row],[SUPPLIER_H]]="","",AK921),MONTH(NOTA[[#This Row],[TGL.NOTA]]))</f>
        <v>8</v>
      </c>
      <c r="AL922" s="39" t="str">
        <f>LOWER(SUBSTITUTE(SUBSTITUTE(SUBSTITUTE(SUBSTITUTE(SUBSTITUTE(SUBSTITUTE(SUBSTITUTE(SUBSTITUTE(SUBSTITUTE(NOTA[NAMA BARANG]," ",),".",""),"-",""),"(",""),")",""),",",""),"/",""),"""",""),"+",""))</f>
        <v>refilgeles220bts</v>
      </c>
      <c r="AM9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refilgeles220bts1272000</v>
      </c>
      <c r="AN9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refilgeles220bts1272000</v>
      </c>
      <c r="AO922" s="39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PRATAMAUNTANAF23HP00000645139refilgeles220bts</v>
      </c>
      <c r="AP922" s="39" t="e">
        <f>IF(NOTA[[#This Row],[CONCAT4]]="","",_xlfn.IFNA(MATCH(NOTA[[#This Row],[CONCAT4]],[2]!RAW[CONCAT_H],0),FALSE))</f>
        <v>#REF!</v>
      </c>
      <c r="AQ922" s="39">
        <f>IF(NOTA[[#This Row],[CONCAT1]]="","",MATCH(NOTA[[#This Row],[CONCAT1]],[3]!db[NB NOTA_C],0))</f>
        <v>2353</v>
      </c>
      <c r="AR922" s="39" t="b">
        <f>IF(NOTA[[#This Row],[QTY/ CTN]]="","",TRUE)</f>
        <v>1</v>
      </c>
      <c r="AS922" s="39" t="str">
        <f ca="1">IF(NOTA[[#This Row],[ID_H]]="","",IF(NOTA[[#This Row],[Column3]]=TRUE,NOTA[[#This Row],[QTY/ CTN]],INDEX([3]!db[QTY/ CTN],NOTA[[#This Row],[//DB]])))</f>
        <v>240 PCS</v>
      </c>
      <c r="AT9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refilgeles220bts240pcsuntana</v>
      </c>
      <c r="AU922" s="39" t="e">
        <f ca="1">IF(NOTA[[#This Row],[ID_H]]="","",MATCH(NOTA[[#This Row],[NB NOTA_C_QTY]],[4]!db[NB NOTA_C_QTY+F],0))</f>
        <v>#REF!</v>
      </c>
      <c r="AV922" s="55">
        <f ca="1">IF(NOTA[[#This Row],[NB NOTA_C_QTY]]="","",ROW()-2)</f>
        <v>920</v>
      </c>
    </row>
    <row r="923" spans="1:48" ht="20.100000000000001" customHeight="1" x14ac:dyDescent="0.25">
      <c r="A9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39" t="str">
        <f>IF(NOTA[[#This Row],[ID_P]]="","",MATCH(NOTA[[#This Row],[ID_P]],[1]!B_MSK[N_ID],0))</f>
        <v/>
      </c>
      <c r="D923" s="39">
        <f ca="1">IF(NOTA[[#This Row],[NAMA BARANG]]="","",INDEX(NOTA[ID],MATCH(,INDIRECT(ADDRESS(ROW(NOTA[ID]),COLUMN(NOTA[ID]))&amp;":"&amp;ADDRESS(ROW(),COLUMN(NOTA[ID]))),-1)))</f>
        <v>174</v>
      </c>
      <c r="E923" s="47"/>
      <c r="H923" s="48"/>
      <c r="L923" s="38" t="s">
        <v>983</v>
      </c>
      <c r="M923" s="41">
        <v>7</v>
      </c>
      <c r="N923" s="39">
        <v>1680</v>
      </c>
      <c r="O923" s="38" t="s">
        <v>117</v>
      </c>
      <c r="P923" s="42">
        <v>5300</v>
      </c>
      <c r="Q923" s="43"/>
      <c r="R923" s="49" t="s">
        <v>259</v>
      </c>
      <c r="S923" s="50"/>
      <c r="U923" s="51"/>
      <c r="V923" s="46"/>
      <c r="W923" s="51">
        <f>IF(NOTA[[#This Row],[HARGA/ CTN]]="",NOTA[[#This Row],[JUMLAH_H]],NOTA[[#This Row],[HARGA/ CTN]]*IF(NOTA[[#This Row],[C]]="",0,NOTA[[#This Row],[C]]))</f>
        <v>8904000</v>
      </c>
      <c r="X923" s="51">
        <f>IF(NOTA[[#This Row],[JUMLAH]]="","",NOTA[[#This Row],[JUMLAH]]*NOTA[[#This Row],[DISC 1]])</f>
        <v>0</v>
      </c>
      <c r="Y923" s="51">
        <f>IF(NOTA[[#This Row],[JUMLAH]]="","",(NOTA[[#This Row],[JUMLAH]]-NOTA[[#This Row],[DISC 1-]])*NOTA[[#This Row],[DISC 2]])</f>
        <v>0</v>
      </c>
      <c r="Z923" s="51">
        <f>IF(NOTA[[#This Row],[JUMLAH]]="","",NOTA[[#This Row],[DISC 1-]]+NOTA[[#This Row],[DISC 2-]])</f>
        <v>0</v>
      </c>
      <c r="AA923" s="51">
        <f>IF(NOTA[[#This Row],[JUMLAH]]="","",NOTA[[#This Row],[JUMLAH]]-NOTA[[#This Row],[DISC]])</f>
        <v>8904000</v>
      </c>
      <c r="AB923" s="51"/>
      <c r="AC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3" s="51">
        <f>IF(OR(NOTA[[#This Row],[QTY]]="",NOTA[[#This Row],[HARGA SATUAN]]="",),"",NOTA[[#This Row],[QTY]]*NOTA[[#This Row],[HARGA SATUAN]])</f>
        <v>8904000</v>
      </c>
      <c r="AG923" s="40">
        <f ca="1">IF(NOTA[ID_H]="","",INDEX(NOTA[TANGGAL],MATCH(,INDIRECT(ADDRESS(ROW(NOTA[TANGGAL]),COLUMN(NOTA[TANGGAL]))&amp;":"&amp;ADDRESS(ROW(),COLUMN(NOTA[TANGGAL]))),-1)))</f>
        <v>45142</v>
      </c>
      <c r="AH923" s="42" t="str">
        <f ca="1">IF(NOTA[[#This Row],[NAMA BARANG]]="","",INDEX(NOTA[SUPPLIER],MATCH(,INDIRECT(ADDRESS(ROW(NOTA[ID]),COLUMN(NOTA[ID]))&amp;":"&amp;ADDRESS(ROW(),COLUMN(NOTA[ID]))),-1)))</f>
        <v>SURYA PRATAMA</v>
      </c>
      <c r="AI923" s="42" t="str">
        <f ca="1">IF(NOTA[[#This Row],[ID_H]]="","",IF(NOTA[[#This Row],[FAKTUR]]="",INDIRECT(ADDRESS(ROW()-1,COLUMN())),NOTA[[#This Row],[FAKTUR]]))</f>
        <v>UNTANA</v>
      </c>
      <c r="AJ923" s="39" t="str">
        <f ca="1">IF(NOTA[[#This Row],[ID]]="","",COUNTIF(NOTA[ID_H],NOTA[[#This Row],[ID_H]]))</f>
        <v/>
      </c>
      <c r="AK923" s="39">
        <f ca="1">IF(NOTA[[#This Row],[TGL.NOTA]]="",IF(NOTA[[#This Row],[SUPPLIER_H]]="","",AK922),MONTH(NOTA[[#This Row],[TGL.NOTA]]))</f>
        <v>8</v>
      </c>
      <c r="AL923" s="39" t="str">
        <f>LOWER(SUBSTITUTE(SUBSTITUTE(SUBSTITUTE(SUBSTITUTE(SUBSTITUTE(SUBSTITUTE(SUBSTITUTE(SUBSTITUTE(SUBSTITUTE(NOTA[NAMA BARANG]," ",),".",""),"-",""),"(",""),")",""),",",""),"/",""),"""",""),"+",""))</f>
        <v>refilgeles222doraemon</v>
      </c>
      <c r="AM9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refilgeles222doraemon1272000</v>
      </c>
      <c r="AN9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refilgeles222doraemon1272000</v>
      </c>
      <c r="AO9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39" t="str">
        <f>IF(NOTA[[#This Row],[CONCAT4]]="","",_xlfn.IFNA(MATCH(NOTA[[#This Row],[CONCAT4]],[2]!RAW[CONCAT_H],0),FALSE))</f>
        <v/>
      </c>
      <c r="AQ923" s="39">
        <f>IF(NOTA[[#This Row],[CONCAT1]]="","",MATCH(NOTA[[#This Row],[CONCAT1]],[3]!db[NB NOTA_C],0))</f>
        <v>2354</v>
      </c>
      <c r="AR923" s="39" t="b">
        <f>IF(NOTA[[#This Row],[QTY/ CTN]]="","",TRUE)</f>
        <v>1</v>
      </c>
      <c r="AS923" s="39" t="str">
        <f ca="1">IF(NOTA[[#This Row],[ID_H]]="","",IF(NOTA[[#This Row],[Column3]]=TRUE,NOTA[[#This Row],[QTY/ CTN]],INDEX([3]!db[QTY/ CTN],NOTA[[#This Row],[//DB]])))</f>
        <v>240 PCS</v>
      </c>
      <c r="AT9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refilgeles222doraemon240pcsuntana</v>
      </c>
      <c r="AU923" s="39" t="e">
        <f ca="1">IF(NOTA[[#This Row],[ID_H]]="","",MATCH(NOTA[[#This Row],[NB NOTA_C_QTY]],[4]!db[NB NOTA_C_QTY+F],0))</f>
        <v>#REF!</v>
      </c>
      <c r="AV923" s="55">
        <f ca="1">IF(NOTA[[#This Row],[NB NOTA_C_QTY]]="","",ROW()-2)</f>
        <v>921</v>
      </c>
    </row>
    <row r="924" spans="1:48" ht="20.100000000000001" customHeight="1" x14ac:dyDescent="0.25">
      <c r="A9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39" t="str">
        <f>IF(NOTA[[#This Row],[ID_P]]="","",MATCH(NOTA[[#This Row],[ID_P]],[1]!B_MSK[N_ID],0))</f>
        <v/>
      </c>
      <c r="D924" s="39">
        <f ca="1">IF(NOTA[[#This Row],[NAMA BARANG]]="","",INDEX(NOTA[ID],MATCH(,INDIRECT(ADDRESS(ROW(NOTA[ID]),COLUMN(NOTA[ID]))&amp;":"&amp;ADDRESS(ROW(),COLUMN(NOTA[ID]))),-1)))</f>
        <v>174</v>
      </c>
      <c r="E924" s="47"/>
      <c r="H924" s="48"/>
      <c r="L924" s="38" t="s">
        <v>984</v>
      </c>
      <c r="M924" s="41">
        <v>7</v>
      </c>
      <c r="N924" s="39">
        <v>1680</v>
      </c>
      <c r="O924" s="38" t="s">
        <v>117</v>
      </c>
      <c r="P924" s="42">
        <v>5300</v>
      </c>
      <c r="Q924" s="43"/>
      <c r="R924" s="49" t="s">
        <v>259</v>
      </c>
      <c r="S924" s="50"/>
      <c r="U924" s="51"/>
      <c r="V924" s="46"/>
      <c r="W924" s="51">
        <f>IF(NOTA[[#This Row],[HARGA/ CTN]]="",NOTA[[#This Row],[JUMLAH_H]],NOTA[[#This Row],[HARGA/ CTN]]*IF(NOTA[[#This Row],[C]]="",0,NOTA[[#This Row],[C]]))</f>
        <v>8904000</v>
      </c>
      <c r="X924" s="51">
        <f>IF(NOTA[[#This Row],[JUMLAH]]="","",NOTA[[#This Row],[JUMLAH]]*NOTA[[#This Row],[DISC 1]])</f>
        <v>0</v>
      </c>
      <c r="Y924" s="51">
        <f>IF(NOTA[[#This Row],[JUMLAH]]="","",(NOTA[[#This Row],[JUMLAH]]-NOTA[[#This Row],[DISC 1-]])*NOTA[[#This Row],[DISC 2]])</f>
        <v>0</v>
      </c>
      <c r="Z924" s="51">
        <f>IF(NOTA[[#This Row],[JUMLAH]]="","",NOTA[[#This Row],[DISC 1-]]+NOTA[[#This Row],[DISC 2-]])</f>
        <v>0</v>
      </c>
      <c r="AA924" s="51">
        <f>IF(NOTA[[#This Row],[JUMLAH]]="","",NOTA[[#This Row],[JUMLAH]]-NOTA[[#This Row],[DISC]])</f>
        <v>8904000</v>
      </c>
      <c r="AB924" s="51"/>
      <c r="AC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4" s="51">
        <f>IF(OR(NOTA[[#This Row],[QTY]]="",NOTA[[#This Row],[HARGA SATUAN]]="",),"",NOTA[[#This Row],[QTY]]*NOTA[[#This Row],[HARGA SATUAN]])</f>
        <v>8904000</v>
      </c>
      <c r="AG924" s="40">
        <f ca="1">IF(NOTA[ID_H]="","",INDEX(NOTA[TANGGAL],MATCH(,INDIRECT(ADDRESS(ROW(NOTA[TANGGAL]),COLUMN(NOTA[TANGGAL]))&amp;":"&amp;ADDRESS(ROW(),COLUMN(NOTA[TANGGAL]))),-1)))</f>
        <v>45142</v>
      </c>
      <c r="AH924" s="42" t="str">
        <f ca="1">IF(NOTA[[#This Row],[NAMA BARANG]]="","",INDEX(NOTA[SUPPLIER],MATCH(,INDIRECT(ADDRESS(ROW(NOTA[ID]),COLUMN(NOTA[ID]))&amp;":"&amp;ADDRESS(ROW(),COLUMN(NOTA[ID]))),-1)))</f>
        <v>SURYA PRATAMA</v>
      </c>
      <c r="AI924" s="42" t="str">
        <f ca="1">IF(NOTA[[#This Row],[ID_H]]="","",IF(NOTA[[#This Row],[FAKTUR]]="",INDIRECT(ADDRESS(ROW()-1,COLUMN())),NOTA[[#This Row],[FAKTUR]]))</f>
        <v>UNTANA</v>
      </c>
      <c r="AJ924" s="39" t="str">
        <f ca="1">IF(NOTA[[#This Row],[ID]]="","",COUNTIF(NOTA[ID_H],NOTA[[#This Row],[ID_H]]))</f>
        <v/>
      </c>
      <c r="AK924" s="39">
        <f ca="1">IF(NOTA[[#This Row],[TGL.NOTA]]="",IF(NOTA[[#This Row],[SUPPLIER_H]]="","",AK923),MONTH(NOTA[[#This Row],[TGL.NOTA]]))</f>
        <v>8</v>
      </c>
      <c r="AL924" s="39" t="str">
        <f>LOWER(SUBSTITUTE(SUBSTITUTE(SUBSTITUTE(SUBSTITUTE(SUBSTITUTE(SUBSTITUTE(SUBSTITUTE(SUBSTITUTE(SUBSTITUTE(NOTA[NAMA BARANG]," ",),".",""),"-",""),"(",""),")",""),",",""),"/",""),"""",""),"+",""))</f>
        <v>refilgeles226sanrio</v>
      </c>
      <c r="AM9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refilgeles226sanrio1272000</v>
      </c>
      <c r="AN9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refilgeles226sanrio1272000</v>
      </c>
      <c r="AO9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39" t="str">
        <f>IF(NOTA[[#This Row],[CONCAT4]]="","",_xlfn.IFNA(MATCH(NOTA[[#This Row],[CONCAT4]],[2]!RAW[CONCAT_H],0),FALSE))</f>
        <v/>
      </c>
      <c r="AQ924" s="39">
        <f>IF(NOTA[[#This Row],[CONCAT1]]="","",MATCH(NOTA[[#This Row],[CONCAT1]],[3]!db[NB NOTA_C],0))</f>
        <v>2357</v>
      </c>
      <c r="AR924" s="39" t="b">
        <f>IF(NOTA[[#This Row],[QTY/ CTN]]="","",TRUE)</f>
        <v>1</v>
      </c>
      <c r="AS924" s="39" t="str">
        <f ca="1">IF(NOTA[[#This Row],[ID_H]]="","",IF(NOTA[[#This Row],[Column3]]=TRUE,NOTA[[#This Row],[QTY/ CTN]],INDEX([3]!db[QTY/ CTN],NOTA[[#This Row],[//DB]])))</f>
        <v>240 PCS</v>
      </c>
      <c r="AT9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refilgeles226sanrio240pcsuntana</v>
      </c>
      <c r="AU924" s="39" t="e">
        <f ca="1">IF(NOTA[[#This Row],[ID_H]]="","",MATCH(NOTA[[#This Row],[NB NOTA_C_QTY]],[4]!db[NB NOTA_C_QTY+F],0))</f>
        <v>#REF!</v>
      </c>
      <c r="AV924" s="55">
        <f ca="1">IF(NOTA[[#This Row],[NB NOTA_C_QTY]]="","",ROW()-2)</f>
        <v>922</v>
      </c>
    </row>
    <row r="925" spans="1:48" ht="20.100000000000001" customHeight="1" x14ac:dyDescent="0.25">
      <c r="A9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39" t="str">
        <f>IF(NOTA[[#This Row],[ID_P]]="","",MATCH(NOTA[[#This Row],[ID_P]],[1]!B_MSK[N_ID],0))</f>
        <v/>
      </c>
      <c r="D925" s="39">
        <f ca="1">IF(NOTA[[#This Row],[NAMA BARANG]]="","",INDEX(NOTA[ID],MATCH(,INDIRECT(ADDRESS(ROW(NOTA[ID]),COLUMN(NOTA[ID]))&amp;":"&amp;ADDRESS(ROW(),COLUMN(NOTA[ID]))),-1)))</f>
        <v>174</v>
      </c>
      <c r="E925" s="47"/>
      <c r="H925" s="48"/>
      <c r="L925" s="38" t="s">
        <v>985</v>
      </c>
      <c r="M925" s="41">
        <v>7</v>
      </c>
      <c r="N925" s="39">
        <v>1680</v>
      </c>
      <c r="O925" s="38" t="s">
        <v>117</v>
      </c>
      <c r="P925" s="42">
        <v>5300</v>
      </c>
      <c r="Q925" s="43"/>
      <c r="R925" s="49" t="s">
        <v>259</v>
      </c>
      <c r="S925" s="50"/>
      <c r="U925" s="51"/>
      <c r="V925" s="46"/>
      <c r="W925" s="51">
        <f>IF(NOTA[[#This Row],[HARGA/ CTN]]="",NOTA[[#This Row],[JUMLAH_H]],NOTA[[#This Row],[HARGA/ CTN]]*IF(NOTA[[#This Row],[C]]="",0,NOTA[[#This Row],[C]]))</f>
        <v>8904000</v>
      </c>
      <c r="X925" s="51">
        <f>IF(NOTA[[#This Row],[JUMLAH]]="","",NOTA[[#This Row],[JUMLAH]]*NOTA[[#This Row],[DISC 1]])</f>
        <v>0</v>
      </c>
      <c r="Y925" s="51">
        <f>IF(NOTA[[#This Row],[JUMLAH]]="","",(NOTA[[#This Row],[JUMLAH]]-NOTA[[#This Row],[DISC 1-]])*NOTA[[#This Row],[DISC 2]])</f>
        <v>0</v>
      </c>
      <c r="Z925" s="51">
        <f>IF(NOTA[[#This Row],[JUMLAH]]="","",NOTA[[#This Row],[DISC 1-]]+NOTA[[#This Row],[DISC 2-]])</f>
        <v>0</v>
      </c>
      <c r="AA925" s="51">
        <f>IF(NOTA[[#This Row],[JUMLAH]]="","",NOTA[[#This Row],[JUMLAH]]-NOTA[[#This Row],[DISC]])</f>
        <v>8904000</v>
      </c>
      <c r="AB925" s="51"/>
      <c r="AC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5" s="51">
        <f>IF(OR(NOTA[[#This Row],[QTY]]="",NOTA[[#This Row],[HARGA SATUAN]]="",),"",NOTA[[#This Row],[QTY]]*NOTA[[#This Row],[HARGA SATUAN]])</f>
        <v>8904000</v>
      </c>
      <c r="AG925" s="40">
        <f ca="1">IF(NOTA[ID_H]="","",INDEX(NOTA[TANGGAL],MATCH(,INDIRECT(ADDRESS(ROW(NOTA[TANGGAL]),COLUMN(NOTA[TANGGAL]))&amp;":"&amp;ADDRESS(ROW(),COLUMN(NOTA[TANGGAL]))),-1)))</f>
        <v>45142</v>
      </c>
      <c r="AH925" s="42" t="str">
        <f ca="1">IF(NOTA[[#This Row],[NAMA BARANG]]="","",INDEX(NOTA[SUPPLIER],MATCH(,INDIRECT(ADDRESS(ROW(NOTA[ID]),COLUMN(NOTA[ID]))&amp;":"&amp;ADDRESS(ROW(),COLUMN(NOTA[ID]))),-1)))</f>
        <v>SURYA PRATAMA</v>
      </c>
      <c r="AI925" s="42" t="str">
        <f ca="1">IF(NOTA[[#This Row],[ID_H]]="","",IF(NOTA[[#This Row],[FAKTUR]]="",INDIRECT(ADDRESS(ROW()-1,COLUMN())),NOTA[[#This Row],[FAKTUR]]))</f>
        <v>UNTANA</v>
      </c>
      <c r="AJ925" s="39" t="str">
        <f ca="1">IF(NOTA[[#This Row],[ID]]="","",COUNTIF(NOTA[ID_H],NOTA[[#This Row],[ID_H]]))</f>
        <v/>
      </c>
      <c r="AK925" s="39">
        <f ca="1">IF(NOTA[[#This Row],[TGL.NOTA]]="",IF(NOTA[[#This Row],[SUPPLIER_H]]="","",AK924),MONTH(NOTA[[#This Row],[TGL.NOTA]]))</f>
        <v>8</v>
      </c>
      <c r="AL925" s="39" t="str">
        <f>LOWER(SUBSTITUTE(SUBSTITUTE(SUBSTITUTE(SUBSTITUTE(SUBSTITUTE(SUBSTITUTE(SUBSTITUTE(SUBSTITUTE(SUBSTITUTE(NOTA[NAMA BARANG]," ",),".",""),"-",""),"(",""),")",""),",",""),"/",""),"""",""),"+",""))</f>
        <v>refilgeles227tayo</v>
      </c>
      <c r="AM9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refilgeles227tayo1272000</v>
      </c>
      <c r="AN9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refilgeles227tayo1272000</v>
      </c>
      <c r="AO9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39" t="str">
        <f>IF(NOTA[[#This Row],[CONCAT4]]="","",_xlfn.IFNA(MATCH(NOTA[[#This Row],[CONCAT4]],[2]!RAW[CONCAT_H],0),FALSE))</f>
        <v/>
      </c>
      <c r="AQ925" s="39">
        <f>IF(NOTA[[#This Row],[CONCAT1]]="","",MATCH(NOTA[[#This Row],[CONCAT1]],[3]!db[NB NOTA_C],0))</f>
        <v>2358</v>
      </c>
      <c r="AR925" s="39" t="b">
        <f>IF(NOTA[[#This Row],[QTY/ CTN]]="","",TRUE)</f>
        <v>1</v>
      </c>
      <c r="AS925" s="39" t="str">
        <f ca="1">IF(NOTA[[#This Row],[ID_H]]="","",IF(NOTA[[#This Row],[Column3]]=TRUE,NOTA[[#This Row],[QTY/ CTN]],INDEX([3]!db[QTY/ CTN],NOTA[[#This Row],[//DB]])))</f>
        <v>240 PCS</v>
      </c>
      <c r="AT9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refilgeles227tayo240pcsuntana</v>
      </c>
      <c r="AU925" s="39" t="e">
        <f ca="1">IF(NOTA[[#This Row],[ID_H]]="","",MATCH(NOTA[[#This Row],[NB NOTA_C_QTY]],[4]!db[NB NOTA_C_QTY+F],0))</f>
        <v>#REF!</v>
      </c>
      <c r="AV925" s="55">
        <f ca="1">IF(NOTA[[#This Row],[NB NOTA_C_QTY]]="","",ROW()-2)</f>
        <v>923</v>
      </c>
    </row>
    <row r="926" spans="1:48" ht="20.100000000000001" customHeight="1" x14ac:dyDescent="0.25">
      <c r="A9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39" t="str">
        <f>IF(NOTA[[#This Row],[ID_P]]="","",MATCH(NOTA[[#This Row],[ID_P]],[1]!B_MSK[N_ID],0))</f>
        <v/>
      </c>
      <c r="D926" s="39">
        <f ca="1">IF(NOTA[[#This Row],[NAMA BARANG]]="","",INDEX(NOTA[ID],MATCH(,INDIRECT(ADDRESS(ROW(NOTA[ID]),COLUMN(NOTA[ID]))&amp;":"&amp;ADDRESS(ROW(),COLUMN(NOTA[ID]))),-1)))</f>
        <v>174</v>
      </c>
      <c r="E926" s="47"/>
      <c r="H926" s="48"/>
      <c r="L926" s="38" t="s">
        <v>986</v>
      </c>
      <c r="M926" s="41">
        <v>7</v>
      </c>
      <c r="N926" s="39">
        <v>1680</v>
      </c>
      <c r="O926" s="38" t="s">
        <v>117</v>
      </c>
      <c r="P926" s="42">
        <v>5300</v>
      </c>
      <c r="Q926" s="43"/>
      <c r="R926" s="49" t="s">
        <v>259</v>
      </c>
      <c r="S926" s="50"/>
      <c r="U926" s="51"/>
      <c r="V926" s="46"/>
      <c r="W926" s="51">
        <f>IF(NOTA[[#This Row],[HARGA/ CTN]]="",NOTA[[#This Row],[JUMLAH_H]],NOTA[[#This Row],[HARGA/ CTN]]*IF(NOTA[[#This Row],[C]]="",0,NOTA[[#This Row],[C]]))</f>
        <v>8904000</v>
      </c>
      <c r="X926" s="51">
        <f>IF(NOTA[[#This Row],[JUMLAH]]="","",NOTA[[#This Row],[JUMLAH]]*NOTA[[#This Row],[DISC 1]])</f>
        <v>0</v>
      </c>
      <c r="Y926" s="51">
        <f>IF(NOTA[[#This Row],[JUMLAH]]="","",(NOTA[[#This Row],[JUMLAH]]-NOTA[[#This Row],[DISC 1-]])*NOTA[[#This Row],[DISC 2]])</f>
        <v>0</v>
      </c>
      <c r="Z926" s="51">
        <f>IF(NOTA[[#This Row],[JUMLAH]]="","",NOTA[[#This Row],[DISC 1-]]+NOTA[[#This Row],[DISC 2-]])</f>
        <v>0</v>
      </c>
      <c r="AA926" s="51">
        <f>IF(NOTA[[#This Row],[JUMLAH]]="","",NOTA[[#This Row],[JUMLAH]]-NOTA[[#This Row],[DISC]])</f>
        <v>8904000</v>
      </c>
      <c r="AB926" s="51"/>
      <c r="AC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6" s="51">
        <f>IF(OR(NOTA[[#This Row],[QTY]]="",NOTA[[#This Row],[HARGA SATUAN]]="",),"",NOTA[[#This Row],[QTY]]*NOTA[[#This Row],[HARGA SATUAN]])</f>
        <v>8904000</v>
      </c>
      <c r="AG926" s="40">
        <f ca="1">IF(NOTA[ID_H]="","",INDEX(NOTA[TANGGAL],MATCH(,INDIRECT(ADDRESS(ROW(NOTA[TANGGAL]),COLUMN(NOTA[TANGGAL]))&amp;":"&amp;ADDRESS(ROW(),COLUMN(NOTA[TANGGAL]))),-1)))</f>
        <v>45142</v>
      </c>
      <c r="AH926" s="42" t="str">
        <f ca="1">IF(NOTA[[#This Row],[NAMA BARANG]]="","",INDEX(NOTA[SUPPLIER],MATCH(,INDIRECT(ADDRESS(ROW(NOTA[ID]),COLUMN(NOTA[ID]))&amp;":"&amp;ADDRESS(ROW(),COLUMN(NOTA[ID]))),-1)))</f>
        <v>SURYA PRATAMA</v>
      </c>
      <c r="AI926" s="42" t="str">
        <f ca="1">IF(NOTA[[#This Row],[ID_H]]="","",IF(NOTA[[#This Row],[FAKTUR]]="",INDIRECT(ADDRESS(ROW()-1,COLUMN())),NOTA[[#This Row],[FAKTUR]]))</f>
        <v>UNTANA</v>
      </c>
      <c r="AJ926" s="39" t="str">
        <f ca="1">IF(NOTA[[#This Row],[ID]]="","",COUNTIF(NOTA[ID_H],NOTA[[#This Row],[ID_H]]))</f>
        <v/>
      </c>
      <c r="AK926" s="39">
        <f ca="1">IF(NOTA[[#This Row],[TGL.NOTA]]="",IF(NOTA[[#This Row],[SUPPLIER_H]]="","",AK925),MONTH(NOTA[[#This Row],[TGL.NOTA]]))</f>
        <v>8</v>
      </c>
      <c r="AL926" s="39" t="str">
        <f>LOWER(SUBSTITUTE(SUBSTITUTE(SUBSTITUTE(SUBSTITUTE(SUBSTITUTE(SUBSTITUTE(SUBSTITUTE(SUBSTITUTE(SUBSTITUTE(NOTA[NAMA BARANG]," ",),".",""),"-",""),"(",""),")",""),",",""),"/",""),"""",""),"+",""))</f>
        <v>refilgeles228suoerhero</v>
      </c>
      <c r="AM9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refilgeles228suoerhero1272000</v>
      </c>
      <c r="AN9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refilgeles228suoerhero1272000</v>
      </c>
      <c r="AO9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39" t="str">
        <f>IF(NOTA[[#This Row],[CONCAT4]]="","",_xlfn.IFNA(MATCH(NOTA[[#This Row],[CONCAT4]],[2]!RAW[CONCAT_H],0),FALSE))</f>
        <v/>
      </c>
      <c r="AQ926" s="39">
        <f>IF(NOTA[[#This Row],[CONCAT1]]="","",MATCH(NOTA[[#This Row],[CONCAT1]],[3]!db[NB NOTA_C],0))</f>
        <v>2359</v>
      </c>
      <c r="AR926" s="39" t="b">
        <f>IF(NOTA[[#This Row],[QTY/ CTN]]="","",TRUE)</f>
        <v>1</v>
      </c>
      <c r="AS926" s="39" t="str">
        <f ca="1">IF(NOTA[[#This Row],[ID_H]]="","",IF(NOTA[[#This Row],[Column3]]=TRUE,NOTA[[#This Row],[QTY/ CTN]],INDEX([3]!db[QTY/ CTN],NOTA[[#This Row],[//DB]])))</f>
        <v>240 PCS</v>
      </c>
      <c r="AT9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refilgeles228suoerhero240pcsuntana</v>
      </c>
      <c r="AU926" s="39" t="e">
        <f ca="1">IF(NOTA[[#This Row],[ID_H]]="","",MATCH(NOTA[[#This Row],[NB NOTA_C_QTY]],[4]!db[NB NOTA_C_QTY+F],0))</f>
        <v>#REF!</v>
      </c>
      <c r="AV926" s="55">
        <f ca="1">IF(NOTA[[#This Row],[NB NOTA_C_QTY]]="","",ROW()-2)</f>
        <v>924</v>
      </c>
    </row>
    <row r="927" spans="1:48" ht="20.100000000000001" customHeight="1" x14ac:dyDescent="0.25">
      <c r="A9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39" t="str">
        <f>IF(NOTA[[#This Row],[ID_P]]="","",MATCH(NOTA[[#This Row],[ID_P]],[1]!B_MSK[N_ID],0))</f>
        <v/>
      </c>
      <c r="D927" s="39">
        <f ca="1">IF(NOTA[[#This Row],[NAMA BARANG]]="","",INDEX(NOTA[ID],MATCH(,INDIRECT(ADDRESS(ROW(NOTA[ID]),COLUMN(NOTA[ID]))&amp;":"&amp;ADDRESS(ROW(),COLUMN(NOTA[ID]))),-1)))</f>
        <v>174</v>
      </c>
      <c r="E927" s="47"/>
      <c r="H927" s="48"/>
      <c r="L927" s="38" t="s">
        <v>987</v>
      </c>
      <c r="M927" s="41">
        <v>7</v>
      </c>
      <c r="N927" s="39">
        <v>1680</v>
      </c>
      <c r="O927" s="38" t="s">
        <v>117</v>
      </c>
      <c r="P927" s="42">
        <v>5300</v>
      </c>
      <c r="Q927" s="43"/>
      <c r="R927" s="49" t="s">
        <v>259</v>
      </c>
      <c r="S927" s="50"/>
      <c r="U927" s="51"/>
      <c r="V927" s="46"/>
      <c r="W927" s="51">
        <f>IF(NOTA[[#This Row],[HARGA/ CTN]]="",NOTA[[#This Row],[JUMLAH_H]],NOTA[[#This Row],[HARGA/ CTN]]*IF(NOTA[[#This Row],[C]]="",0,NOTA[[#This Row],[C]]))</f>
        <v>8904000</v>
      </c>
      <c r="X927" s="51">
        <f>IF(NOTA[[#This Row],[JUMLAH]]="","",NOTA[[#This Row],[JUMLAH]]*NOTA[[#This Row],[DISC 1]])</f>
        <v>0</v>
      </c>
      <c r="Y927" s="51">
        <f>IF(NOTA[[#This Row],[JUMLAH]]="","",(NOTA[[#This Row],[JUMLAH]]-NOTA[[#This Row],[DISC 1-]])*NOTA[[#This Row],[DISC 2]])</f>
        <v>0</v>
      </c>
      <c r="Z927" s="51">
        <f>IF(NOTA[[#This Row],[JUMLAH]]="","",NOTA[[#This Row],[DISC 1-]]+NOTA[[#This Row],[DISC 2-]])</f>
        <v>0</v>
      </c>
      <c r="AA927" s="51">
        <f>IF(NOTA[[#This Row],[JUMLAH]]="","",NOTA[[#This Row],[JUMLAH]]-NOTA[[#This Row],[DISC]])</f>
        <v>8904000</v>
      </c>
      <c r="AB927" s="51"/>
      <c r="AC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7" s="51">
        <f>IF(OR(NOTA[[#This Row],[QTY]]="",NOTA[[#This Row],[HARGA SATUAN]]="",),"",NOTA[[#This Row],[QTY]]*NOTA[[#This Row],[HARGA SATUAN]])</f>
        <v>8904000</v>
      </c>
      <c r="AG927" s="40">
        <f ca="1">IF(NOTA[ID_H]="","",INDEX(NOTA[TANGGAL],MATCH(,INDIRECT(ADDRESS(ROW(NOTA[TANGGAL]),COLUMN(NOTA[TANGGAL]))&amp;":"&amp;ADDRESS(ROW(),COLUMN(NOTA[TANGGAL]))),-1)))</f>
        <v>45142</v>
      </c>
      <c r="AH927" s="42" t="str">
        <f ca="1">IF(NOTA[[#This Row],[NAMA BARANG]]="","",INDEX(NOTA[SUPPLIER],MATCH(,INDIRECT(ADDRESS(ROW(NOTA[ID]),COLUMN(NOTA[ID]))&amp;":"&amp;ADDRESS(ROW(),COLUMN(NOTA[ID]))),-1)))</f>
        <v>SURYA PRATAMA</v>
      </c>
      <c r="AI927" s="42" t="str">
        <f ca="1">IF(NOTA[[#This Row],[ID_H]]="","",IF(NOTA[[#This Row],[FAKTUR]]="",INDIRECT(ADDRESS(ROW()-1,COLUMN())),NOTA[[#This Row],[FAKTUR]]))</f>
        <v>UNTANA</v>
      </c>
      <c r="AJ927" s="39" t="str">
        <f ca="1">IF(NOTA[[#This Row],[ID]]="","",COUNTIF(NOTA[ID_H],NOTA[[#This Row],[ID_H]]))</f>
        <v/>
      </c>
      <c r="AK927" s="39">
        <f ca="1">IF(NOTA[[#This Row],[TGL.NOTA]]="",IF(NOTA[[#This Row],[SUPPLIER_H]]="","",AK926),MONTH(NOTA[[#This Row],[TGL.NOTA]]))</f>
        <v>8</v>
      </c>
      <c r="AL927" s="39" t="str">
        <f>LOWER(SUBSTITUTE(SUBSTITUTE(SUBSTITUTE(SUBSTITUTE(SUBSTITUTE(SUBSTITUTE(SUBSTITUTE(SUBSTITUTE(SUBSTITUTE(NOTA[NAMA BARANG]," ",),".",""),"-",""),"(",""),")",""),",",""),"/",""),"""",""),"+",""))</f>
        <v>refilgeles230dino</v>
      </c>
      <c r="AM9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refilgeles230dino1272000</v>
      </c>
      <c r="AN9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refilgeles230dino1272000</v>
      </c>
      <c r="AO9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39" t="str">
        <f>IF(NOTA[[#This Row],[CONCAT4]]="","",_xlfn.IFNA(MATCH(NOTA[[#This Row],[CONCAT4]],[2]!RAW[CONCAT_H],0),FALSE))</f>
        <v/>
      </c>
      <c r="AQ927" s="39">
        <f>IF(NOTA[[#This Row],[CONCAT1]]="","",MATCH(NOTA[[#This Row],[CONCAT1]],[3]!db[NB NOTA_C],0))</f>
        <v>2360</v>
      </c>
      <c r="AR927" s="39" t="b">
        <f>IF(NOTA[[#This Row],[QTY/ CTN]]="","",TRUE)</f>
        <v>1</v>
      </c>
      <c r="AS927" s="39" t="str">
        <f ca="1">IF(NOTA[[#This Row],[ID_H]]="","",IF(NOTA[[#This Row],[Column3]]=TRUE,NOTA[[#This Row],[QTY/ CTN]],INDEX([3]!db[QTY/ CTN],NOTA[[#This Row],[//DB]])))</f>
        <v>240 PCS</v>
      </c>
      <c r="AT9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refilgeles230dino240pcsuntana</v>
      </c>
      <c r="AU927" s="39" t="e">
        <f ca="1">IF(NOTA[[#This Row],[ID_H]]="","",MATCH(NOTA[[#This Row],[NB NOTA_C_QTY]],[4]!db[NB NOTA_C_QTY+F],0))</f>
        <v>#REF!</v>
      </c>
      <c r="AV927" s="55">
        <f ca="1">IF(NOTA[[#This Row],[NB NOTA_C_QTY]]="","",ROW()-2)</f>
        <v>925</v>
      </c>
    </row>
    <row r="928" spans="1:48" ht="20.100000000000001" customHeight="1" x14ac:dyDescent="0.25">
      <c r="A9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39" t="str">
        <f>IF(NOTA[[#This Row],[ID_P]]="","",MATCH(NOTA[[#This Row],[ID_P]],[1]!B_MSK[N_ID],0))</f>
        <v/>
      </c>
      <c r="D928" s="39">
        <f ca="1">IF(NOTA[[#This Row],[NAMA BARANG]]="","",INDEX(NOTA[ID],MATCH(,INDIRECT(ADDRESS(ROW(NOTA[ID]),COLUMN(NOTA[ID]))&amp;":"&amp;ADDRESS(ROW(),COLUMN(NOTA[ID]))),-1)))</f>
        <v>174</v>
      </c>
      <c r="E928" s="47"/>
      <c r="H928" s="48"/>
      <c r="L928" s="38" t="s">
        <v>988</v>
      </c>
      <c r="M928" s="41">
        <v>4</v>
      </c>
      <c r="N928" s="39">
        <f>240*4</f>
        <v>960</v>
      </c>
      <c r="O928" s="38" t="s">
        <v>117</v>
      </c>
      <c r="P928" s="42">
        <v>5300</v>
      </c>
      <c r="Q928" s="43"/>
      <c r="R928" s="49" t="s">
        <v>259</v>
      </c>
      <c r="S928" s="50"/>
      <c r="U928" s="51"/>
      <c r="V928" s="46"/>
      <c r="W928" s="51">
        <f>IF(NOTA[[#This Row],[HARGA/ CTN]]="",NOTA[[#This Row],[JUMLAH_H]],NOTA[[#This Row],[HARGA/ CTN]]*IF(NOTA[[#This Row],[C]]="",0,NOTA[[#This Row],[C]]))</f>
        <v>5088000</v>
      </c>
      <c r="X928" s="51">
        <f>IF(NOTA[[#This Row],[JUMLAH]]="","",NOTA[[#This Row],[JUMLAH]]*NOTA[[#This Row],[DISC 1]])</f>
        <v>0</v>
      </c>
      <c r="Y928" s="51">
        <f>IF(NOTA[[#This Row],[JUMLAH]]="","",(NOTA[[#This Row],[JUMLAH]]-NOTA[[#This Row],[DISC 1-]])*NOTA[[#This Row],[DISC 2]])</f>
        <v>0</v>
      </c>
      <c r="Z928" s="51">
        <f>IF(NOTA[[#This Row],[JUMLAH]]="","",NOTA[[#This Row],[DISC 1-]]+NOTA[[#This Row],[DISC 2-]])</f>
        <v>0</v>
      </c>
      <c r="AA928" s="51">
        <f>IF(NOTA[[#This Row],[JUMLAH]]="","",NOTA[[#This Row],[JUMLAH]]-NOTA[[#This Row],[DISC]])</f>
        <v>5088000</v>
      </c>
      <c r="AB928" s="51"/>
      <c r="AC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8" s="51">
        <f>IF(OR(NOTA[[#This Row],[QTY]]="",NOTA[[#This Row],[HARGA SATUAN]]="",),"",NOTA[[#This Row],[QTY]]*NOTA[[#This Row],[HARGA SATUAN]])</f>
        <v>5088000</v>
      </c>
      <c r="AG928" s="40">
        <f ca="1">IF(NOTA[ID_H]="","",INDEX(NOTA[TANGGAL],MATCH(,INDIRECT(ADDRESS(ROW(NOTA[TANGGAL]),COLUMN(NOTA[TANGGAL]))&amp;":"&amp;ADDRESS(ROW(),COLUMN(NOTA[TANGGAL]))),-1)))</f>
        <v>45142</v>
      </c>
      <c r="AH928" s="42" t="str">
        <f ca="1">IF(NOTA[[#This Row],[NAMA BARANG]]="","",INDEX(NOTA[SUPPLIER],MATCH(,INDIRECT(ADDRESS(ROW(NOTA[ID]),COLUMN(NOTA[ID]))&amp;":"&amp;ADDRESS(ROW(),COLUMN(NOTA[ID]))),-1)))</f>
        <v>SURYA PRATAMA</v>
      </c>
      <c r="AI928" s="42" t="str">
        <f ca="1">IF(NOTA[[#This Row],[ID_H]]="","",IF(NOTA[[#This Row],[FAKTUR]]="",INDIRECT(ADDRESS(ROW()-1,COLUMN())),NOTA[[#This Row],[FAKTUR]]))</f>
        <v>UNTANA</v>
      </c>
      <c r="AJ928" s="39" t="str">
        <f ca="1">IF(NOTA[[#This Row],[ID]]="","",COUNTIF(NOTA[ID_H],NOTA[[#This Row],[ID_H]]))</f>
        <v/>
      </c>
      <c r="AK928" s="39">
        <f ca="1">IF(NOTA[[#This Row],[TGL.NOTA]]="",IF(NOTA[[#This Row],[SUPPLIER_H]]="","",AK927),MONTH(NOTA[[#This Row],[TGL.NOTA]]))</f>
        <v>8</v>
      </c>
      <c r="AL928" s="39" t="str">
        <f>LOWER(SUBSTITUTE(SUBSTITUTE(SUBSTITUTE(SUBSTITUTE(SUBSTITUTE(SUBSTITUTE(SUBSTITUTE(SUBSTITUTE(SUBSTITUTE(NOTA[NAMA BARANG]," ",),".",""),"-",""),"(",""),")",""),",",""),"/",""),"""",""),"+",""))</f>
        <v>refilgeles223223</v>
      </c>
      <c r="AM9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refilgeles2232231272000</v>
      </c>
      <c r="AN9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refilgeles2232231272000</v>
      </c>
      <c r="AO9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39" t="str">
        <f>IF(NOTA[[#This Row],[CONCAT4]]="","",_xlfn.IFNA(MATCH(NOTA[[#This Row],[CONCAT4]],[2]!RAW[CONCAT_H],0),FALSE))</f>
        <v/>
      </c>
      <c r="AQ928" s="39">
        <f>IF(NOTA[[#This Row],[CONCAT1]]="","",MATCH(NOTA[[#This Row],[CONCAT1]],[3]!db[NB NOTA_C],0))</f>
        <v>2355</v>
      </c>
      <c r="AR928" s="39" t="b">
        <f>IF(NOTA[[#This Row],[QTY/ CTN]]="","",TRUE)</f>
        <v>1</v>
      </c>
      <c r="AS928" s="39" t="str">
        <f ca="1">IF(NOTA[[#This Row],[ID_H]]="","",IF(NOTA[[#This Row],[Column3]]=TRUE,NOTA[[#This Row],[QTY/ CTN]],INDEX([3]!db[QTY/ CTN],NOTA[[#This Row],[//DB]])))</f>
        <v>240 PCS</v>
      </c>
      <c r="AT9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refilgeles223223240pcsuntana</v>
      </c>
      <c r="AU928" s="39" t="e">
        <f ca="1">IF(NOTA[[#This Row],[ID_H]]="","",MATCH(NOTA[[#This Row],[NB NOTA_C_QTY]],[4]!db[NB NOTA_C_QTY+F],0))</f>
        <v>#REF!</v>
      </c>
      <c r="AV928" s="55">
        <f ca="1">IF(NOTA[[#This Row],[NB NOTA_C_QTY]]="","",ROW()-2)</f>
        <v>926</v>
      </c>
    </row>
    <row r="929" spans="1:48" ht="20.100000000000001" customHeight="1" x14ac:dyDescent="0.25">
      <c r="A9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39" t="str">
        <f>IF(NOTA[[#This Row],[ID_P]]="","",MATCH(NOTA[[#This Row],[ID_P]],[1]!B_MSK[N_ID],0))</f>
        <v/>
      </c>
      <c r="D929" s="39">
        <f ca="1">IF(NOTA[[#This Row],[NAMA BARANG]]="","",INDEX(NOTA[ID],MATCH(,INDIRECT(ADDRESS(ROW(NOTA[ID]),COLUMN(NOTA[ID]))&amp;":"&amp;ADDRESS(ROW(),COLUMN(NOTA[ID]))),-1)))</f>
        <v>174</v>
      </c>
      <c r="E929" s="47"/>
      <c r="H929" s="48"/>
      <c r="L929" s="38" t="s">
        <v>989</v>
      </c>
      <c r="M929" s="41">
        <v>4</v>
      </c>
      <c r="N929" s="39">
        <v>960</v>
      </c>
      <c r="O929" s="38" t="s">
        <v>117</v>
      </c>
      <c r="P929" s="42">
        <v>5300</v>
      </c>
      <c r="Q929" s="43"/>
      <c r="R929" s="49" t="s">
        <v>259</v>
      </c>
      <c r="S929" s="50"/>
      <c r="U929" s="51"/>
      <c r="V929" s="46"/>
      <c r="W929" s="51">
        <f>IF(NOTA[[#This Row],[HARGA/ CTN]]="",NOTA[[#This Row],[JUMLAH_H]],NOTA[[#This Row],[HARGA/ CTN]]*IF(NOTA[[#This Row],[C]]="",0,NOTA[[#This Row],[C]]))</f>
        <v>5088000</v>
      </c>
      <c r="X929" s="51">
        <f>IF(NOTA[[#This Row],[JUMLAH]]="","",NOTA[[#This Row],[JUMLAH]]*NOTA[[#This Row],[DISC 1]])</f>
        <v>0</v>
      </c>
      <c r="Y929" s="51">
        <f>IF(NOTA[[#This Row],[JUMLAH]]="","",(NOTA[[#This Row],[JUMLAH]]-NOTA[[#This Row],[DISC 1-]])*NOTA[[#This Row],[DISC 2]])</f>
        <v>0</v>
      </c>
      <c r="Z929" s="51">
        <f>IF(NOTA[[#This Row],[JUMLAH]]="","",NOTA[[#This Row],[DISC 1-]]+NOTA[[#This Row],[DISC 2-]])</f>
        <v>0</v>
      </c>
      <c r="AA929" s="51">
        <f>IF(NOTA[[#This Row],[JUMLAH]]="","",NOTA[[#This Row],[JUMLAH]]-NOTA[[#This Row],[DISC]])</f>
        <v>5088000</v>
      </c>
      <c r="AB929" s="51"/>
      <c r="AC9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63600000</v>
      </c>
      <c r="AE929" s="42">
        <f>IF(NOTA[[#This Row],[NAMA BARANG]]="","",IF(NOTA[[#This Row],[JUMLAH_H]]="",NOTA[[#This Row],[HARGA/ CTN]],NOTA[[#This Row],[QTY]]*NOTA[[#This Row],[HARGA SATUAN]]/IF(ISNUMBER(NOTA[[#This Row],[C]]),NOTA[[#This Row],[C]],1)))</f>
        <v>1272000</v>
      </c>
      <c r="AF929" s="51">
        <f>IF(OR(NOTA[[#This Row],[QTY]]="",NOTA[[#This Row],[HARGA SATUAN]]="",),"",NOTA[[#This Row],[QTY]]*NOTA[[#This Row],[HARGA SATUAN]])</f>
        <v>5088000</v>
      </c>
      <c r="AG929" s="40">
        <f ca="1">IF(NOTA[ID_H]="","",INDEX(NOTA[TANGGAL],MATCH(,INDIRECT(ADDRESS(ROW(NOTA[TANGGAL]),COLUMN(NOTA[TANGGAL]))&amp;":"&amp;ADDRESS(ROW(),COLUMN(NOTA[TANGGAL]))),-1)))</f>
        <v>45142</v>
      </c>
      <c r="AH929" s="42" t="str">
        <f ca="1">IF(NOTA[[#This Row],[NAMA BARANG]]="","",INDEX(NOTA[SUPPLIER],MATCH(,INDIRECT(ADDRESS(ROW(NOTA[ID]),COLUMN(NOTA[ID]))&amp;":"&amp;ADDRESS(ROW(),COLUMN(NOTA[ID]))),-1)))</f>
        <v>SURYA PRATAMA</v>
      </c>
      <c r="AI929" s="42" t="str">
        <f ca="1">IF(NOTA[[#This Row],[ID_H]]="","",IF(NOTA[[#This Row],[FAKTUR]]="",INDIRECT(ADDRESS(ROW()-1,COLUMN())),NOTA[[#This Row],[FAKTUR]]))</f>
        <v>UNTANA</v>
      </c>
      <c r="AJ929" s="39" t="str">
        <f ca="1">IF(NOTA[[#This Row],[ID]]="","",COUNTIF(NOTA[ID_H],NOTA[[#This Row],[ID_H]]))</f>
        <v/>
      </c>
      <c r="AK929" s="39">
        <f ca="1">IF(NOTA[[#This Row],[TGL.NOTA]]="",IF(NOTA[[#This Row],[SUPPLIER_H]]="","",AK928),MONTH(NOTA[[#This Row],[TGL.NOTA]]))</f>
        <v>8</v>
      </c>
      <c r="AL929" s="39" t="str">
        <f>LOWER(SUBSTITUTE(SUBSTITUTE(SUBSTITUTE(SUBSTITUTE(SUBSTITUTE(SUBSTITUTE(SUBSTITUTE(SUBSTITUTE(SUBSTITUTE(NOTA[NAMA BARANG]," ",),".",""),"-",""),"(",""),")",""),",",""),"/",""),"""",""),"+",""))</f>
        <v>refilgeles225unicorn</v>
      </c>
      <c r="AM9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refilgeles225unicorn1272000</v>
      </c>
      <c r="AN9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refilgeles225unicorn1272000</v>
      </c>
      <c r="AO9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39" t="str">
        <f>IF(NOTA[[#This Row],[CONCAT4]]="","",_xlfn.IFNA(MATCH(NOTA[[#This Row],[CONCAT4]],[2]!RAW[CONCAT_H],0),FALSE))</f>
        <v/>
      </c>
      <c r="AQ929" s="39">
        <f>IF(NOTA[[#This Row],[CONCAT1]]="","",MATCH(NOTA[[#This Row],[CONCAT1]],[3]!db[NB NOTA_C],0))</f>
        <v>2356</v>
      </c>
      <c r="AR929" s="39" t="b">
        <f>IF(NOTA[[#This Row],[QTY/ CTN]]="","",TRUE)</f>
        <v>1</v>
      </c>
      <c r="AS929" s="39" t="str">
        <f ca="1">IF(NOTA[[#This Row],[ID_H]]="","",IF(NOTA[[#This Row],[Column3]]=TRUE,NOTA[[#This Row],[QTY/ CTN]],INDEX([3]!db[QTY/ CTN],NOTA[[#This Row],[//DB]])))</f>
        <v>240 PCS</v>
      </c>
      <c r="AT9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refilgeles225unicorn240pcsuntana</v>
      </c>
      <c r="AU929" s="39" t="e">
        <f ca="1">IF(NOTA[[#This Row],[ID_H]]="","",MATCH(NOTA[[#This Row],[NB NOTA_C_QTY]],[4]!db[NB NOTA_C_QTY+F],0))</f>
        <v>#REF!</v>
      </c>
      <c r="AV929" s="55">
        <f ca="1">IF(NOTA[[#This Row],[NB NOTA_C_QTY]]="","",ROW()-2)</f>
        <v>927</v>
      </c>
    </row>
    <row r="930" spans="1:48" ht="20.100000000000001" customHeight="1" x14ac:dyDescent="0.25">
      <c r="A9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39" t="str">
        <f>IF(NOTA[[#This Row],[ID_P]]="","",MATCH(NOTA[[#This Row],[ID_P]],[1]!B_MSK[N_ID],0))</f>
        <v/>
      </c>
      <c r="D930" s="39" t="str">
        <f ca="1">IF(NOTA[[#This Row],[NAMA BARANG]]="","",INDEX(NOTA[ID],MATCH(,INDIRECT(ADDRESS(ROW(NOTA[ID]),COLUMN(NOTA[ID]))&amp;":"&amp;ADDRESS(ROW(),COLUMN(NOTA[ID]))),-1)))</f>
        <v/>
      </c>
      <c r="E930" s="47"/>
      <c r="H930" s="48"/>
      <c r="N930" s="39"/>
      <c r="Q930" s="43"/>
      <c r="R930" s="49"/>
      <c r="S930" s="50"/>
      <c r="U930" s="51"/>
      <c r="V930" s="46"/>
      <c r="W930" s="51" t="str">
        <f>IF(NOTA[[#This Row],[HARGA/ CTN]]="",NOTA[[#This Row],[JUMLAH_H]],NOTA[[#This Row],[HARGA/ CTN]]*IF(NOTA[[#This Row],[C]]="",0,NOTA[[#This Row],[C]]))</f>
        <v/>
      </c>
      <c r="X930" s="51" t="str">
        <f>IF(NOTA[[#This Row],[JUMLAH]]="","",NOTA[[#This Row],[JUMLAH]]*NOTA[[#This Row],[DISC 1]])</f>
        <v/>
      </c>
      <c r="Y930" s="51" t="str">
        <f>IF(NOTA[[#This Row],[JUMLAH]]="","",(NOTA[[#This Row],[JUMLAH]]-NOTA[[#This Row],[DISC 1-]])*NOTA[[#This Row],[DISC 2]])</f>
        <v/>
      </c>
      <c r="Z930" s="51" t="str">
        <f>IF(NOTA[[#This Row],[JUMLAH]]="","",NOTA[[#This Row],[DISC 1-]]+NOTA[[#This Row],[DISC 2-]])</f>
        <v/>
      </c>
      <c r="AA930" s="51" t="str">
        <f>IF(NOTA[[#This Row],[JUMLAH]]="","",NOTA[[#This Row],[JUMLAH]]-NOTA[[#This Row],[DISC]])</f>
        <v/>
      </c>
      <c r="AB930" s="51"/>
      <c r="AC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51" t="str">
        <f>IF(OR(NOTA[[#This Row],[QTY]]="",NOTA[[#This Row],[HARGA SATUAN]]="",),"",NOTA[[#This Row],[QTY]]*NOTA[[#This Row],[HARGA SATUAN]])</f>
        <v/>
      </c>
      <c r="AG930" s="40" t="str">
        <f ca="1">IF(NOTA[ID_H]="","",INDEX(NOTA[TANGGAL],MATCH(,INDIRECT(ADDRESS(ROW(NOTA[TANGGAL]),COLUMN(NOTA[TANGGAL]))&amp;":"&amp;ADDRESS(ROW(),COLUMN(NOTA[TANGGAL]))),-1)))</f>
        <v/>
      </c>
      <c r="AH930" s="42" t="str">
        <f ca="1">IF(NOTA[[#This Row],[NAMA BARANG]]="","",INDEX(NOTA[SUPPLIER],MATCH(,INDIRECT(ADDRESS(ROW(NOTA[ID]),COLUMN(NOTA[ID]))&amp;":"&amp;ADDRESS(ROW(),COLUMN(NOTA[ID]))),-1)))</f>
        <v/>
      </c>
      <c r="AI930" s="42" t="str">
        <f ca="1">IF(NOTA[[#This Row],[ID_H]]="","",IF(NOTA[[#This Row],[FAKTUR]]="",INDIRECT(ADDRESS(ROW()-1,COLUMN())),NOTA[[#This Row],[FAKTUR]]))</f>
        <v/>
      </c>
      <c r="AJ930" s="39" t="str">
        <f ca="1">IF(NOTA[[#This Row],[ID]]="","",COUNTIF(NOTA[ID_H],NOTA[[#This Row],[ID_H]]))</f>
        <v/>
      </c>
      <c r="AK930" s="39" t="str">
        <f ca="1">IF(NOTA[[#This Row],[TGL.NOTA]]="",IF(NOTA[[#This Row],[SUPPLIER_H]]="","",AK929),MONTH(NOTA[[#This Row],[TGL.NOTA]]))</f>
        <v/>
      </c>
      <c r="AL930" s="39" t="str">
        <f>LOWER(SUBSTITUTE(SUBSTITUTE(SUBSTITUTE(SUBSTITUTE(SUBSTITUTE(SUBSTITUTE(SUBSTITUTE(SUBSTITUTE(SUBSTITUTE(NOTA[NAMA BARANG]," ",),".",""),"-",""),"(",""),")",""),",",""),"/",""),"""",""),"+",""))</f>
        <v/>
      </c>
      <c r="AM9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39" t="str">
        <f>IF(NOTA[[#This Row],[CONCAT4]]="","",_xlfn.IFNA(MATCH(NOTA[[#This Row],[CONCAT4]],[2]!RAW[CONCAT_H],0),FALSE))</f>
        <v/>
      </c>
      <c r="AQ930" s="39" t="str">
        <f>IF(NOTA[[#This Row],[CONCAT1]]="","",MATCH(NOTA[[#This Row],[CONCAT1]],[3]!db[NB NOTA_C],0))</f>
        <v/>
      </c>
      <c r="AR930" s="39" t="str">
        <f>IF(NOTA[[#This Row],[QTY/ CTN]]="","",TRUE)</f>
        <v/>
      </c>
      <c r="AS930" s="39" t="str">
        <f ca="1">IF(NOTA[[#This Row],[ID_H]]="","",IF(NOTA[[#This Row],[Column3]]=TRUE,NOTA[[#This Row],[QTY/ CTN]],INDEX([3]!db[QTY/ CTN],NOTA[[#This Row],[//DB]])))</f>
        <v/>
      </c>
      <c r="AT9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39" t="str">
        <f ca="1">IF(NOTA[[#This Row],[ID_H]]="","",MATCH(NOTA[[#This Row],[NB NOTA_C_QTY]],[4]!db[NB NOTA_C_QTY+F],0))</f>
        <v/>
      </c>
      <c r="AV930" s="55" t="str">
        <f ca="1">IF(NOTA[[#This Row],[NB NOTA_C_QTY]]="","",ROW()-2)</f>
        <v/>
      </c>
    </row>
    <row r="931" spans="1:48" ht="20.100000000000001" customHeight="1" x14ac:dyDescent="0.25">
      <c r="A931" s="4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BIN_0308_499-1</v>
      </c>
      <c r="C931" s="39" t="e">
        <f ca="1">IF(NOTA[[#This Row],[ID_P]]="","",MATCH(NOTA[[#This Row],[ID_P]],[1]!B_MSK[N_ID],0))</f>
        <v>#REF!</v>
      </c>
      <c r="D931" s="39">
        <f ca="1">IF(NOTA[[#This Row],[NAMA BARANG]]="","",INDEX(NOTA[ID],MATCH(,INDIRECT(ADDRESS(ROW(NOTA[ID]),COLUMN(NOTA[ID]))&amp;":"&amp;ADDRESS(ROW(),COLUMN(NOTA[ID]))),-1)))</f>
        <v>175</v>
      </c>
      <c r="E931" s="47">
        <v>45141</v>
      </c>
      <c r="F931" s="38" t="s">
        <v>539</v>
      </c>
      <c r="G931" s="38" t="s">
        <v>145</v>
      </c>
      <c r="H931" s="48" t="s">
        <v>990</v>
      </c>
      <c r="J931" s="40">
        <v>45136</v>
      </c>
      <c r="L931" s="38" t="s">
        <v>996</v>
      </c>
      <c r="M931" s="41">
        <v>2</v>
      </c>
      <c r="N931" s="39">
        <v>540</v>
      </c>
      <c r="O931" s="38" t="s">
        <v>210</v>
      </c>
      <c r="P931" s="42">
        <v>6500</v>
      </c>
      <c r="Q931" s="43"/>
      <c r="R931" s="49" t="s">
        <v>991</v>
      </c>
      <c r="S931" s="50"/>
      <c r="U931" s="51"/>
      <c r="V931" s="46"/>
      <c r="W931" s="51">
        <f>IF(NOTA[[#This Row],[HARGA/ CTN]]="",NOTA[[#This Row],[JUMLAH_H]],NOTA[[#This Row],[HARGA/ CTN]]*IF(NOTA[[#This Row],[C]]="",0,NOTA[[#This Row],[C]]))</f>
        <v>3510000</v>
      </c>
      <c r="X931" s="51">
        <f>IF(NOTA[[#This Row],[JUMLAH]]="","",NOTA[[#This Row],[JUMLAH]]*NOTA[[#This Row],[DISC 1]])</f>
        <v>0</v>
      </c>
      <c r="Y931" s="51">
        <f>IF(NOTA[[#This Row],[JUMLAH]]="","",(NOTA[[#This Row],[JUMLAH]]-NOTA[[#This Row],[DISC 1-]])*NOTA[[#This Row],[DISC 2]])</f>
        <v>0</v>
      </c>
      <c r="Z931" s="51">
        <f>IF(NOTA[[#This Row],[JUMLAH]]="","",NOTA[[#This Row],[DISC 1-]]+NOTA[[#This Row],[DISC 2-]])</f>
        <v>0</v>
      </c>
      <c r="AA931" s="51">
        <f>IF(NOTA[[#This Row],[JUMLAH]]="","",NOTA[[#This Row],[JUMLAH]]-NOTA[[#This Row],[DISC]])</f>
        <v>3510000</v>
      </c>
      <c r="AB931" s="51"/>
      <c r="AC9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3510000</v>
      </c>
      <c r="AE931" s="42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F931" s="51">
        <f>IF(OR(NOTA[[#This Row],[QTY]]="",NOTA[[#This Row],[HARGA SATUAN]]="",),"",NOTA[[#This Row],[QTY]]*NOTA[[#This Row],[HARGA SATUAN]])</f>
        <v>3510000</v>
      </c>
      <c r="AG931" s="40">
        <f ca="1">IF(NOTA[ID_H]="","",INDEX(NOTA[TANGGAL],MATCH(,INDIRECT(ADDRESS(ROW(NOTA[TANGGAL]),COLUMN(NOTA[TANGGAL]))&amp;":"&amp;ADDRESS(ROW(),COLUMN(NOTA[TANGGAL]))),-1)))</f>
        <v>45141</v>
      </c>
      <c r="AH931" s="42" t="str">
        <f ca="1">IF(NOTA[[#This Row],[NAMA BARANG]]="","",INDEX(NOTA[SUPPLIER],MATCH(,INDIRECT(ADDRESS(ROW(NOTA[ID]),COLUMN(NOTA[ID]))&amp;":"&amp;ADDRESS(ROW(),COLUMN(NOTA[ID]))),-1)))</f>
        <v>BINTANG SAUDARA</v>
      </c>
      <c r="AI931" s="42" t="str">
        <f ca="1">IF(NOTA[[#This Row],[ID_H]]="","",IF(NOTA[[#This Row],[FAKTUR]]="",INDIRECT(ADDRESS(ROW()-1,COLUMN())),NOTA[[#This Row],[FAKTUR]]))</f>
        <v>UNTANA</v>
      </c>
      <c r="AJ931" s="39">
        <f ca="1">IF(NOTA[[#This Row],[ID]]="","",COUNTIF(NOTA[ID_H],NOTA[[#This Row],[ID_H]]))</f>
        <v>1</v>
      </c>
      <c r="AK931" s="39">
        <f>IF(NOTA[[#This Row],[TGL.NOTA]]="",IF(NOTA[[#This Row],[SUPPLIER_H]]="","",AK930),MONTH(NOTA[[#This Row],[TGL.NOTA]]))</f>
        <v>7</v>
      </c>
      <c r="AL931" s="39" t="str">
        <f>LOWER(SUBSTITUTE(SUBSTITUTE(SUBSTITUTE(SUBSTITUTE(SUBSTITUTE(SUBSTITUTE(SUBSTITUTE(SUBSTITUTE(SUBSTITUTE(NOTA[NAMA BARANG]," ",),".",""),"-",""),"(",""),")",""),",",""),"/",""),"""",""),"+",""))</f>
        <v>kertascrepepotkreasikoalamerahputih</v>
      </c>
      <c r="AM9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kertascrepepotkreasikoalamerahputih1755000</v>
      </c>
      <c r="AN9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kertascrepepotkreasikoalamerahputih1755000</v>
      </c>
      <c r="AO931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SAUDARAUNTANASO202307008149945136kertascrepepotkreasikoalamerahputih</v>
      </c>
      <c r="AP931" s="39" t="e">
        <f>IF(NOTA[[#This Row],[CONCAT4]]="","",_xlfn.IFNA(MATCH(NOTA[[#This Row],[CONCAT4]],[2]!RAW[CONCAT_H],0),FALSE))</f>
        <v>#REF!</v>
      </c>
      <c r="AQ931" s="39">
        <f>IF(NOTA[[#This Row],[CONCAT1]]="","",MATCH(NOTA[[#This Row],[CONCAT1]],[3]!db[NB NOTA_C],0))</f>
        <v>1403</v>
      </c>
      <c r="AR931" s="39" t="b">
        <f>IF(NOTA[[#This Row],[QTY/ CTN]]="","",TRUE)</f>
        <v>1</v>
      </c>
      <c r="AS931" s="39" t="str">
        <f ca="1">IF(NOTA[[#This Row],[ID_H]]="","",IF(NOTA[[#This Row],[Column3]]=TRUE,NOTA[[#This Row],[QTY/ CTN]],INDEX([3]!db[QTY/ CTN],NOTA[[#This Row],[//DB]])))</f>
        <v>270 PAK</v>
      </c>
      <c r="AT9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kertascrepepotkreasikoalamerahputih270pakuntana</v>
      </c>
      <c r="AU931" s="39" t="e">
        <f ca="1">IF(NOTA[[#This Row],[ID_H]]="","",MATCH(NOTA[[#This Row],[NB NOTA_C_QTY]],[4]!db[NB NOTA_C_QTY+F],0))</f>
        <v>#REF!</v>
      </c>
      <c r="AV931" s="55">
        <f ca="1">IF(NOTA[[#This Row],[NB NOTA_C_QTY]]="","",ROW()-2)</f>
        <v>929</v>
      </c>
    </row>
    <row r="932" spans="1:48" ht="20.100000000000001" customHeight="1" x14ac:dyDescent="0.25">
      <c r="A9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39" t="str">
        <f>IF(NOTA[[#This Row],[ID_P]]="","",MATCH(NOTA[[#This Row],[ID_P]],[1]!B_MSK[N_ID],0))</f>
        <v/>
      </c>
      <c r="D932" s="39" t="str">
        <f ca="1">IF(NOTA[[#This Row],[NAMA BARANG]]="","",INDEX(NOTA[ID],MATCH(,INDIRECT(ADDRESS(ROW(NOTA[ID]),COLUMN(NOTA[ID]))&amp;":"&amp;ADDRESS(ROW(),COLUMN(NOTA[ID]))),-1)))</f>
        <v/>
      </c>
      <c r="E932" s="47"/>
      <c r="H932" s="48"/>
      <c r="N932" s="39"/>
      <c r="Q932" s="43"/>
      <c r="R932" s="49"/>
      <c r="S932" s="50"/>
      <c r="U932" s="51"/>
      <c r="V932" s="46"/>
      <c r="W932" s="51" t="str">
        <f>IF(NOTA[[#This Row],[HARGA/ CTN]]="",NOTA[[#This Row],[JUMLAH_H]],NOTA[[#This Row],[HARGA/ CTN]]*IF(NOTA[[#This Row],[C]]="",0,NOTA[[#This Row],[C]]))</f>
        <v/>
      </c>
      <c r="X932" s="51" t="str">
        <f>IF(NOTA[[#This Row],[JUMLAH]]="","",NOTA[[#This Row],[JUMLAH]]*NOTA[[#This Row],[DISC 1]])</f>
        <v/>
      </c>
      <c r="Y932" s="51" t="str">
        <f>IF(NOTA[[#This Row],[JUMLAH]]="","",(NOTA[[#This Row],[JUMLAH]]-NOTA[[#This Row],[DISC 1-]])*NOTA[[#This Row],[DISC 2]])</f>
        <v/>
      </c>
      <c r="Z932" s="51" t="str">
        <f>IF(NOTA[[#This Row],[JUMLAH]]="","",NOTA[[#This Row],[DISC 1-]]+NOTA[[#This Row],[DISC 2-]])</f>
        <v/>
      </c>
      <c r="AA932" s="51" t="str">
        <f>IF(NOTA[[#This Row],[JUMLAH]]="","",NOTA[[#This Row],[JUMLAH]]-NOTA[[#This Row],[DISC]])</f>
        <v/>
      </c>
      <c r="AB932" s="51"/>
      <c r="AC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51" t="str">
        <f>IF(OR(NOTA[[#This Row],[QTY]]="",NOTA[[#This Row],[HARGA SATUAN]]="",),"",NOTA[[#This Row],[QTY]]*NOTA[[#This Row],[HARGA SATUAN]])</f>
        <v/>
      </c>
      <c r="AG932" s="40" t="str">
        <f ca="1">IF(NOTA[ID_H]="","",INDEX(NOTA[TANGGAL],MATCH(,INDIRECT(ADDRESS(ROW(NOTA[TANGGAL]),COLUMN(NOTA[TANGGAL]))&amp;":"&amp;ADDRESS(ROW(),COLUMN(NOTA[TANGGAL]))),-1)))</f>
        <v/>
      </c>
      <c r="AH932" s="42" t="str">
        <f ca="1">IF(NOTA[[#This Row],[NAMA BARANG]]="","",INDEX(NOTA[SUPPLIER],MATCH(,INDIRECT(ADDRESS(ROW(NOTA[ID]),COLUMN(NOTA[ID]))&amp;":"&amp;ADDRESS(ROW(),COLUMN(NOTA[ID]))),-1)))</f>
        <v/>
      </c>
      <c r="AI932" s="42" t="str">
        <f ca="1">IF(NOTA[[#This Row],[ID_H]]="","",IF(NOTA[[#This Row],[FAKTUR]]="",INDIRECT(ADDRESS(ROW()-1,COLUMN())),NOTA[[#This Row],[FAKTUR]]))</f>
        <v/>
      </c>
      <c r="AJ932" s="39" t="str">
        <f ca="1">IF(NOTA[[#This Row],[ID]]="","",COUNTIF(NOTA[ID_H],NOTA[[#This Row],[ID_H]]))</f>
        <v/>
      </c>
      <c r="AK932" s="39" t="str">
        <f ca="1">IF(NOTA[[#This Row],[TGL.NOTA]]="",IF(NOTA[[#This Row],[SUPPLIER_H]]="","",AK931),MONTH(NOTA[[#This Row],[TGL.NOTA]]))</f>
        <v/>
      </c>
      <c r="AL932" s="39" t="str">
        <f>LOWER(SUBSTITUTE(SUBSTITUTE(SUBSTITUTE(SUBSTITUTE(SUBSTITUTE(SUBSTITUTE(SUBSTITUTE(SUBSTITUTE(SUBSTITUTE(NOTA[NAMA BARANG]," ",),".",""),"-",""),"(",""),")",""),",",""),"/",""),"""",""),"+",""))</f>
        <v/>
      </c>
      <c r="AM9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39" t="str">
        <f>IF(NOTA[[#This Row],[CONCAT4]]="","",_xlfn.IFNA(MATCH(NOTA[[#This Row],[CONCAT4]],[2]!RAW[CONCAT_H],0),FALSE))</f>
        <v/>
      </c>
      <c r="AQ932" s="39" t="str">
        <f>IF(NOTA[[#This Row],[CONCAT1]]="","",MATCH(NOTA[[#This Row],[CONCAT1]],[3]!db[NB NOTA_C],0))</f>
        <v/>
      </c>
      <c r="AR932" s="39" t="str">
        <f>IF(NOTA[[#This Row],[QTY/ CTN]]="","",TRUE)</f>
        <v/>
      </c>
      <c r="AS932" s="39" t="str">
        <f ca="1">IF(NOTA[[#This Row],[ID_H]]="","",IF(NOTA[[#This Row],[Column3]]=TRUE,NOTA[[#This Row],[QTY/ CTN]],INDEX([3]!db[QTY/ CTN],NOTA[[#This Row],[//DB]])))</f>
        <v/>
      </c>
      <c r="AT9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39" t="str">
        <f ca="1">IF(NOTA[[#This Row],[ID_H]]="","",MATCH(NOTA[[#This Row],[NB NOTA_C_QTY]],[4]!db[NB NOTA_C_QTY+F],0))</f>
        <v/>
      </c>
      <c r="AV932" s="55" t="str">
        <f ca="1">IF(NOTA[[#This Row],[NB NOTA_C_QTY]]="","",ROW()-2)</f>
        <v/>
      </c>
    </row>
    <row r="933" spans="1:48" ht="20.100000000000001" customHeight="1" x14ac:dyDescent="0.25">
      <c r="A9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39" t="str">
        <f>IF(NOTA[[#This Row],[ID_P]]="","",MATCH(NOTA[[#This Row],[ID_P]],[1]!B_MSK[N_ID],0))</f>
        <v/>
      </c>
      <c r="D933" s="39" t="str">
        <f ca="1">IF(NOTA[[#This Row],[NAMA BARANG]]="","",INDEX(NOTA[ID],MATCH(,INDIRECT(ADDRESS(ROW(NOTA[ID]),COLUMN(NOTA[ID]))&amp;":"&amp;ADDRESS(ROW(),COLUMN(NOTA[ID]))),-1)))</f>
        <v/>
      </c>
      <c r="E933" s="47"/>
      <c r="H933" s="48"/>
      <c r="N933" s="39"/>
      <c r="Q933" s="43"/>
      <c r="R933" s="49"/>
      <c r="S933" s="50"/>
      <c r="U933" s="51"/>
      <c r="V933" s="46"/>
      <c r="W933" s="51" t="str">
        <f>IF(NOTA[[#This Row],[HARGA/ CTN]]="",NOTA[[#This Row],[JUMLAH_H]],NOTA[[#This Row],[HARGA/ CTN]]*IF(NOTA[[#This Row],[C]]="",0,NOTA[[#This Row],[C]]))</f>
        <v/>
      </c>
      <c r="X933" s="51" t="str">
        <f>IF(NOTA[[#This Row],[JUMLAH]]="","",NOTA[[#This Row],[JUMLAH]]*NOTA[[#This Row],[DISC 1]])</f>
        <v/>
      </c>
      <c r="Y933" s="51" t="str">
        <f>IF(NOTA[[#This Row],[JUMLAH]]="","",(NOTA[[#This Row],[JUMLAH]]-NOTA[[#This Row],[DISC 1-]])*NOTA[[#This Row],[DISC 2]])</f>
        <v/>
      </c>
      <c r="Z933" s="51" t="str">
        <f>IF(NOTA[[#This Row],[JUMLAH]]="","",NOTA[[#This Row],[DISC 1-]]+NOTA[[#This Row],[DISC 2-]])</f>
        <v/>
      </c>
      <c r="AA933" s="51" t="str">
        <f>IF(NOTA[[#This Row],[JUMLAH]]="","",NOTA[[#This Row],[JUMLAH]]-NOTA[[#This Row],[DISC]])</f>
        <v/>
      </c>
      <c r="AB933" s="51"/>
      <c r="AC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51" t="str">
        <f>IF(OR(NOTA[[#This Row],[QTY]]="",NOTA[[#This Row],[HARGA SATUAN]]="",),"",NOTA[[#This Row],[QTY]]*NOTA[[#This Row],[HARGA SATUAN]])</f>
        <v/>
      </c>
      <c r="AG933" s="40" t="str">
        <f ca="1">IF(NOTA[ID_H]="","",INDEX(NOTA[TANGGAL],MATCH(,INDIRECT(ADDRESS(ROW(NOTA[TANGGAL]),COLUMN(NOTA[TANGGAL]))&amp;":"&amp;ADDRESS(ROW(),COLUMN(NOTA[TANGGAL]))),-1)))</f>
        <v/>
      </c>
      <c r="AH933" s="42" t="str">
        <f ca="1">IF(NOTA[[#This Row],[NAMA BARANG]]="","",INDEX(NOTA[SUPPLIER],MATCH(,INDIRECT(ADDRESS(ROW(NOTA[ID]),COLUMN(NOTA[ID]))&amp;":"&amp;ADDRESS(ROW(),COLUMN(NOTA[ID]))),-1)))</f>
        <v/>
      </c>
      <c r="AI933" s="42" t="str">
        <f ca="1">IF(NOTA[[#This Row],[ID_H]]="","",IF(NOTA[[#This Row],[FAKTUR]]="",INDIRECT(ADDRESS(ROW()-1,COLUMN())),NOTA[[#This Row],[FAKTUR]]))</f>
        <v/>
      </c>
      <c r="AJ933" s="39" t="str">
        <f ca="1">IF(NOTA[[#This Row],[ID]]="","",COUNTIF(NOTA[ID_H],NOTA[[#This Row],[ID_H]]))</f>
        <v/>
      </c>
      <c r="AK933" s="39" t="str">
        <f ca="1">IF(NOTA[[#This Row],[TGL.NOTA]]="",IF(NOTA[[#This Row],[SUPPLIER_H]]="","",AK932),MONTH(NOTA[[#This Row],[TGL.NOTA]]))</f>
        <v/>
      </c>
      <c r="AL933" s="39" t="str">
        <f>LOWER(SUBSTITUTE(SUBSTITUTE(SUBSTITUTE(SUBSTITUTE(SUBSTITUTE(SUBSTITUTE(SUBSTITUTE(SUBSTITUTE(SUBSTITUTE(NOTA[NAMA BARANG]," ",),".",""),"-",""),"(",""),")",""),",",""),"/",""),"""",""),"+",""))</f>
        <v/>
      </c>
      <c r="AM9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39" t="str">
        <f>IF(NOTA[[#This Row],[CONCAT4]]="","",_xlfn.IFNA(MATCH(NOTA[[#This Row],[CONCAT4]],[2]!RAW[CONCAT_H],0),FALSE))</f>
        <v/>
      </c>
      <c r="AQ933" s="39" t="str">
        <f>IF(NOTA[[#This Row],[CONCAT1]]="","",MATCH(NOTA[[#This Row],[CONCAT1]],[3]!db[NB NOTA_C],0))</f>
        <v/>
      </c>
      <c r="AR933" s="39" t="str">
        <f>IF(NOTA[[#This Row],[QTY/ CTN]]="","",TRUE)</f>
        <v/>
      </c>
      <c r="AS933" s="39" t="str">
        <f ca="1">IF(NOTA[[#This Row],[ID_H]]="","",IF(NOTA[[#This Row],[Column3]]=TRUE,NOTA[[#This Row],[QTY/ CTN]],INDEX([3]!db[QTY/ CTN],NOTA[[#This Row],[//DB]])))</f>
        <v/>
      </c>
      <c r="AT9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39" t="str">
        <f ca="1">IF(NOTA[[#This Row],[ID_H]]="","",MATCH(NOTA[[#This Row],[NB NOTA_C_QTY]],[4]!db[NB NOTA_C_QTY+F],0))</f>
        <v/>
      </c>
      <c r="AV933" s="55" t="str">
        <f ca="1">IF(NOTA[[#This Row],[NB NOTA_C_QTY]]="","",ROW()-2)</f>
        <v/>
      </c>
    </row>
    <row r="934" spans="1:48" ht="20.100000000000001" customHeight="1" x14ac:dyDescent="0.25">
      <c r="A9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39" t="str">
        <f>IF(NOTA[[#This Row],[ID_P]]="","",MATCH(NOTA[[#This Row],[ID_P]],[1]!B_MSK[N_ID],0))</f>
        <v/>
      </c>
      <c r="D934" s="39" t="str">
        <f ca="1">IF(NOTA[[#This Row],[NAMA BARANG]]="","",INDEX(NOTA[ID],MATCH(,INDIRECT(ADDRESS(ROW(NOTA[ID]),COLUMN(NOTA[ID]))&amp;":"&amp;ADDRESS(ROW(),COLUMN(NOTA[ID]))),-1)))</f>
        <v/>
      </c>
      <c r="E934" s="47"/>
      <c r="H934" s="48"/>
      <c r="N934" s="39"/>
      <c r="Q934" s="43"/>
      <c r="R934" s="49"/>
      <c r="S934" s="50"/>
      <c r="U934" s="51"/>
      <c r="V934" s="46"/>
      <c r="W934" s="51" t="str">
        <f>IF(NOTA[[#This Row],[HARGA/ CTN]]="",NOTA[[#This Row],[JUMLAH_H]],NOTA[[#This Row],[HARGA/ CTN]]*IF(NOTA[[#This Row],[C]]="",0,NOTA[[#This Row],[C]]))</f>
        <v/>
      </c>
      <c r="X934" s="51" t="str">
        <f>IF(NOTA[[#This Row],[JUMLAH]]="","",NOTA[[#This Row],[JUMLAH]]*NOTA[[#This Row],[DISC 1]])</f>
        <v/>
      </c>
      <c r="Y934" s="51" t="str">
        <f>IF(NOTA[[#This Row],[JUMLAH]]="","",(NOTA[[#This Row],[JUMLAH]]-NOTA[[#This Row],[DISC 1-]])*NOTA[[#This Row],[DISC 2]])</f>
        <v/>
      </c>
      <c r="Z934" s="51" t="str">
        <f>IF(NOTA[[#This Row],[JUMLAH]]="","",NOTA[[#This Row],[DISC 1-]]+NOTA[[#This Row],[DISC 2-]])</f>
        <v/>
      </c>
      <c r="AA934" s="51" t="str">
        <f>IF(NOTA[[#This Row],[JUMLAH]]="","",NOTA[[#This Row],[JUMLAH]]-NOTA[[#This Row],[DISC]])</f>
        <v/>
      </c>
      <c r="AB934" s="51"/>
      <c r="AC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51" t="str">
        <f>IF(OR(NOTA[[#This Row],[QTY]]="",NOTA[[#This Row],[HARGA SATUAN]]="",),"",NOTA[[#This Row],[QTY]]*NOTA[[#This Row],[HARGA SATUAN]])</f>
        <v/>
      </c>
      <c r="AG934" s="40" t="str">
        <f ca="1">IF(NOTA[ID_H]="","",INDEX(NOTA[TANGGAL],MATCH(,INDIRECT(ADDRESS(ROW(NOTA[TANGGAL]),COLUMN(NOTA[TANGGAL]))&amp;":"&amp;ADDRESS(ROW(),COLUMN(NOTA[TANGGAL]))),-1)))</f>
        <v/>
      </c>
      <c r="AH934" s="42" t="str">
        <f ca="1">IF(NOTA[[#This Row],[NAMA BARANG]]="","",INDEX(NOTA[SUPPLIER],MATCH(,INDIRECT(ADDRESS(ROW(NOTA[ID]),COLUMN(NOTA[ID]))&amp;":"&amp;ADDRESS(ROW(),COLUMN(NOTA[ID]))),-1)))</f>
        <v/>
      </c>
      <c r="AI934" s="42" t="str">
        <f ca="1">IF(NOTA[[#This Row],[ID_H]]="","",IF(NOTA[[#This Row],[FAKTUR]]="",INDIRECT(ADDRESS(ROW()-1,COLUMN())),NOTA[[#This Row],[FAKTUR]]))</f>
        <v/>
      </c>
      <c r="AJ934" s="39" t="str">
        <f ca="1">IF(NOTA[[#This Row],[ID]]="","",COUNTIF(NOTA[ID_H],NOTA[[#This Row],[ID_H]]))</f>
        <v/>
      </c>
      <c r="AK934" s="39" t="str">
        <f ca="1">IF(NOTA[[#This Row],[TGL.NOTA]]="",IF(NOTA[[#This Row],[SUPPLIER_H]]="","",AK933),MONTH(NOTA[[#This Row],[TGL.NOTA]]))</f>
        <v/>
      </c>
      <c r="AL934" s="39" t="str">
        <f>LOWER(SUBSTITUTE(SUBSTITUTE(SUBSTITUTE(SUBSTITUTE(SUBSTITUTE(SUBSTITUTE(SUBSTITUTE(SUBSTITUTE(SUBSTITUTE(NOTA[NAMA BARANG]," ",),".",""),"-",""),"(",""),")",""),",",""),"/",""),"""",""),"+",""))</f>
        <v/>
      </c>
      <c r="AM9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39" t="str">
        <f>IF(NOTA[[#This Row],[CONCAT4]]="","",_xlfn.IFNA(MATCH(NOTA[[#This Row],[CONCAT4]],[2]!RAW[CONCAT_H],0),FALSE))</f>
        <v/>
      </c>
      <c r="AQ934" s="39" t="str">
        <f>IF(NOTA[[#This Row],[CONCAT1]]="","",MATCH(NOTA[[#This Row],[CONCAT1]],[3]!db[NB NOTA_C],0))</f>
        <v/>
      </c>
      <c r="AR934" s="39" t="str">
        <f>IF(NOTA[[#This Row],[QTY/ CTN]]="","",TRUE)</f>
        <v/>
      </c>
      <c r="AS934" s="39" t="str">
        <f ca="1">IF(NOTA[[#This Row],[ID_H]]="","",IF(NOTA[[#This Row],[Column3]]=TRUE,NOTA[[#This Row],[QTY/ CTN]],INDEX([3]!db[QTY/ CTN],NOTA[[#This Row],[//DB]])))</f>
        <v/>
      </c>
      <c r="AT9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39" t="str">
        <f ca="1">IF(NOTA[[#This Row],[ID_H]]="","",MATCH(NOTA[[#This Row],[NB NOTA_C_QTY]],[4]!db[NB NOTA_C_QTY+F],0))</f>
        <v/>
      </c>
      <c r="AV934" s="55" t="str">
        <f ca="1">IF(NOTA[[#This Row],[NB NOTA_C_QTY]]="","",ROW()-2)</f>
        <v/>
      </c>
    </row>
    <row r="935" spans="1:48" ht="20.100000000000001" customHeight="1" x14ac:dyDescent="0.25">
      <c r="A9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39" t="str">
        <f>IF(NOTA[[#This Row],[ID_P]]="","",MATCH(NOTA[[#This Row],[ID_P]],[1]!B_MSK[N_ID],0))</f>
        <v/>
      </c>
      <c r="D935" s="39" t="str">
        <f ca="1">IF(NOTA[[#This Row],[NAMA BARANG]]="","",INDEX(NOTA[ID],MATCH(,INDIRECT(ADDRESS(ROW(NOTA[ID]),COLUMN(NOTA[ID]))&amp;":"&amp;ADDRESS(ROW(),COLUMN(NOTA[ID]))),-1)))</f>
        <v/>
      </c>
      <c r="E935" s="47"/>
      <c r="H935" s="48"/>
      <c r="N935" s="39"/>
      <c r="Q935" s="43"/>
      <c r="R935" s="49"/>
      <c r="S935" s="50"/>
      <c r="U935" s="51"/>
      <c r="V935" s="46"/>
      <c r="W935" s="51" t="str">
        <f>IF(NOTA[[#This Row],[HARGA/ CTN]]="",NOTA[[#This Row],[JUMLAH_H]],NOTA[[#This Row],[HARGA/ CTN]]*IF(NOTA[[#This Row],[C]]="",0,NOTA[[#This Row],[C]]))</f>
        <v/>
      </c>
      <c r="X935" s="51" t="str">
        <f>IF(NOTA[[#This Row],[JUMLAH]]="","",NOTA[[#This Row],[JUMLAH]]*NOTA[[#This Row],[DISC 1]])</f>
        <v/>
      </c>
      <c r="Y935" s="51" t="str">
        <f>IF(NOTA[[#This Row],[JUMLAH]]="","",(NOTA[[#This Row],[JUMLAH]]-NOTA[[#This Row],[DISC 1-]])*NOTA[[#This Row],[DISC 2]])</f>
        <v/>
      </c>
      <c r="Z935" s="51" t="str">
        <f>IF(NOTA[[#This Row],[JUMLAH]]="","",NOTA[[#This Row],[DISC 1-]]+NOTA[[#This Row],[DISC 2-]])</f>
        <v/>
      </c>
      <c r="AA935" s="51" t="str">
        <f>IF(NOTA[[#This Row],[JUMLAH]]="","",NOTA[[#This Row],[JUMLAH]]-NOTA[[#This Row],[DISC]])</f>
        <v/>
      </c>
      <c r="AB935" s="51"/>
      <c r="AC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51" t="str">
        <f>IF(OR(NOTA[[#This Row],[QTY]]="",NOTA[[#This Row],[HARGA SATUAN]]="",),"",NOTA[[#This Row],[QTY]]*NOTA[[#This Row],[HARGA SATUAN]])</f>
        <v/>
      </c>
      <c r="AG935" s="40" t="str">
        <f ca="1">IF(NOTA[ID_H]="","",INDEX(NOTA[TANGGAL],MATCH(,INDIRECT(ADDRESS(ROW(NOTA[TANGGAL]),COLUMN(NOTA[TANGGAL]))&amp;":"&amp;ADDRESS(ROW(),COLUMN(NOTA[TANGGAL]))),-1)))</f>
        <v/>
      </c>
      <c r="AH935" s="42" t="str">
        <f ca="1">IF(NOTA[[#This Row],[NAMA BARANG]]="","",INDEX(NOTA[SUPPLIER],MATCH(,INDIRECT(ADDRESS(ROW(NOTA[ID]),COLUMN(NOTA[ID]))&amp;":"&amp;ADDRESS(ROW(),COLUMN(NOTA[ID]))),-1)))</f>
        <v/>
      </c>
      <c r="AI935" s="42" t="str">
        <f ca="1">IF(NOTA[[#This Row],[ID_H]]="","",IF(NOTA[[#This Row],[FAKTUR]]="",INDIRECT(ADDRESS(ROW()-1,COLUMN())),NOTA[[#This Row],[FAKTUR]]))</f>
        <v/>
      </c>
      <c r="AJ935" s="39" t="str">
        <f ca="1">IF(NOTA[[#This Row],[ID]]="","",COUNTIF(NOTA[ID_H],NOTA[[#This Row],[ID_H]]))</f>
        <v/>
      </c>
      <c r="AK935" s="39" t="str">
        <f ca="1">IF(NOTA[[#This Row],[TGL.NOTA]]="",IF(NOTA[[#This Row],[SUPPLIER_H]]="","",AK934),MONTH(NOTA[[#This Row],[TGL.NOTA]]))</f>
        <v/>
      </c>
      <c r="AL935" s="39" t="str">
        <f>LOWER(SUBSTITUTE(SUBSTITUTE(SUBSTITUTE(SUBSTITUTE(SUBSTITUTE(SUBSTITUTE(SUBSTITUTE(SUBSTITUTE(SUBSTITUTE(NOTA[NAMA BARANG]," ",),".",""),"-",""),"(",""),")",""),",",""),"/",""),"""",""),"+",""))</f>
        <v/>
      </c>
      <c r="AM9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39" t="str">
        <f>IF(NOTA[[#This Row],[CONCAT4]]="","",_xlfn.IFNA(MATCH(NOTA[[#This Row],[CONCAT4]],[2]!RAW[CONCAT_H],0),FALSE))</f>
        <v/>
      </c>
      <c r="AQ935" s="39" t="str">
        <f>IF(NOTA[[#This Row],[CONCAT1]]="","",MATCH(NOTA[[#This Row],[CONCAT1]],[3]!db[NB NOTA_C],0))</f>
        <v/>
      </c>
      <c r="AR935" s="39" t="str">
        <f>IF(NOTA[[#This Row],[QTY/ CTN]]="","",TRUE)</f>
        <v/>
      </c>
      <c r="AS935" s="39" t="str">
        <f ca="1">IF(NOTA[[#This Row],[ID_H]]="","",IF(NOTA[[#This Row],[Column3]]=TRUE,NOTA[[#This Row],[QTY/ CTN]],INDEX([3]!db[QTY/ CTN],NOTA[[#This Row],[//DB]])))</f>
        <v/>
      </c>
      <c r="AT9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39" t="str">
        <f ca="1">IF(NOTA[[#This Row],[ID_H]]="","",MATCH(NOTA[[#This Row],[NB NOTA_C_QTY]],[4]!db[NB NOTA_C_QTY+F],0))</f>
        <v/>
      </c>
      <c r="AV935" s="55" t="str">
        <f ca="1">IF(NOTA[[#This Row],[NB NOTA_C_QTY]]="","",ROW()-2)</f>
        <v/>
      </c>
    </row>
    <row r="936" spans="1:48" ht="20.100000000000001" customHeight="1" x14ac:dyDescent="0.25">
      <c r="A9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39" t="str">
        <f>IF(NOTA[[#This Row],[ID_P]]="","",MATCH(NOTA[[#This Row],[ID_P]],[1]!B_MSK[N_ID],0))</f>
        <v/>
      </c>
      <c r="D936" s="39" t="str">
        <f ca="1">IF(NOTA[[#This Row],[NAMA BARANG]]="","",INDEX(NOTA[ID],MATCH(,INDIRECT(ADDRESS(ROW(NOTA[ID]),COLUMN(NOTA[ID]))&amp;":"&amp;ADDRESS(ROW(),COLUMN(NOTA[ID]))),-1)))</f>
        <v/>
      </c>
      <c r="E936" s="47"/>
      <c r="H936" s="48"/>
      <c r="N936" s="39"/>
      <c r="Q936" s="43"/>
      <c r="R936" s="49"/>
      <c r="S936" s="50"/>
      <c r="U936" s="51"/>
      <c r="V936" s="46"/>
      <c r="W936" s="51" t="str">
        <f>IF(NOTA[[#This Row],[HARGA/ CTN]]="",NOTA[[#This Row],[JUMLAH_H]],NOTA[[#This Row],[HARGA/ CTN]]*IF(NOTA[[#This Row],[C]]="",0,NOTA[[#This Row],[C]]))</f>
        <v/>
      </c>
      <c r="X936" s="51" t="str">
        <f>IF(NOTA[[#This Row],[JUMLAH]]="","",NOTA[[#This Row],[JUMLAH]]*NOTA[[#This Row],[DISC 1]])</f>
        <v/>
      </c>
      <c r="Y936" s="51" t="str">
        <f>IF(NOTA[[#This Row],[JUMLAH]]="","",(NOTA[[#This Row],[JUMLAH]]-NOTA[[#This Row],[DISC 1-]])*NOTA[[#This Row],[DISC 2]])</f>
        <v/>
      </c>
      <c r="Z936" s="51" t="str">
        <f>IF(NOTA[[#This Row],[JUMLAH]]="","",NOTA[[#This Row],[DISC 1-]]+NOTA[[#This Row],[DISC 2-]])</f>
        <v/>
      </c>
      <c r="AA936" s="51" t="str">
        <f>IF(NOTA[[#This Row],[JUMLAH]]="","",NOTA[[#This Row],[JUMLAH]]-NOTA[[#This Row],[DISC]])</f>
        <v/>
      </c>
      <c r="AB936" s="51"/>
      <c r="AC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51" t="str">
        <f>IF(OR(NOTA[[#This Row],[QTY]]="",NOTA[[#This Row],[HARGA SATUAN]]="",),"",NOTA[[#This Row],[QTY]]*NOTA[[#This Row],[HARGA SATUAN]])</f>
        <v/>
      </c>
      <c r="AG936" s="40" t="str">
        <f ca="1">IF(NOTA[ID_H]="","",INDEX(NOTA[TANGGAL],MATCH(,INDIRECT(ADDRESS(ROW(NOTA[TANGGAL]),COLUMN(NOTA[TANGGAL]))&amp;":"&amp;ADDRESS(ROW(),COLUMN(NOTA[TANGGAL]))),-1)))</f>
        <v/>
      </c>
      <c r="AH936" s="42" t="str">
        <f ca="1">IF(NOTA[[#This Row],[NAMA BARANG]]="","",INDEX(NOTA[SUPPLIER],MATCH(,INDIRECT(ADDRESS(ROW(NOTA[ID]),COLUMN(NOTA[ID]))&amp;":"&amp;ADDRESS(ROW(),COLUMN(NOTA[ID]))),-1)))</f>
        <v/>
      </c>
      <c r="AI936" s="42" t="str">
        <f ca="1">IF(NOTA[[#This Row],[ID_H]]="","",IF(NOTA[[#This Row],[FAKTUR]]="",INDIRECT(ADDRESS(ROW()-1,COLUMN())),NOTA[[#This Row],[FAKTUR]]))</f>
        <v/>
      </c>
      <c r="AJ936" s="39" t="str">
        <f ca="1">IF(NOTA[[#This Row],[ID]]="","",COUNTIF(NOTA[ID_H],NOTA[[#This Row],[ID_H]]))</f>
        <v/>
      </c>
      <c r="AK936" s="39" t="str">
        <f ca="1">IF(NOTA[[#This Row],[TGL.NOTA]]="",IF(NOTA[[#This Row],[SUPPLIER_H]]="","",AK935),MONTH(NOTA[[#This Row],[TGL.NOTA]]))</f>
        <v/>
      </c>
      <c r="AL936" s="39" t="str">
        <f>LOWER(SUBSTITUTE(SUBSTITUTE(SUBSTITUTE(SUBSTITUTE(SUBSTITUTE(SUBSTITUTE(SUBSTITUTE(SUBSTITUTE(SUBSTITUTE(NOTA[NAMA BARANG]," ",),".",""),"-",""),"(",""),")",""),",",""),"/",""),"""",""),"+",""))</f>
        <v/>
      </c>
      <c r="AM9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39" t="str">
        <f>IF(NOTA[[#This Row],[CONCAT4]]="","",_xlfn.IFNA(MATCH(NOTA[[#This Row],[CONCAT4]],[2]!RAW[CONCAT_H],0),FALSE))</f>
        <v/>
      </c>
      <c r="AQ936" s="39" t="str">
        <f>IF(NOTA[[#This Row],[CONCAT1]]="","",MATCH(NOTA[[#This Row],[CONCAT1]],[3]!db[NB NOTA_C],0))</f>
        <v/>
      </c>
      <c r="AR936" s="39" t="str">
        <f>IF(NOTA[[#This Row],[QTY/ CTN]]="","",TRUE)</f>
        <v/>
      </c>
      <c r="AS936" s="39" t="str">
        <f ca="1">IF(NOTA[[#This Row],[ID_H]]="","",IF(NOTA[[#This Row],[Column3]]=TRUE,NOTA[[#This Row],[QTY/ CTN]],INDEX([3]!db[QTY/ CTN],NOTA[[#This Row],[//DB]])))</f>
        <v/>
      </c>
      <c r="AT9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6" s="39" t="str">
        <f ca="1">IF(NOTA[[#This Row],[ID_H]]="","",MATCH(NOTA[[#This Row],[NB NOTA_C_QTY]],[4]!db[NB NOTA_C_QTY+F],0))</f>
        <v/>
      </c>
      <c r="AV936" s="55" t="str">
        <f ca="1">IF(NOTA[[#This Row],[NB NOTA_C_QTY]]="","",ROW()-2)</f>
        <v/>
      </c>
    </row>
    <row r="937" spans="1:48" ht="20.100000000000001" customHeight="1" x14ac:dyDescent="0.25">
      <c r="A9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39" t="str">
        <f>IF(NOTA[[#This Row],[ID_P]]="","",MATCH(NOTA[[#This Row],[ID_P]],[1]!B_MSK[N_ID],0))</f>
        <v/>
      </c>
      <c r="D937" s="39" t="str">
        <f ca="1">IF(NOTA[[#This Row],[NAMA BARANG]]="","",INDEX(NOTA[ID],MATCH(,INDIRECT(ADDRESS(ROW(NOTA[ID]),COLUMN(NOTA[ID]))&amp;":"&amp;ADDRESS(ROW(),COLUMN(NOTA[ID]))),-1)))</f>
        <v/>
      </c>
      <c r="E937" s="47"/>
      <c r="H937" s="48"/>
      <c r="N937" s="39"/>
      <c r="Q937" s="43"/>
      <c r="R937" s="49"/>
      <c r="S937" s="50"/>
      <c r="U937" s="51"/>
      <c r="V937" s="46"/>
      <c r="W937" s="51" t="str">
        <f>IF(NOTA[[#This Row],[HARGA/ CTN]]="",NOTA[[#This Row],[JUMLAH_H]],NOTA[[#This Row],[HARGA/ CTN]]*IF(NOTA[[#This Row],[C]]="",0,NOTA[[#This Row],[C]]))</f>
        <v/>
      </c>
      <c r="X937" s="51" t="str">
        <f>IF(NOTA[[#This Row],[JUMLAH]]="","",NOTA[[#This Row],[JUMLAH]]*NOTA[[#This Row],[DISC 1]])</f>
        <v/>
      </c>
      <c r="Y937" s="51" t="str">
        <f>IF(NOTA[[#This Row],[JUMLAH]]="","",(NOTA[[#This Row],[JUMLAH]]-NOTA[[#This Row],[DISC 1-]])*NOTA[[#This Row],[DISC 2]])</f>
        <v/>
      </c>
      <c r="Z937" s="51" t="str">
        <f>IF(NOTA[[#This Row],[JUMLAH]]="","",NOTA[[#This Row],[DISC 1-]]+NOTA[[#This Row],[DISC 2-]])</f>
        <v/>
      </c>
      <c r="AA937" s="51" t="str">
        <f>IF(NOTA[[#This Row],[JUMLAH]]="","",NOTA[[#This Row],[JUMLAH]]-NOTA[[#This Row],[DISC]])</f>
        <v/>
      </c>
      <c r="AB937" s="51"/>
      <c r="AC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51" t="str">
        <f>IF(OR(NOTA[[#This Row],[QTY]]="",NOTA[[#This Row],[HARGA SATUAN]]="",),"",NOTA[[#This Row],[QTY]]*NOTA[[#This Row],[HARGA SATUAN]])</f>
        <v/>
      </c>
      <c r="AG937" s="40" t="str">
        <f ca="1">IF(NOTA[ID_H]="","",INDEX(NOTA[TANGGAL],MATCH(,INDIRECT(ADDRESS(ROW(NOTA[TANGGAL]),COLUMN(NOTA[TANGGAL]))&amp;":"&amp;ADDRESS(ROW(),COLUMN(NOTA[TANGGAL]))),-1)))</f>
        <v/>
      </c>
      <c r="AH937" s="42" t="str">
        <f ca="1">IF(NOTA[[#This Row],[NAMA BARANG]]="","",INDEX(NOTA[SUPPLIER],MATCH(,INDIRECT(ADDRESS(ROW(NOTA[ID]),COLUMN(NOTA[ID]))&amp;":"&amp;ADDRESS(ROW(),COLUMN(NOTA[ID]))),-1)))</f>
        <v/>
      </c>
      <c r="AI937" s="42" t="str">
        <f ca="1">IF(NOTA[[#This Row],[ID_H]]="","",IF(NOTA[[#This Row],[FAKTUR]]="",INDIRECT(ADDRESS(ROW()-1,COLUMN())),NOTA[[#This Row],[FAKTUR]]))</f>
        <v/>
      </c>
      <c r="AJ937" s="39" t="str">
        <f ca="1">IF(NOTA[[#This Row],[ID]]="","",COUNTIF(NOTA[ID_H],NOTA[[#This Row],[ID_H]]))</f>
        <v/>
      </c>
      <c r="AK937" s="39" t="str">
        <f ca="1">IF(NOTA[[#This Row],[TGL.NOTA]]="",IF(NOTA[[#This Row],[SUPPLIER_H]]="","",AK936),MONTH(NOTA[[#This Row],[TGL.NOTA]]))</f>
        <v/>
      </c>
      <c r="AL937" s="39" t="str">
        <f>LOWER(SUBSTITUTE(SUBSTITUTE(SUBSTITUTE(SUBSTITUTE(SUBSTITUTE(SUBSTITUTE(SUBSTITUTE(SUBSTITUTE(SUBSTITUTE(NOTA[NAMA BARANG]," ",),".",""),"-",""),"(",""),")",""),",",""),"/",""),"""",""),"+",""))</f>
        <v/>
      </c>
      <c r="AM9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39" t="str">
        <f>IF(NOTA[[#This Row],[CONCAT4]]="","",_xlfn.IFNA(MATCH(NOTA[[#This Row],[CONCAT4]],[2]!RAW[CONCAT_H],0),FALSE))</f>
        <v/>
      </c>
      <c r="AQ937" s="39" t="str">
        <f>IF(NOTA[[#This Row],[CONCAT1]]="","",MATCH(NOTA[[#This Row],[CONCAT1]],[3]!db[NB NOTA_C],0))</f>
        <v/>
      </c>
      <c r="AR937" s="39" t="str">
        <f>IF(NOTA[[#This Row],[QTY/ CTN]]="","",TRUE)</f>
        <v/>
      </c>
      <c r="AS937" s="39" t="str">
        <f ca="1">IF(NOTA[[#This Row],[ID_H]]="","",IF(NOTA[[#This Row],[Column3]]=TRUE,NOTA[[#This Row],[QTY/ CTN]],INDEX([3]!db[QTY/ CTN],NOTA[[#This Row],[//DB]])))</f>
        <v/>
      </c>
      <c r="AT9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7" s="39" t="str">
        <f ca="1">IF(NOTA[[#This Row],[ID_H]]="","",MATCH(NOTA[[#This Row],[NB NOTA_C_QTY]],[4]!db[NB NOTA_C_QTY+F],0))</f>
        <v/>
      </c>
      <c r="AV937" s="55" t="str">
        <f ca="1">IF(NOTA[[#This Row],[NB NOTA_C_QTY]]="","",ROW()-2)</f>
        <v/>
      </c>
    </row>
    <row r="938" spans="1:48" ht="20.100000000000001" customHeight="1" x14ac:dyDescent="0.25">
      <c r="A9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39" t="str">
        <f>IF(NOTA[[#This Row],[ID_P]]="","",MATCH(NOTA[[#This Row],[ID_P]],[1]!B_MSK[N_ID],0))</f>
        <v/>
      </c>
      <c r="D938" s="39" t="str">
        <f ca="1">IF(NOTA[[#This Row],[NAMA BARANG]]="","",INDEX(NOTA[ID],MATCH(,INDIRECT(ADDRESS(ROW(NOTA[ID]),COLUMN(NOTA[ID]))&amp;":"&amp;ADDRESS(ROW(),COLUMN(NOTA[ID]))),-1)))</f>
        <v/>
      </c>
      <c r="E938" s="47"/>
      <c r="H938" s="48"/>
      <c r="N938" s="39"/>
      <c r="Q938" s="43"/>
      <c r="R938" s="49"/>
      <c r="S938" s="50"/>
      <c r="U938" s="51"/>
      <c r="V938" s="46"/>
      <c r="W938" s="51" t="str">
        <f>IF(NOTA[[#This Row],[HARGA/ CTN]]="",NOTA[[#This Row],[JUMLAH_H]],NOTA[[#This Row],[HARGA/ CTN]]*IF(NOTA[[#This Row],[C]]="",0,NOTA[[#This Row],[C]]))</f>
        <v/>
      </c>
      <c r="X938" s="51" t="str">
        <f>IF(NOTA[[#This Row],[JUMLAH]]="","",NOTA[[#This Row],[JUMLAH]]*NOTA[[#This Row],[DISC 1]])</f>
        <v/>
      </c>
      <c r="Y938" s="51" t="str">
        <f>IF(NOTA[[#This Row],[JUMLAH]]="","",(NOTA[[#This Row],[JUMLAH]]-NOTA[[#This Row],[DISC 1-]])*NOTA[[#This Row],[DISC 2]])</f>
        <v/>
      </c>
      <c r="Z938" s="51" t="str">
        <f>IF(NOTA[[#This Row],[JUMLAH]]="","",NOTA[[#This Row],[DISC 1-]]+NOTA[[#This Row],[DISC 2-]])</f>
        <v/>
      </c>
      <c r="AA938" s="51" t="str">
        <f>IF(NOTA[[#This Row],[JUMLAH]]="","",NOTA[[#This Row],[JUMLAH]]-NOTA[[#This Row],[DISC]])</f>
        <v/>
      </c>
      <c r="AB938" s="51"/>
      <c r="AC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51" t="str">
        <f>IF(OR(NOTA[[#This Row],[QTY]]="",NOTA[[#This Row],[HARGA SATUAN]]="",),"",NOTA[[#This Row],[QTY]]*NOTA[[#This Row],[HARGA SATUAN]])</f>
        <v/>
      </c>
      <c r="AG938" s="40" t="str">
        <f ca="1">IF(NOTA[ID_H]="","",INDEX(NOTA[TANGGAL],MATCH(,INDIRECT(ADDRESS(ROW(NOTA[TANGGAL]),COLUMN(NOTA[TANGGAL]))&amp;":"&amp;ADDRESS(ROW(),COLUMN(NOTA[TANGGAL]))),-1)))</f>
        <v/>
      </c>
      <c r="AH938" s="42" t="str">
        <f ca="1">IF(NOTA[[#This Row],[NAMA BARANG]]="","",INDEX(NOTA[SUPPLIER],MATCH(,INDIRECT(ADDRESS(ROW(NOTA[ID]),COLUMN(NOTA[ID]))&amp;":"&amp;ADDRESS(ROW(),COLUMN(NOTA[ID]))),-1)))</f>
        <v/>
      </c>
      <c r="AI938" s="42" t="str">
        <f ca="1">IF(NOTA[[#This Row],[ID_H]]="","",IF(NOTA[[#This Row],[FAKTUR]]="",INDIRECT(ADDRESS(ROW()-1,COLUMN())),NOTA[[#This Row],[FAKTUR]]))</f>
        <v/>
      </c>
      <c r="AJ938" s="39" t="str">
        <f ca="1">IF(NOTA[[#This Row],[ID]]="","",COUNTIF(NOTA[ID_H],NOTA[[#This Row],[ID_H]]))</f>
        <v/>
      </c>
      <c r="AK938" s="39" t="str">
        <f ca="1">IF(NOTA[[#This Row],[TGL.NOTA]]="",IF(NOTA[[#This Row],[SUPPLIER_H]]="","",AK937),MONTH(NOTA[[#This Row],[TGL.NOTA]]))</f>
        <v/>
      </c>
      <c r="AL938" s="39" t="str">
        <f>LOWER(SUBSTITUTE(SUBSTITUTE(SUBSTITUTE(SUBSTITUTE(SUBSTITUTE(SUBSTITUTE(SUBSTITUTE(SUBSTITUTE(SUBSTITUTE(NOTA[NAMA BARANG]," ",),".",""),"-",""),"(",""),")",""),",",""),"/",""),"""",""),"+",""))</f>
        <v/>
      </c>
      <c r="AM9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39" t="str">
        <f>IF(NOTA[[#This Row],[CONCAT4]]="","",_xlfn.IFNA(MATCH(NOTA[[#This Row],[CONCAT4]],[2]!RAW[CONCAT_H],0),FALSE))</f>
        <v/>
      </c>
      <c r="AQ938" s="39" t="str">
        <f>IF(NOTA[[#This Row],[CONCAT1]]="","",MATCH(NOTA[[#This Row],[CONCAT1]],[3]!db[NB NOTA_C],0))</f>
        <v/>
      </c>
      <c r="AR938" s="39" t="str">
        <f>IF(NOTA[[#This Row],[QTY/ CTN]]="","",TRUE)</f>
        <v/>
      </c>
      <c r="AS938" s="39" t="str">
        <f ca="1">IF(NOTA[[#This Row],[ID_H]]="","",IF(NOTA[[#This Row],[Column3]]=TRUE,NOTA[[#This Row],[QTY/ CTN]],INDEX([3]!db[QTY/ CTN],NOTA[[#This Row],[//DB]])))</f>
        <v/>
      </c>
      <c r="AT9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8" s="39" t="str">
        <f ca="1">IF(NOTA[[#This Row],[ID_H]]="","",MATCH(NOTA[[#This Row],[NB NOTA_C_QTY]],[4]!db[NB NOTA_C_QTY+F],0))</f>
        <v/>
      </c>
      <c r="AV938" s="55" t="str">
        <f ca="1">IF(NOTA[[#This Row],[NB NOTA_C_QTY]]="","",ROW()-2)</f>
        <v/>
      </c>
    </row>
    <row r="939" spans="1:48" ht="20.100000000000001" customHeight="1" x14ac:dyDescent="0.25">
      <c r="A9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39" t="str">
        <f>IF(NOTA[[#This Row],[ID_P]]="","",MATCH(NOTA[[#This Row],[ID_P]],[1]!B_MSK[N_ID],0))</f>
        <v/>
      </c>
      <c r="D939" s="39" t="str">
        <f ca="1">IF(NOTA[[#This Row],[NAMA BARANG]]="","",INDEX(NOTA[ID],MATCH(,INDIRECT(ADDRESS(ROW(NOTA[ID]),COLUMN(NOTA[ID]))&amp;":"&amp;ADDRESS(ROW(),COLUMN(NOTA[ID]))),-1)))</f>
        <v/>
      </c>
      <c r="E939" s="47"/>
      <c r="H939" s="48"/>
      <c r="N939" s="39"/>
      <c r="Q939" s="43"/>
      <c r="R939" s="49"/>
      <c r="S939" s="50"/>
      <c r="U939" s="51"/>
      <c r="V939" s="46"/>
      <c r="W939" s="51" t="str">
        <f>IF(NOTA[[#This Row],[HARGA/ CTN]]="",NOTA[[#This Row],[JUMLAH_H]],NOTA[[#This Row],[HARGA/ CTN]]*IF(NOTA[[#This Row],[C]]="",0,NOTA[[#This Row],[C]]))</f>
        <v/>
      </c>
      <c r="X939" s="51" t="str">
        <f>IF(NOTA[[#This Row],[JUMLAH]]="","",NOTA[[#This Row],[JUMLAH]]*NOTA[[#This Row],[DISC 1]])</f>
        <v/>
      </c>
      <c r="Y939" s="51" t="str">
        <f>IF(NOTA[[#This Row],[JUMLAH]]="","",(NOTA[[#This Row],[JUMLAH]]-NOTA[[#This Row],[DISC 1-]])*NOTA[[#This Row],[DISC 2]])</f>
        <v/>
      </c>
      <c r="Z939" s="51" t="str">
        <f>IF(NOTA[[#This Row],[JUMLAH]]="","",NOTA[[#This Row],[DISC 1-]]+NOTA[[#This Row],[DISC 2-]])</f>
        <v/>
      </c>
      <c r="AA939" s="51" t="str">
        <f>IF(NOTA[[#This Row],[JUMLAH]]="","",NOTA[[#This Row],[JUMLAH]]-NOTA[[#This Row],[DISC]])</f>
        <v/>
      </c>
      <c r="AB939" s="51"/>
      <c r="AC9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9" s="51" t="str">
        <f>IF(OR(NOTA[[#This Row],[QTY]]="",NOTA[[#This Row],[HARGA SATUAN]]="",),"",NOTA[[#This Row],[QTY]]*NOTA[[#This Row],[HARGA SATUAN]])</f>
        <v/>
      </c>
      <c r="AG939" s="40" t="str">
        <f ca="1">IF(NOTA[ID_H]="","",INDEX(NOTA[TANGGAL],MATCH(,INDIRECT(ADDRESS(ROW(NOTA[TANGGAL]),COLUMN(NOTA[TANGGAL]))&amp;":"&amp;ADDRESS(ROW(),COLUMN(NOTA[TANGGAL]))),-1)))</f>
        <v/>
      </c>
      <c r="AH939" s="42" t="str">
        <f ca="1">IF(NOTA[[#This Row],[NAMA BARANG]]="","",INDEX(NOTA[SUPPLIER],MATCH(,INDIRECT(ADDRESS(ROW(NOTA[ID]),COLUMN(NOTA[ID]))&amp;":"&amp;ADDRESS(ROW(),COLUMN(NOTA[ID]))),-1)))</f>
        <v/>
      </c>
      <c r="AI939" s="42" t="str">
        <f ca="1">IF(NOTA[[#This Row],[ID_H]]="","",IF(NOTA[[#This Row],[FAKTUR]]="",INDIRECT(ADDRESS(ROW()-1,COLUMN())),NOTA[[#This Row],[FAKTUR]]))</f>
        <v/>
      </c>
      <c r="AJ939" s="39" t="str">
        <f ca="1">IF(NOTA[[#This Row],[ID]]="","",COUNTIF(NOTA[ID_H],NOTA[[#This Row],[ID_H]]))</f>
        <v/>
      </c>
      <c r="AK939" s="39" t="str">
        <f ca="1">IF(NOTA[[#This Row],[TGL.NOTA]]="",IF(NOTA[[#This Row],[SUPPLIER_H]]="","",AK938),MONTH(NOTA[[#This Row],[TGL.NOTA]]))</f>
        <v/>
      </c>
      <c r="AL939" s="39" t="str">
        <f>LOWER(SUBSTITUTE(SUBSTITUTE(SUBSTITUTE(SUBSTITUTE(SUBSTITUTE(SUBSTITUTE(SUBSTITUTE(SUBSTITUTE(SUBSTITUTE(NOTA[NAMA BARANG]," ",),".",""),"-",""),"(",""),")",""),",",""),"/",""),"""",""),"+",""))</f>
        <v/>
      </c>
      <c r="AM9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39" t="str">
        <f>IF(NOTA[[#This Row],[CONCAT4]]="","",_xlfn.IFNA(MATCH(NOTA[[#This Row],[CONCAT4]],[2]!RAW[CONCAT_H],0),FALSE))</f>
        <v/>
      </c>
      <c r="AQ939" s="39" t="str">
        <f>IF(NOTA[[#This Row],[CONCAT1]]="","",MATCH(NOTA[[#This Row],[CONCAT1]],[3]!db[NB NOTA_C],0))</f>
        <v/>
      </c>
      <c r="AR939" s="39" t="str">
        <f>IF(NOTA[[#This Row],[QTY/ CTN]]="","",TRUE)</f>
        <v/>
      </c>
      <c r="AS939" s="39" t="str">
        <f ca="1">IF(NOTA[[#This Row],[ID_H]]="","",IF(NOTA[[#This Row],[Column3]]=TRUE,NOTA[[#This Row],[QTY/ CTN]],INDEX([3]!db[QTY/ CTN],NOTA[[#This Row],[//DB]])))</f>
        <v/>
      </c>
      <c r="AT9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9" s="39" t="str">
        <f ca="1">IF(NOTA[[#This Row],[ID_H]]="","",MATCH(NOTA[[#This Row],[NB NOTA_C_QTY]],[4]!db[NB NOTA_C_QTY+F],0))</f>
        <v/>
      </c>
      <c r="AV939" s="55" t="str">
        <f ca="1">IF(NOTA[[#This Row],[NB NOTA_C_QTY]]="","",ROW()-2)</f>
        <v/>
      </c>
    </row>
    <row r="940" spans="1:48" ht="20.100000000000001" customHeight="1" x14ac:dyDescent="0.25">
      <c r="A9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39" t="str">
        <f>IF(NOTA[[#This Row],[ID_P]]="","",MATCH(NOTA[[#This Row],[ID_P]],[1]!B_MSK[N_ID],0))</f>
        <v/>
      </c>
      <c r="D940" s="39" t="str">
        <f ca="1">IF(NOTA[[#This Row],[NAMA BARANG]]="","",INDEX(NOTA[ID],MATCH(,INDIRECT(ADDRESS(ROW(NOTA[ID]),COLUMN(NOTA[ID]))&amp;":"&amp;ADDRESS(ROW(),COLUMN(NOTA[ID]))),-1)))</f>
        <v/>
      </c>
      <c r="E940" s="47"/>
      <c r="H940" s="48"/>
      <c r="N940" s="39"/>
      <c r="Q940" s="43"/>
      <c r="R940" s="49"/>
      <c r="S940" s="50"/>
      <c r="U940" s="51"/>
      <c r="V940" s="46"/>
      <c r="W940" s="51" t="str">
        <f>IF(NOTA[[#This Row],[HARGA/ CTN]]="",NOTA[[#This Row],[JUMLAH_H]],NOTA[[#This Row],[HARGA/ CTN]]*IF(NOTA[[#This Row],[C]]="",0,NOTA[[#This Row],[C]]))</f>
        <v/>
      </c>
      <c r="X940" s="51" t="str">
        <f>IF(NOTA[[#This Row],[JUMLAH]]="","",NOTA[[#This Row],[JUMLAH]]*NOTA[[#This Row],[DISC 1]])</f>
        <v/>
      </c>
      <c r="Y940" s="51" t="str">
        <f>IF(NOTA[[#This Row],[JUMLAH]]="","",(NOTA[[#This Row],[JUMLAH]]-NOTA[[#This Row],[DISC 1-]])*NOTA[[#This Row],[DISC 2]])</f>
        <v/>
      </c>
      <c r="Z940" s="51" t="str">
        <f>IF(NOTA[[#This Row],[JUMLAH]]="","",NOTA[[#This Row],[DISC 1-]]+NOTA[[#This Row],[DISC 2-]])</f>
        <v/>
      </c>
      <c r="AA940" s="51" t="str">
        <f>IF(NOTA[[#This Row],[JUMLAH]]="","",NOTA[[#This Row],[JUMLAH]]-NOTA[[#This Row],[DISC]])</f>
        <v/>
      </c>
      <c r="AB940" s="51"/>
      <c r="AC9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0" s="51" t="str">
        <f>IF(OR(NOTA[[#This Row],[QTY]]="",NOTA[[#This Row],[HARGA SATUAN]]="",),"",NOTA[[#This Row],[QTY]]*NOTA[[#This Row],[HARGA SATUAN]])</f>
        <v/>
      </c>
      <c r="AG940" s="40" t="str">
        <f ca="1">IF(NOTA[ID_H]="","",INDEX(NOTA[TANGGAL],MATCH(,INDIRECT(ADDRESS(ROW(NOTA[TANGGAL]),COLUMN(NOTA[TANGGAL]))&amp;":"&amp;ADDRESS(ROW(),COLUMN(NOTA[TANGGAL]))),-1)))</f>
        <v/>
      </c>
      <c r="AH940" s="42" t="str">
        <f ca="1">IF(NOTA[[#This Row],[NAMA BARANG]]="","",INDEX(NOTA[SUPPLIER],MATCH(,INDIRECT(ADDRESS(ROW(NOTA[ID]),COLUMN(NOTA[ID]))&amp;":"&amp;ADDRESS(ROW(),COLUMN(NOTA[ID]))),-1)))</f>
        <v/>
      </c>
      <c r="AI940" s="42" t="str">
        <f ca="1">IF(NOTA[[#This Row],[ID_H]]="","",IF(NOTA[[#This Row],[FAKTUR]]="",INDIRECT(ADDRESS(ROW()-1,COLUMN())),NOTA[[#This Row],[FAKTUR]]))</f>
        <v/>
      </c>
      <c r="AJ940" s="39" t="str">
        <f ca="1">IF(NOTA[[#This Row],[ID]]="","",COUNTIF(NOTA[ID_H],NOTA[[#This Row],[ID_H]]))</f>
        <v/>
      </c>
      <c r="AK940" s="39" t="str">
        <f ca="1">IF(NOTA[[#This Row],[TGL.NOTA]]="",IF(NOTA[[#This Row],[SUPPLIER_H]]="","",AK939),MONTH(NOTA[[#This Row],[TGL.NOTA]]))</f>
        <v/>
      </c>
      <c r="AL940" s="39" t="str">
        <f>LOWER(SUBSTITUTE(SUBSTITUTE(SUBSTITUTE(SUBSTITUTE(SUBSTITUTE(SUBSTITUTE(SUBSTITUTE(SUBSTITUTE(SUBSTITUTE(NOTA[NAMA BARANG]," ",),".",""),"-",""),"(",""),")",""),",",""),"/",""),"""",""),"+",""))</f>
        <v/>
      </c>
      <c r="AM9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39" t="str">
        <f>IF(NOTA[[#This Row],[CONCAT4]]="","",_xlfn.IFNA(MATCH(NOTA[[#This Row],[CONCAT4]],[2]!RAW[CONCAT_H],0),FALSE))</f>
        <v/>
      </c>
      <c r="AQ940" s="39" t="str">
        <f>IF(NOTA[[#This Row],[CONCAT1]]="","",MATCH(NOTA[[#This Row],[CONCAT1]],[3]!db[NB NOTA_C],0))</f>
        <v/>
      </c>
      <c r="AR940" s="39" t="str">
        <f>IF(NOTA[[#This Row],[QTY/ CTN]]="","",TRUE)</f>
        <v/>
      </c>
      <c r="AS940" s="39" t="str">
        <f ca="1">IF(NOTA[[#This Row],[ID_H]]="","",IF(NOTA[[#This Row],[Column3]]=TRUE,NOTA[[#This Row],[QTY/ CTN]],INDEX([3]!db[QTY/ CTN],NOTA[[#This Row],[//DB]])))</f>
        <v/>
      </c>
      <c r="AT9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0" s="39" t="str">
        <f ca="1">IF(NOTA[[#This Row],[ID_H]]="","",MATCH(NOTA[[#This Row],[NB NOTA_C_QTY]],[4]!db[NB NOTA_C_QTY+F],0))</f>
        <v/>
      </c>
      <c r="AV940" s="55" t="str">
        <f ca="1">IF(NOTA[[#This Row],[NB NOTA_C_QTY]]="","",ROW()-2)</f>
        <v/>
      </c>
    </row>
    <row r="941" spans="1:48" ht="20.100000000000001" customHeight="1" x14ac:dyDescent="0.25">
      <c r="A9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39" t="str">
        <f>IF(NOTA[[#This Row],[ID_P]]="","",MATCH(NOTA[[#This Row],[ID_P]],[1]!B_MSK[N_ID],0))</f>
        <v/>
      </c>
      <c r="D941" s="39" t="str">
        <f ca="1">IF(NOTA[[#This Row],[NAMA BARANG]]="","",INDEX(NOTA[ID],MATCH(,INDIRECT(ADDRESS(ROW(NOTA[ID]),COLUMN(NOTA[ID]))&amp;":"&amp;ADDRESS(ROW(),COLUMN(NOTA[ID]))),-1)))</f>
        <v/>
      </c>
      <c r="E941" s="47"/>
      <c r="H941" s="48"/>
      <c r="N941" s="39"/>
      <c r="Q941" s="43"/>
      <c r="R941" s="49"/>
      <c r="S941" s="50"/>
      <c r="U941" s="51"/>
      <c r="V941" s="46"/>
      <c r="W941" s="51" t="str">
        <f>IF(NOTA[[#This Row],[HARGA/ CTN]]="",NOTA[[#This Row],[JUMLAH_H]],NOTA[[#This Row],[HARGA/ CTN]]*IF(NOTA[[#This Row],[C]]="",0,NOTA[[#This Row],[C]]))</f>
        <v/>
      </c>
      <c r="X941" s="51" t="str">
        <f>IF(NOTA[[#This Row],[JUMLAH]]="","",NOTA[[#This Row],[JUMLAH]]*NOTA[[#This Row],[DISC 1]])</f>
        <v/>
      </c>
      <c r="Y941" s="51" t="str">
        <f>IF(NOTA[[#This Row],[JUMLAH]]="","",(NOTA[[#This Row],[JUMLAH]]-NOTA[[#This Row],[DISC 1-]])*NOTA[[#This Row],[DISC 2]])</f>
        <v/>
      </c>
      <c r="Z941" s="51" t="str">
        <f>IF(NOTA[[#This Row],[JUMLAH]]="","",NOTA[[#This Row],[DISC 1-]]+NOTA[[#This Row],[DISC 2-]])</f>
        <v/>
      </c>
      <c r="AA941" s="51" t="str">
        <f>IF(NOTA[[#This Row],[JUMLAH]]="","",NOTA[[#This Row],[JUMLAH]]-NOTA[[#This Row],[DISC]])</f>
        <v/>
      </c>
      <c r="AB941" s="51"/>
      <c r="AC9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1" s="51" t="str">
        <f>IF(OR(NOTA[[#This Row],[QTY]]="",NOTA[[#This Row],[HARGA SATUAN]]="",),"",NOTA[[#This Row],[QTY]]*NOTA[[#This Row],[HARGA SATUAN]])</f>
        <v/>
      </c>
      <c r="AG941" s="40" t="str">
        <f ca="1">IF(NOTA[ID_H]="","",INDEX(NOTA[TANGGAL],MATCH(,INDIRECT(ADDRESS(ROW(NOTA[TANGGAL]),COLUMN(NOTA[TANGGAL]))&amp;":"&amp;ADDRESS(ROW(),COLUMN(NOTA[TANGGAL]))),-1)))</f>
        <v/>
      </c>
      <c r="AH941" s="42" t="str">
        <f ca="1">IF(NOTA[[#This Row],[NAMA BARANG]]="","",INDEX(NOTA[SUPPLIER],MATCH(,INDIRECT(ADDRESS(ROW(NOTA[ID]),COLUMN(NOTA[ID]))&amp;":"&amp;ADDRESS(ROW(),COLUMN(NOTA[ID]))),-1)))</f>
        <v/>
      </c>
      <c r="AI941" s="42" t="str">
        <f ca="1">IF(NOTA[[#This Row],[ID_H]]="","",IF(NOTA[[#This Row],[FAKTUR]]="",INDIRECT(ADDRESS(ROW()-1,COLUMN())),NOTA[[#This Row],[FAKTUR]]))</f>
        <v/>
      </c>
      <c r="AJ941" s="39" t="str">
        <f ca="1">IF(NOTA[[#This Row],[ID]]="","",COUNTIF(NOTA[ID_H],NOTA[[#This Row],[ID_H]]))</f>
        <v/>
      </c>
      <c r="AK941" s="39" t="str">
        <f ca="1">IF(NOTA[[#This Row],[TGL.NOTA]]="",IF(NOTA[[#This Row],[SUPPLIER_H]]="","",AK940),MONTH(NOTA[[#This Row],[TGL.NOTA]]))</f>
        <v/>
      </c>
      <c r="AL941" s="39" t="str">
        <f>LOWER(SUBSTITUTE(SUBSTITUTE(SUBSTITUTE(SUBSTITUTE(SUBSTITUTE(SUBSTITUTE(SUBSTITUTE(SUBSTITUTE(SUBSTITUTE(NOTA[NAMA BARANG]," ",),".",""),"-",""),"(",""),")",""),",",""),"/",""),"""",""),"+",""))</f>
        <v/>
      </c>
      <c r="AM9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39" t="str">
        <f>IF(NOTA[[#This Row],[CONCAT4]]="","",_xlfn.IFNA(MATCH(NOTA[[#This Row],[CONCAT4]],[2]!RAW[CONCAT_H],0),FALSE))</f>
        <v/>
      </c>
      <c r="AQ941" s="39" t="str">
        <f>IF(NOTA[[#This Row],[CONCAT1]]="","",MATCH(NOTA[[#This Row],[CONCAT1]],[3]!db[NB NOTA_C],0))</f>
        <v/>
      </c>
      <c r="AR941" s="39" t="str">
        <f>IF(NOTA[[#This Row],[QTY/ CTN]]="","",TRUE)</f>
        <v/>
      </c>
      <c r="AS941" s="39" t="str">
        <f ca="1">IF(NOTA[[#This Row],[ID_H]]="","",IF(NOTA[[#This Row],[Column3]]=TRUE,NOTA[[#This Row],[QTY/ CTN]],INDEX([3]!db[QTY/ CTN],NOTA[[#This Row],[//DB]])))</f>
        <v/>
      </c>
      <c r="AT9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1" s="39" t="str">
        <f ca="1">IF(NOTA[[#This Row],[ID_H]]="","",MATCH(NOTA[[#This Row],[NB NOTA_C_QTY]],[4]!db[NB NOTA_C_QTY+F],0))</f>
        <v/>
      </c>
      <c r="AV941" s="55" t="str">
        <f ca="1">IF(NOTA[[#This Row],[NB NOTA_C_QTY]]="","",ROW()-2)</f>
        <v/>
      </c>
    </row>
    <row r="942" spans="1:48" ht="20.100000000000001" customHeight="1" x14ac:dyDescent="0.25">
      <c r="A9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39" t="str">
        <f>IF(NOTA[[#This Row],[ID_P]]="","",MATCH(NOTA[[#This Row],[ID_P]],[1]!B_MSK[N_ID],0))</f>
        <v/>
      </c>
      <c r="D942" s="39" t="str">
        <f ca="1">IF(NOTA[[#This Row],[NAMA BARANG]]="","",INDEX(NOTA[ID],MATCH(,INDIRECT(ADDRESS(ROW(NOTA[ID]),COLUMN(NOTA[ID]))&amp;":"&amp;ADDRESS(ROW(),COLUMN(NOTA[ID]))),-1)))</f>
        <v/>
      </c>
      <c r="E942" s="47"/>
      <c r="H942" s="48"/>
      <c r="N942" s="39"/>
      <c r="Q942" s="43"/>
      <c r="R942" s="49"/>
      <c r="S942" s="50"/>
      <c r="U942" s="51"/>
      <c r="V942" s="46"/>
      <c r="W942" s="51" t="str">
        <f>IF(NOTA[[#This Row],[HARGA/ CTN]]="",NOTA[[#This Row],[JUMLAH_H]],NOTA[[#This Row],[HARGA/ CTN]]*IF(NOTA[[#This Row],[C]]="",0,NOTA[[#This Row],[C]]))</f>
        <v/>
      </c>
      <c r="X942" s="51" t="str">
        <f>IF(NOTA[[#This Row],[JUMLAH]]="","",NOTA[[#This Row],[JUMLAH]]*NOTA[[#This Row],[DISC 1]])</f>
        <v/>
      </c>
      <c r="Y942" s="51" t="str">
        <f>IF(NOTA[[#This Row],[JUMLAH]]="","",(NOTA[[#This Row],[JUMLAH]]-NOTA[[#This Row],[DISC 1-]])*NOTA[[#This Row],[DISC 2]])</f>
        <v/>
      </c>
      <c r="Z942" s="51" t="str">
        <f>IF(NOTA[[#This Row],[JUMLAH]]="","",NOTA[[#This Row],[DISC 1-]]+NOTA[[#This Row],[DISC 2-]])</f>
        <v/>
      </c>
      <c r="AA942" s="51" t="str">
        <f>IF(NOTA[[#This Row],[JUMLAH]]="","",NOTA[[#This Row],[JUMLAH]]-NOTA[[#This Row],[DISC]])</f>
        <v/>
      </c>
      <c r="AB942" s="51"/>
      <c r="AC9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2" s="51" t="str">
        <f>IF(OR(NOTA[[#This Row],[QTY]]="",NOTA[[#This Row],[HARGA SATUAN]]="",),"",NOTA[[#This Row],[QTY]]*NOTA[[#This Row],[HARGA SATUAN]])</f>
        <v/>
      </c>
      <c r="AG942" s="40" t="str">
        <f ca="1">IF(NOTA[ID_H]="","",INDEX(NOTA[TANGGAL],MATCH(,INDIRECT(ADDRESS(ROW(NOTA[TANGGAL]),COLUMN(NOTA[TANGGAL]))&amp;":"&amp;ADDRESS(ROW(),COLUMN(NOTA[TANGGAL]))),-1)))</f>
        <v/>
      </c>
      <c r="AH942" s="42" t="str">
        <f ca="1">IF(NOTA[[#This Row],[NAMA BARANG]]="","",INDEX(NOTA[SUPPLIER],MATCH(,INDIRECT(ADDRESS(ROW(NOTA[ID]),COLUMN(NOTA[ID]))&amp;":"&amp;ADDRESS(ROW(),COLUMN(NOTA[ID]))),-1)))</f>
        <v/>
      </c>
      <c r="AI942" s="42" t="str">
        <f ca="1">IF(NOTA[[#This Row],[ID_H]]="","",IF(NOTA[[#This Row],[FAKTUR]]="",INDIRECT(ADDRESS(ROW()-1,COLUMN())),NOTA[[#This Row],[FAKTUR]]))</f>
        <v/>
      </c>
      <c r="AJ942" s="39" t="str">
        <f ca="1">IF(NOTA[[#This Row],[ID]]="","",COUNTIF(NOTA[ID_H],NOTA[[#This Row],[ID_H]]))</f>
        <v/>
      </c>
      <c r="AK942" s="39" t="str">
        <f ca="1">IF(NOTA[[#This Row],[TGL.NOTA]]="",IF(NOTA[[#This Row],[SUPPLIER_H]]="","",AK941),MONTH(NOTA[[#This Row],[TGL.NOTA]]))</f>
        <v/>
      </c>
      <c r="AL942" s="39" t="str">
        <f>LOWER(SUBSTITUTE(SUBSTITUTE(SUBSTITUTE(SUBSTITUTE(SUBSTITUTE(SUBSTITUTE(SUBSTITUTE(SUBSTITUTE(SUBSTITUTE(NOTA[NAMA BARANG]," ",),".",""),"-",""),"(",""),")",""),",",""),"/",""),"""",""),"+",""))</f>
        <v/>
      </c>
      <c r="AM9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39" t="str">
        <f>IF(NOTA[[#This Row],[CONCAT4]]="","",_xlfn.IFNA(MATCH(NOTA[[#This Row],[CONCAT4]],[2]!RAW[CONCAT_H],0),FALSE))</f>
        <v/>
      </c>
      <c r="AQ942" s="39" t="str">
        <f>IF(NOTA[[#This Row],[CONCAT1]]="","",MATCH(NOTA[[#This Row],[CONCAT1]],[3]!db[NB NOTA_C],0))</f>
        <v/>
      </c>
      <c r="AR942" s="39" t="str">
        <f>IF(NOTA[[#This Row],[QTY/ CTN]]="","",TRUE)</f>
        <v/>
      </c>
      <c r="AS942" s="39" t="str">
        <f ca="1">IF(NOTA[[#This Row],[ID_H]]="","",IF(NOTA[[#This Row],[Column3]]=TRUE,NOTA[[#This Row],[QTY/ CTN]],INDEX([3]!db[QTY/ CTN],NOTA[[#This Row],[//DB]])))</f>
        <v/>
      </c>
      <c r="AT9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2" s="39" t="str">
        <f ca="1">IF(NOTA[[#This Row],[ID_H]]="","",MATCH(NOTA[[#This Row],[NB NOTA_C_QTY]],[4]!db[NB NOTA_C_QTY+F],0))</f>
        <v/>
      </c>
      <c r="AV942" s="55" t="str">
        <f ca="1">IF(NOTA[[#This Row],[NB NOTA_C_QTY]]="","",ROW()-2)</f>
        <v/>
      </c>
    </row>
    <row r="943" spans="1:48" ht="20.100000000000001" customHeight="1" x14ac:dyDescent="0.25">
      <c r="A9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39" t="str">
        <f>IF(NOTA[[#This Row],[ID_P]]="","",MATCH(NOTA[[#This Row],[ID_P]],[1]!B_MSK[N_ID],0))</f>
        <v/>
      </c>
      <c r="D943" s="39" t="str">
        <f ca="1">IF(NOTA[[#This Row],[NAMA BARANG]]="","",INDEX(NOTA[ID],MATCH(,INDIRECT(ADDRESS(ROW(NOTA[ID]),COLUMN(NOTA[ID]))&amp;":"&amp;ADDRESS(ROW(),COLUMN(NOTA[ID]))),-1)))</f>
        <v/>
      </c>
      <c r="E943" s="47"/>
      <c r="H943" s="48"/>
      <c r="N943" s="39"/>
      <c r="Q943" s="43"/>
      <c r="R943" s="49"/>
      <c r="S943" s="50"/>
      <c r="U943" s="51"/>
      <c r="V943" s="46"/>
      <c r="W943" s="51" t="str">
        <f>IF(NOTA[[#This Row],[HARGA/ CTN]]="",NOTA[[#This Row],[JUMLAH_H]],NOTA[[#This Row],[HARGA/ CTN]]*IF(NOTA[[#This Row],[C]]="",0,NOTA[[#This Row],[C]]))</f>
        <v/>
      </c>
      <c r="X943" s="51" t="str">
        <f>IF(NOTA[[#This Row],[JUMLAH]]="","",NOTA[[#This Row],[JUMLAH]]*NOTA[[#This Row],[DISC 1]])</f>
        <v/>
      </c>
      <c r="Y943" s="51" t="str">
        <f>IF(NOTA[[#This Row],[JUMLAH]]="","",(NOTA[[#This Row],[JUMLAH]]-NOTA[[#This Row],[DISC 1-]])*NOTA[[#This Row],[DISC 2]])</f>
        <v/>
      </c>
      <c r="Z943" s="51" t="str">
        <f>IF(NOTA[[#This Row],[JUMLAH]]="","",NOTA[[#This Row],[DISC 1-]]+NOTA[[#This Row],[DISC 2-]])</f>
        <v/>
      </c>
      <c r="AA943" s="51" t="str">
        <f>IF(NOTA[[#This Row],[JUMLAH]]="","",NOTA[[#This Row],[JUMLAH]]-NOTA[[#This Row],[DISC]])</f>
        <v/>
      </c>
      <c r="AB943" s="51"/>
      <c r="AC9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51" t="str">
        <f>IF(OR(NOTA[[#This Row],[QTY]]="",NOTA[[#This Row],[HARGA SATUAN]]="",),"",NOTA[[#This Row],[QTY]]*NOTA[[#This Row],[HARGA SATUAN]])</f>
        <v/>
      </c>
      <c r="AG943" s="40" t="str">
        <f ca="1">IF(NOTA[ID_H]="","",INDEX(NOTA[TANGGAL],MATCH(,INDIRECT(ADDRESS(ROW(NOTA[TANGGAL]),COLUMN(NOTA[TANGGAL]))&amp;":"&amp;ADDRESS(ROW(),COLUMN(NOTA[TANGGAL]))),-1)))</f>
        <v/>
      </c>
      <c r="AH943" s="42" t="str">
        <f ca="1">IF(NOTA[[#This Row],[NAMA BARANG]]="","",INDEX(NOTA[SUPPLIER],MATCH(,INDIRECT(ADDRESS(ROW(NOTA[ID]),COLUMN(NOTA[ID]))&amp;":"&amp;ADDRESS(ROW(),COLUMN(NOTA[ID]))),-1)))</f>
        <v/>
      </c>
      <c r="AI943" s="42" t="str">
        <f ca="1">IF(NOTA[[#This Row],[ID_H]]="","",IF(NOTA[[#This Row],[FAKTUR]]="",INDIRECT(ADDRESS(ROW()-1,COLUMN())),NOTA[[#This Row],[FAKTUR]]))</f>
        <v/>
      </c>
      <c r="AJ943" s="39" t="str">
        <f ca="1">IF(NOTA[[#This Row],[ID]]="","",COUNTIF(NOTA[ID_H],NOTA[[#This Row],[ID_H]]))</f>
        <v/>
      </c>
      <c r="AK943" s="39" t="str">
        <f ca="1">IF(NOTA[[#This Row],[TGL.NOTA]]="",IF(NOTA[[#This Row],[SUPPLIER_H]]="","",AK942),MONTH(NOTA[[#This Row],[TGL.NOTA]]))</f>
        <v/>
      </c>
      <c r="AL943" s="39" t="str">
        <f>LOWER(SUBSTITUTE(SUBSTITUTE(SUBSTITUTE(SUBSTITUTE(SUBSTITUTE(SUBSTITUTE(SUBSTITUTE(SUBSTITUTE(SUBSTITUTE(NOTA[NAMA BARANG]," ",),".",""),"-",""),"(",""),")",""),",",""),"/",""),"""",""),"+",""))</f>
        <v/>
      </c>
      <c r="AM9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39" t="str">
        <f>IF(NOTA[[#This Row],[CONCAT4]]="","",_xlfn.IFNA(MATCH(NOTA[[#This Row],[CONCAT4]],[2]!RAW[CONCAT_H],0),FALSE))</f>
        <v/>
      </c>
      <c r="AQ943" s="39" t="str">
        <f>IF(NOTA[[#This Row],[CONCAT1]]="","",MATCH(NOTA[[#This Row],[CONCAT1]],[3]!db[NB NOTA_C],0))</f>
        <v/>
      </c>
      <c r="AR943" s="39" t="str">
        <f>IF(NOTA[[#This Row],[QTY/ CTN]]="","",TRUE)</f>
        <v/>
      </c>
      <c r="AS943" s="39" t="str">
        <f ca="1">IF(NOTA[[#This Row],[ID_H]]="","",IF(NOTA[[#This Row],[Column3]]=TRUE,NOTA[[#This Row],[QTY/ CTN]],INDEX([3]!db[QTY/ CTN],NOTA[[#This Row],[//DB]])))</f>
        <v/>
      </c>
      <c r="AT9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3" s="39" t="str">
        <f ca="1">IF(NOTA[[#This Row],[ID_H]]="","",MATCH(NOTA[[#This Row],[NB NOTA_C_QTY]],[4]!db[NB NOTA_C_QTY+F],0))</f>
        <v/>
      </c>
      <c r="AV943" s="55" t="str">
        <f ca="1">IF(NOTA[[#This Row],[NB NOTA_C_QTY]]="","",ROW()-2)</f>
        <v/>
      </c>
    </row>
    <row r="944" spans="1:48" ht="20.100000000000001" customHeight="1" x14ac:dyDescent="0.25">
      <c r="A9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39" t="str">
        <f>IF(NOTA[[#This Row],[ID_P]]="","",MATCH(NOTA[[#This Row],[ID_P]],[1]!B_MSK[N_ID],0))</f>
        <v/>
      </c>
      <c r="D944" s="39" t="str">
        <f ca="1">IF(NOTA[[#This Row],[NAMA BARANG]]="","",INDEX(NOTA[ID],MATCH(,INDIRECT(ADDRESS(ROW(NOTA[ID]),COLUMN(NOTA[ID]))&amp;":"&amp;ADDRESS(ROW(),COLUMN(NOTA[ID]))),-1)))</f>
        <v/>
      </c>
      <c r="E944" s="47"/>
      <c r="H944" s="48"/>
      <c r="N944" s="39"/>
      <c r="Q944" s="43"/>
      <c r="R944" s="49"/>
      <c r="S944" s="50"/>
      <c r="U944" s="51"/>
      <c r="V944" s="46"/>
      <c r="W944" s="51" t="str">
        <f>IF(NOTA[[#This Row],[HARGA/ CTN]]="",NOTA[[#This Row],[JUMLAH_H]],NOTA[[#This Row],[HARGA/ CTN]]*IF(NOTA[[#This Row],[C]]="",0,NOTA[[#This Row],[C]]))</f>
        <v/>
      </c>
      <c r="X944" s="51" t="str">
        <f>IF(NOTA[[#This Row],[JUMLAH]]="","",NOTA[[#This Row],[JUMLAH]]*NOTA[[#This Row],[DISC 1]])</f>
        <v/>
      </c>
      <c r="Y944" s="51" t="str">
        <f>IF(NOTA[[#This Row],[JUMLAH]]="","",(NOTA[[#This Row],[JUMLAH]]-NOTA[[#This Row],[DISC 1-]])*NOTA[[#This Row],[DISC 2]])</f>
        <v/>
      </c>
      <c r="Z944" s="51" t="str">
        <f>IF(NOTA[[#This Row],[JUMLAH]]="","",NOTA[[#This Row],[DISC 1-]]+NOTA[[#This Row],[DISC 2-]])</f>
        <v/>
      </c>
      <c r="AA944" s="51" t="str">
        <f>IF(NOTA[[#This Row],[JUMLAH]]="","",NOTA[[#This Row],[JUMLAH]]-NOTA[[#This Row],[DISC]])</f>
        <v/>
      </c>
      <c r="AB944" s="51"/>
      <c r="AC9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51" t="str">
        <f>IF(OR(NOTA[[#This Row],[QTY]]="",NOTA[[#This Row],[HARGA SATUAN]]="",),"",NOTA[[#This Row],[QTY]]*NOTA[[#This Row],[HARGA SATUAN]])</f>
        <v/>
      </c>
      <c r="AG944" s="40" t="str">
        <f ca="1">IF(NOTA[ID_H]="","",INDEX(NOTA[TANGGAL],MATCH(,INDIRECT(ADDRESS(ROW(NOTA[TANGGAL]),COLUMN(NOTA[TANGGAL]))&amp;":"&amp;ADDRESS(ROW(),COLUMN(NOTA[TANGGAL]))),-1)))</f>
        <v/>
      </c>
      <c r="AH944" s="42" t="str">
        <f ca="1">IF(NOTA[[#This Row],[NAMA BARANG]]="","",INDEX(NOTA[SUPPLIER],MATCH(,INDIRECT(ADDRESS(ROW(NOTA[ID]),COLUMN(NOTA[ID]))&amp;":"&amp;ADDRESS(ROW(),COLUMN(NOTA[ID]))),-1)))</f>
        <v/>
      </c>
      <c r="AI944" s="42" t="str">
        <f ca="1">IF(NOTA[[#This Row],[ID_H]]="","",IF(NOTA[[#This Row],[FAKTUR]]="",INDIRECT(ADDRESS(ROW()-1,COLUMN())),NOTA[[#This Row],[FAKTUR]]))</f>
        <v/>
      </c>
      <c r="AJ944" s="39" t="str">
        <f ca="1">IF(NOTA[[#This Row],[ID]]="","",COUNTIF(NOTA[ID_H],NOTA[[#This Row],[ID_H]]))</f>
        <v/>
      </c>
      <c r="AK944" s="39" t="str">
        <f ca="1">IF(NOTA[[#This Row],[TGL.NOTA]]="",IF(NOTA[[#This Row],[SUPPLIER_H]]="","",AK943),MONTH(NOTA[[#This Row],[TGL.NOTA]]))</f>
        <v/>
      </c>
      <c r="AL944" s="39" t="str">
        <f>LOWER(SUBSTITUTE(SUBSTITUTE(SUBSTITUTE(SUBSTITUTE(SUBSTITUTE(SUBSTITUTE(SUBSTITUTE(SUBSTITUTE(SUBSTITUTE(NOTA[NAMA BARANG]," ",),".",""),"-",""),"(",""),")",""),",",""),"/",""),"""",""),"+",""))</f>
        <v/>
      </c>
      <c r="AM9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39" t="str">
        <f>IF(NOTA[[#This Row],[CONCAT4]]="","",_xlfn.IFNA(MATCH(NOTA[[#This Row],[CONCAT4]],[2]!RAW[CONCAT_H],0),FALSE))</f>
        <v/>
      </c>
      <c r="AQ944" s="39" t="str">
        <f>IF(NOTA[[#This Row],[CONCAT1]]="","",MATCH(NOTA[[#This Row],[CONCAT1]],[3]!db[NB NOTA_C],0))</f>
        <v/>
      </c>
      <c r="AR944" s="39" t="str">
        <f>IF(NOTA[[#This Row],[QTY/ CTN]]="","",TRUE)</f>
        <v/>
      </c>
      <c r="AS944" s="39" t="str">
        <f ca="1">IF(NOTA[[#This Row],[ID_H]]="","",IF(NOTA[[#This Row],[Column3]]=TRUE,NOTA[[#This Row],[QTY/ CTN]],INDEX([3]!db[QTY/ CTN],NOTA[[#This Row],[//DB]])))</f>
        <v/>
      </c>
      <c r="AT9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4" s="39" t="str">
        <f ca="1">IF(NOTA[[#This Row],[ID_H]]="","",MATCH(NOTA[[#This Row],[NB NOTA_C_QTY]],[4]!db[NB NOTA_C_QTY+F],0))</f>
        <v/>
      </c>
      <c r="AV944" s="55" t="str">
        <f ca="1">IF(NOTA[[#This Row],[NB NOTA_C_QTY]]="","",ROW()-2)</f>
        <v/>
      </c>
    </row>
    <row r="945" spans="1:48" ht="20.100000000000001" customHeight="1" x14ac:dyDescent="0.25">
      <c r="A9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39" t="str">
        <f>IF(NOTA[[#This Row],[ID_P]]="","",MATCH(NOTA[[#This Row],[ID_P]],[1]!B_MSK[N_ID],0))</f>
        <v/>
      </c>
      <c r="D945" s="39" t="str">
        <f ca="1">IF(NOTA[[#This Row],[NAMA BARANG]]="","",INDEX(NOTA[ID],MATCH(,INDIRECT(ADDRESS(ROW(NOTA[ID]),COLUMN(NOTA[ID]))&amp;":"&amp;ADDRESS(ROW(),COLUMN(NOTA[ID]))),-1)))</f>
        <v/>
      </c>
      <c r="E945" s="47"/>
      <c r="H945" s="48"/>
      <c r="N945" s="39"/>
      <c r="Q945" s="43"/>
      <c r="R945" s="49"/>
      <c r="S945" s="50"/>
      <c r="U945" s="51"/>
      <c r="V945" s="46"/>
      <c r="W945" s="51" t="str">
        <f>IF(NOTA[[#This Row],[HARGA/ CTN]]="",NOTA[[#This Row],[JUMLAH_H]],NOTA[[#This Row],[HARGA/ CTN]]*IF(NOTA[[#This Row],[C]]="",0,NOTA[[#This Row],[C]]))</f>
        <v/>
      </c>
      <c r="X945" s="51" t="str">
        <f>IF(NOTA[[#This Row],[JUMLAH]]="","",NOTA[[#This Row],[JUMLAH]]*NOTA[[#This Row],[DISC 1]])</f>
        <v/>
      </c>
      <c r="Y945" s="51" t="str">
        <f>IF(NOTA[[#This Row],[JUMLAH]]="","",(NOTA[[#This Row],[JUMLAH]]-NOTA[[#This Row],[DISC 1-]])*NOTA[[#This Row],[DISC 2]])</f>
        <v/>
      </c>
      <c r="Z945" s="51" t="str">
        <f>IF(NOTA[[#This Row],[JUMLAH]]="","",NOTA[[#This Row],[DISC 1-]]+NOTA[[#This Row],[DISC 2-]])</f>
        <v/>
      </c>
      <c r="AA945" s="51" t="str">
        <f>IF(NOTA[[#This Row],[JUMLAH]]="","",NOTA[[#This Row],[JUMLAH]]-NOTA[[#This Row],[DISC]])</f>
        <v/>
      </c>
      <c r="AB945" s="51"/>
      <c r="AC9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51" t="str">
        <f>IF(OR(NOTA[[#This Row],[QTY]]="",NOTA[[#This Row],[HARGA SATUAN]]="",),"",NOTA[[#This Row],[QTY]]*NOTA[[#This Row],[HARGA SATUAN]])</f>
        <v/>
      </c>
      <c r="AG945" s="40" t="str">
        <f ca="1">IF(NOTA[ID_H]="","",INDEX(NOTA[TANGGAL],MATCH(,INDIRECT(ADDRESS(ROW(NOTA[TANGGAL]),COLUMN(NOTA[TANGGAL]))&amp;":"&amp;ADDRESS(ROW(),COLUMN(NOTA[TANGGAL]))),-1)))</f>
        <v/>
      </c>
      <c r="AH945" s="42" t="str">
        <f ca="1">IF(NOTA[[#This Row],[NAMA BARANG]]="","",INDEX(NOTA[SUPPLIER],MATCH(,INDIRECT(ADDRESS(ROW(NOTA[ID]),COLUMN(NOTA[ID]))&amp;":"&amp;ADDRESS(ROW(),COLUMN(NOTA[ID]))),-1)))</f>
        <v/>
      </c>
      <c r="AI945" s="42" t="str">
        <f ca="1">IF(NOTA[[#This Row],[ID_H]]="","",IF(NOTA[[#This Row],[FAKTUR]]="",INDIRECT(ADDRESS(ROW()-1,COLUMN())),NOTA[[#This Row],[FAKTUR]]))</f>
        <v/>
      </c>
      <c r="AJ945" s="39" t="str">
        <f ca="1">IF(NOTA[[#This Row],[ID]]="","",COUNTIF(NOTA[ID_H],NOTA[[#This Row],[ID_H]]))</f>
        <v/>
      </c>
      <c r="AK945" s="39" t="str">
        <f ca="1">IF(NOTA[[#This Row],[TGL.NOTA]]="",IF(NOTA[[#This Row],[SUPPLIER_H]]="","",AK944),MONTH(NOTA[[#This Row],[TGL.NOTA]]))</f>
        <v/>
      </c>
      <c r="AL945" s="39" t="str">
        <f>LOWER(SUBSTITUTE(SUBSTITUTE(SUBSTITUTE(SUBSTITUTE(SUBSTITUTE(SUBSTITUTE(SUBSTITUTE(SUBSTITUTE(SUBSTITUTE(NOTA[NAMA BARANG]," ",),".",""),"-",""),"(",""),")",""),",",""),"/",""),"""",""),"+",""))</f>
        <v/>
      </c>
      <c r="AM9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39" t="str">
        <f>IF(NOTA[[#This Row],[CONCAT4]]="","",_xlfn.IFNA(MATCH(NOTA[[#This Row],[CONCAT4]],[2]!RAW[CONCAT_H],0),FALSE))</f>
        <v/>
      </c>
      <c r="AQ945" s="39" t="str">
        <f>IF(NOTA[[#This Row],[CONCAT1]]="","",MATCH(NOTA[[#This Row],[CONCAT1]],[3]!db[NB NOTA_C],0))</f>
        <v/>
      </c>
      <c r="AR945" s="39" t="str">
        <f>IF(NOTA[[#This Row],[QTY/ CTN]]="","",TRUE)</f>
        <v/>
      </c>
      <c r="AS945" s="39" t="str">
        <f ca="1">IF(NOTA[[#This Row],[ID_H]]="","",IF(NOTA[[#This Row],[Column3]]=TRUE,NOTA[[#This Row],[QTY/ CTN]],INDEX([3]!db[QTY/ CTN],NOTA[[#This Row],[//DB]])))</f>
        <v/>
      </c>
      <c r="AT9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5" s="39" t="str">
        <f ca="1">IF(NOTA[[#This Row],[ID_H]]="","",MATCH(NOTA[[#This Row],[NB NOTA_C_QTY]],[4]!db[NB NOTA_C_QTY+F],0))</f>
        <v/>
      </c>
      <c r="AV945" s="55" t="str">
        <f ca="1">IF(NOTA[[#This Row],[NB NOTA_C_QTY]]="","",ROW()-2)</f>
        <v/>
      </c>
    </row>
    <row r="946" spans="1:48" ht="20.100000000000001" customHeight="1" x14ac:dyDescent="0.25">
      <c r="A9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39" t="str">
        <f>IF(NOTA[[#This Row],[ID_P]]="","",MATCH(NOTA[[#This Row],[ID_P]],[1]!B_MSK[N_ID],0))</f>
        <v/>
      </c>
      <c r="D946" s="39" t="str">
        <f ca="1">IF(NOTA[[#This Row],[NAMA BARANG]]="","",INDEX(NOTA[ID],MATCH(,INDIRECT(ADDRESS(ROW(NOTA[ID]),COLUMN(NOTA[ID]))&amp;":"&amp;ADDRESS(ROW(),COLUMN(NOTA[ID]))),-1)))</f>
        <v/>
      </c>
      <c r="E946" s="47"/>
      <c r="H946" s="48"/>
      <c r="N946" s="39"/>
      <c r="Q946" s="43"/>
      <c r="R946" s="49"/>
      <c r="S946" s="50"/>
      <c r="U946" s="51"/>
      <c r="V946" s="46"/>
      <c r="W946" s="51" t="str">
        <f>IF(NOTA[[#This Row],[HARGA/ CTN]]="",NOTA[[#This Row],[JUMLAH_H]],NOTA[[#This Row],[HARGA/ CTN]]*IF(NOTA[[#This Row],[C]]="",0,NOTA[[#This Row],[C]]))</f>
        <v/>
      </c>
      <c r="X946" s="51" t="str">
        <f>IF(NOTA[[#This Row],[JUMLAH]]="","",NOTA[[#This Row],[JUMLAH]]*NOTA[[#This Row],[DISC 1]])</f>
        <v/>
      </c>
      <c r="Y946" s="51" t="str">
        <f>IF(NOTA[[#This Row],[JUMLAH]]="","",(NOTA[[#This Row],[JUMLAH]]-NOTA[[#This Row],[DISC 1-]])*NOTA[[#This Row],[DISC 2]])</f>
        <v/>
      </c>
      <c r="Z946" s="51" t="str">
        <f>IF(NOTA[[#This Row],[JUMLAH]]="","",NOTA[[#This Row],[DISC 1-]]+NOTA[[#This Row],[DISC 2-]])</f>
        <v/>
      </c>
      <c r="AA946" s="51" t="str">
        <f>IF(NOTA[[#This Row],[JUMLAH]]="","",NOTA[[#This Row],[JUMLAH]]-NOTA[[#This Row],[DISC]])</f>
        <v/>
      </c>
      <c r="AB946" s="51"/>
      <c r="AC9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6" s="51" t="str">
        <f>IF(OR(NOTA[[#This Row],[QTY]]="",NOTA[[#This Row],[HARGA SATUAN]]="",),"",NOTA[[#This Row],[QTY]]*NOTA[[#This Row],[HARGA SATUAN]])</f>
        <v/>
      </c>
      <c r="AG946" s="40" t="str">
        <f ca="1">IF(NOTA[ID_H]="","",INDEX(NOTA[TANGGAL],MATCH(,INDIRECT(ADDRESS(ROW(NOTA[TANGGAL]),COLUMN(NOTA[TANGGAL]))&amp;":"&amp;ADDRESS(ROW(),COLUMN(NOTA[TANGGAL]))),-1)))</f>
        <v/>
      </c>
      <c r="AH946" s="42" t="str">
        <f ca="1">IF(NOTA[[#This Row],[NAMA BARANG]]="","",INDEX(NOTA[SUPPLIER],MATCH(,INDIRECT(ADDRESS(ROW(NOTA[ID]),COLUMN(NOTA[ID]))&amp;":"&amp;ADDRESS(ROW(),COLUMN(NOTA[ID]))),-1)))</f>
        <v/>
      </c>
      <c r="AI946" s="42" t="str">
        <f ca="1">IF(NOTA[[#This Row],[ID_H]]="","",IF(NOTA[[#This Row],[FAKTUR]]="",INDIRECT(ADDRESS(ROW()-1,COLUMN())),NOTA[[#This Row],[FAKTUR]]))</f>
        <v/>
      </c>
      <c r="AJ946" s="39" t="str">
        <f ca="1">IF(NOTA[[#This Row],[ID]]="","",COUNTIF(NOTA[ID_H],NOTA[[#This Row],[ID_H]]))</f>
        <v/>
      </c>
      <c r="AK946" s="39" t="str">
        <f ca="1">IF(NOTA[[#This Row],[TGL.NOTA]]="",IF(NOTA[[#This Row],[SUPPLIER_H]]="","",AK945),MONTH(NOTA[[#This Row],[TGL.NOTA]]))</f>
        <v/>
      </c>
      <c r="AL946" s="39" t="str">
        <f>LOWER(SUBSTITUTE(SUBSTITUTE(SUBSTITUTE(SUBSTITUTE(SUBSTITUTE(SUBSTITUTE(SUBSTITUTE(SUBSTITUTE(SUBSTITUTE(NOTA[NAMA BARANG]," ",),".",""),"-",""),"(",""),")",""),",",""),"/",""),"""",""),"+",""))</f>
        <v/>
      </c>
      <c r="AM9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6" s="39" t="str">
        <f>IF(NOTA[[#This Row],[CONCAT4]]="","",_xlfn.IFNA(MATCH(NOTA[[#This Row],[CONCAT4]],[2]!RAW[CONCAT_H],0),FALSE))</f>
        <v/>
      </c>
      <c r="AQ946" s="39" t="str">
        <f>IF(NOTA[[#This Row],[CONCAT1]]="","",MATCH(NOTA[[#This Row],[CONCAT1]],[3]!db[NB NOTA_C],0))</f>
        <v/>
      </c>
      <c r="AR946" s="39" t="str">
        <f>IF(NOTA[[#This Row],[QTY/ CTN]]="","",TRUE)</f>
        <v/>
      </c>
      <c r="AS946" s="39" t="str">
        <f ca="1">IF(NOTA[[#This Row],[ID_H]]="","",IF(NOTA[[#This Row],[Column3]]=TRUE,NOTA[[#This Row],[QTY/ CTN]],INDEX([3]!db[QTY/ CTN],NOTA[[#This Row],[//DB]])))</f>
        <v/>
      </c>
      <c r="AT9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6" s="39" t="str">
        <f ca="1">IF(NOTA[[#This Row],[ID_H]]="","",MATCH(NOTA[[#This Row],[NB NOTA_C_QTY]],[4]!db[NB NOTA_C_QTY+F],0))</f>
        <v/>
      </c>
      <c r="AV946" s="55" t="str">
        <f ca="1">IF(NOTA[[#This Row],[NB NOTA_C_QTY]]="","",ROW()-2)</f>
        <v/>
      </c>
    </row>
    <row r="947" spans="1:48" ht="20.100000000000001" customHeight="1" x14ac:dyDescent="0.25">
      <c r="A9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39" t="str">
        <f>IF(NOTA[[#This Row],[ID_P]]="","",MATCH(NOTA[[#This Row],[ID_P]],[1]!B_MSK[N_ID],0))</f>
        <v/>
      </c>
      <c r="D947" s="39" t="str">
        <f ca="1">IF(NOTA[[#This Row],[NAMA BARANG]]="","",INDEX(NOTA[ID],MATCH(,INDIRECT(ADDRESS(ROW(NOTA[ID]),COLUMN(NOTA[ID]))&amp;":"&amp;ADDRESS(ROW(),COLUMN(NOTA[ID]))),-1)))</f>
        <v/>
      </c>
      <c r="E947" s="47"/>
      <c r="H947" s="48"/>
      <c r="N947" s="39"/>
      <c r="Q947" s="43"/>
      <c r="R947" s="49"/>
      <c r="S947" s="50"/>
      <c r="U947" s="51"/>
      <c r="V947" s="46"/>
      <c r="W947" s="51" t="str">
        <f>IF(NOTA[[#This Row],[HARGA/ CTN]]="",NOTA[[#This Row],[JUMLAH_H]],NOTA[[#This Row],[HARGA/ CTN]]*IF(NOTA[[#This Row],[C]]="",0,NOTA[[#This Row],[C]]))</f>
        <v/>
      </c>
      <c r="X947" s="51" t="str">
        <f>IF(NOTA[[#This Row],[JUMLAH]]="","",NOTA[[#This Row],[JUMLAH]]*NOTA[[#This Row],[DISC 1]])</f>
        <v/>
      </c>
      <c r="Y947" s="51" t="str">
        <f>IF(NOTA[[#This Row],[JUMLAH]]="","",(NOTA[[#This Row],[JUMLAH]]-NOTA[[#This Row],[DISC 1-]])*NOTA[[#This Row],[DISC 2]])</f>
        <v/>
      </c>
      <c r="Z947" s="51" t="str">
        <f>IF(NOTA[[#This Row],[JUMLAH]]="","",NOTA[[#This Row],[DISC 1-]]+NOTA[[#This Row],[DISC 2-]])</f>
        <v/>
      </c>
      <c r="AA947" s="51" t="str">
        <f>IF(NOTA[[#This Row],[JUMLAH]]="","",NOTA[[#This Row],[JUMLAH]]-NOTA[[#This Row],[DISC]])</f>
        <v/>
      </c>
      <c r="AB947" s="51"/>
      <c r="AC9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51" t="str">
        <f>IF(OR(NOTA[[#This Row],[QTY]]="",NOTA[[#This Row],[HARGA SATUAN]]="",),"",NOTA[[#This Row],[QTY]]*NOTA[[#This Row],[HARGA SATUAN]])</f>
        <v/>
      </c>
      <c r="AG947" s="40" t="str">
        <f ca="1">IF(NOTA[ID_H]="","",INDEX(NOTA[TANGGAL],MATCH(,INDIRECT(ADDRESS(ROW(NOTA[TANGGAL]),COLUMN(NOTA[TANGGAL]))&amp;":"&amp;ADDRESS(ROW(),COLUMN(NOTA[TANGGAL]))),-1)))</f>
        <v/>
      </c>
      <c r="AH947" s="42" t="str">
        <f ca="1">IF(NOTA[[#This Row],[NAMA BARANG]]="","",INDEX(NOTA[SUPPLIER],MATCH(,INDIRECT(ADDRESS(ROW(NOTA[ID]),COLUMN(NOTA[ID]))&amp;":"&amp;ADDRESS(ROW(),COLUMN(NOTA[ID]))),-1)))</f>
        <v/>
      </c>
      <c r="AI947" s="42" t="str">
        <f ca="1">IF(NOTA[[#This Row],[ID_H]]="","",IF(NOTA[[#This Row],[FAKTUR]]="",INDIRECT(ADDRESS(ROW()-1,COLUMN())),NOTA[[#This Row],[FAKTUR]]))</f>
        <v/>
      </c>
      <c r="AJ947" s="39" t="str">
        <f ca="1">IF(NOTA[[#This Row],[ID]]="","",COUNTIF(NOTA[ID_H],NOTA[[#This Row],[ID_H]]))</f>
        <v/>
      </c>
      <c r="AK947" s="39" t="str">
        <f ca="1">IF(NOTA[[#This Row],[TGL.NOTA]]="",IF(NOTA[[#This Row],[SUPPLIER_H]]="","",AK946),MONTH(NOTA[[#This Row],[TGL.NOTA]]))</f>
        <v/>
      </c>
      <c r="AL947" s="39" t="str">
        <f>LOWER(SUBSTITUTE(SUBSTITUTE(SUBSTITUTE(SUBSTITUTE(SUBSTITUTE(SUBSTITUTE(SUBSTITUTE(SUBSTITUTE(SUBSTITUTE(NOTA[NAMA BARANG]," ",),".",""),"-",""),"(",""),")",""),",",""),"/",""),"""",""),"+",""))</f>
        <v/>
      </c>
      <c r="AM9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39" t="str">
        <f>IF(NOTA[[#This Row],[CONCAT4]]="","",_xlfn.IFNA(MATCH(NOTA[[#This Row],[CONCAT4]],[2]!RAW[CONCAT_H],0),FALSE))</f>
        <v/>
      </c>
      <c r="AQ947" s="39" t="str">
        <f>IF(NOTA[[#This Row],[CONCAT1]]="","",MATCH(NOTA[[#This Row],[CONCAT1]],[3]!db[NB NOTA_C],0))</f>
        <v/>
      </c>
      <c r="AR947" s="39" t="str">
        <f>IF(NOTA[[#This Row],[QTY/ CTN]]="","",TRUE)</f>
        <v/>
      </c>
      <c r="AS947" s="39" t="str">
        <f ca="1">IF(NOTA[[#This Row],[ID_H]]="","",IF(NOTA[[#This Row],[Column3]]=TRUE,NOTA[[#This Row],[QTY/ CTN]],INDEX([3]!db[QTY/ CTN],NOTA[[#This Row],[//DB]])))</f>
        <v/>
      </c>
      <c r="AT9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7" s="39" t="str">
        <f ca="1">IF(NOTA[[#This Row],[ID_H]]="","",MATCH(NOTA[[#This Row],[NB NOTA_C_QTY]],[4]!db[NB NOTA_C_QTY+F],0))</f>
        <v/>
      </c>
      <c r="AV947" s="55" t="str">
        <f ca="1">IF(NOTA[[#This Row],[NB NOTA_C_QTY]]="","",ROW()-2)</f>
        <v/>
      </c>
    </row>
    <row r="948" spans="1:48" ht="20.100000000000001" customHeight="1" x14ac:dyDescent="0.25">
      <c r="A9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39" t="str">
        <f>IF(NOTA[[#This Row],[ID_P]]="","",MATCH(NOTA[[#This Row],[ID_P]],[1]!B_MSK[N_ID],0))</f>
        <v/>
      </c>
      <c r="D948" s="39" t="str">
        <f ca="1">IF(NOTA[[#This Row],[NAMA BARANG]]="","",INDEX(NOTA[ID],MATCH(,INDIRECT(ADDRESS(ROW(NOTA[ID]),COLUMN(NOTA[ID]))&amp;":"&amp;ADDRESS(ROW(),COLUMN(NOTA[ID]))),-1)))</f>
        <v/>
      </c>
      <c r="E948" s="47"/>
      <c r="H948" s="48"/>
      <c r="N948" s="39"/>
      <c r="Q948" s="43"/>
      <c r="R948" s="49"/>
      <c r="S948" s="50"/>
      <c r="U948" s="51"/>
      <c r="V948" s="46"/>
      <c r="W948" s="51" t="str">
        <f>IF(NOTA[[#This Row],[HARGA/ CTN]]="",NOTA[[#This Row],[JUMLAH_H]],NOTA[[#This Row],[HARGA/ CTN]]*IF(NOTA[[#This Row],[C]]="",0,NOTA[[#This Row],[C]]))</f>
        <v/>
      </c>
      <c r="X948" s="51" t="str">
        <f>IF(NOTA[[#This Row],[JUMLAH]]="","",NOTA[[#This Row],[JUMLAH]]*NOTA[[#This Row],[DISC 1]])</f>
        <v/>
      </c>
      <c r="Y948" s="51" t="str">
        <f>IF(NOTA[[#This Row],[JUMLAH]]="","",(NOTA[[#This Row],[JUMLAH]]-NOTA[[#This Row],[DISC 1-]])*NOTA[[#This Row],[DISC 2]])</f>
        <v/>
      </c>
      <c r="Z948" s="51" t="str">
        <f>IF(NOTA[[#This Row],[JUMLAH]]="","",NOTA[[#This Row],[DISC 1-]]+NOTA[[#This Row],[DISC 2-]])</f>
        <v/>
      </c>
      <c r="AA948" s="51" t="str">
        <f>IF(NOTA[[#This Row],[JUMLAH]]="","",NOTA[[#This Row],[JUMLAH]]-NOTA[[#This Row],[DISC]])</f>
        <v/>
      </c>
      <c r="AB948" s="51"/>
      <c r="AC9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8" s="51" t="str">
        <f>IF(OR(NOTA[[#This Row],[QTY]]="",NOTA[[#This Row],[HARGA SATUAN]]="",),"",NOTA[[#This Row],[QTY]]*NOTA[[#This Row],[HARGA SATUAN]])</f>
        <v/>
      </c>
      <c r="AG948" s="40" t="str">
        <f ca="1">IF(NOTA[ID_H]="","",INDEX(NOTA[TANGGAL],MATCH(,INDIRECT(ADDRESS(ROW(NOTA[TANGGAL]),COLUMN(NOTA[TANGGAL]))&amp;":"&amp;ADDRESS(ROW(),COLUMN(NOTA[TANGGAL]))),-1)))</f>
        <v/>
      </c>
      <c r="AH948" s="42" t="str">
        <f ca="1">IF(NOTA[[#This Row],[NAMA BARANG]]="","",INDEX(NOTA[SUPPLIER],MATCH(,INDIRECT(ADDRESS(ROW(NOTA[ID]),COLUMN(NOTA[ID]))&amp;":"&amp;ADDRESS(ROW(),COLUMN(NOTA[ID]))),-1)))</f>
        <v/>
      </c>
      <c r="AI948" s="42" t="str">
        <f ca="1">IF(NOTA[[#This Row],[ID_H]]="","",IF(NOTA[[#This Row],[FAKTUR]]="",INDIRECT(ADDRESS(ROW()-1,COLUMN())),NOTA[[#This Row],[FAKTUR]]))</f>
        <v/>
      </c>
      <c r="AJ948" s="39" t="str">
        <f ca="1">IF(NOTA[[#This Row],[ID]]="","",COUNTIF(NOTA[ID_H],NOTA[[#This Row],[ID_H]]))</f>
        <v/>
      </c>
      <c r="AK948" s="39" t="str">
        <f ca="1">IF(NOTA[[#This Row],[TGL.NOTA]]="",IF(NOTA[[#This Row],[SUPPLIER_H]]="","",AK947),MONTH(NOTA[[#This Row],[TGL.NOTA]]))</f>
        <v/>
      </c>
      <c r="AL948" s="39" t="str">
        <f>LOWER(SUBSTITUTE(SUBSTITUTE(SUBSTITUTE(SUBSTITUTE(SUBSTITUTE(SUBSTITUTE(SUBSTITUTE(SUBSTITUTE(SUBSTITUTE(NOTA[NAMA BARANG]," ",),".",""),"-",""),"(",""),")",""),",",""),"/",""),"""",""),"+",""))</f>
        <v/>
      </c>
      <c r="AM9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39" t="str">
        <f>IF(NOTA[[#This Row],[CONCAT4]]="","",_xlfn.IFNA(MATCH(NOTA[[#This Row],[CONCAT4]],[2]!RAW[CONCAT_H],0),FALSE))</f>
        <v/>
      </c>
      <c r="AQ948" s="39" t="str">
        <f>IF(NOTA[[#This Row],[CONCAT1]]="","",MATCH(NOTA[[#This Row],[CONCAT1]],[3]!db[NB NOTA_C],0))</f>
        <v/>
      </c>
      <c r="AR948" s="39" t="str">
        <f>IF(NOTA[[#This Row],[QTY/ CTN]]="","",TRUE)</f>
        <v/>
      </c>
      <c r="AS948" s="39" t="str">
        <f ca="1">IF(NOTA[[#This Row],[ID_H]]="","",IF(NOTA[[#This Row],[Column3]]=TRUE,NOTA[[#This Row],[QTY/ CTN]],INDEX([3]!db[QTY/ CTN],NOTA[[#This Row],[//DB]])))</f>
        <v/>
      </c>
      <c r="AT9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8" s="39" t="str">
        <f ca="1">IF(NOTA[[#This Row],[ID_H]]="","",MATCH(NOTA[[#This Row],[NB NOTA_C_QTY]],[4]!db[NB NOTA_C_QTY+F],0))</f>
        <v/>
      </c>
      <c r="AV948" s="55" t="str">
        <f ca="1">IF(NOTA[[#This Row],[NB NOTA_C_QTY]]="","",ROW()-2)</f>
        <v/>
      </c>
    </row>
    <row r="949" spans="1:48" ht="20.100000000000001" customHeight="1" x14ac:dyDescent="0.25">
      <c r="A9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39" t="str">
        <f>IF(NOTA[[#This Row],[ID_P]]="","",MATCH(NOTA[[#This Row],[ID_P]],[1]!B_MSK[N_ID],0))</f>
        <v/>
      </c>
      <c r="D949" s="39" t="str">
        <f ca="1">IF(NOTA[[#This Row],[NAMA BARANG]]="","",INDEX(NOTA[ID],MATCH(,INDIRECT(ADDRESS(ROW(NOTA[ID]),COLUMN(NOTA[ID]))&amp;":"&amp;ADDRESS(ROW(),COLUMN(NOTA[ID]))),-1)))</f>
        <v/>
      </c>
      <c r="E949" s="47"/>
      <c r="H949" s="48"/>
      <c r="N949" s="39"/>
      <c r="Q949" s="43"/>
      <c r="R949" s="49"/>
      <c r="S949" s="50"/>
      <c r="U949" s="51"/>
      <c r="V949" s="46"/>
      <c r="W949" s="51" t="str">
        <f>IF(NOTA[[#This Row],[HARGA/ CTN]]="",NOTA[[#This Row],[JUMLAH_H]],NOTA[[#This Row],[HARGA/ CTN]]*IF(NOTA[[#This Row],[C]]="",0,NOTA[[#This Row],[C]]))</f>
        <v/>
      </c>
      <c r="X949" s="51" t="str">
        <f>IF(NOTA[[#This Row],[JUMLAH]]="","",NOTA[[#This Row],[JUMLAH]]*NOTA[[#This Row],[DISC 1]])</f>
        <v/>
      </c>
      <c r="Y949" s="51" t="str">
        <f>IF(NOTA[[#This Row],[JUMLAH]]="","",(NOTA[[#This Row],[JUMLAH]]-NOTA[[#This Row],[DISC 1-]])*NOTA[[#This Row],[DISC 2]])</f>
        <v/>
      </c>
      <c r="Z949" s="51" t="str">
        <f>IF(NOTA[[#This Row],[JUMLAH]]="","",NOTA[[#This Row],[DISC 1-]]+NOTA[[#This Row],[DISC 2-]])</f>
        <v/>
      </c>
      <c r="AA949" s="51" t="str">
        <f>IF(NOTA[[#This Row],[JUMLAH]]="","",NOTA[[#This Row],[JUMLAH]]-NOTA[[#This Row],[DISC]])</f>
        <v/>
      </c>
      <c r="AB949" s="51"/>
      <c r="AC9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9" s="51" t="str">
        <f>IF(OR(NOTA[[#This Row],[QTY]]="",NOTA[[#This Row],[HARGA SATUAN]]="",),"",NOTA[[#This Row],[QTY]]*NOTA[[#This Row],[HARGA SATUAN]])</f>
        <v/>
      </c>
      <c r="AG949" s="40" t="str">
        <f ca="1">IF(NOTA[ID_H]="","",INDEX(NOTA[TANGGAL],MATCH(,INDIRECT(ADDRESS(ROW(NOTA[TANGGAL]),COLUMN(NOTA[TANGGAL]))&amp;":"&amp;ADDRESS(ROW(),COLUMN(NOTA[TANGGAL]))),-1)))</f>
        <v/>
      </c>
      <c r="AH949" s="42" t="str">
        <f ca="1">IF(NOTA[[#This Row],[NAMA BARANG]]="","",INDEX(NOTA[SUPPLIER],MATCH(,INDIRECT(ADDRESS(ROW(NOTA[ID]),COLUMN(NOTA[ID]))&amp;":"&amp;ADDRESS(ROW(),COLUMN(NOTA[ID]))),-1)))</f>
        <v/>
      </c>
      <c r="AI949" s="42" t="str">
        <f ca="1">IF(NOTA[[#This Row],[ID_H]]="","",IF(NOTA[[#This Row],[FAKTUR]]="",INDIRECT(ADDRESS(ROW()-1,COLUMN())),NOTA[[#This Row],[FAKTUR]]))</f>
        <v/>
      </c>
      <c r="AJ949" s="39" t="str">
        <f ca="1">IF(NOTA[[#This Row],[ID]]="","",COUNTIF(NOTA[ID_H],NOTA[[#This Row],[ID_H]]))</f>
        <v/>
      </c>
      <c r="AK949" s="39" t="str">
        <f ca="1">IF(NOTA[[#This Row],[TGL.NOTA]]="",IF(NOTA[[#This Row],[SUPPLIER_H]]="","",AK948),MONTH(NOTA[[#This Row],[TGL.NOTA]]))</f>
        <v/>
      </c>
      <c r="AL949" s="39" t="str">
        <f>LOWER(SUBSTITUTE(SUBSTITUTE(SUBSTITUTE(SUBSTITUTE(SUBSTITUTE(SUBSTITUTE(SUBSTITUTE(SUBSTITUTE(SUBSTITUTE(NOTA[NAMA BARANG]," ",),".",""),"-",""),"(",""),")",""),",",""),"/",""),"""",""),"+",""))</f>
        <v/>
      </c>
      <c r="AM9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39" t="str">
        <f>IF(NOTA[[#This Row],[CONCAT4]]="","",_xlfn.IFNA(MATCH(NOTA[[#This Row],[CONCAT4]],[2]!RAW[CONCAT_H],0),FALSE))</f>
        <v/>
      </c>
      <c r="AQ949" s="39" t="str">
        <f>IF(NOTA[[#This Row],[CONCAT1]]="","",MATCH(NOTA[[#This Row],[CONCAT1]],[3]!db[NB NOTA_C],0))</f>
        <v/>
      </c>
      <c r="AR949" s="39" t="str">
        <f>IF(NOTA[[#This Row],[QTY/ CTN]]="","",TRUE)</f>
        <v/>
      </c>
      <c r="AS949" s="39" t="str">
        <f ca="1">IF(NOTA[[#This Row],[ID_H]]="","",IF(NOTA[[#This Row],[Column3]]=TRUE,NOTA[[#This Row],[QTY/ CTN]],INDEX([3]!db[QTY/ CTN],NOTA[[#This Row],[//DB]])))</f>
        <v/>
      </c>
      <c r="AT9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9" s="39" t="str">
        <f ca="1">IF(NOTA[[#This Row],[ID_H]]="","",MATCH(NOTA[[#This Row],[NB NOTA_C_QTY]],[4]!db[NB NOTA_C_QTY+F],0))</f>
        <v/>
      </c>
      <c r="AV949" s="55" t="str">
        <f ca="1">IF(NOTA[[#This Row],[NB NOTA_C_QTY]]="","",ROW()-2)</f>
        <v/>
      </c>
    </row>
    <row r="950" spans="1:48" ht="20.100000000000001" customHeight="1" x14ac:dyDescent="0.25">
      <c r="A9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39" t="str">
        <f>IF(NOTA[[#This Row],[ID_P]]="","",MATCH(NOTA[[#This Row],[ID_P]],[1]!B_MSK[N_ID],0))</f>
        <v/>
      </c>
      <c r="D950" s="39" t="str">
        <f ca="1">IF(NOTA[[#This Row],[NAMA BARANG]]="","",INDEX(NOTA[ID],MATCH(,INDIRECT(ADDRESS(ROW(NOTA[ID]),COLUMN(NOTA[ID]))&amp;":"&amp;ADDRESS(ROW(),COLUMN(NOTA[ID]))),-1)))</f>
        <v/>
      </c>
      <c r="E950" s="47"/>
      <c r="H950" s="48"/>
      <c r="N950" s="39"/>
      <c r="Q950" s="43"/>
      <c r="R950" s="49"/>
      <c r="S950" s="50"/>
      <c r="U950" s="51"/>
      <c r="V950" s="46"/>
      <c r="W950" s="51" t="str">
        <f>IF(NOTA[[#This Row],[HARGA/ CTN]]="",NOTA[[#This Row],[JUMLAH_H]],NOTA[[#This Row],[HARGA/ CTN]]*IF(NOTA[[#This Row],[C]]="",0,NOTA[[#This Row],[C]]))</f>
        <v/>
      </c>
      <c r="X950" s="51" t="str">
        <f>IF(NOTA[[#This Row],[JUMLAH]]="","",NOTA[[#This Row],[JUMLAH]]*NOTA[[#This Row],[DISC 1]])</f>
        <v/>
      </c>
      <c r="Y950" s="51" t="str">
        <f>IF(NOTA[[#This Row],[JUMLAH]]="","",(NOTA[[#This Row],[JUMLAH]]-NOTA[[#This Row],[DISC 1-]])*NOTA[[#This Row],[DISC 2]])</f>
        <v/>
      </c>
      <c r="Z950" s="51" t="str">
        <f>IF(NOTA[[#This Row],[JUMLAH]]="","",NOTA[[#This Row],[DISC 1-]]+NOTA[[#This Row],[DISC 2-]])</f>
        <v/>
      </c>
      <c r="AA950" s="51" t="str">
        <f>IF(NOTA[[#This Row],[JUMLAH]]="","",NOTA[[#This Row],[JUMLAH]]-NOTA[[#This Row],[DISC]])</f>
        <v/>
      </c>
      <c r="AB950" s="51"/>
      <c r="AC9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51" t="str">
        <f>IF(OR(NOTA[[#This Row],[QTY]]="",NOTA[[#This Row],[HARGA SATUAN]]="",),"",NOTA[[#This Row],[QTY]]*NOTA[[#This Row],[HARGA SATUAN]])</f>
        <v/>
      </c>
      <c r="AG950" s="40" t="str">
        <f ca="1">IF(NOTA[ID_H]="","",INDEX(NOTA[TANGGAL],MATCH(,INDIRECT(ADDRESS(ROW(NOTA[TANGGAL]),COLUMN(NOTA[TANGGAL]))&amp;":"&amp;ADDRESS(ROW(),COLUMN(NOTA[TANGGAL]))),-1)))</f>
        <v/>
      </c>
      <c r="AH950" s="42" t="str">
        <f ca="1">IF(NOTA[[#This Row],[NAMA BARANG]]="","",INDEX(NOTA[SUPPLIER],MATCH(,INDIRECT(ADDRESS(ROW(NOTA[ID]),COLUMN(NOTA[ID]))&amp;":"&amp;ADDRESS(ROW(),COLUMN(NOTA[ID]))),-1)))</f>
        <v/>
      </c>
      <c r="AI950" s="42" t="str">
        <f ca="1">IF(NOTA[[#This Row],[ID_H]]="","",IF(NOTA[[#This Row],[FAKTUR]]="",INDIRECT(ADDRESS(ROW()-1,COLUMN())),NOTA[[#This Row],[FAKTUR]]))</f>
        <v/>
      </c>
      <c r="AJ950" s="39" t="str">
        <f ca="1">IF(NOTA[[#This Row],[ID]]="","",COUNTIF(NOTA[ID_H],NOTA[[#This Row],[ID_H]]))</f>
        <v/>
      </c>
      <c r="AK950" s="39" t="str">
        <f ca="1">IF(NOTA[[#This Row],[TGL.NOTA]]="",IF(NOTA[[#This Row],[SUPPLIER_H]]="","",AK949),MONTH(NOTA[[#This Row],[TGL.NOTA]]))</f>
        <v/>
      </c>
      <c r="AL950" s="39" t="str">
        <f>LOWER(SUBSTITUTE(SUBSTITUTE(SUBSTITUTE(SUBSTITUTE(SUBSTITUTE(SUBSTITUTE(SUBSTITUTE(SUBSTITUTE(SUBSTITUTE(NOTA[NAMA BARANG]," ",),".",""),"-",""),"(",""),")",""),",",""),"/",""),"""",""),"+",""))</f>
        <v/>
      </c>
      <c r="AM9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39" t="str">
        <f>IF(NOTA[[#This Row],[CONCAT4]]="","",_xlfn.IFNA(MATCH(NOTA[[#This Row],[CONCAT4]],[2]!RAW[CONCAT_H],0),FALSE))</f>
        <v/>
      </c>
      <c r="AQ950" s="39" t="str">
        <f>IF(NOTA[[#This Row],[CONCAT1]]="","",MATCH(NOTA[[#This Row],[CONCAT1]],[3]!db[NB NOTA_C],0))</f>
        <v/>
      </c>
      <c r="AR950" s="39" t="str">
        <f>IF(NOTA[[#This Row],[QTY/ CTN]]="","",TRUE)</f>
        <v/>
      </c>
      <c r="AS950" s="39" t="str">
        <f ca="1">IF(NOTA[[#This Row],[ID_H]]="","",IF(NOTA[[#This Row],[Column3]]=TRUE,NOTA[[#This Row],[QTY/ CTN]],INDEX([3]!db[QTY/ CTN],NOTA[[#This Row],[//DB]])))</f>
        <v/>
      </c>
      <c r="AT9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0" s="39" t="str">
        <f ca="1">IF(NOTA[[#This Row],[ID_H]]="","",MATCH(NOTA[[#This Row],[NB NOTA_C_QTY]],[4]!db[NB NOTA_C_QTY+F],0))</f>
        <v/>
      </c>
      <c r="AV950" s="55" t="str">
        <f ca="1">IF(NOTA[[#This Row],[NB NOTA_C_QTY]]="","",ROW()-2)</f>
        <v/>
      </c>
    </row>
    <row r="951" spans="1:48" ht="20.100000000000001" customHeight="1" x14ac:dyDescent="0.25">
      <c r="A9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39" t="str">
        <f>IF(NOTA[[#This Row],[ID_P]]="","",MATCH(NOTA[[#This Row],[ID_P]],[1]!B_MSK[N_ID],0))</f>
        <v/>
      </c>
      <c r="D951" s="39" t="str">
        <f ca="1">IF(NOTA[[#This Row],[NAMA BARANG]]="","",INDEX(NOTA[ID],MATCH(,INDIRECT(ADDRESS(ROW(NOTA[ID]),COLUMN(NOTA[ID]))&amp;":"&amp;ADDRESS(ROW(),COLUMN(NOTA[ID]))),-1)))</f>
        <v/>
      </c>
      <c r="E951" s="47"/>
      <c r="H951" s="48"/>
      <c r="N951" s="39"/>
      <c r="Q951" s="43"/>
      <c r="R951" s="49"/>
      <c r="S951" s="50"/>
      <c r="U951" s="51"/>
      <c r="V951" s="46"/>
      <c r="W951" s="51" t="str">
        <f>IF(NOTA[[#This Row],[HARGA/ CTN]]="",NOTA[[#This Row],[JUMLAH_H]],NOTA[[#This Row],[HARGA/ CTN]]*IF(NOTA[[#This Row],[C]]="",0,NOTA[[#This Row],[C]]))</f>
        <v/>
      </c>
      <c r="X951" s="51" t="str">
        <f>IF(NOTA[[#This Row],[JUMLAH]]="","",NOTA[[#This Row],[JUMLAH]]*NOTA[[#This Row],[DISC 1]])</f>
        <v/>
      </c>
      <c r="Y951" s="51" t="str">
        <f>IF(NOTA[[#This Row],[JUMLAH]]="","",(NOTA[[#This Row],[JUMLAH]]-NOTA[[#This Row],[DISC 1-]])*NOTA[[#This Row],[DISC 2]])</f>
        <v/>
      </c>
      <c r="Z951" s="51" t="str">
        <f>IF(NOTA[[#This Row],[JUMLAH]]="","",NOTA[[#This Row],[DISC 1-]]+NOTA[[#This Row],[DISC 2-]])</f>
        <v/>
      </c>
      <c r="AA951" s="51" t="str">
        <f>IF(NOTA[[#This Row],[JUMLAH]]="","",NOTA[[#This Row],[JUMLAH]]-NOTA[[#This Row],[DISC]])</f>
        <v/>
      </c>
      <c r="AB951" s="51"/>
      <c r="AC9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1" s="51" t="str">
        <f>IF(OR(NOTA[[#This Row],[QTY]]="",NOTA[[#This Row],[HARGA SATUAN]]="",),"",NOTA[[#This Row],[QTY]]*NOTA[[#This Row],[HARGA SATUAN]])</f>
        <v/>
      </c>
      <c r="AG951" s="40" t="str">
        <f ca="1">IF(NOTA[ID_H]="","",INDEX(NOTA[TANGGAL],MATCH(,INDIRECT(ADDRESS(ROW(NOTA[TANGGAL]),COLUMN(NOTA[TANGGAL]))&amp;":"&amp;ADDRESS(ROW(),COLUMN(NOTA[TANGGAL]))),-1)))</f>
        <v/>
      </c>
      <c r="AH951" s="42" t="str">
        <f ca="1">IF(NOTA[[#This Row],[NAMA BARANG]]="","",INDEX(NOTA[SUPPLIER],MATCH(,INDIRECT(ADDRESS(ROW(NOTA[ID]),COLUMN(NOTA[ID]))&amp;":"&amp;ADDRESS(ROW(),COLUMN(NOTA[ID]))),-1)))</f>
        <v/>
      </c>
      <c r="AI951" s="42" t="str">
        <f ca="1">IF(NOTA[[#This Row],[ID_H]]="","",IF(NOTA[[#This Row],[FAKTUR]]="",INDIRECT(ADDRESS(ROW()-1,COLUMN())),NOTA[[#This Row],[FAKTUR]]))</f>
        <v/>
      </c>
      <c r="AJ951" s="39" t="str">
        <f ca="1">IF(NOTA[[#This Row],[ID]]="","",COUNTIF(NOTA[ID_H],NOTA[[#This Row],[ID_H]]))</f>
        <v/>
      </c>
      <c r="AK951" s="39" t="str">
        <f ca="1">IF(NOTA[[#This Row],[TGL.NOTA]]="",IF(NOTA[[#This Row],[SUPPLIER_H]]="","",AK950),MONTH(NOTA[[#This Row],[TGL.NOTA]]))</f>
        <v/>
      </c>
      <c r="AL951" s="39" t="str">
        <f>LOWER(SUBSTITUTE(SUBSTITUTE(SUBSTITUTE(SUBSTITUTE(SUBSTITUTE(SUBSTITUTE(SUBSTITUTE(SUBSTITUTE(SUBSTITUTE(NOTA[NAMA BARANG]," ",),".",""),"-",""),"(",""),")",""),",",""),"/",""),"""",""),"+",""))</f>
        <v/>
      </c>
      <c r="AM9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39" t="str">
        <f>IF(NOTA[[#This Row],[CONCAT4]]="","",_xlfn.IFNA(MATCH(NOTA[[#This Row],[CONCAT4]],[2]!RAW[CONCAT_H],0),FALSE))</f>
        <v/>
      </c>
      <c r="AQ951" s="39" t="str">
        <f>IF(NOTA[[#This Row],[CONCAT1]]="","",MATCH(NOTA[[#This Row],[CONCAT1]],[3]!db[NB NOTA_C],0))</f>
        <v/>
      </c>
      <c r="AR951" s="39" t="str">
        <f>IF(NOTA[[#This Row],[QTY/ CTN]]="","",TRUE)</f>
        <v/>
      </c>
      <c r="AS951" s="39" t="str">
        <f ca="1">IF(NOTA[[#This Row],[ID_H]]="","",IF(NOTA[[#This Row],[Column3]]=TRUE,NOTA[[#This Row],[QTY/ CTN]],INDEX([3]!db[QTY/ CTN],NOTA[[#This Row],[//DB]])))</f>
        <v/>
      </c>
      <c r="AT9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1" s="39" t="str">
        <f ca="1">IF(NOTA[[#This Row],[ID_H]]="","",MATCH(NOTA[[#This Row],[NB NOTA_C_QTY]],[4]!db[NB NOTA_C_QTY+F],0))</f>
        <v/>
      </c>
      <c r="AV951" s="55" t="str">
        <f ca="1">IF(NOTA[[#This Row],[NB NOTA_C_QTY]]="","",ROW()-2)</f>
        <v/>
      </c>
    </row>
    <row r="952" spans="1:48" ht="20.100000000000001" customHeight="1" x14ac:dyDescent="0.25">
      <c r="A9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39" t="str">
        <f>IF(NOTA[[#This Row],[ID_P]]="","",MATCH(NOTA[[#This Row],[ID_P]],[1]!B_MSK[N_ID],0))</f>
        <v/>
      </c>
      <c r="D952" s="39" t="str">
        <f ca="1">IF(NOTA[[#This Row],[NAMA BARANG]]="","",INDEX(NOTA[ID],MATCH(,INDIRECT(ADDRESS(ROW(NOTA[ID]),COLUMN(NOTA[ID]))&amp;":"&amp;ADDRESS(ROW(),COLUMN(NOTA[ID]))),-1)))</f>
        <v/>
      </c>
      <c r="E952" s="47"/>
      <c r="H952" s="48"/>
      <c r="N952" s="39"/>
      <c r="Q952" s="43"/>
      <c r="R952" s="49"/>
      <c r="S952" s="50"/>
      <c r="U952" s="51"/>
      <c r="V952" s="46"/>
      <c r="W952" s="51" t="str">
        <f>IF(NOTA[[#This Row],[HARGA/ CTN]]="",NOTA[[#This Row],[JUMLAH_H]],NOTA[[#This Row],[HARGA/ CTN]]*IF(NOTA[[#This Row],[C]]="",0,NOTA[[#This Row],[C]]))</f>
        <v/>
      </c>
      <c r="X952" s="51" t="str">
        <f>IF(NOTA[[#This Row],[JUMLAH]]="","",NOTA[[#This Row],[JUMLAH]]*NOTA[[#This Row],[DISC 1]])</f>
        <v/>
      </c>
      <c r="Y952" s="51" t="str">
        <f>IF(NOTA[[#This Row],[JUMLAH]]="","",(NOTA[[#This Row],[JUMLAH]]-NOTA[[#This Row],[DISC 1-]])*NOTA[[#This Row],[DISC 2]])</f>
        <v/>
      </c>
      <c r="Z952" s="51" t="str">
        <f>IF(NOTA[[#This Row],[JUMLAH]]="","",NOTA[[#This Row],[DISC 1-]]+NOTA[[#This Row],[DISC 2-]])</f>
        <v/>
      </c>
      <c r="AA952" s="51" t="str">
        <f>IF(NOTA[[#This Row],[JUMLAH]]="","",NOTA[[#This Row],[JUMLAH]]-NOTA[[#This Row],[DISC]])</f>
        <v/>
      </c>
      <c r="AB952" s="51"/>
      <c r="AC9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2" s="51" t="str">
        <f>IF(OR(NOTA[[#This Row],[QTY]]="",NOTA[[#This Row],[HARGA SATUAN]]="",),"",NOTA[[#This Row],[QTY]]*NOTA[[#This Row],[HARGA SATUAN]])</f>
        <v/>
      </c>
      <c r="AG952" s="40" t="str">
        <f ca="1">IF(NOTA[ID_H]="","",INDEX(NOTA[TANGGAL],MATCH(,INDIRECT(ADDRESS(ROW(NOTA[TANGGAL]),COLUMN(NOTA[TANGGAL]))&amp;":"&amp;ADDRESS(ROW(),COLUMN(NOTA[TANGGAL]))),-1)))</f>
        <v/>
      </c>
      <c r="AH952" s="42" t="str">
        <f ca="1">IF(NOTA[[#This Row],[NAMA BARANG]]="","",INDEX(NOTA[SUPPLIER],MATCH(,INDIRECT(ADDRESS(ROW(NOTA[ID]),COLUMN(NOTA[ID]))&amp;":"&amp;ADDRESS(ROW(),COLUMN(NOTA[ID]))),-1)))</f>
        <v/>
      </c>
      <c r="AI952" s="42" t="str">
        <f ca="1">IF(NOTA[[#This Row],[ID_H]]="","",IF(NOTA[[#This Row],[FAKTUR]]="",INDIRECT(ADDRESS(ROW()-1,COLUMN())),NOTA[[#This Row],[FAKTUR]]))</f>
        <v/>
      </c>
      <c r="AJ952" s="39" t="str">
        <f ca="1">IF(NOTA[[#This Row],[ID]]="","",COUNTIF(NOTA[ID_H],NOTA[[#This Row],[ID_H]]))</f>
        <v/>
      </c>
      <c r="AK952" s="39" t="str">
        <f ca="1">IF(NOTA[[#This Row],[TGL.NOTA]]="",IF(NOTA[[#This Row],[SUPPLIER_H]]="","",AK951),MONTH(NOTA[[#This Row],[TGL.NOTA]]))</f>
        <v/>
      </c>
      <c r="AL952" s="39" t="str">
        <f>LOWER(SUBSTITUTE(SUBSTITUTE(SUBSTITUTE(SUBSTITUTE(SUBSTITUTE(SUBSTITUTE(SUBSTITUTE(SUBSTITUTE(SUBSTITUTE(NOTA[NAMA BARANG]," ",),".",""),"-",""),"(",""),")",""),",",""),"/",""),"""",""),"+",""))</f>
        <v/>
      </c>
      <c r="AM9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39" t="str">
        <f>IF(NOTA[[#This Row],[CONCAT4]]="","",_xlfn.IFNA(MATCH(NOTA[[#This Row],[CONCAT4]],[2]!RAW[CONCAT_H],0),FALSE))</f>
        <v/>
      </c>
      <c r="AQ952" s="39" t="str">
        <f>IF(NOTA[[#This Row],[CONCAT1]]="","",MATCH(NOTA[[#This Row],[CONCAT1]],[3]!db[NB NOTA_C],0))</f>
        <v/>
      </c>
      <c r="AR952" s="39" t="str">
        <f>IF(NOTA[[#This Row],[QTY/ CTN]]="","",TRUE)</f>
        <v/>
      </c>
      <c r="AS952" s="39" t="str">
        <f ca="1">IF(NOTA[[#This Row],[ID_H]]="","",IF(NOTA[[#This Row],[Column3]]=TRUE,NOTA[[#This Row],[QTY/ CTN]],INDEX([3]!db[QTY/ CTN],NOTA[[#This Row],[//DB]])))</f>
        <v/>
      </c>
      <c r="AT9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2" s="39" t="str">
        <f ca="1">IF(NOTA[[#This Row],[ID_H]]="","",MATCH(NOTA[[#This Row],[NB NOTA_C_QTY]],[4]!db[NB NOTA_C_QTY+F],0))</f>
        <v/>
      </c>
      <c r="AV952" s="55" t="str">
        <f ca="1">IF(NOTA[[#This Row],[NB NOTA_C_QTY]]="","",ROW()-2)</f>
        <v/>
      </c>
    </row>
    <row r="953" spans="1:48" ht="20.100000000000001" customHeight="1" x14ac:dyDescent="0.25">
      <c r="A9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39" t="str">
        <f>IF(NOTA[[#This Row],[ID_P]]="","",MATCH(NOTA[[#This Row],[ID_P]],[1]!B_MSK[N_ID],0))</f>
        <v/>
      </c>
      <c r="D953" s="39" t="str">
        <f ca="1">IF(NOTA[[#This Row],[NAMA BARANG]]="","",INDEX(NOTA[ID],MATCH(,INDIRECT(ADDRESS(ROW(NOTA[ID]),COLUMN(NOTA[ID]))&amp;":"&amp;ADDRESS(ROW(),COLUMN(NOTA[ID]))),-1)))</f>
        <v/>
      </c>
      <c r="E953" s="47"/>
      <c r="H953" s="48"/>
      <c r="N953" s="39"/>
      <c r="Q953" s="43"/>
      <c r="R953" s="49"/>
      <c r="S953" s="50"/>
      <c r="U953" s="51"/>
      <c r="V953" s="46"/>
      <c r="W953" s="51" t="str">
        <f>IF(NOTA[[#This Row],[HARGA/ CTN]]="",NOTA[[#This Row],[JUMLAH_H]],NOTA[[#This Row],[HARGA/ CTN]]*IF(NOTA[[#This Row],[C]]="",0,NOTA[[#This Row],[C]]))</f>
        <v/>
      </c>
      <c r="X953" s="51" t="str">
        <f>IF(NOTA[[#This Row],[JUMLAH]]="","",NOTA[[#This Row],[JUMLAH]]*NOTA[[#This Row],[DISC 1]])</f>
        <v/>
      </c>
      <c r="Y953" s="51" t="str">
        <f>IF(NOTA[[#This Row],[JUMLAH]]="","",(NOTA[[#This Row],[JUMLAH]]-NOTA[[#This Row],[DISC 1-]])*NOTA[[#This Row],[DISC 2]])</f>
        <v/>
      </c>
      <c r="Z953" s="51" t="str">
        <f>IF(NOTA[[#This Row],[JUMLAH]]="","",NOTA[[#This Row],[DISC 1-]]+NOTA[[#This Row],[DISC 2-]])</f>
        <v/>
      </c>
      <c r="AA953" s="51" t="str">
        <f>IF(NOTA[[#This Row],[JUMLAH]]="","",NOTA[[#This Row],[JUMLAH]]-NOTA[[#This Row],[DISC]])</f>
        <v/>
      </c>
      <c r="AB953" s="51"/>
      <c r="AC9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51" t="str">
        <f>IF(OR(NOTA[[#This Row],[QTY]]="",NOTA[[#This Row],[HARGA SATUAN]]="",),"",NOTA[[#This Row],[QTY]]*NOTA[[#This Row],[HARGA SATUAN]])</f>
        <v/>
      </c>
      <c r="AG953" s="40" t="str">
        <f ca="1">IF(NOTA[ID_H]="","",INDEX(NOTA[TANGGAL],MATCH(,INDIRECT(ADDRESS(ROW(NOTA[TANGGAL]),COLUMN(NOTA[TANGGAL]))&amp;":"&amp;ADDRESS(ROW(),COLUMN(NOTA[TANGGAL]))),-1)))</f>
        <v/>
      </c>
      <c r="AH953" s="42" t="str">
        <f ca="1">IF(NOTA[[#This Row],[NAMA BARANG]]="","",INDEX(NOTA[SUPPLIER],MATCH(,INDIRECT(ADDRESS(ROW(NOTA[ID]),COLUMN(NOTA[ID]))&amp;":"&amp;ADDRESS(ROW(),COLUMN(NOTA[ID]))),-1)))</f>
        <v/>
      </c>
      <c r="AI953" s="42" t="str">
        <f ca="1">IF(NOTA[[#This Row],[ID_H]]="","",IF(NOTA[[#This Row],[FAKTUR]]="",INDIRECT(ADDRESS(ROW()-1,COLUMN())),NOTA[[#This Row],[FAKTUR]]))</f>
        <v/>
      </c>
      <c r="AJ953" s="39" t="str">
        <f ca="1">IF(NOTA[[#This Row],[ID]]="","",COUNTIF(NOTA[ID_H],NOTA[[#This Row],[ID_H]]))</f>
        <v/>
      </c>
      <c r="AK953" s="39" t="str">
        <f ca="1">IF(NOTA[[#This Row],[TGL.NOTA]]="",IF(NOTA[[#This Row],[SUPPLIER_H]]="","",AK952),MONTH(NOTA[[#This Row],[TGL.NOTA]]))</f>
        <v/>
      </c>
      <c r="AL953" s="39" t="str">
        <f>LOWER(SUBSTITUTE(SUBSTITUTE(SUBSTITUTE(SUBSTITUTE(SUBSTITUTE(SUBSTITUTE(SUBSTITUTE(SUBSTITUTE(SUBSTITUTE(NOTA[NAMA BARANG]," ",),".",""),"-",""),"(",""),")",""),",",""),"/",""),"""",""),"+",""))</f>
        <v/>
      </c>
      <c r="AM9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39" t="str">
        <f>IF(NOTA[[#This Row],[CONCAT4]]="","",_xlfn.IFNA(MATCH(NOTA[[#This Row],[CONCAT4]],[2]!RAW[CONCAT_H],0),FALSE))</f>
        <v/>
      </c>
      <c r="AQ953" s="39" t="str">
        <f>IF(NOTA[[#This Row],[CONCAT1]]="","",MATCH(NOTA[[#This Row],[CONCAT1]],[3]!db[NB NOTA_C],0))</f>
        <v/>
      </c>
      <c r="AR953" s="39" t="str">
        <f>IF(NOTA[[#This Row],[QTY/ CTN]]="","",TRUE)</f>
        <v/>
      </c>
      <c r="AS953" s="39" t="str">
        <f ca="1">IF(NOTA[[#This Row],[ID_H]]="","",IF(NOTA[[#This Row],[Column3]]=TRUE,NOTA[[#This Row],[QTY/ CTN]],INDEX([3]!db[QTY/ CTN],NOTA[[#This Row],[//DB]])))</f>
        <v/>
      </c>
      <c r="AT9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3" s="39" t="str">
        <f ca="1">IF(NOTA[[#This Row],[ID_H]]="","",MATCH(NOTA[[#This Row],[NB NOTA_C_QTY]],[4]!db[NB NOTA_C_QTY+F],0))</f>
        <v/>
      </c>
      <c r="AV953" s="55" t="str">
        <f ca="1">IF(NOTA[[#This Row],[NB NOTA_C_QTY]]="","",ROW()-2)</f>
        <v/>
      </c>
    </row>
    <row r="954" spans="1:48" ht="20.100000000000001" customHeight="1" x14ac:dyDescent="0.25">
      <c r="A9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39" t="str">
        <f>IF(NOTA[[#This Row],[ID_P]]="","",MATCH(NOTA[[#This Row],[ID_P]],[1]!B_MSK[N_ID],0))</f>
        <v/>
      </c>
      <c r="D954" s="39" t="str">
        <f ca="1">IF(NOTA[[#This Row],[NAMA BARANG]]="","",INDEX(NOTA[ID],MATCH(,INDIRECT(ADDRESS(ROW(NOTA[ID]),COLUMN(NOTA[ID]))&amp;":"&amp;ADDRESS(ROW(),COLUMN(NOTA[ID]))),-1)))</f>
        <v/>
      </c>
      <c r="E954" s="47"/>
      <c r="H954" s="48"/>
      <c r="N954" s="39"/>
      <c r="Q954" s="43"/>
      <c r="R954" s="49"/>
      <c r="S954" s="50"/>
      <c r="U954" s="51"/>
      <c r="V954" s="46"/>
      <c r="W954" s="51" t="str">
        <f>IF(NOTA[[#This Row],[HARGA/ CTN]]="",NOTA[[#This Row],[JUMLAH_H]],NOTA[[#This Row],[HARGA/ CTN]]*IF(NOTA[[#This Row],[C]]="",0,NOTA[[#This Row],[C]]))</f>
        <v/>
      </c>
      <c r="X954" s="51" t="str">
        <f>IF(NOTA[[#This Row],[JUMLAH]]="","",NOTA[[#This Row],[JUMLAH]]*NOTA[[#This Row],[DISC 1]])</f>
        <v/>
      </c>
      <c r="Y954" s="51" t="str">
        <f>IF(NOTA[[#This Row],[JUMLAH]]="","",(NOTA[[#This Row],[JUMLAH]]-NOTA[[#This Row],[DISC 1-]])*NOTA[[#This Row],[DISC 2]])</f>
        <v/>
      </c>
      <c r="Z954" s="51" t="str">
        <f>IF(NOTA[[#This Row],[JUMLAH]]="","",NOTA[[#This Row],[DISC 1-]]+NOTA[[#This Row],[DISC 2-]])</f>
        <v/>
      </c>
      <c r="AA954" s="51" t="str">
        <f>IF(NOTA[[#This Row],[JUMLAH]]="","",NOTA[[#This Row],[JUMLAH]]-NOTA[[#This Row],[DISC]])</f>
        <v/>
      </c>
      <c r="AB954" s="51"/>
      <c r="AC9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4" s="51" t="str">
        <f>IF(OR(NOTA[[#This Row],[QTY]]="",NOTA[[#This Row],[HARGA SATUAN]]="",),"",NOTA[[#This Row],[QTY]]*NOTA[[#This Row],[HARGA SATUAN]])</f>
        <v/>
      </c>
      <c r="AG954" s="40" t="str">
        <f ca="1">IF(NOTA[ID_H]="","",INDEX(NOTA[TANGGAL],MATCH(,INDIRECT(ADDRESS(ROW(NOTA[TANGGAL]),COLUMN(NOTA[TANGGAL]))&amp;":"&amp;ADDRESS(ROW(),COLUMN(NOTA[TANGGAL]))),-1)))</f>
        <v/>
      </c>
      <c r="AH954" s="42" t="str">
        <f ca="1">IF(NOTA[[#This Row],[NAMA BARANG]]="","",INDEX(NOTA[SUPPLIER],MATCH(,INDIRECT(ADDRESS(ROW(NOTA[ID]),COLUMN(NOTA[ID]))&amp;":"&amp;ADDRESS(ROW(),COLUMN(NOTA[ID]))),-1)))</f>
        <v/>
      </c>
      <c r="AI954" s="42" t="str">
        <f ca="1">IF(NOTA[[#This Row],[ID_H]]="","",IF(NOTA[[#This Row],[FAKTUR]]="",INDIRECT(ADDRESS(ROW()-1,COLUMN())),NOTA[[#This Row],[FAKTUR]]))</f>
        <v/>
      </c>
      <c r="AJ954" s="39" t="str">
        <f ca="1">IF(NOTA[[#This Row],[ID]]="","",COUNTIF(NOTA[ID_H],NOTA[[#This Row],[ID_H]]))</f>
        <v/>
      </c>
      <c r="AK954" s="39" t="str">
        <f ca="1">IF(NOTA[[#This Row],[TGL.NOTA]]="",IF(NOTA[[#This Row],[SUPPLIER_H]]="","",AK953),MONTH(NOTA[[#This Row],[TGL.NOTA]]))</f>
        <v/>
      </c>
      <c r="AL954" s="39" t="str">
        <f>LOWER(SUBSTITUTE(SUBSTITUTE(SUBSTITUTE(SUBSTITUTE(SUBSTITUTE(SUBSTITUTE(SUBSTITUTE(SUBSTITUTE(SUBSTITUTE(NOTA[NAMA BARANG]," ",),".",""),"-",""),"(",""),")",""),",",""),"/",""),"""",""),"+",""))</f>
        <v/>
      </c>
      <c r="AM9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39" t="str">
        <f>IF(NOTA[[#This Row],[CONCAT4]]="","",_xlfn.IFNA(MATCH(NOTA[[#This Row],[CONCAT4]],[2]!RAW[CONCAT_H],0),FALSE))</f>
        <v/>
      </c>
      <c r="AQ954" s="39" t="str">
        <f>IF(NOTA[[#This Row],[CONCAT1]]="","",MATCH(NOTA[[#This Row],[CONCAT1]],[3]!db[NB NOTA_C],0))</f>
        <v/>
      </c>
      <c r="AR954" s="39" t="str">
        <f>IF(NOTA[[#This Row],[QTY/ CTN]]="","",TRUE)</f>
        <v/>
      </c>
      <c r="AS954" s="39" t="str">
        <f ca="1">IF(NOTA[[#This Row],[ID_H]]="","",IF(NOTA[[#This Row],[Column3]]=TRUE,NOTA[[#This Row],[QTY/ CTN]],INDEX([3]!db[QTY/ CTN],NOTA[[#This Row],[//DB]])))</f>
        <v/>
      </c>
      <c r="AT9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4" s="39" t="str">
        <f ca="1">IF(NOTA[[#This Row],[ID_H]]="","",MATCH(NOTA[[#This Row],[NB NOTA_C_QTY]],[4]!db[NB NOTA_C_QTY+F],0))</f>
        <v/>
      </c>
      <c r="AV954" s="55" t="str">
        <f ca="1">IF(NOTA[[#This Row],[NB NOTA_C_QTY]]="","",ROW()-2)</f>
        <v/>
      </c>
    </row>
    <row r="955" spans="1:48" ht="20.100000000000001" customHeight="1" x14ac:dyDescent="0.25">
      <c r="A9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39" t="str">
        <f>IF(NOTA[[#This Row],[ID_P]]="","",MATCH(NOTA[[#This Row],[ID_P]],[1]!B_MSK[N_ID],0))</f>
        <v/>
      </c>
      <c r="D955" s="39" t="str">
        <f ca="1">IF(NOTA[[#This Row],[NAMA BARANG]]="","",INDEX(NOTA[ID],MATCH(,INDIRECT(ADDRESS(ROW(NOTA[ID]),COLUMN(NOTA[ID]))&amp;":"&amp;ADDRESS(ROW(),COLUMN(NOTA[ID]))),-1)))</f>
        <v/>
      </c>
      <c r="E955" s="47"/>
      <c r="H955" s="48"/>
      <c r="N955" s="39"/>
      <c r="Q955" s="43"/>
      <c r="R955" s="49"/>
      <c r="S955" s="50"/>
      <c r="U955" s="51"/>
      <c r="V955" s="46"/>
      <c r="W955" s="51" t="str">
        <f>IF(NOTA[[#This Row],[HARGA/ CTN]]="",NOTA[[#This Row],[JUMLAH_H]],NOTA[[#This Row],[HARGA/ CTN]]*IF(NOTA[[#This Row],[C]]="",0,NOTA[[#This Row],[C]]))</f>
        <v/>
      </c>
      <c r="X955" s="51" t="str">
        <f>IF(NOTA[[#This Row],[JUMLAH]]="","",NOTA[[#This Row],[JUMLAH]]*NOTA[[#This Row],[DISC 1]])</f>
        <v/>
      </c>
      <c r="Y955" s="51" t="str">
        <f>IF(NOTA[[#This Row],[JUMLAH]]="","",(NOTA[[#This Row],[JUMLAH]]-NOTA[[#This Row],[DISC 1-]])*NOTA[[#This Row],[DISC 2]])</f>
        <v/>
      </c>
      <c r="Z955" s="51" t="str">
        <f>IF(NOTA[[#This Row],[JUMLAH]]="","",NOTA[[#This Row],[DISC 1-]]+NOTA[[#This Row],[DISC 2-]])</f>
        <v/>
      </c>
      <c r="AA955" s="51" t="str">
        <f>IF(NOTA[[#This Row],[JUMLAH]]="","",NOTA[[#This Row],[JUMLAH]]-NOTA[[#This Row],[DISC]])</f>
        <v/>
      </c>
      <c r="AB955" s="51"/>
      <c r="AC9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5" s="51" t="str">
        <f>IF(OR(NOTA[[#This Row],[QTY]]="",NOTA[[#This Row],[HARGA SATUAN]]="",),"",NOTA[[#This Row],[QTY]]*NOTA[[#This Row],[HARGA SATUAN]])</f>
        <v/>
      </c>
      <c r="AG955" s="40" t="str">
        <f ca="1">IF(NOTA[ID_H]="","",INDEX(NOTA[TANGGAL],MATCH(,INDIRECT(ADDRESS(ROW(NOTA[TANGGAL]),COLUMN(NOTA[TANGGAL]))&amp;":"&amp;ADDRESS(ROW(),COLUMN(NOTA[TANGGAL]))),-1)))</f>
        <v/>
      </c>
      <c r="AH955" s="42" t="str">
        <f ca="1">IF(NOTA[[#This Row],[NAMA BARANG]]="","",INDEX(NOTA[SUPPLIER],MATCH(,INDIRECT(ADDRESS(ROW(NOTA[ID]),COLUMN(NOTA[ID]))&amp;":"&amp;ADDRESS(ROW(),COLUMN(NOTA[ID]))),-1)))</f>
        <v/>
      </c>
      <c r="AI955" s="42" t="str">
        <f ca="1">IF(NOTA[[#This Row],[ID_H]]="","",IF(NOTA[[#This Row],[FAKTUR]]="",INDIRECT(ADDRESS(ROW()-1,COLUMN())),NOTA[[#This Row],[FAKTUR]]))</f>
        <v/>
      </c>
      <c r="AJ955" s="39" t="str">
        <f ca="1">IF(NOTA[[#This Row],[ID]]="","",COUNTIF(NOTA[ID_H],NOTA[[#This Row],[ID_H]]))</f>
        <v/>
      </c>
      <c r="AK955" s="39" t="str">
        <f ca="1">IF(NOTA[[#This Row],[TGL.NOTA]]="",IF(NOTA[[#This Row],[SUPPLIER_H]]="","",AK954),MONTH(NOTA[[#This Row],[TGL.NOTA]]))</f>
        <v/>
      </c>
      <c r="AL955" s="39" t="str">
        <f>LOWER(SUBSTITUTE(SUBSTITUTE(SUBSTITUTE(SUBSTITUTE(SUBSTITUTE(SUBSTITUTE(SUBSTITUTE(SUBSTITUTE(SUBSTITUTE(NOTA[NAMA BARANG]," ",),".",""),"-",""),"(",""),")",""),",",""),"/",""),"""",""),"+",""))</f>
        <v/>
      </c>
      <c r="AM9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39" t="str">
        <f>IF(NOTA[[#This Row],[CONCAT4]]="","",_xlfn.IFNA(MATCH(NOTA[[#This Row],[CONCAT4]],[2]!RAW[CONCAT_H],0),FALSE))</f>
        <v/>
      </c>
      <c r="AQ955" s="39" t="str">
        <f>IF(NOTA[[#This Row],[CONCAT1]]="","",MATCH(NOTA[[#This Row],[CONCAT1]],[3]!db[NB NOTA_C],0))</f>
        <v/>
      </c>
      <c r="AR955" s="39" t="str">
        <f>IF(NOTA[[#This Row],[QTY/ CTN]]="","",TRUE)</f>
        <v/>
      </c>
      <c r="AS955" s="39" t="str">
        <f ca="1">IF(NOTA[[#This Row],[ID_H]]="","",IF(NOTA[[#This Row],[Column3]]=TRUE,NOTA[[#This Row],[QTY/ CTN]],INDEX([3]!db[QTY/ CTN],NOTA[[#This Row],[//DB]])))</f>
        <v/>
      </c>
      <c r="AT9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5" s="39" t="str">
        <f ca="1">IF(NOTA[[#This Row],[ID_H]]="","",MATCH(NOTA[[#This Row],[NB NOTA_C_QTY]],[4]!db[NB NOTA_C_QTY+F],0))</f>
        <v/>
      </c>
      <c r="AV955" s="55" t="str">
        <f ca="1">IF(NOTA[[#This Row],[NB NOTA_C_QTY]]="","",ROW()-2)</f>
        <v/>
      </c>
    </row>
    <row r="956" spans="1:48" ht="20.100000000000001" customHeight="1" x14ac:dyDescent="0.25">
      <c r="A9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39" t="str">
        <f>IF(NOTA[[#This Row],[ID_P]]="","",MATCH(NOTA[[#This Row],[ID_P]],[1]!B_MSK[N_ID],0))</f>
        <v/>
      </c>
      <c r="D956" s="39" t="str">
        <f ca="1">IF(NOTA[[#This Row],[NAMA BARANG]]="","",INDEX(NOTA[ID],MATCH(,INDIRECT(ADDRESS(ROW(NOTA[ID]),COLUMN(NOTA[ID]))&amp;":"&amp;ADDRESS(ROW(),COLUMN(NOTA[ID]))),-1)))</f>
        <v/>
      </c>
      <c r="E956" s="47"/>
      <c r="H956" s="48"/>
      <c r="N956" s="39"/>
      <c r="Q956" s="43"/>
      <c r="R956" s="49"/>
      <c r="S956" s="50"/>
      <c r="U956" s="51"/>
      <c r="V956" s="46"/>
      <c r="W956" s="51" t="str">
        <f>IF(NOTA[[#This Row],[HARGA/ CTN]]="",NOTA[[#This Row],[JUMLAH_H]],NOTA[[#This Row],[HARGA/ CTN]]*IF(NOTA[[#This Row],[C]]="",0,NOTA[[#This Row],[C]]))</f>
        <v/>
      </c>
      <c r="X956" s="51" t="str">
        <f>IF(NOTA[[#This Row],[JUMLAH]]="","",NOTA[[#This Row],[JUMLAH]]*NOTA[[#This Row],[DISC 1]])</f>
        <v/>
      </c>
      <c r="Y956" s="51" t="str">
        <f>IF(NOTA[[#This Row],[JUMLAH]]="","",(NOTA[[#This Row],[JUMLAH]]-NOTA[[#This Row],[DISC 1-]])*NOTA[[#This Row],[DISC 2]])</f>
        <v/>
      </c>
      <c r="Z956" s="51" t="str">
        <f>IF(NOTA[[#This Row],[JUMLAH]]="","",NOTA[[#This Row],[DISC 1-]]+NOTA[[#This Row],[DISC 2-]])</f>
        <v/>
      </c>
      <c r="AA956" s="51" t="str">
        <f>IF(NOTA[[#This Row],[JUMLAH]]="","",NOTA[[#This Row],[JUMLAH]]-NOTA[[#This Row],[DISC]])</f>
        <v/>
      </c>
      <c r="AB956" s="51"/>
      <c r="AC9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6" s="51" t="str">
        <f>IF(OR(NOTA[[#This Row],[QTY]]="",NOTA[[#This Row],[HARGA SATUAN]]="",),"",NOTA[[#This Row],[QTY]]*NOTA[[#This Row],[HARGA SATUAN]])</f>
        <v/>
      </c>
      <c r="AG956" s="40" t="str">
        <f ca="1">IF(NOTA[ID_H]="","",INDEX(NOTA[TANGGAL],MATCH(,INDIRECT(ADDRESS(ROW(NOTA[TANGGAL]),COLUMN(NOTA[TANGGAL]))&amp;":"&amp;ADDRESS(ROW(),COLUMN(NOTA[TANGGAL]))),-1)))</f>
        <v/>
      </c>
      <c r="AH956" s="42" t="str">
        <f ca="1">IF(NOTA[[#This Row],[NAMA BARANG]]="","",INDEX(NOTA[SUPPLIER],MATCH(,INDIRECT(ADDRESS(ROW(NOTA[ID]),COLUMN(NOTA[ID]))&amp;":"&amp;ADDRESS(ROW(),COLUMN(NOTA[ID]))),-1)))</f>
        <v/>
      </c>
      <c r="AI956" s="42" t="str">
        <f ca="1">IF(NOTA[[#This Row],[ID_H]]="","",IF(NOTA[[#This Row],[FAKTUR]]="",INDIRECT(ADDRESS(ROW()-1,COLUMN())),NOTA[[#This Row],[FAKTUR]]))</f>
        <v/>
      </c>
      <c r="AJ956" s="39" t="str">
        <f ca="1">IF(NOTA[[#This Row],[ID]]="","",COUNTIF(NOTA[ID_H],NOTA[[#This Row],[ID_H]]))</f>
        <v/>
      </c>
      <c r="AK956" s="39" t="str">
        <f ca="1">IF(NOTA[[#This Row],[TGL.NOTA]]="",IF(NOTA[[#This Row],[SUPPLIER_H]]="","",AK955),MONTH(NOTA[[#This Row],[TGL.NOTA]]))</f>
        <v/>
      </c>
      <c r="AL956" s="39" t="str">
        <f>LOWER(SUBSTITUTE(SUBSTITUTE(SUBSTITUTE(SUBSTITUTE(SUBSTITUTE(SUBSTITUTE(SUBSTITUTE(SUBSTITUTE(SUBSTITUTE(NOTA[NAMA BARANG]," ",),".",""),"-",""),"(",""),")",""),",",""),"/",""),"""",""),"+",""))</f>
        <v/>
      </c>
      <c r="AM9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39" t="str">
        <f>IF(NOTA[[#This Row],[CONCAT4]]="","",_xlfn.IFNA(MATCH(NOTA[[#This Row],[CONCAT4]],[2]!RAW[CONCAT_H],0),FALSE))</f>
        <v/>
      </c>
      <c r="AQ956" s="39" t="str">
        <f>IF(NOTA[[#This Row],[CONCAT1]]="","",MATCH(NOTA[[#This Row],[CONCAT1]],[3]!db[NB NOTA_C],0))</f>
        <v/>
      </c>
      <c r="AR956" s="39" t="str">
        <f>IF(NOTA[[#This Row],[QTY/ CTN]]="","",TRUE)</f>
        <v/>
      </c>
      <c r="AS956" s="39" t="str">
        <f ca="1">IF(NOTA[[#This Row],[ID_H]]="","",IF(NOTA[[#This Row],[Column3]]=TRUE,NOTA[[#This Row],[QTY/ CTN]],INDEX([3]!db[QTY/ CTN],NOTA[[#This Row],[//DB]])))</f>
        <v/>
      </c>
      <c r="AT9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6" s="39" t="str">
        <f ca="1">IF(NOTA[[#This Row],[ID_H]]="","",MATCH(NOTA[[#This Row],[NB NOTA_C_QTY]],[4]!db[NB NOTA_C_QTY+F],0))</f>
        <v/>
      </c>
      <c r="AV956" s="55" t="str">
        <f ca="1">IF(NOTA[[#This Row],[NB NOTA_C_QTY]]="","",ROW()-2)</f>
        <v/>
      </c>
    </row>
    <row r="957" spans="1:48" ht="20.100000000000001" customHeight="1" x14ac:dyDescent="0.25">
      <c r="A9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39" t="str">
        <f>IF(NOTA[[#This Row],[ID_P]]="","",MATCH(NOTA[[#This Row],[ID_P]],[1]!B_MSK[N_ID],0))</f>
        <v/>
      </c>
      <c r="D957" s="39" t="str">
        <f ca="1">IF(NOTA[[#This Row],[NAMA BARANG]]="","",INDEX(NOTA[ID],MATCH(,INDIRECT(ADDRESS(ROW(NOTA[ID]),COLUMN(NOTA[ID]))&amp;":"&amp;ADDRESS(ROW(),COLUMN(NOTA[ID]))),-1)))</f>
        <v/>
      </c>
      <c r="E957" s="47"/>
      <c r="H957" s="48"/>
      <c r="N957" s="39"/>
      <c r="Q957" s="43"/>
      <c r="R957" s="49"/>
      <c r="S957" s="50"/>
      <c r="U957" s="51"/>
      <c r="V957" s="46"/>
      <c r="W957" s="51" t="str">
        <f>IF(NOTA[[#This Row],[HARGA/ CTN]]="",NOTA[[#This Row],[JUMLAH_H]],NOTA[[#This Row],[HARGA/ CTN]]*IF(NOTA[[#This Row],[C]]="",0,NOTA[[#This Row],[C]]))</f>
        <v/>
      </c>
      <c r="X957" s="51" t="str">
        <f>IF(NOTA[[#This Row],[JUMLAH]]="","",NOTA[[#This Row],[JUMLAH]]*NOTA[[#This Row],[DISC 1]])</f>
        <v/>
      </c>
      <c r="Y957" s="51" t="str">
        <f>IF(NOTA[[#This Row],[JUMLAH]]="","",(NOTA[[#This Row],[JUMLAH]]-NOTA[[#This Row],[DISC 1-]])*NOTA[[#This Row],[DISC 2]])</f>
        <v/>
      </c>
      <c r="Z957" s="51" t="str">
        <f>IF(NOTA[[#This Row],[JUMLAH]]="","",NOTA[[#This Row],[DISC 1-]]+NOTA[[#This Row],[DISC 2-]])</f>
        <v/>
      </c>
      <c r="AA957" s="51" t="str">
        <f>IF(NOTA[[#This Row],[JUMLAH]]="","",NOTA[[#This Row],[JUMLAH]]-NOTA[[#This Row],[DISC]])</f>
        <v/>
      </c>
      <c r="AB957" s="51"/>
      <c r="AC9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51" t="str">
        <f>IF(OR(NOTA[[#This Row],[QTY]]="",NOTA[[#This Row],[HARGA SATUAN]]="",),"",NOTA[[#This Row],[QTY]]*NOTA[[#This Row],[HARGA SATUAN]])</f>
        <v/>
      </c>
      <c r="AG957" s="40" t="str">
        <f ca="1">IF(NOTA[ID_H]="","",INDEX(NOTA[TANGGAL],MATCH(,INDIRECT(ADDRESS(ROW(NOTA[TANGGAL]),COLUMN(NOTA[TANGGAL]))&amp;":"&amp;ADDRESS(ROW(),COLUMN(NOTA[TANGGAL]))),-1)))</f>
        <v/>
      </c>
      <c r="AH957" s="42" t="str">
        <f ca="1">IF(NOTA[[#This Row],[NAMA BARANG]]="","",INDEX(NOTA[SUPPLIER],MATCH(,INDIRECT(ADDRESS(ROW(NOTA[ID]),COLUMN(NOTA[ID]))&amp;":"&amp;ADDRESS(ROW(),COLUMN(NOTA[ID]))),-1)))</f>
        <v/>
      </c>
      <c r="AI957" s="42" t="str">
        <f ca="1">IF(NOTA[[#This Row],[ID_H]]="","",IF(NOTA[[#This Row],[FAKTUR]]="",INDIRECT(ADDRESS(ROW()-1,COLUMN())),NOTA[[#This Row],[FAKTUR]]))</f>
        <v/>
      </c>
      <c r="AJ957" s="39" t="str">
        <f ca="1">IF(NOTA[[#This Row],[ID]]="","",COUNTIF(NOTA[ID_H],NOTA[[#This Row],[ID_H]]))</f>
        <v/>
      </c>
      <c r="AK957" s="39" t="str">
        <f ca="1">IF(NOTA[[#This Row],[TGL.NOTA]]="",IF(NOTA[[#This Row],[SUPPLIER_H]]="","",AK956),MONTH(NOTA[[#This Row],[TGL.NOTA]]))</f>
        <v/>
      </c>
      <c r="AL957" s="39" t="str">
        <f>LOWER(SUBSTITUTE(SUBSTITUTE(SUBSTITUTE(SUBSTITUTE(SUBSTITUTE(SUBSTITUTE(SUBSTITUTE(SUBSTITUTE(SUBSTITUTE(NOTA[NAMA BARANG]," ",),".",""),"-",""),"(",""),")",""),",",""),"/",""),"""",""),"+",""))</f>
        <v/>
      </c>
      <c r="AM9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39" t="str">
        <f>IF(NOTA[[#This Row],[CONCAT4]]="","",_xlfn.IFNA(MATCH(NOTA[[#This Row],[CONCAT4]],[2]!RAW[CONCAT_H],0),FALSE))</f>
        <v/>
      </c>
      <c r="AQ957" s="39" t="str">
        <f>IF(NOTA[[#This Row],[CONCAT1]]="","",MATCH(NOTA[[#This Row],[CONCAT1]],[3]!db[NB NOTA_C],0))</f>
        <v/>
      </c>
      <c r="AR957" s="39" t="str">
        <f>IF(NOTA[[#This Row],[QTY/ CTN]]="","",TRUE)</f>
        <v/>
      </c>
      <c r="AS957" s="39" t="str">
        <f ca="1">IF(NOTA[[#This Row],[ID_H]]="","",IF(NOTA[[#This Row],[Column3]]=TRUE,NOTA[[#This Row],[QTY/ CTN]],INDEX([3]!db[QTY/ CTN],NOTA[[#This Row],[//DB]])))</f>
        <v/>
      </c>
      <c r="AT9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7" s="39" t="str">
        <f ca="1">IF(NOTA[[#This Row],[ID_H]]="","",MATCH(NOTA[[#This Row],[NB NOTA_C_QTY]],[4]!db[NB NOTA_C_QTY+F],0))</f>
        <v/>
      </c>
      <c r="AV957" s="55" t="str">
        <f ca="1">IF(NOTA[[#This Row],[NB NOTA_C_QTY]]="","",ROW()-2)</f>
        <v/>
      </c>
    </row>
    <row r="958" spans="1:48" ht="20.100000000000001" customHeight="1" x14ac:dyDescent="0.25">
      <c r="A9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39" t="str">
        <f>IF(NOTA[[#This Row],[ID_P]]="","",MATCH(NOTA[[#This Row],[ID_P]],[1]!B_MSK[N_ID],0))</f>
        <v/>
      </c>
      <c r="D958" s="39" t="str">
        <f ca="1">IF(NOTA[[#This Row],[NAMA BARANG]]="","",INDEX(NOTA[ID],MATCH(,INDIRECT(ADDRESS(ROW(NOTA[ID]),COLUMN(NOTA[ID]))&amp;":"&amp;ADDRESS(ROW(),COLUMN(NOTA[ID]))),-1)))</f>
        <v/>
      </c>
      <c r="E958" s="47"/>
      <c r="H958" s="48"/>
      <c r="N958" s="39"/>
      <c r="Q958" s="43"/>
      <c r="R958" s="49"/>
      <c r="S958" s="50"/>
      <c r="U958" s="51"/>
      <c r="V958" s="46"/>
      <c r="W958" s="51" t="str">
        <f>IF(NOTA[[#This Row],[HARGA/ CTN]]="",NOTA[[#This Row],[JUMLAH_H]],NOTA[[#This Row],[HARGA/ CTN]]*IF(NOTA[[#This Row],[C]]="",0,NOTA[[#This Row],[C]]))</f>
        <v/>
      </c>
      <c r="X958" s="51" t="str">
        <f>IF(NOTA[[#This Row],[JUMLAH]]="","",NOTA[[#This Row],[JUMLAH]]*NOTA[[#This Row],[DISC 1]])</f>
        <v/>
      </c>
      <c r="Y958" s="51" t="str">
        <f>IF(NOTA[[#This Row],[JUMLAH]]="","",(NOTA[[#This Row],[JUMLAH]]-NOTA[[#This Row],[DISC 1-]])*NOTA[[#This Row],[DISC 2]])</f>
        <v/>
      </c>
      <c r="Z958" s="51" t="str">
        <f>IF(NOTA[[#This Row],[JUMLAH]]="","",NOTA[[#This Row],[DISC 1-]]+NOTA[[#This Row],[DISC 2-]])</f>
        <v/>
      </c>
      <c r="AA958" s="51" t="str">
        <f>IF(NOTA[[#This Row],[JUMLAH]]="","",NOTA[[#This Row],[JUMLAH]]-NOTA[[#This Row],[DISC]])</f>
        <v/>
      </c>
      <c r="AB958" s="51"/>
      <c r="AC9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8" s="51" t="str">
        <f>IF(OR(NOTA[[#This Row],[QTY]]="",NOTA[[#This Row],[HARGA SATUAN]]="",),"",NOTA[[#This Row],[QTY]]*NOTA[[#This Row],[HARGA SATUAN]])</f>
        <v/>
      </c>
      <c r="AG958" s="40" t="str">
        <f ca="1">IF(NOTA[ID_H]="","",INDEX(NOTA[TANGGAL],MATCH(,INDIRECT(ADDRESS(ROW(NOTA[TANGGAL]),COLUMN(NOTA[TANGGAL]))&amp;":"&amp;ADDRESS(ROW(),COLUMN(NOTA[TANGGAL]))),-1)))</f>
        <v/>
      </c>
      <c r="AH958" s="42" t="str">
        <f ca="1">IF(NOTA[[#This Row],[NAMA BARANG]]="","",INDEX(NOTA[SUPPLIER],MATCH(,INDIRECT(ADDRESS(ROW(NOTA[ID]),COLUMN(NOTA[ID]))&amp;":"&amp;ADDRESS(ROW(),COLUMN(NOTA[ID]))),-1)))</f>
        <v/>
      </c>
      <c r="AI958" s="42" t="str">
        <f ca="1">IF(NOTA[[#This Row],[ID_H]]="","",IF(NOTA[[#This Row],[FAKTUR]]="",INDIRECT(ADDRESS(ROW()-1,COLUMN())),NOTA[[#This Row],[FAKTUR]]))</f>
        <v/>
      </c>
      <c r="AJ958" s="39" t="str">
        <f ca="1">IF(NOTA[[#This Row],[ID]]="","",COUNTIF(NOTA[ID_H],NOTA[[#This Row],[ID_H]]))</f>
        <v/>
      </c>
      <c r="AK958" s="39" t="str">
        <f ca="1">IF(NOTA[[#This Row],[TGL.NOTA]]="",IF(NOTA[[#This Row],[SUPPLIER_H]]="","",AK957),MONTH(NOTA[[#This Row],[TGL.NOTA]]))</f>
        <v/>
      </c>
      <c r="AL958" s="39" t="str">
        <f>LOWER(SUBSTITUTE(SUBSTITUTE(SUBSTITUTE(SUBSTITUTE(SUBSTITUTE(SUBSTITUTE(SUBSTITUTE(SUBSTITUTE(SUBSTITUTE(NOTA[NAMA BARANG]," ",),".",""),"-",""),"(",""),")",""),",",""),"/",""),"""",""),"+",""))</f>
        <v/>
      </c>
      <c r="AM9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8" s="39" t="str">
        <f>IF(NOTA[[#This Row],[CONCAT4]]="","",_xlfn.IFNA(MATCH(NOTA[[#This Row],[CONCAT4]],[2]!RAW[CONCAT_H],0),FALSE))</f>
        <v/>
      </c>
      <c r="AQ958" s="39" t="str">
        <f>IF(NOTA[[#This Row],[CONCAT1]]="","",MATCH(NOTA[[#This Row],[CONCAT1]],[3]!db[NB NOTA_C],0))</f>
        <v/>
      </c>
      <c r="AR958" s="39" t="str">
        <f>IF(NOTA[[#This Row],[QTY/ CTN]]="","",TRUE)</f>
        <v/>
      </c>
      <c r="AS958" s="39" t="str">
        <f ca="1">IF(NOTA[[#This Row],[ID_H]]="","",IF(NOTA[[#This Row],[Column3]]=TRUE,NOTA[[#This Row],[QTY/ CTN]],INDEX([3]!db[QTY/ CTN],NOTA[[#This Row],[//DB]])))</f>
        <v/>
      </c>
      <c r="AT9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8" s="39" t="str">
        <f ca="1">IF(NOTA[[#This Row],[ID_H]]="","",MATCH(NOTA[[#This Row],[NB NOTA_C_QTY]],[4]!db[NB NOTA_C_QTY+F],0))</f>
        <v/>
      </c>
      <c r="AV958" s="55" t="str">
        <f ca="1">IF(NOTA[[#This Row],[NB NOTA_C_QTY]]="","",ROW()-2)</f>
        <v/>
      </c>
    </row>
    <row r="959" spans="1:48" ht="20.100000000000001" customHeight="1" x14ac:dyDescent="0.25">
      <c r="A9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39" t="str">
        <f>IF(NOTA[[#This Row],[ID_P]]="","",MATCH(NOTA[[#This Row],[ID_P]],[1]!B_MSK[N_ID],0))</f>
        <v/>
      </c>
      <c r="D959" s="39" t="str">
        <f ca="1">IF(NOTA[[#This Row],[NAMA BARANG]]="","",INDEX(NOTA[ID],MATCH(,INDIRECT(ADDRESS(ROW(NOTA[ID]),COLUMN(NOTA[ID]))&amp;":"&amp;ADDRESS(ROW(),COLUMN(NOTA[ID]))),-1)))</f>
        <v/>
      </c>
      <c r="E959" s="47"/>
      <c r="H959" s="48"/>
      <c r="N959" s="39"/>
      <c r="Q959" s="43"/>
      <c r="R959" s="49"/>
      <c r="S959" s="50"/>
      <c r="U959" s="51"/>
      <c r="V959" s="46"/>
      <c r="W959" s="51" t="str">
        <f>IF(NOTA[[#This Row],[HARGA/ CTN]]="",NOTA[[#This Row],[JUMLAH_H]],NOTA[[#This Row],[HARGA/ CTN]]*IF(NOTA[[#This Row],[C]]="",0,NOTA[[#This Row],[C]]))</f>
        <v/>
      </c>
      <c r="X959" s="51" t="str">
        <f>IF(NOTA[[#This Row],[JUMLAH]]="","",NOTA[[#This Row],[JUMLAH]]*NOTA[[#This Row],[DISC 1]])</f>
        <v/>
      </c>
      <c r="Y959" s="51" t="str">
        <f>IF(NOTA[[#This Row],[JUMLAH]]="","",(NOTA[[#This Row],[JUMLAH]]-NOTA[[#This Row],[DISC 1-]])*NOTA[[#This Row],[DISC 2]])</f>
        <v/>
      </c>
      <c r="Z959" s="51" t="str">
        <f>IF(NOTA[[#This Row],[JUMLAH]]="","",NOTA[[#This Row],[DISC 1-]]+NOTA[[#This Row],[DISC 2-]])</f>
        <v/>
      </c>
      <c r="AA959" s="51" t="str">
        <f>IF(NOTA[[#This Row],[JUMLAH]]="","",NOTA[[#This Row],[JUMLAH]]-NOTA[[#This Row],[DISC]])</f>
        <v/>
      </c>
      <c r="AB959" s="51"/>
      <c r="AC9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9" s="51" t="str">
        <f>IF(OR(NOTA[[#This Row],[QTY]]="",NOTA[[#This Row],[HARGA SATUAN]]="",),"",NOTA[[#This Row],[QTY]]*NOTA[[#This Row],[HARGA SATUAN]])</f>
        <v/>
      </c>
      <c r="AG959" s="40" t="str">
        <f ca="1">IF(NOTA[ID_H]="","",INDEX(NOTA[TANGGAL],MATCH(,INDIRECT(ADDRESS(ROW(NOTA[TANGGAL]),COLUMN(NOTA[TANGGAL]))&amp;":"&amp;ADDRESS(ROW(),COLUMN(NOTA[TANGGAL]))),-1)))</f>
        <v/>
      </c>
      <c r="AH959" s="42" t="str">
        <f ca="1">IF(NOTA[[#This Row],[NAMA BARANG]]="","",INDEX(NOTA[SUPPLIER],MATCH(,INDIRECT(ADDRESS(ROW(NOTA[ID]),COLUMN(NOTA[ID]))&amp;":"&amp;ADDRESS(ROW(),COLUMN(NOTA[ID]))),-1)))</f>
        <v/>
      </c>
      <c r="AI959" s="42" t="str">
        <f ca="1">IF(NOTA[[#This Row],[ID_H]]="","",IF(NOTA[[#This Row],[FAKTUR]]="",INDIRECT(ADDRESS(ROW()-1,COLUMN())),NOTA[[#This Row],[FAKTUR]]))</f>
        <v/>
      </c>
      <c r="AJ959" s="39" t="str">
        <f ca="1">IF(NOTA[[#This Row],[ID]]="","",COUNTIF(NOTA[ID_H],NOTA[[#This Row],[ID_H]]))</f>
        <v/>
      </c>
      <c r="AK959" s="39" t="str">
        <f ca="1">IF(NOTA[[#This Row],[TGL.NOTA]]="",IF(NOTA[[#This Row],[SUPPLIER_H]]="","",AK958),MONTH(NOTA[[#This Row],[TGL.NOTA]]))</f>
        <v/>
      </c>
      <c r="AL959" s="39" t="str">
        <f>LOWER(SUBSTITUTE(SUBSTITUTE(SUBSTITUTE(SUBSTITUTE(SUBSTITUTE(SUBSTITUTE(SUBSTITUTE(SUBSTITUTE(SUBSTITUTE(NOTA[NAMA BARANG]," ",),".",""),"-",""),"(",""),")",""),",",""),"/",""),"""",""),"+",""))</f>
        <v/>
      </c>
      <c r="AM9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39" t="str">
        <f>IF(NOTA[[#This Row],[CONCAT4]]="","",_xlfn.IFNA(MATCH(NOTA[[#This Row],[CONCAT4]],[2]!RAW[CONCAT_H],0),FALSE))</f>
        <v/>
      </c>
      <c r="AQ959" s="39" t="str">
        <f>IF(NOTA[[#This Row],[CONCAT1]]="","",MATCH(NOTA[[#This Row],[CONCAT1]],[3]!db[NB NOTA_C],0))</f>
        <v/>
      </c>
      <c r="AR959" s="39" t="str">
        <f>IF(NOTA[[#This Row],[QTY/ CTN]]="","",TRUE)</f>
        <v/>
      </c>
      <c r="AS959" s="39" t="str">
        <f ca="1">IF(NOTA[[#This Row],[ID_H]]="","",IF(NOTA[[#This Row],[Column3]]=TRUE,NOTA[[#This Row],[QTY/ CTN]],INDEX([3]!db[QTY/ CTN],NOTA[[#This Row],[//DB]])))</f>
        <v/>
      </c>
      <c r="AT9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9" s="39" t="str">
        <f ca="1">IF(NOTA[[#This Row],[ID_H]]="","",MATCH(NOTA[[#This Row],[NB NOTA_C_QTY]],[4]!db[NB NOTA_C_QTY+F],0))</f>
        <v/>
      </c>
      <c r="AV959" s="55" t="str">
        <f ca="1">IF(NOTA[[#This Row],[NB NOTA_C_QTY]]="","",ROW()-2)</f>
        <v/>
      </c>
    </row>
    <row r="960" spans="1:48" ht="20.100000000000001" customHeight="1" x14ac:dyDescent="0.25">
      <c r="A9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39" t="str">
        <f>IF(NOTA[[#This Row],[ID_P]]="","",MATCH(NOTA[[#This Row],[ID_P]],[1]!B_MSK[N_ID],0))</f>
        <v/>
      </c>
      <c r="D960" s="39" t="str">
        <f ca="1">IF(NOTA[[#This Row],[NAMA BARANG]]="","",INDEX(NOTA[ID],MATCH(,INDIRECT(ADDRESS(ROW(NOTA[ID]),COLUMN(NOTA[ID]))&amp;":"&amp;ADDRESS(ROW(),COLUMN(NOTA[ID]))),-1)))</f>
        <v/>
      </c>
      <c r="E960" s="47"/>
      <c r="H960" s="48"/>
      <c r="N960" s="39"/>
      <c r="Q960" s="43"/>
      <c r="R960" s="49"/>
      <c r="S960" s="50"/>
      <c r="U960" s="51"/>
      <c r="V960" s="46"/>
      <c r="W960" s="51" t="str">
        <f>IF(NOTA[[#This Row],[HARGA/ CTN]]="",NOTA[[#This Row],[JUMLAH_H]],NOTA[[#This Row],[HARGA/ CTN]]*IF(NOTA[[#This Row],[C]]="",0,NOTA[[#This Row],[C]]))</f>
        <v/>
      </c>
      <c r="X960" s="51" t="str">
        <f>IF(NOTA[[#This Row],[JUMLAH]]="","",NOTA[[#This Row],[JUMLAH]]*NOTA[[#This Row],[DISC 1]])</f>
        <v/>
      </c>
      <c r="Y960" s="51" t="str">
        <f>IF(NOTA[[#This Row],[JUMLAH]]="","",(NOTA[[#This Row],[JUMLAH]]-NOTA[[#This Row],[DISC 1-]])*NOTA[[#This Row],[DISC 2]])</f>
        <v/>
      </c>
      <c r="Z960" s="51" t="str">
        <f>IF(NOTA[[#This Row],[JUMLAH]]="","",NOTA[[#This Row],[DISC 1-]]+NOTA[[#This Row],[DISC 2-]])</f>
        <v/>
      </c>
      <c r="AA960" s="51" t="str">
        <f>IF(NOTA[[#This Row],[JUMLAH]]="","",NOTA[[#This Row],[JUMLAH]]-NOTA[[#This Row],[DISC]])</f>
        <v/>
      </c>
      <c r="AB960" s="51"/>
      <c r="AC9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0" s="51" t="str">
        <f>IF(OR(NOTA[[#This Row],[QTY]]="",NOTA[[#This Row],[HARGA SATUAN]]="",),"",NOTA[[#This Row],[QTY]]*NOTA[[#This Row],[HARGA SATUAN]])</f>
        <v/>
      </c>
      <c r="AG960" s="40" t="str">
        <f ca="1">IF(NOTA[ID_H]="","",INDEX(NOTA[TANGGAL],MATCH(,INDIRECT(ADDRESS(ROW(NOTA[TANGGAL]),COLUMN(NOTA[TANGGAL]))&amp;":"&amp;ADDRESS(ROW(),COLUMN(NOTA[TANGGAL]))),-1)))</f>
        <v/>
      </c>
      <c r="AH960" s="42" t="str">
        <f ca="1">IF(NOTA[[#This Row],[NAMA BARANG]]="","",INDEX(NOTA[SUPPLIER],MATCH(,INDIRECT(ADDRESS(ROW(NOTA[ID]),COLUMN(NOTA[ID]))&amp;":"&amp;ADDRESS(ROW(),COLUMN(NOTA[ID]))),-1)))</f>
        <v/>
      </c>
      <c r="AI960" s="42" t="str">
        <f ca="1">IF(NOTA[[#This Row],[ID_H]]="","",IF(NOTA[[#This Row],[FAKTUR]]="",INDIRECT(ADDRESS(ROW()-1,COLUMN())),NOTA[[#This Row],[FAKTUR]]))</f>
        <v/>
      </c>
      <c r="AJ960" s="39" t="str">
        <f ca="1">IF(NOTA[[#This Row],[ID]]="","",COUNTIF(NOTA[ID_H],NOTA[[#This Row],[ID_H]]))</f>
        <v/>
      </c>
      <c r="AK960" s="39" t="str">
        <f ca="1">IF(NOTA[[#This Row],[TGL.NOTA]]="",IF(NOTA[[#This Row],[SUPPLIER_H]]="","",AK959),MONTH(NOTA[[#This Row],[TGL.NOTA]]))</f>
        <v/>
      </c>
      <c r="AL960" s="39" t="str">
        <f>LOWER(SUBSTITUTE(SUBSTITUTE(SUBSTITUTE(SUBSTITUTE(SUBSTITUTE(SUBSTITUTE(SUBSTITUTE(SUBSTITUTE(SUBSTITUTE(NOTA[NAMA BARANG]," ",),".",""),"-",""),"(",""),")",""),",",""),"/",""),"""",""),"+",""))</f>
        <v/>
      </c>
      <c r="AM9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39" t="str">
        <f>IF(NOTA[[#This Row],[CONCAT4]]="","",_xlfn.IFNA(MATCH(NOTA[[#This Row],[CONCAT4]],[2]!RAW[CONCAT_H],0),FALSE))</f>
        <v/>
      </c>
      <c r="AQ960" s="39" t="str">
        <f>IF(NOTA[[#This Row],[CONCAT1]]="","",MATCH(NOTA[[#This Row],[CONCAT1]],[3]!db[NB NOTA_C],0))</f>
        <v/>
      </c>
      <c r="AR960" s="39" t="str">
        <f>IF(NOTA[[#This Row],[QTY/ CTN]]="","",TRUE)</f>
        <v/>
      </c>
      <c r="AS960" s="39" t="str">
        <f ca="1">IF(NOTA[[#This Row],[ID_H]]="","",IF(NOTA[[#This Row],[Column3]]=TRUE,NOTA[[#This Row],[QTY/ CTN]],INDEX([3]!db[QTY/ CTN],NOTA[[#This Row],[//DB]])))</f>
        <v/>
      </c>
      <c r="AT9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0" s="39" t="str">
        <f ca="1">IF(NOTA[[#This Row],[ID_H]]="","",MATCH(NOTA[[#This Row],[NB NOTA_C_QTY]],[4]!db[NB NOTA_C_QTY+F],0))</f>
        <v/>
      </c>
      <c r="AV960" s="55" t="str">
        <f ca="1">IF(NOTA[[#This Row],[NB NOTA_C_QTY]]="","",ROW()-2)</f>
        <v/>
      </c>
    </row>
    <row r="961" spans="1:48" ht="20.100000000000001" customHeight="1" x14ac:dyDescent="0.25">
      <c r="A9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39" t="str">
        <f>IF(NOTA[[#This Row],[ID_P]]="","",MATCH(NOTA[[#This Row],[ID_P]],[1]!B_MSK[N_ID],0))</f>
        <v/>
      </c>
      <c r="D961" s="39" t="str">
        <f ca="1">IF(NOTA[[#This Row],[NAMA BARANG]]="","",INDEX(NOTA[ID],MATCH(,INDIRECT(ADDRESS(ROW(NOTA[ID]),COLUMN(NOTA[ID]))&amp;":"&amp;ADDRESS(ROW(),COLUMN(NOTA[ID]))),-1)))</f>
        <v/>
      </c>
      <c r="E961" s="47"/>
      <c r="H961" s="48"/>
      <c r="N961" s="39"/>
      <c r="Q961" s="43"/>
      <c r="R961" s="49"/>
      <c r="S961" s="50"/>
      <c r="U961" s="51"/>
      <c r="V961" s="46"/>
      <c r="W961" s="51" t="str">
        <f>IF(NOTA[[#This Row],[HARGA/ CTN]]="",NOTA[[#This Row],[JUMLAH_H]],NOTA[[#This Row],[HARGA/ CTN]]*IF(NOTA[[#This Row],[C]]="",0,NOTA[[#This Row],[C]]))</f>
        <v/>
      </c>
      <c r="X961" s="51" t="str">
        <f>IF(NOTA[[#This Row],[JUMLAH]]="","",NOTA[[#This Row],[JUMLAH]]*NOTA[[#This Row],[DISC 1]])</f>
        <v/>
      </c>
      <c r="Y961" s="51" t="str">
        <f>IF(NOTA[[#This Row],[JUMLAH]]="","",(NOTA[[#This Row],[JUMLAH]]-NOTA[[#This Row],[DISC 1-]])*NOTA[[#This Row],[DISC 2]])</f>
        <v/>
      </c>
      <c r="Z961" s="51" t="str">
        <f>IF(NOTA[[#This Row],[JUMLAH]]="","",NOTA[[#This Row],[DISC 1-]]+NOTA[[#This Row],[DISC 2-]])</f>
        <v/>
      </c>
      <c r="AA961" s="51" t="str">
        <f>IF(NOTA[[#This Row],[JUMLAH]]="","",NOTA[[#This Row],[JUMLAH]]-NOTA[[#This Row],[DISC]])</f>
        <v/>
      </c>
      <c r="AB961" s="51"/>
      <c r="AC9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1" s="51" t="str">
        <f>IF(OR(NOTA[[#This Row],[QTY]]="",NOTA[[#This Row],[HARGA SATUAN]]="",),"",NOTA[[#This Row],[QTY]]*NOTA[[#This Row],[HARGA SATUAN]])</f>
        <v/>
      </c>
      <c r="AG961" s="40" t="str">
        <f ca="1">IF(NOTA[ID_H]="","",INDEX(NOTA[TANGGAL],MATCH(,INDIRECT(ADDRESS(ROW(NOTA[TANGGAL]),COLUMN(NOTA[TANGGAL]))&amp;":"&amp;ADDRESS(ROW(),COLUMN(NOTA[TANGGAL]))),-1)))</f>
        <v/>
      </c>
      <c r="AH961" s="42" t="str">
        <f ca="1">IF(NOTA[[#This Row],[NAMA BARANG]]="","",INDEX(NOTA[SUPPLIER],MATCH(,INDIRECT(ADDRESS(ROW(NOTA[ID]),COLUMN(NOTA[ID]))&amp;":"&amp;ADDRESS(ROW(),COLUMN(NOTA[ID]))),-1)))</f>
        <v/>
      </c>
      <c r="AI961" s="42" t="str">
        <f ca="1">IF(NOTA[[#This Row],[ID_H]]="","",IF(NOTA[[#This Row],[FAKTUR]]="",INDIRECT(ADDRESS(ROW()-1,COLUMN())),NOTA[[#This Row],[FAKTUR]]))</f>
        <v/>
      </c>
      <c r="AJ961" s="39" t="str">
        <f ca="1">IF(NOTA[[#This Row],[ID]]="","",COUNTIF(NOTA[ID_H],NOTA[[#This Row],[ID_H]]))</f>
        <v/>
      </c>
      <c r="AK961" s="39" t="str">
        <f ca="1">IF(NOTA[[#This Row],[TGL.NOTA]]="",IF(NOTA[[#This Row],[SUPPLIER_H]]="","",AK960),MONTH(NOTA[[#This Row],[TGL.NOTA]]))</f>
        <v/>
      </c>
      <c r="AL961" s="39" t="str">
        <f>LOWER(SUBSTITUTE(SUBSTITUTE(SUBSTITUTE(SUBSTITUTE(SUBSTITUTE(SUBSTITUTE(SUBSTITUTE(SUBSTITUTE(SUBSTITUTE(NOTA[NAMA BARANG]," ",),".",""),"-",""),"(",""),")",""),",",""),"/",""),"""",""),"+",""))</f>
        <v/>
      </c>
      <c r="AM9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39" t="str">
        <f>IF(NOTA[[#This Row],[CONCAT4]]="","",_xlfn.IFNA(MATCH(NOTA[[#This Row],[CONCAT4]],[2]!RAW[CONCAT_H],0),FALSE))</f>
        <v/>
      </c>
      <c r="AQ961" s="39" t="str">
        <f>IF(NOTA[[#This Row],[CONCAT1]]="","",MATCH(NOTA[[#This Row],[CONCAT1]],[3]!db[NB NOTA_C],0))</f>
        <v/>
      </c>
      <c r="AR961" s="39" t="str">
        <f>IF(NOTA[[#This Row],[QTY/ CTN]]="","",TRUE)</f>
        <v/>
      </c>
      <c r="AS961" s="39" t="str">
        <f ca="1">IF(NOTA[[#This Row],[ID_H]]="","",IF(NOTA[[#This Row],[Column3]]=TRUE,NOTA[[#This Row],[QTY/ CTN]],INDEX([3]!db[QTY/ CTN],NOTA[[#This Row],[//DB]])))</f>
        <v/>
      </c>
      <c r="AT9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1" s="39" t="str">
        <f ca="1">IF(NOTA[[#This Row],[ID_H]]="","",MATCH(NOTA[[#This Row],[NB NOTA_C_QTY]],[4]!db[NB NOTA_C_QTY+F],0))</f>
        <v/>
      </c>
      <c r="AV961" s="55" t="str">
        <f ca="1">IF(NOTA[[#This Row],[NB NOTA_C_QTY]]="","",ROW()-2)</f>
        <v/>
      </c>
    </row>
    <row r="962" spans="1:48" ht="20.100000000000001" customHeight="1" x14ac:dyDescent="0.25">
      <c r="A9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39" t="str">
        <f>IF(NOTA[[#This Row],[ID_P]]="","",MATCH(NOTA[[#This Row],[ID_P]],[1]!B_MSK[N_ID],0))</f>
        <v/>
      </c>
      <c r="D962" s="39" t="str">
        <f ca="1">IF(NOTA[[#This Row],[NAMA BARANG]]="","",INDEX(NOTA[ID],MATCH(,INDIRECT(ADDRESS(ROW(NOTA[ID]),COLUMN(NOTA[ID]))&amp;":"&amp;ADDRESS(ROW(),COLUMN(NOTA[ID]))),-1)))</f>
        <v/>
      </c>
      <c r="E962" s="47"/>
      <c r="H962" s="48"/>
      <c r="N962" s="39"/>
      <c r="Q962" s="43"/>
      <c r="R962" s="49"/>
      <c r="S962" s="50"/>
      <c r="U962" s="51"/>
      <c r="V962" s="46"/>
      <c r="W962" s="51" t="str">
        <f>IF(NOTA[[#This Row],[HARGA/ CTN]]="",NOTA[[#This Row],[JUMLAH_H]],NOTA[[#This Row],[HARGA/ CTN]]*IF(NOTA[[#This Row],[C]]="",0,NOTA[[#This Row],[C]]))</f>
        <v/>
      </c>
      <c r="X962" s="51" t="str">
        <f>IF(NOTA[[#This Row],[JUMLAH]]="","",NOTA[[#This Row],[JUMLAH]]*NOTA[[#This Row],[DISC 1]])</f>
        <v/>
      </c>
      <c r="Y962" s="51" t="str">
        <f>IF(NOTA[[#This Row],[JUMLAH]]="","",(NOTA[[#This Row],[JUMLAH]]-NOTA[[#This Row],[DISC 1-]])*NOTA[[#This Row],[DISC 2]])</f>
        <v/>
      </c>
      <c r="Z962" s="51" t="str">
        <f>IF(NOTA[[#This Row],[JUMLAH]]="","",NOTA[[#This Row],[DISC 1-]]+NOTA[[#This Row],[DISC 2-]])</f>
        <v/>
      </c>
      <c r="AA962" s="51" t="str">
        <f>IF(NOTA[[#This Row],[JUMLAH]]="","",NOTA[[#This Row],[JUMLAH]]-NOTA[[#This Row],[DISC]])</f>
        <v/>
      </c>
      <c r="AB962" s="51"/>
      <c r="AC9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2" s="51" t="str">
        <f>IF(OR(NOTA[[#This Row],[QTY]]="",NOTA[[#This Row],[HARGA SATUAN]]="",),"",NOTA[[#This Row],[QTY]]*NOTA[[#This Row],[HARGA SATUAN]])</f>
        <v/>
      </c>
      <c r="AG962" s="40" t="str">
        <f ca="1">IF(NOTA[ID_H]="","",INDEX(NOTA[TANGGAL],MATCH(,INDIRECT(ADDRESS(ROW(NOTA[TANGGAL]),COLUMN(NOTA[TANGGAL]))&amp;":"&amp;ADDRESS(ROW(),COLUMN(NOTA[TANGGAL]))),-1)))</f>
        <v/>
      </c>
      <c r="AH962" s="42" t="str">
        <f ca="1">IF(NOTA[[#This Row],[NAMA BARANG]]="","",INDEX(NOTA[SUPPLIER],MATCH(,INDIRECT(ADDRESS(ROW(NOTA[ID]),COLUMN(NOTA[ID]))&amp;":"&amp;ADDRESS(ROW(),COLUMN(NOTA[ID]))),-1)))</f>
        <v/>
      </c>
      <c r="AI962" s="42" t="str">
        <f ca="1">IF(NOTA[[#This Row],[ID_H]]="","",IF(NOTA[[#This Row],[FAKTUR]]="",INDIRECT(ADDRESS(ROW()-1,COLUMN())),NOTA[[#This Row],[FAKTUR]]))</f>
        <v/>
      </c>
      <c r="AJ962" s="39" t="str">
        <f ca="1">IF(NOTA[[#This Row],[ID]]="","",COUNTIF(NOTA[ID_H],NOTA[[#This Row],[ID_H]]))</f>
        <v/>
      </c>
      <c r="AK962" s="39" t="str">
        <f ca="1">IF(NOTA[[#This Row],[TGL.NOTA]]="",IF(NOTA[[#This Row],[SUPPLIER_H]]="","",AK961),MONTH(NOTA[[#This Row],[TGL.NOTA]]))</f>
        <v/>
      </c>
      <c r="AL962" s="39" t="str">
        <f>LOWER(SUBSTITUTE(SUBSTITUTE(SUBSTITUTE(SUBSTITUTE(SUBSTITUTE(SUBSTITUTE(SUBSTITUTE(SUBSTITUTE(SUBSTITUTE(NOTA[NAMA BARANG]," ",),".",""),"-",""),"(",""),")",""),",",""),"/",""),"""",""),"+",""))</f>
        <v/>
      </c>
      <c r="AM9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39" t="str">
        <f>IF(NOTA[[#This Row],[CONCAT4]]="","",_xlfn.IFNA(MATCH(NOTA[[#This Row],[CONCAT4]],[2]!RAW[CONCAT_H],0),FALSE))</f>
        <v/>
      </c>
      <c r="AQ962" s="39" t="str">
        <f>IF(NOTA[[#This Row],[CONCAT1]]="","",MATCH(NOTA[[#This Row],[CONCAT1]],[3]!db[NB NOTA_C],0))</f>
        <v/>
      </c>
      <c r="AR962" s="39" t="str">
        <f>IF(NOTA[[#This Row],[QTY/ CTN]]="","",TRUE)</f>
        <v/>
      </c>
      <c r="AS962" s="39" t="str">
        <f ca="1">IF(NOTA[[#This Row],[ID_H]]="","",IF(NOTA[[#This Row],[Column3]]=TRUE,NOTA[[#This Row],[QTY/ CTN]],INDEX([3]!db[QTY/ CTN],NOTA[[#This Row],[//DB]])))</f>
        <v/>
      </c>
      <c r="AT9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2" s="39" t="str">
        <f ca="1">IF(NOTA[[#This Row],[ID_H]]="","",MATCH(NOTA[[#This Row],[NB NOTA_C_QTY]],[4]!db[NB NOTA_C_QTY+F],0))</f>
        <v/>
      </c>
      <c r="AV962" s="55" t="str">
        <f ca="1">IF(NOTA[[#This Row],[NB NOTA_C_QTY]]="","",ROW()-2)</f>
        <v/>
      </c>
    </row>
    <row r="963" spans="1:48" ht="20.100000000000001" customHeight="1" x14ac:dyDescent="0.25">
      <c r="A9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39" t="str">
        <f>IF(NOTA[[#This Row],[ID_P]]="","",MATCH(NOTA[[#This Row],[ID_P]],[1]!B_MSK[N_ID],0))</f>
        <v/>
      </c>
      <c r="D963" s="39" t="str">
        <f ca="1">IF(NOTA[[#This Row],[NAMA BARANG]]="","",INDEX(NOTA[ID],MATCH(,INDIRECT(ADDRESS(ROW(NOTA[ID]),COLUMN(NOTA[ID]))&amp;":"&amp;ADDRESS(ROW(),COLUMN(NOTA[ID]))),-1)))</f>
        <v/>
      </c>
      <c r="E963" s="47"/>
      <c r="H963" s="48"/>
      <c r="N963" s="39"/>
      <c r="Q963" s="43"/>
      <c r="R963" s="49"/>
      <c r="S963" s="50"/>
      <c r="U963" s="51"/>
      <c r="V963" s="46"/>
      <c r="W963" s="51" t="str">
        <f>IF(NOTA[[#This Row],[HARGA/ CTN]]="",NOTA[[#This Row],[JUMLAH_H]],NOTA[[#This Row],[HARGA/ CTN]]*IF(NOTA[[#This Row],[C]]="",0,NOTA[[#This Row],[C]]))</f>
        <v/>
      </c>
      <c r="X963" s="51" t="str">
        <f>IF(NOTA[[#This Row],[JUMLAH]]="","",NOTA[[#This Row],[JUMLAH]]*NOTA[[#This Row],[DISC 1]])</f>
        <v/>
      </c>
      <c r="Y963" s="51" t="str">
        <f>IF(NOTA[[#This Row],[JUMLAH]]="","",(NOTA[[#This Row],[JUMLAH]]-NOTA[[#This Row],[DISC 1-]])*NOTA[[#This Row],[DISC 2]])</f>
        <v/>
      </c>
      <c r="Z963" s="51" t="str">
        <f>IF(NOTA[[#This Row],[JUMLAH]]="","",NOTA[[#This Row],[DISC 1-]]+NOTA[[#This Row],[DISC 2-]])</f>
        <v/>
      </c>
      <c r="AA963" s="51" t="str">
        <f>IF(NOTA[[#This Row],[JUMLAH]]="","",NOTA[[#This Row],[JUMLAH]]-NOTA[[#This Row],[DISC]])</f>
        <v/>
      </c>
      <c r="AB963" s="51"/>
      <c r="AC9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51" t="str">
        <f>IF(OR(NOTA[[#This Row],[QTY]]="",NOTA[[#This Row],[HARGA SATUAN]]="",),"",NOTA[[#This Row],[QTY]]*NOTA[[#This Row],[HARGA SATUAN]])</f>
        <v/>
      </c>
      <c r="AG963" s="40" t="str">
        <f ca="1">IF(NOTA[ID_H]="","",INDEX(NOTA[TANGGAL],MATCH(,INDIRECT(ADDRESS(ROW(NOTA[TANGGAL]),COLUMN(NOTA[TANGGAL]))&amp;":"&amp;ADDRESS(ROW(),COLUMN(NOTA[TANGGAL]))),-1)))</f>
        <v/>
      </c>
      <c r="AH963" s="42" t="str">
        <f ca="1">IF(NOTA[[#This Row],[NAMA BARANG]]="","",INDEX(NOTA[SUPPLIER],MATCH(,INDIRECT(ADDRESS(ROW(NOTA[ID]),COLUMN(NOTA[ID]))&amp;":"&amp;ADDRESS(ROW(),COLUMN(NOTA[ID]))),-1)))</f>
        <v/>
      </c>
      <c r="AI963" s="42" t="str">
        <f ca="1">IF(NOTA[[#This Row],[ID_H]]="","",IF(NOTA[[#This Row],[FAKTUR]]="",INDIRECT(ADDRESS(ROW()-1,COLUMN())),NOTA[[#This Row],[FAKTUR]]))</f>
        <v/>
      </c>
      <c r="AJ963" s="39" t="str">
        <f ca="1">IF(NOTA[[#This Row],[ID]]="","",COUNTIF(NOTA[ID_H],NOTA[[#This Row],[ID_H]]))</f>
        <v/>
      </c>
      <c r="AK963" s="39" t="str">
        <f ca="1">IF(NOTA[[#This Row],[TGL.NOTA]]="",IF(NOTA[[#This Row],[SUPPLIER_H]]="","",AK962),MONTH(NOTA[[#This Row],[TGL.NOTA]]))</f>
        <v/>
      </c>
      <c r="AL963" s="39" t="str">
        <f>LOWER(SUBSTITUTE(SUBSTITUTE(SUBSTITUTE(SUBSTITUTE(SUBSTITUTE(SUBSTITUTE(SUBSTITUTE(SUBSTITUTE(SUBSTITUTE(NOTA[NAMA BARANG]," ",),".",""),"-",""),"(",""),")",""),",",""),"/",""),"""",""),"+",""))</f>
        <v/>
      </c>
      <c r="AM9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39" t="str">
        <f>IF(NOTA[[#This Row],[CONCAT4]]="","",_xlfn.IFNA(MATCH(NOTA[[#This Row],[CONCAT4]],[2]!RAW[CONCAT_H],0),FALSE))</f>
        <v/>
      </c>
      <c r="AQ963" s="39" t="str">
        <f>IF(NOTA[[#This Row],[CONCAT1]]="","",MATCH(NOTA[[#This Row],[CONCAT1]],[3]!db[NB NOTA_C],0))</f>
        <v/>
      </c>
      <c r="AR963" s="39" t="str">
        <f>IF(NOTA[[#This Row],[QTY/ CTN]]="","",TRUE)</f>
        <v/>
      </c>
      <c r="AS963" s="39" t="str">
        <f ca="1">IF(NOTA[[#This Row],[ID_H]]="","",IF(NOTA[[#This Row],[Column3]]=TRUE,NOTA[[#This Row],[QTY/ CTN]],INDEX([3]!db[QTY/ CTN],NOTA[[#This Row],[//DB]])))</f>
        <v/>
      </c>
      <c r="AT9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3" s="39" t="str">
        <f ca="1">IF(NOTA[[#This Row],[ID_H]]="","",MATCH(NOTA[[#This Row],[NB NOTA_C_QTY]],[4]!db[NB NOTA_C_QTY+F],0))</f>
        <v/>
      </c>
      <c r="AV963" s="55" t="str">
        <f ca="1">IF(NOTA[[#This Row],[NB NOTA_C_QTY]]="","",ROW()-2)</f>
        <v/>
      </c>
    </row>
    <row r="964" spans="1:48" ht="20.100000000000001" customHeight="1" x14ac:dyDescent="0.25">
      <c r="A9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39" t="str">
        <f>IF(NOTA[[#This Row],[ID_P]]="","",MATCH(NOTA[[#This Row],[ID_P]],[1]!B_MSK[N_ID],0))</f>
        <v/>
      </c>
      <c r="D964" s="39" t="str">
        <f ca="1">IF(NOTA[[#This Row],[NAMA BARANG]]="","",INDEX(NOTA[ID],MATCH(,INDIRECT(ADDRESS(ROW(NOTA[ID]),COLUMN(NOTA[ID]))&amp;":"&amp;ADDRESS(ROW(),COLUMN(NOTA[ID]))),-1)))</f>
        <v/>
      </c>
      <c r="E964" s="47"/>
      <c r="H964" s="48"/>
      <c r="N964" s="39"/>
      <c r="Q964" s="43"/>
      <c r="R964" s="49"/>
      <c r="S964" s="50"/>
      <c r="U964" s="51"/>
      <c r="V964" s="46"/>
      <c r="W964" s="51" t="str">
        <f>IF(NOTA[[#This Row],[HARGA/ CTN]]="",NOTA[[#This Row],[JUMLAH_H]],NOTA[[#This Row],[HARGA/ CTN]]*IF(NOTA[[#This Row],[C]]="",0,NOTA[[#This Row],[C]]))</f>
        <v/>
      </c>
      <c r="X964" s="51" t="str">
        <f>IF(NOTA[[#This Row],[JUMLAH]]="","",NOTA[[#This Row],[JUMLAH]]*NOTA[[#This Row],[DISC 1]])</f>
        <v/>
      </c>
      <c r="Y964" s="51" t="str">
        <f>IF(NOTA[[#This Row],[JUMLAH]]="","",(NOTA[[#This Row],[JUMLAH]]-NOTA[[#This Row],[DISC 1-]])*NOTA[[#This Row],[DISC 2]])</f>
        <v/>
      </c>
      <c r="Z964" s="51" t="str">
        <f>IF(NOTA[[#This Row],[JUMLAH]]="","",NOTA[[#This Row],[DISC 1-]]+NOTA[[#This Row],[DISC 2-]])</f>
        <v/>
      </c>
      <c r="AA964" s="51" t="str">
        <f>IF(NOTA[[#This Row],[JUMLAH]]="","",NOTA[[#This Row],[JUMLAH]]-NOTA[[#This Row],[DISC]])</f>
        <v/>
      </c>
      <c r="AB964" s="51"/>
      <c r="AC9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4" s="51" t="str">
        <f>IF(OR(NOTA[[#This Row],[QTY]]="",NOTA[[#This Row],[HARGA SATUAN]]="",),"",NOTA[[#This Row],[QTY]]*NOTA[[#This Row],[HARGA SATUAN]])</f>
        <v/>
      </c>
      <c r="AG964" s="40" t="str">
        <f ca="1">IF(NOTA[ID_H]="","",INDEX(NOTA[TANGGAL],MATCH(,INDIRECT(ADDRESS(ROW(NOTA[TANGGAL]),COLUMN(NOTA[TANGGAL]))&amp;":"&amp;ADDRESS(ROW(),COLUMN(NOTA[TANGGAL]))),-1)))</f>
        <v/>
      </c>
      <c r="AH964" s="42" t="str">
        <f ca="1">IF(NOTA[[#This Row],[NAMA BARANG]]="","",INDEX(NOTA[SUPPLIER],MATCH(,INDIRECT(ADDRESS(ROW(NOTA[ID]),COLUMN(NOTA[ID]))&amp;":"&amp;ADDRESS(ROW(),COLUMN(NOTA[ID]))),-1)))</f>
        <v/>
      </c>
      <c r="AI964" s="42" t="str">
        <f ca="1">IF(NOTA[[#This Row],[ID_H]]="","",IF(NOTA[[#This Row],[FAKTUR]]="",INDIRECT(ADDRESS(ROW()-1,COLUMN())),NOTA[[#This Row],[FAKTUR]]))</f>
        <v/>
      </c>
      <c r="AJ964" s="39" t="str">
        <f ca="1">IF(NOTA[[#This Row],[ID]]="","",COUNTIF(NOTA[ID_H],NOTA[[#This Row],[ID_H]]))</f>
        <v/>
      </c>
      <c r="AK964" s="39" t="str">
        <f ca="1">IF(NOTA[[#This Row],[TGL.NOTA]]="",IF(NOTA[[#This Row],[SUPPLIER_H]]="","",AK963),MONTH(NOTA[[#This Row],[TGL.NOTA]]))</f>
        <v/>
      </c>
      <c r="AL964" s="39" t="str">
        <f>LOWER(SUBSTITUTE(SUBSTITUTE(SUBSTITUTE(SUBSTITUTE(SUBSTITUTE(SUBSTITUTE(SUBSTITUTE(SUBSTITUTE(SUBSTITUTE(NOTA[NAMA BARANG]," ",),".",""),"-",""),"(",""),")",""),",",""),"/",""),"""",""),"+",""))</f>
        <v/>
      </c>
      <c r="AM9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4" s="39" t="str">
        <f>IF(NOTA[[#This Row],[CONCAT4]]="","",_xlfn.IFNA(MATCH(NOTA[[#This Row],[CONCAT4]],[2]!RAW[CONCAT_H],0),FALSE))</f>
        <v/>
      </c>
      <c r="AQ964" s="39" t="str">
        <f>IF(NOTA[[#This Row],[CONCAT1]]="","",MATCH(NOTA[[#This Row],[CONCAT1]],[3]!db[NB NOTA_C],0))</f>
        <v/>
      </c>
      <c r="AR964" s="39" t="str">
        <f>IF(NOTA[[#This Row],[QTY/ CTN]]="","",TRUE)</f>
        <v/>
      </c>
      <c r="AS964" s="39" t="str">
        <f ca="1">IF(NOTA[[#This Row],[ID_H]]="","",IF(NOTA[[#This Row],[Column3]]=TRUE,NOTA[[#This Row],[QTY/ CTN]],INDEX([3]!db[QTY/ CTN],NOTA[[#This Row],[//DB]])))</f>
        <v/>
      </c>
      <c r="AT9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4" s="39" t="str">
        <f ca="1">IF(NOTA[[#This Row],[ID_H]]="","",MATCH(NOTA[[#This Row],[NB NOTA_C_QTY]],[4]!db[NB NOTA_C_QTY+F],0))</f>
        <v/>
      </c>
      <c r="AV964" s="55" t="str">
        <f ca="1">IF(NOTA[[#This Row],[NB NOTA_C_QTY]]="","",ROW()-2)</f>
        <v/>
      </c>
    </row>
    <row r="965" spans="1:48" ht="20.100000000000001" customHeight="1" x14ac:dyDescent="0.25">
      <c r="A9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39" t="str">
        <f>IF(NOTA[[#This Row],[ID_P]]="","",MATCH(NOTA[[#This Row],[ID_P]],[1]!B_MSK[N_ID],0))</f>
        <v/>
      </c>
      <c r="D965" s="39" t="str">
        <f ca="1">IF(NOTA[[#This Row],[NAMA BARANG]]="","",INDEX(NOTA[ID],MATCH(,INDIRECT(ADDRESS(ROW(NOTA[ID]),COLUMN(NOTA[ID]))&amp;":"&amp;ADDRESS(ROW(),COLUMN(NOTA[ID]))),-1)))</f>
        <v/>
      </c>
      <c r="E965" s="47"/>
      <c r="H965" s="48"/>
      <c r="N965" s="39"/>
      <c r="Q965" s="43"/>
      <c r="R965" s="49"/>
      <c r="S965" s="50"/>
      <c r="U965" s="51"/>
      <c r="V965" s="46"/>
      <c r="W965" s="51" t="str">
        <f>IF(NOTA[[#This Row],[HARGA/ CTN]]="",NOTA[[#This Row],[JUMLAH_H]],NOTA[[#This Row],[HARGA/ CTN]]*IF(NOTA[[#This Row],[C]]="",0,NOTA[[#This Row],[C]]))</f>
        <v/>
      </c>
      <c r="X965" s="51" t="str">
        <f>IF(NOTA[[#This Row],[JUMLAH]]="","",NOTA[[#This Row],[JUMLAH]]*NOTA[[#This Row],[DISC 1]])</f>
        <v/>
      </c>
      <c r="Y965" s="51" t="str">
        <f>IF(NOTA[[#This Row],[JUMLAH]]="","",(NOTA[[#This Row],[JUMLAH]]-NOTA[[#This Row],[DISC 1-]])*NOTA[[#This Row],[DISC 2]])</f>
        <v/>
      </c>
      <c r="Z965" s="51" t="str">
        <f>IF(NOTA[[#This Row],[JUMLAH]]="","",NOTA[[#This Row],[DISC 1-]]+NOTA[[#This Row],[DISC 2-]])</f>
        <v/>
      </c>
      <c r="AA965" s="51" t="str">
        <f>IF(NOTA[[#This Row],[JUMLAH]]="","",NOTA[[#This Row],[JUMLAH]]-NOTA[[#This Row],[DISC]])</f>
        <v/>
      </c>
      <c r="AB965" s="51"/>
      <c r="AC9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5" s="51" t="str">
        <f>IF(OR(NOTA[[#This Row],[QTY]]="",NOTA[[#This Row],[HARGA SATUAN]]="",),"",NOTA[[#This Row],[QTY]]*NOTA[[#This Row],[HARGA SATUAN]])</f>
        <v/>
      </c>
      <c r="AG965" s="40" t="str">
        <f ca="1">IF(NOTA[ID_H]="","",INDEX(NOTA[TANGGAL],MATCH(,INDIRECT(ADDRESS(ROW(NOTA[TANGGAL]),COLUMN(NOTA[TANGGAL]))&amp;":"&amp;ADDRESS(ROW(),COLUMN(NOTA[TANGGAL]))),-1)))</f>
        <v/>
      </c>
      <c r="AH965" s="42" t="str">
        <f ca="1">IF(NOTA[[#This Row],[NAMA BARANG]]="","",INDEX(NOTA[SUPPLIER],MATCH(,INDIRECT(ADDRESS(ROW(NOTA[ID]),COLUMN(NOTA[ID]))&amp;":"&amp;ADDRESS(ROW(),COLUMN(NOTA[ID]))),-1)))</f>
        <v/>
      </c>
      <c r="AI965" s="42" t="str">
        <f ca="1">IF(NOTA[[#This Row],[ID_H]]="","",IF(NOTA[[#This Row],[FAKTUR]]="",INDIRECT(ADDRESS(ROW()-1,COLUMN())),NOTA[[#This Row],[FAKTUR]]))</f>
        <v/>
      </c>
      <c r="AJ965" s="39" t="str">
        <f ca="1">IF(NOTA[[#This Row],[ID]]="","",COUNTIF(NOTA[ID_H],NOTA[[#This Row],[ID_H]]))</f>
        <v/>
      </c>
      <c r="AK965" s="39" t="str">
        <f ca="1">IF(NOTA[[#This Row],[TGL.NOTA]]="",IF(NOTA[[#This Row],[SUPPLIER_H]]="","",AK964),MONTH(NOTA[[#This Row],[TGL.NOTA]]))</f>
        <v/>
      </c>
      <c r="AL965" s="39" t="str">
        <f>LOWER(SUBSTITUTE(SUBSTITUTE(SUBSTITUTE(SUBSTITUTE(SUBSTITUTE(SUBSTITUTE(SUBSTITUTE(SUBSTITUTE(SUBSTITUTE(NOTA[NAMA BARANG]," ",),".",""),"-",""),"(",""),")",""),",",""),"/",""),"""",""),"+",""))</f>
        <v/>
      </c>
      <c r="AM9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39" t="str">
        <f>IF(NOTA[[#This Row],[CONCAT4]]="","",_xlfn.IFNA(MATCH(NOTA[[#This Row],[CONCAT4]],[2]!RAW[CONCAT_H],0),FALSE))</f>
        <v/>
      </c>
      <c r="AQ965" s="39" t="str">
        <f>IF(NOTA[[#This Row],[CONCAT1]]="","",MATCH(NOTA[[#This Row],[CONCAT1]],[3]!db[NB NOTA_C],0))</f>
        <v/>
      </c>
      <c r="AR965" s="39" t="str">
        <f>IF(NOTA[[#This Row],[QTY/ CTN]]="","",TRUE)</f>
        <v/>
      </c>
      <c r="AS965" s="39" t="str">
        <f ca="1">IF(NOTA[[#This Row],[ID_H]]="","",IF(NOTA[[#This Row],[Column3]]=TRUE,NOTA[[#This Row],[QTY/ CTN]],INDEX([3]!db[QTY/ CTN],NOTA[[#This Row],[//DB]])))</f>
        <v/>
      </c>
      <c r="AT9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5" s="39" t="str">
        <f ca="1">IF(NOTA[[#This Row],[ID_H]]="","",MATCH(NOTA[[#This Row],[NB NOTA_C_QTY]],[4]!db[NB NOTA_C_QTY+F],0))</f>
        <v/>
      </c>
      <c r="AV965" s="55" t="str">
        <f ca="1">IF(NOTA[[#This Row],[NB NOTA_C_QTY]]="","",ROW()-2)</f>
        <v/>
      </c>
    </row>
    <row r="966" spans="1:48" ht="20.100000000000001" customHeight="1" x14ac:dyDescent="0.25">
      <c r="A9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39" t="str">
        <f>IF(NOTA[[#This Row],[ID_P]]="","",MATCH(NOTA[[#This Row],[ID_P]],[1]!B_MSK[N_ID],0))</f>
        <v/>
      </c>
      <c r="D966" s="39" t="str">
        <f ca="1">IF(NOTA[[#This Row],[NAMA BARANG]]="","",INDEX(NOTA[ID],MATCH(,INDIRECT(ADDRESS(ROW(NOTA[ID]),COLUMN(NOTA[ID]))&amp;":"&amp;ADDRESS(ROW(),COLUMN(NOTA[ID]))),-1)))</f>
        <v/>
      </c>
      <c r="E966" s="47"/>
      <c r="H966" s="48"/>
      <c r="N966" s="39"/>
      <c r="Q966" s="43"/>
      <c r="R966" s="49"/>
      <c r="S966" s="50"/>
      <c r="U966" s="51"/>
      <c r="V966" s="46"/>
      <c r="W966" s="51" t="str">
        <f>IF(NOTA[[#This Row],[HARGA/ CTN]]="",NOTA[[#This Row],[JUMLAH_H]],NOTA[[#This Row],[HARGA/ CTN]]*IF(NOTA[[#This Row],[C]]="",0,NOTA[[#This Row],[C]]))</f>
        <v/>
      </c>
      <c r="X966" s="51" t="str">
        <f>IF(NOTA[[#This Row],[JUMLAH]]="","",NOTA[[#This Row],[JUMLAH]]*NOTA[[#This Row],[DISC 1]])</f>
        <v/>
      </c>
      <c r="Y966" s="51" t="str">
        <f>IF(NOTA[[#This Row],[JUMLAH]]="","",(NOTA[[#This Row],[JUMLAH]]-NOTA[[#This Row],[DISC 1-]])*NOTA[[#This Row],[DISC 2]])</f>
        <v/>
      </c>
      <c r="Z966" s="51" t="str">
        <f>IF(NOTA[[#This Row],[JUMLAH]]="","",NOTA[[#This Row],[DISC 1-]]+NOTA[[#This Row],[DISC 2-]])</f>
        <v/>
      </c>
      <c r="AA966" s="51" t="str">
        <f>IF(NOTA[[#This Row],[JUMLAH]]="","",NOTA[[#This Row],[JUMLAH]]-NOTA[[#This Row],[DISC]])</f>
        <v/>
      </c>
      <c r="AB966" s="51"/>
      <c r="AC9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6" s="51" t="str">
        <f>IF(OR(NOTA[[#This Row],[QTY]]="",NOTA[[#This Row],[HARGA SATUAN]]="",),"",NOTA[[#This Row],[QTY]]*NOTA[[#This Row],[HARGA SATUAN]])</f>
        <v/>
      </c>
      <c r="AG966" s="40" t="str">
        <f ca="1">IF(NOTA[ID_H]="","",INDEX(NOTA[TANGGAL],MATCH(,INDIRECT(ADDRESS(ROW(NOTA[TANGGAL]),COLUMN(NOTA[TANGGAL]))&amp;":"&amp;ADDRESS(ROW(),COLUMN(NOTA[TANGGAL]))),-1)))</f>
        <v/>
      </c>
      <c r="AH966" s="42" t="str">
        <f ca="1">IF(NOTA[[#This Row],[NAMA BARANG]]="","",INDEX(NOTA[SUPPLIER],MATCH(,INDIRECT(ADDRESS(ROW(NOTA[ID]),COLUMN(NOTA[ID]))&amp;":"&amp;ADDRESS(ROW(),COLUMN(NOTA[ID]))),-1)))</f>
        <v/>
      </c>
      <c r="AI966" s="42" t="str">
        <f ca="1">IF(NOTA[[#This Row],[ID_H]]="","",IF(NOTA[[#This Row],[FAKTUR]]="",INDIRECT(ADDRESS(ROW()-1,COLUMN())),NOTA[[#This Row],[FAKTUR]]))</f>
        <v/>
      </c>
      <c r="AJ966" s="39" t="str">
        <f ca="1">IF(NOTA[[#This Row],[ID]]="","",COUNTIF(NOTA[ID_H],NOTA[[#This Row],[ID_H]]))</f>
        <v/>
      </c>
      <c r="AK966" s="39" t="str">
        <f ca="1">IF(NOTA[[#This Row],[TGL.NOTA]]="",IF(NOTA[[#This Row],[SUPPLIER_H]]="","",AK965),MONTH(NOTA[[#This Row],[TGL.NOTA]]))</f>
        <v/>
      </c>
      <c r="AL966" s="39" t="str">
        <f>LOWER(SUBSTITUTE(SUBSTITUTE(SUBSTITUTE(SUBSTITUTE(SUBSTITUTE(SUBSTITUTE(SUBSTITUTE(SUBSTITUTE(SUBSTITUTE(NOTA[NAMA BARANG]," ",),".",""),"-",""),"(",""),")",""),",",""),"/",""),"""",""),"+",""))</f>
        <v/>
      </c>
      <c r="AM9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39" t="str">
        <f>IF(NOTA[[#This Row],[CONCAT4]]="","",_xlfn.IFNA(MATCH(NOTA[[#This Row],[CONCAT4]],[2]!RAW[CONCAT_H],0),FALSE))</f>
        <v/>
      </c>
      <c r="AQ966" s="39" t="str">
        <f>IF(NOTA[[#This Row],[CONCAT1]]="","",MATCH(NOTA[[#This Row],[CONCAT1]],[3]!db[NB NOTA_C],0))</f>
        <v/>
      </c>
      <c r="AR966" s="39" t="str">
        <f>IF(NOTA[[#This Row],[QTY/ CTN]]="","",TRUE)</f>
        <v/>
      </c>
      <c r="AS966" s="39" t="str">
        <f ca="1">IF(NOTA[[#This Row],[ID_H]]="","",IF(NOTA[[#This Row],[Column3]]=TRUE,NOTA[[#This Row],[QTY/ CTN]],INDEX([3]!db[QTY/ CTN],NOTA[[#This Row],[//DB]])))</f>
        <v/>
      </c>
      <c r="AT9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6" s="39" t="str">
        <f ca="1">IF(NOTA[[#This Row],[ID_H]]="","",MATCH(NOTA[[#This Row],[NB NOTA_C_QTY]],[4]!db[NB NOTA_C_QTY+F],0))</f>
        <v/>
      </c>
      <c r="AV966" s="55" t="str">
        <f ca="1">IF(NOTA[[#This Row],[NB NOTA_C_QTY]]="","",ROW()-2)</f>
        <v/>
      </c>
    </row>
    <row r="967" spans="1:48" ht="20.100000000000001" customHeight="1" x14ac:dyDescent="0.25">
      <c r="A9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39" t="str">
        <f>IF(NOTA[[#This Row],[ID_P]]="","",MATCH(NOTA[[#This Row],[ID_P]],[1]!B_MSK[N_ID],0))</f>
        <v/>
      </c>
      <c r="D967" s="39" t="str">
        <f ca="1">IF(NOTA[[#This Row],[NAMA BARANG]]="","",INDEX(NOTA[ID],MATCH(,INDIRECT(ADDRESS(ROW(NOTA[ID]),COLUMN(NOTA[ID]))&amp;":"&amp;ADDRESS(ROW(),COLUMN(NOTA[ID]))),-1)))</f>
        <v/>
      </c>
      <c r="E967" s="47"/>
      <c r="H967" s="48"/>
      <c r="N967" s="39"/>
      <c r="Q967" s="43"/>
      <c r="R967" s="49"/>
      <c r="S967" s="50"/>
      <c r="U967" s="51"/>
      <c r="V967" s="46"/>
      <c r="W967" s="51" t="str">
        <f>IF(NOTA[[#This Row],[HARGA/ CTN]]="",NOTA[[#This Row],[JUMLAH_H]],NOTA[[#This Row],[HARGA/ CTN]]*IF(NOTA[[#This Row],[C]]="",0,NOTA[[#This Row],[C]]))</f>
        <v/>
      </c>
      <c r="X967" s="51" t="str">
        <f>IF(NOTA[[#This Row],[JUMLAH]]="","",NOTA[[#This Row],[JUMLAH]]*NOTA[[#This Row],[DISC 1]])</f>
        <v/>
      </c>
      <c r="Y967" s="51" t="str">
        <f>IF(NOTA[[#This Row],[JUMLAH]]="","",(NOTA[[#This Row],[JUMLAH]]-NOTA[[#This Row],[DISC 1-]])*NOTA[[#This Row],[DISC 2]])</f>
        <v/>
      </c>
      <c r="Z967" s="51" t="str">
        <f>IF(NOTA[[#This Row],[JUMLAH]]="","",NOTA[[#This Row],[DISC 1-]]+NOTA[[#This Row],[DISC 2-]])</f>
        <v/>
      </c>
      <c r="AA967" s="51" t="str">
        <f>IF(NOTA[[#This Row],[JUMLAH]]="","",NOTA[[#This Row],[JUMLAH]]-NOTA[[#This Row],[DISC]])</f>
        <v/>
      </c>
      <c r="AB967" s="51"/>
      <c r="AC9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7" s="51" t="str">
        <f>IF(OR(NOTA[[#This Row],[QTY]]="",NOTA[[#This Row],[HARGA SATUAN]]="",),"",NOTA[[#This Row],[QTY]]*NOTA[[#This Row],[HARGA SATUAN]])</f>
        <v/>
      </c>
      <c r="AG967" s="40" t="str">
        <f ca="1">IF(NOTA[ID_H]="","",INDEX(NOTA[TANGGAL],MATCH(,INDIRECT(ADDRESS(ROW(NOTA[TANGGAL]),COLUMN(NOTA[TANGGAL]))&amp;":"&amp;ADDRESS(ROW(),COLUMN(NOTA[TANGGAL]))),-1)))</f>
        <v/>
      </c>
      <c r="AH967" s="42" t="str">
        <f ca="1">IF(NOTA[[#This Row],[NAMA BARANG]]="","",INDEX(NOTA[SUPPLIER],MATCH(,INDIRECT(ADDRESS(ROW(NOTA[ID]),COLUMN(NOTA[ID]))&amp;":"&amp;ADDRESS(ROW(),COLUMN(NOTA[ID]))),-1)))</f>
        <v/>
      </c>
      <c r="AI967" s="42" t="str">
        <f ca="1">IF(NOTA[[#This Row],[ID_H]]="","",IF(NOTA[[#This Row],[FAKTUR]]="",INDIRECT(ADDRESS(ROW()-1,COLUMN())),NOTA[[#This Row],[FAKTUR]]))</f>
        <v/>
      </c>
      <c r="AJ967" s="39" t="str">
        <f ca="1">IF(NOTA[[#This Row],[ID]]="","",COUNTIF(NOTA[ID_H],NOTA[[#This Row],[ID_H]]))</f>
        <v/>
      </c>
      <c r="AK967" s="39" t="str">
        <f ca="1">IF(NOTA[[#This Row],[TGL.NOTA]]="",IF(NOTA[[#This Row],[SUPPLIER_H]]="","",AK966),MONTH(NOTA[[#This Row],[TGL.NOTA]]))</f>
        <v/>
      </c>
      <c r="AL967" s="39" t="str">
        <f>LOWER(SUBSTITUTE(SUBSTITUTE(SUBSTITUTE(SUBSTITUTE(SUBSTITUTE(SUBSTITUTE(SUBSTITUTE(SUBSTITUTE(SUBSTITUTE(NOTA[NAMA BARANG]," ",),".",""),"-",""),"(",""),")",""),",",""),"/",""),"""",""),"+",""))</f>
        <v/>
      </c>
      <c r="AM9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39" t="str">
        <f>IF(NOTA[[#This Row],[CONCAT4]]="","",_xlfn.IFNA(MATCH(NOTA[[#This Row],[CONCAT4]],[2]!RAW[CONCAT_H],0),FALSE))</f>
        <v/>
      </c>
      <c r="AQ967" s="39" t="str">
        <f>IF(NOTA[[#This Row],[CONCAT1]]="","",MATCH(NOTA[[#This Row],[CONCAT1]],[3]!db[NB NOTA_C],0))</f>
        <v/>
      </c>
      <c r="AR967" s="39" t="str">
        <f>IF(NOTA[[#This Row],[QTY/ CTN]]="","",TRUE)</f>
        <v/>
      </c>
      <c r="AS967" s="39" t="str">
        <f ca="1">IF(NOTA[[#This Row],[ID_H]]="","",IF(NOTA[[#This Row],[Column3]]=TRUE,NOTA[[#This Row],[QTY/ CTN]],INDEX([3]!db[QTY/ CTN],NOTA[[#This Row],[//DB]])))</f>
        <v/>
      </c>
      <c r="AT9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7" s="39" t="str">
        <f ca="1">IF(NOTA[[#This Row],[ID_H]]="","",MATCH(NOTA[[#This Row],[NB NOTA_C_QTY]],[4]!db[NB NOTA_C_QTY+F],0))</f>
        <v/>
      </c>
      <c r="AV967" s="55" t="str">
        <f ca="1">IF(NOTA[[#This Row],[NB NOTA_C_QTY]]="","",ROW()-2)</f>
        <v/>
      </c>
    </row>
    <row r="968" spans="1:48" ht="20.100000000000001" customHeight="1" x14ac:dyDescent="0.25">
      <c r="A9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39" t="str">
        <f>IF(NOTA[[#This Row],[ID_P]]="","",MATCH(NOTA[[#This Row],[ID_P]],[1]!B_MSK[N_ID],0))</f>
        <v/>
      </c>
      <c r="D968" s="39" t="str">
        <f ca="1">IF(NOTA[[#This Row],[NAMA BARANG]]="","",INDEX(NOTA[ID],MATCH(,INDIRECT(ADDRESS(ROW(NOTA[ID]),COLUMN(NOTA[ID]))&amp;":"&amp;ADDRESS(ROW(),COLUMN(NOTA[ID]))),-1)))</f>
        <v/>
      </c>
      <c r="E968" s="47"/>
      <c r="H968" s="48"/>
      <c r="N968" s="39"/>
      <c r="Q968" s="43"/>
      <c r="R968" s="49"/>
      <c r="S968" s="50"/>
      <c r="U968" s="51"/>
      <c r="V968" s="46"/>
      <c r="W968" s="51" t="str">
        <f>IF(NOTA[[#This Row],[HARGA/ CTN]]="",NOTA[[#This Row],[JUMLAH_H]],NOTA[[#This Row],[HARGA/ CTN]]*IF(NOTA[[#This Row],[C]]="",0,NOTA[[#This Row],[C]]))</f>
        <v/>
      </c>
      <c r="X968" s="51" t="str">
        <f>IF(NOTA[[#This Row],[JUMLAH]]="","",NOTA[[#This Row],[JUMLAH]]*NOTA[[#This Row],[DISC 1]])</f>
        <v/>
      </c>
      <c r="Y968" s="51" t="str">
        <f>IF(NOTA[[#This Row],[JUMLAH]]="","",(NOTA[[#This Row],[JUMLAH]]-NOTA[[#This Row],[DISC 1-]])*NOTA[[#This Row],[DISC 2]])</f>
        <v/>
      </c>
      <c r="Z968" s="51" t="str">
        <f>IF(NOTA[[#This Row],[JUMLAH]]="","",NOTA[[#This Row],[DISC 1-]]+NOTA[[#This Row],[DISC 2-]])</f>
        <v/>
      </c>
      <c r="AA968" s="51" t="str">
        <f>IF(NOTA[[#This Row],[JUMLAH]]="","",NOTA[[#This Row],[JUMLAH]]-NOTA[[#This Row],[DISC]])</f>
        <v/>
      </c>
      <c r="AB968" s="51"/>
      <c r="AC9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8" s="51" t="str">
        <f>IF(OR(NOTA[[#This Row],[QTY]]="",NOTA[[#This Row],[HARGA SATUAN]]="",),"",NOTA[[#This Row],[QTY]]*NOTA[[#This Row],[HARGA SATUAN]])</f>
        <v/>
      </c>
      <c r="AG968" s="40" t="str">
        <f ca="1">IF(NOTA[ID_H]="","",INDEX(NOTA[TANGGAL],MATCH(,INDIRECT(ADDRESS(ROW(NOTA[TANGGAL]),COLUMN(NOTA[TANGGAL]))&amp;":"&amp;ADDRESS(ROW(),COLUMN(NOTA[TANGGAL]))),-1)))</f>
        <v/>
      </c>
      <c r="AH968" s="42" t="str">
        <f ca="1">IF(NOTA[[#This Row],[NAMA BARANG]]="","",INDEX(NOTA[SUPPLIER],MATCH(,INDIRECT(ADDRESS(ROW(NOTA[ID]),COLUMN(NOTA[ID]))&amp;":"&amp;ADDRESS(ROW(),COLUMN(NOTA[ID]))),-1)))</f>
        <v/>
      </c>
      <c r="AI968" s="42" t="str">
        <f ca="1">IF(NOTA[[#This Row],[ID_H]]="","",IF(NOTA[[#This Row],[FAKTUR]]="",INDIRECT(ADDRESS(ROW()-1,COLUMN())),NOTA[[#This Row],[FAKTUR]]))</f>
        <v/>
      </c>
      <c r="AJ968" s="39" t="str">
        <f ca="1">IF(NOTA[[#This Row],[ID]]="","",COUNTIF(NOTA[ID_H],NOTA[[#This Row],[ID_H]]))</f>
        <v/>
      </c>
      <c r="AK968" s="39" t="str">
        <f ca="1">IF(NOTA[[#This Row],[TGL.NOTA]]="",IF(NOTA[[#This Row],[SUPPLIER_H]]="","",AK967),MONTH(NOTA[[#This Row],[TGL.NOTA]]))</f>
        <v/>
      </c>
      <c r="AL968" s="39" t="str">
        <f>LOWER(SUBSTITUTE(SUBSTITUTE(SUBSTITUTE(SUBSTITUTE(SUBSTITUTE(SUBSTITUTE(SUBSTITUTE(SUBSTITUTE(SUBSTITUTE(NOTA[NAMA BARANG]," ",),".",""),"-",""),"(",""),")",""),",",""),"/",""),"""",""),"+",""))</f>
        <v/>
      </c>
      <c r="AM9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39" t="str">
        <f>IF(NOTA[[#This Row],[CONCAT4]]="","",_xlfn.IFNA(MATCH(NOTA[[#This Row],[CONCAT4]],[2]!RAW[CONCAT_H],0),FALSE))</f>
        <v/>
      </c>
      <c r="AQ968" s="39" t="str">
        <f>IF(NOTA[[#This Row],[CONCAT1]]="","",MATCH(NOTA[[#This Row],[CONCAT1]],[3]!db[NB NOTA_C],0))</f>
        <v/>
      </c>
      <c r="AR968" s="39" t="str">
        <f>IF(NOTA[[#This Row],[QTY/ CTN]]="","",TRUE)</f>
        <v/>
      </c>
      <c r="AS968" s="39" t="str">
        <f ca="1">IF(NOTA[[#This Row],[ID_H]]="","",IF(NOTA[[#This Row],[Column3]]=TRUE,NOTA[[#This Row],[QTY/ CTN]],INDEX([3]!db[QTY/ CTN],NOTA[[#This Row],[//DB]])))</f>
        <v/>
      </c>
      <c r="AT9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8" s="39" t="str">
        <f ca="1">IF(NOTA[[#This Row],[ID_H]]="","",MATCH(NOTA[[#This Row],[NB NOTA_C_QTY]],[4]!db[NB NOTA_C_QTY+F],0))</f>
        <v/>
      </c>
      <c r="AV968" s="55" t="str">
        <f ca="1">IF(NOTA[[#This Row],[NB NOTA_C_QTY]]="","",ROW()-2)</f>
        <v/>
      </c>
    </row>
    <row r="969" spans="1:48" ht="20.100000000000001" customHeight="1" x14ac:dyDescent="0.25">
      <c r="A9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39" t="str">
        <f>IF(NOTA[[#This Row],[ID_P]]="","",MATCH(NOTA[[#This Row],[ID_P]],[1]!B_MSK[N_ID],0))</f>
        <v/>
      </c>
      <c r="D969" s="39" t="str">
        <f ca="1">IF(NOTA[[#This Row],[NAMA BARANG]]="","",INDEX(NOTA[ID],MATCH(,INDIRECT(ADDRESS(ROW(NOTA[ID]),COLUMN(NOTA[ID]))&amp;":"&amp;ADDRESS(ROW(),COLUMN(NOTA[ID]))),-1)))</f>
        <v/>
      </c>
      <c r="E969" s="47"/>
      <c r="H969" s="48"/>
      <c r="N969" s="39"/>
      <c r="Q969" s="43"/>
      <c r="R969" s="49"/>
      <c r="S969" s="50"/>
      <c r="U969" s="51"/>
      <c r="V969" s="46"/>
      <c r="W969" s="51" t="str">
        <f>IF(NOTA[[#This Row],[HARGA/ CTN]]="",NOTA[[#This Row],[JUMLAH_H]],NOTA[[#This Row],[HARGA/ CTN]]*IF(NOTA[[#This Row],[C]]="",0,NOTA[[#This Row],[C]]))</f>
        <v/>
      </c>
      <c r="X969" s="51" t="str">
        <f>IF(NOTA[[#This Row],[JUMLAH]]="","",NOTA[[#This Row],[JUMLAH]]*NOTA[[#This Row],[DISC 1]])</f>
        <v/>
      </c>
      <c r="Y969" s="51" t="str">
        <f>IF(NOTA[[#This Row],[JUMLAH]]="","",(NOTA[[#This Row],[JUMLAH]]-NOTA[[#This Row],[DISC 1-]])*NOTA[[#This Row],[DISC 2]])</f>
        <v/>
      </c>
      <c r="Z969" s="51" t="str">
        <f>IF(NOTA[[#This Row],[JUMLAH]]="","",NOTA[[#This Row],[DISC 1-]]+NOTA[[#This Row],[DISC 2-]])</f>
        <v/>
      </c>
      <c r="AA969" s="51" t="str">
        <f>IF(NOTA[[#This Row],[JUMLAH]]="","",NOTA[[#This Row],[JUMLAH]]-NOTA[[#This Row],[DISC]])</f>
        <v/>
      </c>
      <c r="AB969" s="51"/>
      <c r="AC9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9" s="51" t="str">
        <f>IF(OR(NOTA[[#This Row],[QTY]]="",NOTA[[#This Row],[HARGA SATUAN]]="",),"",NOTA[[#This Row],[QTY]]*NOTA[[#This Row],[HARGA SATUAN]])</f>
        <v/>
      </c>
      <c r="AG969" s="40" t="str">
        <f ca="1">IF(NOTA[ID_H]="","",INDEX(NOTA[TANGGAL],MATCH(,INDIRECT(ADDRESS(ROW(NOTA[TANGGAL]),COLUMN(NOTA[TANGGAL]))&amp;":"&amp;ADDRESS(ROW(),COLUMN(NOTA[TANGGAL]))),-1)))</f>
        <v/>
      </c>
      <c r="AH969" s="42" t="str">
        <f ca="1">IF(NOTA[[#This Row],[NAMA BARANG]]="","",INDEX(NOTA[SUPPLIER],MATCH(,INDIRECT(ADDRESS(ROW(NOTA[ID]),COLUMN(NOTA[ID]))&amp;":"&amp;ADDRESS(ROW(),COLUMN(NOTA[ID]))),-1)))</f>
        <v/>
      </c>
      <c r="AI969" s="42" t="str">
        <f ca="1">IF(NOTA[[#This Row],[ID_H]]="","",IF(NOTA[[#This Row],[FAKTUR]]="",INDIRECT(ADDRESS(ROW()-1,COLUMN())),NOTA[[#This Row],[FAKTUR]]))</f>
        <v/>
      </c>
      <c r="AJ969" s="39" t="str">
        <f ca="1">IF(NOTA[[#This Row],[ID]]="","",COUNTIF(NOTA[ID_H],NOTA[[#This Row],[ID_H]]))</f>
        <v/>
      </c>
      <c r="AK969" s="39" t="str">
        <f ca="1">IF(NOTA[[#This Row],[TGL.NOTA]]="",IF(NOTA[[#This Row],[SUPPLIER_H]]="","",AK968),MONTH(NOTA[[#This Row],[TGL.NOTA]]))</f>
        <v/>
      </c>
      <c r="AL969" s="39" t="str">
        <f>LOWER(SUBSTITUTE(SUBSTITUTE(SUBSTITUTE(SUBSTITUTE(SUBSTITUTE(SUBSTITUTE(SUBSTITUTE(SUBSTITUTE(SUBSTITUTE(NOTA[NAMA BARANG]," ",),".",""),"-",""),"(",""),")",""),",",""),"/",""),"""",""),"+",""))</f>
        <v/>
      </c>
      <c r="AM9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39" t="str">
        <f>IF(NOTA[[#This Row],[CONCAT4]]="","",_xlfn.IFNA(MATCH(NOTA[[#This Row],[CONCAT4]],[2]!RAW[CONCAT_H],0),FALSE))</f>
        <v/>
      </c>
      <c r="AQ969" s="39" t="str">
        <f>IF(NOTA[[#This Row],[CONCAT1]]="","",MATCH(NOTA[[#This Row],[CONCAT1]],[3]!db[NB NOTA_C],0))</f>
        <v/>
      </c>
      <c r="AR969" s="39" t="str">
        <f>IF(NOTA[[#This Row],[QTY/ CTN]]="","",TRUE)</f>
        <v/>
      </c>
      <c r="AS969" s="39" t="str">
        <f ca="1">IF(NOTA[[#This Row],[ID_H]]="","",IF(NOTA[[#This Row],[Column3]]=TRUE,NOTA[[#This Row],[QTY/ CTN]],INDEX([3]!db[QTY/ CTN],NOTA[[#This Row],[//DB]])))</f>
        <v/>
      </c>
      <c r="AT9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9" s="39" t="str">
        <f ca="1">IF(NOTA[[#This Row],[ID_H]]="","",MATCH(NOTA[[#This Row],[NB NOTA_C_QTY]],[4]!db[NB NOTA_C_QTY+F],0))</f>
        <v/>
      </c>
      <c r="AV969" s="55" t="str">
        <f ca="1">IF(NOTA[[#This Row],[NB NOTA_C_QTY]]="","",ROW()-2)</f>
        <v/>
      </c>
    </row>
    <row r="970" spans="1:48" ht="20.100000000000001" customHeight="1" x14ac:dyDescent="0.25">
      <c r="A9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39" t="str">
        <f>IF(NOTA[[#This Row],[ID_P]]="","",MATCH(NOTA[[#This Row],[ID_P]],[1]!B_MSK[N_ID],0))</f>
        <v/>
      </c>
      <c r="D970" s="39" t="str">
        <f ca="1">IF(NOTA[[#This Row],[NAMA BARANG]]="","",INDEX(NOTA[ID],MATCH(,INDIRECT(ADDRESS(ROW(NOTA[ID]),COLUMN(NOTA[ID]))&amp;":"&amp;ADDRESS(ROW(),COLUMN(NOTA[ID]))),-1)))</f>
        <v/>
      </c>
      <c r="E970" s="47"/>
      <c r="H970" s="48"/>
      <c r="N970" s="39"/>
      <c r="Q970" s="43"/>
      <c r="R970" s="49"/>
      <c r="S970" s="50"/>
      <c r="U970" s="51"/>
      <c r="V970" s="46"/>
      <c r="W970" s="51" t="str">
        <f>IF(NOTA[[#This Row],[HARGA/ CTN]]="",NOTA[[#This Row],[JUMLAH_H]],NOTA[[#This Row],[HARGA/ CTN]]*IF(NOTA[[#This Row],[C]]="",0,NOTA[[#This Row],[C]]))</f>
        <v/>
      </c>
      <c r="X970" s="51" t="str">
        <f>IF(NOTA[[#This Row],[JUMLAH]]="","",NOTA[[#This Row],[JUMLAH]]*NOTA[[#This Row],[DISC 1]])</f>
        <v/>
      </c>
      <c r="Y970" s="51" t="str">
        <f>IF(NOTA[[#This Row],[JUMLAH]]="","",(NOTA[[#This Row],[JUMLAH]]-NOTA[[#This Row],[DISC 1-]])*NOTA[[#This Row],[DISC 2]])</f>
        <v/>
      </c>
      <c r="Z970" s="51" t="str">
        <f>IF(NOTA[[#This Row],[JUMLAH]]="","",NOTA[[#This Row],[DISC 1-]]+NOTA[[#This Row],[DISC 2-]])</f>
        <v/>
      </c>
      <c r="AA970" s="51" t="str">
        <f>IF(NOTA[[#This Row],[JUMLAH]]="","",NOTA[[#This Row],[JUMLAH]]-NOTA[[#This Row],[DISC]])</f>
        <v/>
      </c>
      <c r="AB970" s="51"/>
      <c r="AC9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0" s="51" t="str">
        <f>IF(OR(NOTA[[#This Row],[QTY]]="",NOTA[[#This Row],[HARGA SATUAN]]="",),"",NOTA[[#This Row],[QTY]]*NOTA[[#This Row],[HARGA SATUAN]])</f>
        <v/>
      </c>
      <c r="AG970" s="40" t="str">
        <f ca="1">IF(NOTA[ID_H]="","",INDEX(NOTA[TANGGAL],MATCH(,INDIRECT(ADDRESS(ROW(NOTA[TANGGAL]),COLUMN(NOTA[TANGGAL]))&amp;":"&amp;ADDRESS(ROW(),COLUMN(NOTA[TANGGAL]))),-1)))</f>
        <v/>
      </c>
      <c r="AH970" s="42" t="str">
        <f ca="1">IF(NOTA[[#This Row],[NAMA BARANG]]="","",INDEX(NOTA[SUPPLIER],MATCH(,INDIRECT(ADDRESS(ROW(NOTA[ID]),COLUMN(NOTA[ID]))&amp;":"&amp;ADDRESS(ROW(),COLUMN(NOTA[ID]))),-1)))</f>
        <v/>
      </c>
      <c r="AI970" s="42" t="str">
        <f ca="1">IF(NOTA[[#This Row],[ID_H]]="","",IF(NOTA[[#This Row],[FAKTUR]]="",INDIRECT(ADDRESS(ROW()-1,COLUMN())),NOTA[[#This Row],[FAKTUR]]))</f>
        <v/>
      </c>
      <c r="AJ970" s="39" t="str">
        <f ca="1">IF(NOTA[[#This Row],[ID]]="","",COUNTIF(NOTA[ID_H],NOTA[[#This Row],[ID_H]]))</f>
        <v/>
      </c>
      <c r="AK970" s="39" t="str">
        <f ca="1">IF(NOTA[[#This Row],[TGL.NOTA]]="",IF(NOTA[[#This Row],[SUPPLIER_H]]="","",AK969),MONTH(NOTA[[#This Row],[TGL.NOTA]]))</f>
        <v/>
      </c>
      <c r="AL970" s="39" t="str">
        <f>LOWER(SUBSTITUTE(SUBSTITUTE(SUBSTITUTE(SUBSTITUTE(SUBSTITUTE(SUBSTITUTE(SUBSTITUTE(SUBSTITUTE(SUBSTITUTE(NOTA[NAMA BARANG]," ",),".",""),"-",""),"(",""),")",""),",",""),"/",""),"""",""),"+",""))</f>
        <v/>
      </c>
      <c r="AM9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39" t="str">
        <f>IF(NOTA[[#This Row],[CONCAT4]]="","",_xlfn.IFNA(MATCH(NOTA[[#This Row],[CONCAT4]],[2]!RAW[CONCAT_H],0),FALSE))</f>
        <v/>
      </c>
      <c r="AQ970" s="39" t="str">
        <f>IF(NOTA[[#This Row],[CONCAT1]]="","",MATCH(NOTA[[#This Row],[CONCAT1]],[3]!db[NB NOTA_C],0))</f>
        <v/>
      </c>
      <c r="AR970" s="39" t="str">
        <f>IF(NOTA[[#This Row],[QTY/ CTN]]="","",TRUE)</f>
        <v/>
      </c>
      <c r="AS970" s="39" t="str">
        <f ca="1">IF(NOTA[[#This Row],[ID_H]]="","",IF(NOTA[[#This Row],[Column3]]=TRUE,NOTA[[#This Row],[QTY/ CTN]],INDEX([3]!db[QTY/ CTN],NOTA[[#This Row],[//DB]])))</f>
        <v/>
      </c>
      <c r="AT9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0" s="39" t="str">
        <f ca="1">IF(NOTA[[#This Row],[ID_H]]="","",MATCH(NOTA[[#This Row],[NB NOTA_C_QTY]],[4]!db[NB NOTA_C_QTY+F],0))</f>
        <v/>
      </c>
      <c r="AV970" s="55" t="str">
        <f ca="1">IF(NOTA[[#This Row],[NB NOTA_C_QTY]]="","",ROW()-2)</f>
        <v/>
      </c>
    </row>
    <row r="971" spans="1:48" ht="20.100000000000001" customHeight="1" x14ac:dyDescent="0.25">
      <c r="A9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39" t="str">
        <f>IF(NOTA[[#This Row],[ID_P]]="","",MATCH(NOTA[[#This Row],[ID_P]],[1]!B_MSK[N_ID],0))</f>
        <v/>
      </c>
      <c r="D971" s="39" t="str">
        <f ca="1">IF(NOTA[[#This Row],[NAMA BARANG]]="","",INDEX(NOTA[ID],MATCH(,INDIRECT(ADDRESS(ROW(NOTA[ID]),COLUMN(NOTA[ID]))&amp;":"&amp;ADDRESS(ROW(),COLUMN(NOTA[ID]))),-1)))</f>
        <v/>
      </c>
      <c r="E971" s="47"/>
      <c r="H971" s="48"/>
      <c r="N971" s="39"/>
      <c r="Q971" s="43"/>
      <c r="R971" s="49"/>
      <c r="S971" s="50"/>
      <c r="U971" s="51"/>
      <c r="V971" s="46"/>
      <c r="W971" s="51" t="str">
        <f>IF(NOTA[[#This Row],[HARGA/ CTN]]="",NOTA[[#This Row],[JUMLAH_H]],NOTA[[#This Row],[HARGA/ CTN]]*IF(NOTA[[#This Row],[C]]="",0,NOTA[[#This Row],[C]]))</f>
        <v/>
      </c>
      <c r="X971" s="51" t="str">
        <f>IF(NOTA[[#This Row],[JUMLAH]]="","",NOTA[[#This Row],[JUMLAH]]*NOTA[[#This Row],[DISC 1]])</f>
        <v/>
      </c>
      <c r="Y971" s="51" t="str">
        <f>IF(NOTA[[#This Row],[JUMLAH]]="","",(NOTA[[#This Row],[JUMLAH]]-NOTA[[#This Row],[DISC 1-]])*NOTA[[#This Row],[DISC 2]])</f>
        <v/>
      </c>
      <c r="Z971" s="51" t="str">
        <f>IF(NOTA[[#This Row],[JUMLAH]]="","",NOTA[[#This Row],[DISC 1-]]+NOTA[[#This Row],[DISC 2-]])</f>
        <v/>
      </c>
      <c r="AA971" s="51" t="str">
        <f>IF(NOTA[[#This Row],[JUMLAH]]="","",NOTA[[#This Row],[JUMLAH]]-NOTA[[#This Row],[DISC]])</f>
        <v/>
      </c>
      <c r="AB971" s="51"/>
      <c r="AC9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1" s="51" t="str">
        <f>IF(OR(NOTA[[#This Row],[QTY]]="",NOTA[[#This Row],[HARGA SATUAN]]="",),"",NOTA[[#This Row],[QTY]]*NOTA[[#This Row],[HARGA SATUAN]])</f>
        <v/>
      </c>
      <c r="AG971" s="40" t="str">
        <f ca="1">IF(NOTA[ID_H]="","",INDEX(NOTA[TANGGAL],MATCH(,INDIRECT(ADDRESS(ROW(NOTA[TANGGAL]),COLUMN(NOTA[TANGGAL]))&amp;":"&amp;ADDRESS(ROW(),COLUMN(NOTA[TANGGAL]))),-1)))</f>
        <v/>
      </c>
      <c r="AH971" s="42" t="str">
        <f ca="1">IF(NOTA[[#This Row],[NAMA BARANG]]="","",INDEX(NOTA[SUPPLIER],MATCH(,INDIRECT(ADDRESS(ROW(NOTA[ID]),COLUMN(NOTA[ID]))&amp;":"&amp;ADDRESS(ROW(),COLUMN(NOTA[ID]))),-1)))</f>
        <v/>
      </c>
      <c r="AI971" s="42" t="str">
        <f ca="1">IF(NOTA[[#This Row],[ID_H]]="","",IF(NOTA[[#This Row],[FAKTUR]]="",INDIRECT(ADDRESS(ROW()-1,COLUMN())),NOTA[[#This Row],[FAKTUR]]))</f>
        <v/>
      </c>
      <c r="AJ971" s="39" t="str">
        <f ca="1">IF(NOTA[[#This Row],[ID]]="","",COUNTIF(NOTA[ID_H],NOTA[[#This Row],[ID_H]]))</f>
        <v/>
      </c>
      <c r="AK971" s="39" t="str">
        <f ca="1">IF(NOTA[[#This Row],[TGL.NOTA]]="",IF(NOTA[[#This Row],[SUPPLIER_H]]="","",AK970),MONTH(NOTA[[#This Row],[TGL.NOTA]]))</f>
        <v/>
      </c>
      <c r="AL971" s="39" t="str">
        <f>LOWER(SUBSTITUTE(SUBSTITUTE(SUBSTITUTE(SUBSTITUTE(SUBSTITUTE(SUBSTITUTE(SUBSTITUTE(SUBSTITUTE(SUBSTITUTE(NOTA[NAMA BARANG]," ",),".",""),"-",""),"(",""),")",""),",",""),"/",""),"""",""),"+",""))</f>
        <v/>
      </c>
      <c r="AM9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39" t="str">
        <f>IF(NOTA[[#This Row],[CONCAT4]]="","",_xlfn.IFNA(MATCH(NOTA[[#This Row],[CONCAT4]],[2]!RAW[CONCAT_H],0),FALSE))</f>
        <v/>
      </c>
      <c r="AQ971" s="39" t="str">
        <f>IF(NOTA[[#This Row],[CONCAT1]]="","",MATCH(NOTA[[#This Row],[CONCAT1]],[3]!db[NB NOTA_C],0))</f>
        <v/>
      </c>
      <c r="AR971" s="39" t="str">
        <f>IF(NOTA[[#This Row],[QTY/ CTN]]="","",TRUE)</f>
        <v/>
      </c>
      <c r="AS971" s="39" t="str">
        <f ca="1">IF(NOTA[[#This Row],[ID_H]]="","",IF(NOTA[[#This Row],[Column3]]=TRUE,NOTA[[#This Row],[QTY/ CTN]],INDEX([3]!db[QTY/ CTN],NOTA[[#This Row],[//DB]])))</f>
        <v/>
      </c>
      <c r="AT9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1" s="39" t="str">
        <f ca="1">IF(NOTA[[#This Row],[ID_H]]="","",MATCH(NOTA[[#This Row],[NB NOTA_C_QTY]],[4]!db[NB NOTA_C_QTY+F],0))</f>
        <v/>
      </c>
      <c r="AV971" s="55" t="str">
        <f ca="1">IF(NOTA[[#This Row],[NB NOTA_C_QTY]]="","",ROW()-2)</f>
        <v/>
      </c>
    </row>
    <row r="972" spans="1:48" ht="20.100000000000001" customHeight="1" x14ac:dyDescent="0.25">
      <c r="A9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39" t="str">
        <f>IF(NOTA[[#This Row],[ID_P]]="","",MATCH(NOTA[[#This Row],[ID_P]],[1]!B_MSK[N_ID],0))</f>
        <v/>
      </c>
      <c r="D972" s="39" t="str">
        <f ca="1">IF(NOTA[[#This Row],[NAMA BARANG]]="","",INDEX(NOTA[ID],MATCH(,INDIRECT(ADDRESS(ROW(NOTA[ID]),COLUMN(NOTA[ID]))&amp;":"&amp;ADDRESS(ROW(),COLUMN(NOTA[ID]))),-1)))</f>
        <v/>
      </c>
      <c r="E972" s="47"/>
      <c r="H972" s="48"/>
      <c r="N972" s="39"/>
      <c r="Q972" s="43"/>
      <c r="R972" s="49"/>
      <c r="S972" s="50"/>
      <c r="U972" s="51"/>
      <c r="V972" s="46"/>
      <c r="W972" s="51" t="str">
        <f>IF(NOTA[[#This Row],[HARGA/ CTN]]="",NOTA[[#This Row],[JUMLAH_H]],NOTA[[#This Row],[HARGA/ CTN]]*IF(NOTA[[#This Row],[C]]="",0,NOTA[[#This Row],[C]]))</f>
        <v/>
      </c>
      <c r="X972" s="51" t="str">
        <f>IF(NOTA[[#This Row],[JUMLAH]]="","",NOTA[[#This Row],[JUMLAH]]*NOTA[[#This Row],[DISC 1]])</f>
        <v/>
      </c>
      <c r="Y972" s="51" t="str">
        <f>IF(NOTA[[#This Row],[JUMLAH]]="","",(NOTA[[#This Row],[JUMLAH]]-NOTA[[#This Row],[DISC 1-]])*NOTA[[#This Row],[DISC 2]])</f>
        <v/>
      </c>
      <c r="Z972" s="51" t="str">
        <f>IF(NOTA[[#This Row],[JUMLAH]]="","",NOTA[[#This Row],[DISC 1-]]+NOTA[[#This Row],[DISC 2-]])</f>
        <v/>
      </c>
      <c r="AA972" s="51" t="str">
        <f>IF(NOTA[[#This Row],[JUMLAH]]="","",NOTA[[#This Row],[JUMLAH]]-NOTA[[#This Row],[DISC]])</f>
        <v/>
      </c>
      <c r="AB972" s="51"/>
      <c r="AC9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2" s="51" t="str">
        <f>IF(OR(NOTA[[#This Row],[QTY]]="",NOTA[[#This Row],[HARGA SATUAN]]="",),"",NOTA[[#This Row],[QTY]]*NOTA[[#This Row],[HARGA SATUAN]])</f>
        <v/>
      </c>
      <c r="AG972" s="40" t="str">
        <f ca="1">IF(NOTA[ID_H]="","",INDEX(NOTA[TANGGAL],MATCH(,INDIRECT(ADDRESS(ROW(NOTA[TANGGAL]),COLUMN(NOTA[TANGGAL]))&amp;":"&amp;ADDRESS(ROW(),COLUMN(NOTA[TANGGAL]))),-1)))</f>
        <v/>
      </c>
      <c r="AH972" s="42" t="str">
        <f ca="1">IF(NOTA[[#This Row],[NAMA BARANG]]="","",INDEX(NOTA[SUPPLIER],MATCH(,INDIRECT(ADDRESS(ROW(NOTA[ID]),COLUMN(NOTA[ID]))&amp;":"&amp;ADDRESS(ROW(),COLUMN(NOTA[ID]))),-1)))</f>
        <v/>
      </c>
      <c r="AI972" s="42" t="str">
        <f ca="1">IF(NOTA[[#This Row],[ID_H]]="","",IF(NOTA[[#This Row],[FAKTUR]]="",INDIRECT(ADDRESS(ROW()-1,COLUMN())),NOTA[[#This Row],[FAKTUR]]))</f>
        <v/>
      </c>
      <c r="AJ972" s="39" t="str">
        <f ca="1">IF(NOTA[[#This Row],[ID]]="","",COUNTIF(NOTA[ID_H],NOTA[[#This Row],[ID_H]]))</f>
        <v/>
      </c>
      <c r="AK972" s="39" t="str">
        <f ca="1">IF(NOTA[[#This Row],[TGL.NOTA]]="",IF(NOTA[[#This Row],[SUPPLIER_H]]="","",AK971),MONTH(NOTA[[#This Row],[TGL.NOTA]]))</f>
        <v/>
      </c>
      <c r="AL972" s="39" t="str">
        <f>LOWER(SUBSTITUTE(SUBSTITUTE(SUBSTITUTE(SUBSTITUTE(SUBSTITUTE(SUBSTITUTE(SUBSTITUTE(SUBSTITUTE(SUBSTITUTE(NOTA[NAMA BARANG]," ",),".",""),"-",""),"(",""),")",""),",",""),"/",""),"""",""),"+",""))</f>
        <v/>
      </c>
      <c r="AM9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39" t="str">
        <f>IF(NOTA[[#This Row],[CONCAT4]]="","",_xlfn.IFNA(MATCH(NOTA[[#This Row],[CONCAT4]],[2]!RAW[CONCAT_H],0),FALSE))</f>
        <v/>
      </c>
      <c r="AQ972" s="39" t="str">
        <f>IF(NOTA[[#This Row],[CONCAT1]]="","",MATCH(NOTA[[#This Row],[CONCAT1]],[3]!db[NB NOTA_C],0))</f>
        <v/>
      </c>
      <c r="AR972" s="39" t="str">
        <f>IF(NOTA[[#This Row],[QTY/ CTN]]="","",TRUE)</f>
        <v/>
      </c>
      <c r="AS972" s="39" t="str">
        <f ca="1">IF(NOTA[[#This Row],[ID_H]]="","",IF(NOTA[[#This Row],[Column3]]=TRUE,NOTA[[#This Row],[QTY/ CTN]],INDEX([3]!db[QTY/ CTN],NOTA[[#This Row],[//DB]])))</f>
        <v/>
      </c>
      <c r="AT9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2" s="39" t="str">
        <f ca="1">IF(NOTA[[#This Row],[ID_H]]="","",MATCH(NOTA[[#This Row],[NB NOTA_C_QTY]],[4]!db[NB NOTA_C_QTY+F],0))</f>
        <v/>
      </c>
      <c r="AV972" s="55" t="str">
        <f ca="1">IF(NOTA[[#This Row],[NB NOTA_C_QTY]]="","",ROW()-2)</f>
        <v/>
      </c>
    </row>
    <row r="973" spans="1:48" ht="20.100000000000001" customHeight="1" x14ac:dyDescent="0.25">
      <c r="A9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39" t="str">
        <f>IF(NOTA[[#This Row],[ID_P]]="","",MATCH(NOTA[[#This Row],[ID_P]],[1]!B_MSK[N_ID],0))</f>
        <v/>
      </c>
      <c r="D973" s="39" t="str">
        <f ca="1">IF(NOTA[[#This Row],[NAMA BARANG]]="","",INDEX(NOTA[ID],MATCH(,INDIRECT(ADDRESS(ROW(NOTA[ID]),COLUMN(NOTA[ID]))&amp;":"&amp;ADDRESS(ROW(),COLUMN(NOTA[ID]))),-1)))</f>
        <v/>
      </c>
      <c r="E973" s="47"/>
      <c r="H973" s="48"/>
      <c r="N973" s="39"/>
      <c r="Q973" s="43"/>
      <c r="R973" s="49"/>
      <c r="S973" s="50"/>
      <c r="U973" s="51"/>
      <c r="V973" s="46"/>
      <c r="W973" s="51" t="str">
        <f>IF(NOTA[[#This Row],[HARGA/ CTN]]="",NOTA[[#This Row],[JUMLAH_H]],NOTA[[#This Row],[HARGA/ CTN]]*IF(NOTA[[#This Row],[C]]="",0,NOTA[[#This Row],[C]]))</f>
        <v/>
      </c>
      <c r="X973" s="51" t="str">
        <f>IF(NOTA[[#This Row],[JUMLAH]]="","",NOTA[[#This Row],[JUMLAH]]*NOTA[[#This Row],[DISC 1]])</f>
        <v/>
      </c>
      <c r="Y973" s="51" t="str">
        <f>IF(NOTA[[#This Row],[JUMLAH]]="","",(NOTA[[#This Row],[JUMLAH]]-NOTA[[#This Row],[DISC 1-]])*NOTA[[#This Row],[DISC 2]])</f>
        <v/>
      </c>
      <c r="Z973" s="51" t="str">
        <f>IF(NOTA[[#This Row],[JUMLAH]]="","",NOTA[[#This Row],[DISC 1-]]+NOTA[[#This Row],[DISC 2-]])</f>
        <v/>
      </c>
      <c r="AA973" s="51" t="str">
        <f>IF(NOTA[[#This Row],[JUMLAH]]="","",NOTA[[#This Row],[JUMLAH]]-NOTA[[#This Row],[DISC]])</f>
        <v/>
      </c>
      <c r="AB973" s="51"/>
      <c r="AC9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3" s="51" t="str">
        <f>IF(OR(NOTA[[#This Row],[QTY]]="",NOTA[[#This Row],[HARGA SATUAN]]="",),"",NOTA[[#This Row],[QTY]]*NOTA[[#This Row],[HARGA SATUAN]])</f>
        <v/>
      </c>
      <c r="AG973" s="40" t="str">
        <f ca="1">IF(NOTA[ID_H]="","",INDEX(NOTA[TANGGAL],MATCH(,INDIRECT(ADDRESS(ROW(NOTA[TANGGAL]),COLUMN(NOTA[TANGGAL]))&amp;":"&amp;ADDRESS(ROW(),COLUMN(NOTA[TANGGAL]))),-1)))</f>
        <v/>
      </c>
      <c r="AH973" s="42" t="str">
        <f ca="1">IF(NOTA[[#This Row],[NAMA BARANG]]="","",INDEX(NOTA[SUPPLIER],MATCH(,INDIRECT(ADDRESS(ROW(NOTA[ID]),COLUMN(NOTA[ID]))&amp;":"&amp;ADDRESS(ROW(),COLUMN(NOTA[ID]))),-1)))</f>
        <v/>
      </c>
      <c r="AI973" s="42" t="str">
        <f ca="1">IF(NOTA[[#This Row],[ID_H]]="","",IF(NOTA[[#This Row],[FAKTUR]]="",INDIRECT(ADDRESS(ROW()-1,COLUMN())),NOTA[[#This Row],[FAKTUR]]))</f>
        <v/>
      </c>
      <c r="AJ973" s="39" t="str">
        <f ca="1">IF(NOTA[[#This Row],[ID]]="","",COUNTIF(NOTA[ID_H],NOTA[[#This Row],[ID_H]]))</f>
        <v/>
      </c>
      <c r="AK973" s="39" t="str">
        <f ca="1">IF(NOTA[[#This Row],[TGL.NOTA]]="",IF(NOTA[[#This Row],[SUPPLIER_H]]="","",AK972),MONTH(NOTA[[#This Row],[TGL.NOTA]]))</f>
        <v/>
      </c>
      <c r="AL973" s="39" t="str">
        <f>LOWER(SUBSTITUTE(SUBSTITUTE(SUBSTITUTE(SUBSTITUTE(SUBSTITUTE(SUBSTITUTE(SUBSTITUTE(SUBSTITUTE(SUBSTITUTE(NOTA[NAMA BARANG]," ",),".",""),"-",""),"(",""),")",""),",",""),"/",""),"""",""),"+",""))</f>
        <v/>
      </c>
      <c r="AM9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39" t="str">
        <f>IF(NOTA[[#This Row],[CONCAT4]]="","",_xlfn.IFNA(MATCH(NOTA[[#This Row],[CONCAT4]],[2]!RAW[CONCAT_H],0),FALSE))</f>
        <v/>
      </c>
      <c r="AQ973" s="39" t="str">
        <f>IF(NOTA[[#This Row],[CONCAT1]]="","",MATCH(NOTA[[#This Row],[CONCAT1]],[3]!db[NB NOTA_C],0))</f>
        <v/>
      </c>
      <c r="AR973" s="39" t="str">
        <f>IF(NOTA[[#This Row],[QTY/ CTN]]="","",TRUE)</f>
        <v/>
      </c>
      <c r="AS973" s="39" t="str">
        <f ca="1">IF(NOTA[[#This Row],[ID_H]]="","",IF(NOTA[[#This Row],[Column3]]=TRUE,NOTA[[#This Row],[QTY/ CTN]],INDEX([3]!db[QTY/ CTN],NOTA[[#This Row],[//DB]])))</f>
        <v/>
      </c>
      <c r="AT9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3" s="39" t="str">
        <f ca="1">IF(NOTA[[#This Row],[ID_H]]="","",MATCH(NOTA[[#This Row],[NB NOTA_C_QTY]],[4]!db[NB NOTA_C_QTY+F],0))</f>
        <v/>
      </c>
      <c r="AV973" s="55" t="str">
        <f ca="1">IF(NOTA[[#This Row],[NB NOTA_C_QTY]]="","",ROW()-2)</f>
        <v/>
      </c>
    </row>
    <row r="974" spans="1:48" ht="20.100000000000001" customHeight="1" x14ac:dyDescent="0.25">
      <c r="A9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39" t="str">
        <f>IF(NOTA[[#This Row],[ID_P]]="","",MATCH(NOTA[[#This Row],[ID_P]],[1]!B_MSK[N_ID],0))</f>
        <v/>
      </c>
      <c r="D974" s="39" t="str">
        <f ca="1">IF(NOTA[[#This Row],[NAMA BARANG]]="","",INDEX(NOTA[ID],MATCH(,INDIRECT(ADDRESS(ROW(NOTA[ID]),COLUMN(NOTA[ID]))&amp;":"&amp;ADDRESS(ROW(),COLUMN(NOTA[ID]))),-1)))</f>
        <v/>
      </c>
      <c r="E974" s="47"/>
      <c r="H974" s="48"/>
      <c r="N974" s="39"/>
      <c r="Q974" s="43"/>
      <c r="R974" s="49"/>
      <c r="S974" s="50"/>
      <c r="U974" s="51"/>
      <c r="V974" s="46"/>
      <c r="W974" s="51" t="str">
        <f>IF(NOTA[[#This Row],[HARGA/ CTN]]="",NOTA[[#This Row],[JUMLAH_H]],NOTA[[#This Row],[HARGA/ CTN]]*IF(NOTA[[#This Row],[C]]="",0,NOTA[[#This Row],[C]]))</f>
        <v/>
      </c>
      <c r="X974" s="51" t="str">
        <f>IF(NOTA[[#This Row],[JUMLAH]]="","",NOTA[[#This Row],[JUMLAH]]*NOTA[[#This Row],[DISC 1]])</f>
        <v/>
      </c>
      <c r="Y974" s="51" t="str">
        <f>IF(NOTA[[#This Row],[JUMLAH]]="","",(NOTA[[#This Row],[JUMLAH]]-NOTA[[#This Row],[DISC 1-]])*NOTA[[#This Row],[DISC 2]])</f>
        <v/>
      </c>
      <c r="Z974" s="51" t="str">
        <f>IF(NOTA[[#This Row],[JUMLAH]]="","",NOTA[[#This Row],[DISC 1-]]+NOTA[[#This Row],[DISC 2-]])</f>
        <v/>
      </c>
      <c r="AA974" s="51" t="str">
        <f>IF(NOTA[[#This Row],[JUMLAH]]="","",NOTA[[#This Row],[JUMLAH]]-NOTA[[#This Row],[DISC]])</f>
        <v/>
      </c>
      <c r="AB974" s="51"/>
      <c r="AC9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4" s="51" t="str">
        <f>IF(OR(NOTA[[#This Row],[QTY]]="",NOTA[[#This Row],[HARGA SATUAN]]="",),"",NOTA[[#This Row],[QTY]]*NOTA[[#This Row],[HARGA SATUAN]])</f>
        <v/>
      </c>
      <c r="AG974" s="40" t="str">
        <f ca="1">IF(NOTA[ID_H]="","",INDEX(NOTA[TANGGAL],MATCH(,INDIRECT(ADDRESS(ROW(NOTA[TANGGAL]),COLUMN(NOTA[TANGGAL]))&amp;":"&amp;ADDRESS(ROW(),COLUMN(NOTA[TANGGAL]))),-1)))</f>
        <v/>
      </c>
      <c r="AH974" s="42" t="str">
        <f ca="1">IF(NOTA[[#This Row],[NAMA BARANG]]="","",INDEX(NOTA[SUPPLIER],MATCH(,INDIRECT(ADDRESS(ROW(NOTA[ID]),COLUMN(NOTA[ID]))&amp;":"&amp;ADDRESS(ROW(),COLUMN(NOTA[ID]))),-1)))</f>
        <v/>
      </c>
      <c r="AI974" s="42" t="str">
        <f ca="1">IF(NOTA[[#This Row],[ID_H]]="","",IF(NOTA[[#This Row],[FAKTUR]]="",INDIRECT(ADDRESS(ROW()-1,COLUMN())),NOTA[[#This Row],[FAKTUR]]))</f>
        <v/>
      </c>
      <c r="AJ974" s="39" t="str">
        <f ca="1">IF(NOTA[[#This Row],[ID]]="","",COUNTIF(NOTA[ID_H],NOTA[[#This Row],[ID_H]]))</f>
        <v/>
      </c>
      <c r="AK974" s="39" t="str">
        <f ca="1">IF(NOTA[[#This Row],[TGL.NOTA]]="",IF(NOTA[[#This Row],[SUPPLIER_H]]="","",AK973),MONTH(NOTA[[#This Row],[TGL.NOTA]]))</f>
        <v/>
      </c>
      <c r="AL974" s="39" t="str">
        <f>LOWER(SUBSTITUTE(SUBSTITUTE(SUBSTITUTE(SUBSTITUTE(SUBSTITUTE(SUBSTITUTE(SUBSTITUTE(SUBSTITUTE(SUBSTITUTE(NOTA[NAMA BARANG]," ",),".",""),"-",""),"(",""),")",""),",",""),"/",""),"""",""),"+",""))</f>
        <v/>
      </c>
      <c r="AM9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39" t="str">
        <f>IF(NOTA[[#This Row],[CONCAT4]]="","",_xlfn.IFNA(MATCH(NOTA[[#This Row],[CONCAT4]],[2]!RAW[CONCAT_H],0),FALSE))</f>
        <v/>
      </c>
      <c r="AQ974" s="39" t="str">
        <f>IF(NOTA[[#This Row],[CONCAT1]]="","",MATCH(NOTA[[#This Row],[CONCAT1]],[3]!db[NB NOTA_C],0))</f>
        <v/>
      </c>
      <c r="AR974" s="39" t="str">
        <f>IF(NOTA[[#This Row],[QTY/ CTN]]="","",TRUE)</f>
        <v/>
      </c>
      <c r="AS974" s="39" t="str">
        <f ca="1">IF(NOTA[[#This Row],[ID_H]]="","",IF(NOTA[[#This Row],[Column3]]=TRUE,NOTA[[#This Row],[QTY/ CTN]],INDEX([3]!db[QTY/ CTN],NOTA[[#This Row],[//DB]])))</f>
        <v/>
      </c>
      <c r="AT9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4" s="39" t="str">
        <f ca="1">IF(NOTA[[#This Row],[ID_H]]="","",MATCH(NOTA[[#This Row],[NB NOTA_C_QTY]],[4]!db[NB NOTA_C_QTY+F],0))</f>
        <v/>
      </c>
      <c r="AV974" s="55" t="str">
        <f ca="1">IF(NOTA[[#This Row],[NB NOTA_C_QTY]]="","",ROW()-2)</f>
        <v/>
      </c>
    </row>
    <row r="975" spans="1:48" ht="20.100000000000001" customHeight="1" x14ac:dyDescent="0.25">
      <c r="A9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39" t="str">
        <f>IF(NOTA[[#This Row],[ID_P]]="","",MATCH(NOTA[[#This Row],[ID_P]],[1]!B_MSK[N_ID],0))</f>
        <v/>
      </c>
      <c r="D975" s="39" t="str">
        <f ca="1">IF(NOTA[[#This Row],[NAMA BARANG]]="","",INDEX(NOTA[ID],MATCH(,INDIRECT(ADDRESS(ROW(NOTA[ID]),COLUMN(NOTA[ID]))&amp;":"&amp;ADDRESS(ROW(),COLUMN(NOTA[ID]))),-1)))</f>
        <v/>
      </c>
      <c r="E975" s="47"/>
      <c r="H975" s="48"/>
      <c r="N975" s="39"/>
      <c r="Q975" s="43"/>
      <c r="R975" s="49"/>
      <c r="S975" s="50"/>
      <c r="U975" s="51"/>
      <c r="V975" s="46"/>
      <c r="W975" s="51" t="str">
        <f>IF(NOTA[[#This Row],[HARGA/ CTN]]="",NOTA[[#This Row],[JUMLAH_H]],NOTA[[#This Row],[HARGA/ CTN]]*IF(NOTA[[#This Row],[C]]="",0,NOTA[[#This Row],[C]]))</f>
        <v/>
      </c>
      <c r="X975" s="51" t="str">
        <f>IF(NOTA[[#This Row],[JUMLAH]]="","",NOTA[[#This Row],[JUMLAH]]*NOTA[[#This Row],[DISC 1]])</f>
        <v/>
      </c>
      <c r="Y975" s="51" t="str">
        <f>IF(NOTA[[#This Row],[JUMLAH]]="","",(NOTA[[#This Row],[JUMLAH]]-NOTA[[#This Row],[DISC 1-]])*NOTA[[#This Row],[DISC 2]])</f>
        <v/>
      </c>
      <c r="Z975" s="51" t="str">
        <f>IF(NOTA[[#This Row],[JUMLAH]]="","",NOTA[[#This Row],[DISC 1-]]+NOTA[[#This Row],[DISC 2-]])</f>
        <v/>
      </c>
      <c r="AA975" s="51" t="str">
        <f>IF(NOTA[[#This Row],[JUMLAH]]="","",NOTA[[#This Row],[JUMLAH]]-NOTA[[#This Row],[DISC]])</f>
        <v/>
      </c>
      <c r="AB975" s="51"/>
      <c r="AC9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51" t="str">
        <f>IF(OR(NOTA[[#This Row],[QTY]]="",NOTA[[#This Row],[HARGA SATUAN]]="",),"",NOTA[[#This Row],[QTY]]*NOTA[[#This Row],[HARGA SATUAN]])</f>
        <v/>
      </c>
      <c r="AG975" s="40" t="str">
        <f ca="1">IF(NOTA[ID_H]="","",INDEX(NOTA[TANGGAL],MATCH(,INDIRECT(ADDRESS(ROW(NOTA[TANGGAL]),COLUMN(NOTA[TANGGAL]))&amp;":"&amp;ADDRESS(ROW(),COLUMN(NOTA[TANGGAL]))),-1)))</f>
        <v/>
      </c>
      <c r="AH975" s="42" t="str">
        <f ca="1">IF(NOTA[[#This Row],[NAMA BARANG]]="","",INDEX(NOTA[SUPPLIER],MATCH(,INDIRECT(ADDRESS(ROW(NOTA[ID]),COLUMN(NOTA[ID]))&amp;":"&amp;ADDRESS(ROW(),COLUMN(NOTA[ID]))),-1)))</f>
        <v/>
      </c>
      <c r="AI975" s="42" t="str">
        <f ca="1">IF(NOTA[[#This Row],[ID_H]]="","",IF(NOTA[[#This Row],[FAKTUR]]="",INDIRECT(ADDRESS(ROW()-1,COLUMN())),NOTA[[#This Row],[FAKTUR]]))</f>
        <v/>
      </c>
      <c r="AJ975" s="39" t="str">
        <f ca="1">IF(NOTA[[#This Row],[ID]]="","",COUNTIF(NOTA[ID_H],NOTA[[#This Row],[ID_H]]))</f>
        <v/>
      </c>
      <c r="AK975" s="39" t="str">
        <f ca="1">IF(NOTA[[#This Row],[TGL.NOTA]]="",IF(NOTA[[#This Row],[SUPPLIER_H]]="","",AK974),MONTH(NOTA[[#This Row],[TGL.NOTA]]))</f>
        <v/>
      </c>
      <c r="AL975" s="39" t="str">
        <f>LOWER(SUBSTITUTE(SUBSTITUTE(SUBSTITUTE(SUBSTITUTE(SUBSTITUTE(SUBSTITUTE(SUBSTITUTE(SUBSTITUTE(SUBSTITUTE(NOTA[NAMA BARANG]," ",),".",""),"-",""),"(",""),")",""),",",""),"/",""),"""",""),"+",""))</f>
        <v/>
      </c>
      <c r="AM9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39" t="str">
        <f>IF(NOTA[[#This Row],[CONCAT4]]="","",_xlfn.IFNA(MATCH(NOTA[[#This Row],[CONCAT4]],[2]!RAW[CONCAT_H],0),FALSE))</f>
        <v/>
      </c>
      <c r="AQ975" s="39" t="str">
        <f>IF(NOTA[[#This Row],[CONCAT1]]="","",MATCH(NOTA[[#This Row],[CONCAT1]],[3]!db[NB NOTA_C],0))</f>
        <v/>
      </c>
      <c r="AR975" s="39" t="str">
        <f>IF(NOTA[[#This Row],[QTY/ CTN]]="","",TRUE)</f>
        <v/>
      </c>
      <c r="AS975" s="39" t="str">
        <f ca="1">IF(NOTA[[#This Row],[ID_H]]="","",IF(NOTA[[#This Row],[Column3]]=TRUE,NOTA[[#This Row],[QTY/ CTN]],INDEX([3]!db[QTY/ CTN],NOTA[[#This Row],[//DB]])))</f>
        <v/>
      </c>
      <c r="AT9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5" s="39" t="str">
        <f ca="1">IF(NOTA[[#This Row],[ID_H]]="","",MATCH(NOTA[[#This Row],[NB NOTA_C_QTY]],[4]!db[NB NOTA_C_QTY+F],0))</f>
        <v/>
      </c>
      <c r="AV975" s="55" t="str">
        <f ca="1">IF(NOTA[[#This Row],[NB NOTA_C_QTY]]="","",ROW()-2)</f>
        <v/>
      </c>
    </row>
    <row r="976" spans="1:48" ht="20.100000000000001" customHeight="1" x14ac:dyDescent="0.25">
      <c r="A9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39" t="str">
        <f>IF(NOTA[[#This Row],[ID_P]]="","",MATCH(NOTA[[#This Row],[ID_P]],[1]!B_MSK[N_ID],0))</f>
        <v/>
      </c>
      <c r="D976" s="39" t="str">
        <f ca="1">IF(NOTA[[#This Row],[NAMA BARANG]]="","",INDEX(NOTA[ID],MATCH(,INDIRECT(ADDRESS(ROW(NOTA[ID]),COLUMN(NOTA[ID]))&amp;":"&amp;ADDRESS(ROW(),COLUMN(NOTA[ID]))),-1)))</f>
        <v/>
      </c>
      <c r="E976" s="47"/>
      <c r="H976" s="48"/>
      <c r="N976" s="39"/>
      <c r="Q976" s="43"/>
      <c r="R976" s="49"/>
      <c r="S976" s="50"/>
      <c r="U976" s="51"/>
      <c r="V976" s="46"/>
      <c r="W976" s="51" t="str">
        <f>IF(NOTA[[#This Row],[HARGA/ CTN]]="",NOTA[[#This Row],[JUMLAH_H]],NOTA[[#This Row],[HARGA/ CTN]]*IF(NOTA[[#This Row],[C]]="",0,NOTA[[#This Row],[C]]))</f>
        <v/>
      </c>
      <c r="X976" s="51" t="str">
        <f>IF(NOTA[[#This Row],[JUMLAH]]="","",NOTA[[#This Row],[JUMLAH]]*NOTA[[#This Row],[DISC 1]])</f>
        <v/>
      </c>
      <c r="Y976" s="51" t="str">
        <f>IF(NOTA[[#This Row],[JUMLAH]]="","",(NOTA[[#This Row],[JUMLAH]]-NOTA[[#This Row],[DISC 1-]])*NOTA[[#This Row],[DISC 2]])</f>
        <v/>
      </c>
      <c r="Z976" s="51" t="str">
        <f>IF(NOTA[[#This Row],[JUMLAH]]="","",NOTA[[#This Row],[DISC 1-]]+NOTA[[#This Row],[DISC 2-]])</f>
        <v/>
      </c>
      <c r="AA976" s="51" t="str">
        <f>IF(NOTA[[#This Row],[JUMLAH]]="","",NOTA[[#This Row],[JUMLAH]]-NOTA[[#This Row],[DISC]])</f>
        <v/>
      </c>
      <c r="AB976" s="51"/>
      <c r="AC9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6" s="51" t="str">
        <f>IF(OR(NOTA[[#This Row],[QTY]]="",NOTA[[#This Row],[HARGA SATUAN]]="",),"",NOTA[[#This Row],[QTY]]*NOTA[[#This Row],[HARGA SATUAN]])</f>
        <v/>
      </c>
      <c r="AG976" s="40" t="str">
        <f ca="1">IF(NOTA[ID_H]="","",INDEX(NOTA[TANGGAL],MATCH(,INDIRECT(ADDRESS(ROW(NOTA[TANGGAL]),COLUMN(NOTA[TANGGAL]))&amp;":"&amp;ADDRESS(ROW(),COLUMN(NOTA[TANGGAL]))),-1)))</f>
        <v/>
      </c>
      <c r="AH976" s="42" t="str">
        <f ca="1">IF(NOTA[[#This Row],[NAMA BARANG]]="","",INDEX(NOTA[SUPPLIER],MATCH(,INDIRECT(ADDRESS(ROW(NOTA[ID]),COLUMN(NOTA[ID]))&amp;":"&amp;ADDRESS(ROW(),COLUMN(NOTA[ID]))),-1)))</f>
        <v/>
      </c>
      <c r="AI976" s="42" t="str">
        <f ca="1">IF(NOTA[[#This Row],[ID_H]]="","",IF(NOTA[[#This Row],[FAKTUR]]="",INDIRECT(ADDRESS(ROW()-1,COLUMN())),NOTA[[#This Row],[FAKTUR]]))</f>
        <v/>
      </c>
      <c r="AJ976" s="39" t="str">
        <f ca="1">IF(NOTA[[#This Row],[ID]]="","",COUNTIF(NOTA[ID_H],NOTA[[#This Row],[ID_H]]))</f>
        <v/>
      </c>
      <c r="AK976" s="39" t="str">
        <f ca="1">IF(NOTA[[#This Row],[TGL.NOTA]]="",IF(NOTA[[#This Row],[SUPPLIER_H]]="","",AK975),MONTH(NOTA[[#This Row],[TGL.NOTA]]))</f>
        <v/>
      </c>
      <c r="AL976" s="39" t="str">
        <f>LOWER(SUBSTITUTE(SUBSTITUTE(SUBSTITUTE(SUBSTITUTE(SUBSTITUTE(SUBSTITUTE(SUBSTITUTE(SUBSTITUTE(SUBSTITUTE(NOTA[NAMA BARANG]," ",),".",""),"-",""),"(",""),")",""),",",""),"/",""),"""",""),"+",""))</f>
        <v/>
      </c>
      <c r="AM9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6" s="39" t="str">
        <f>IF(NOTA[[#This Row],[CONCAT4]]="","",_xlfn.IFNA(MATCH(NOTA[[#This Row],[CONCAT4]],[2]!RAW[CONCAT_H],0),FALSE))</f>
        <v/>
      </c>
      <c r="AQ976" s="39" t="str">
        <f>IF(NOTA[[#This Row],[CONCAT1]]="","",MATCH(NOTA[[#This Row],[CONCAT1]],[3]!db[NB NOTA_C],0))</f>
        <v/>
      </c>
      <c r="AR976" s="39" t="str">
        <f>IF(NOTA[[#This Row],[QTY/ CTN]]="","",TRUE)</f>
        <v/>
      </c>
      <c r="AS976" s="39" t="str">
        <f ca="1">IF(NOTA[[#This Row],[ID_H]]="","",IF(NOTA[[#This Row],[Column3]]=TRUE,NOTA[[#This Row],[QTY/ CTN]],INDEX([3]!db[QTY/ CTN],NOTA[[#This Row],[//DB]])))</f>
        <v/>
      </c>
      <c r="AT9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6" s="39" t="str">
        <f ca="1">IF(NOTA[[#This Row],[ID_H]]="","",MATCH(NOTA[[#This Row],[NB NOTA_C_QTY]],[4]!db[NB NOTA_C_QTY+F],0))</f>
        <v/>
      </c>
      <c r="AV976" s="55" t="str">
        <f ca="1">IF(NOTA[[#This Row],[NB NOTA_C_QTY]]="","",ROW()-2)</f>
        <v/>
      </c>
    </row>
    <row r="977" spans="1:48" ht="20.100000000000001" customHeight="1" x14ac:dyDescent="0.25">
      <c r="A9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39" t="str">
        <f>IF(NOTA[[#This Row],[ID_P]]="","",MATCH(NOTA[[#This Row],[ID_P]],[1]!B_MSK[N_ID],0))</f>
        <v/>
      </c>
      <c r="D977" s="39" t="str">
        <f ca="1">IF(NOTA[[#This Row],[NAMA BARANG]]="","",INDEX(NOTA[ID],MATCH(,INDIRECT(ADDRESS(ROW(NOTA[ID]),COLUMN(NOTA[ID]))&amp;":"&amp;ADDRESS(ROW(),COLUMN(NOTA[ID]))),-1)))</f>
        <v/>
      </c>
      <c r="E977" s="47"/>
      <c r="H977" s="48"/>
      <c r="N977" s="39"/>
      <c r="Q977" s="43"/>
      <c r="R977" s="49"/>
      <c r="S977" s="50"/>
      <c r="U977" s="51"/>
      <c r="V977" s="46"/>
      <c r="W977" s="51" t="str">
        <f>IF(NOTA[[#This Row],[HARGA/ CTN]]="",NOTA[[#This Row],[JUMLAH_H]],NOTA[[#This Row],[HARGA/ CTN]]*IF(NOTA[[#This Row],[C]]="",0,NOTA[[#This Row],[C]]))</f>
        <v/>
      </c>
      <c r="X977" s="51" t="str">
        <f>IF(NOTA[[#This Row],[JUMLAH]]="","",NOTA[[#This Row],[JUMLAH]]*NOTA[[#This Row],[DISC 1]])</f>
        <v/>
      </c>
      <c r="Y977" s="51" t="str">
        <f>IF(NOTA[[#This Row],[JUMLAH]]="","",(NOTA[[#This Row],[JUMLAH]]-NOTA[[#This Row],[DISC 1-]])*NOTA[[#This Row],[DISC 2]])</f>
        <v/>
      </c>
      <c r="Z977" s="51" t="str">
        <f>IF(NOTA[[#This Row],[JUMLAH]]="","",NOTA[[#This Row],[DISC 1-]]+NOTA[[#This Row],[DISC 2-]])</f>
        <v/>
      </c>
      <c r="AA977" s="51" t="str">
        <f>IF(NOTA[[#This Row],[JUMLAH]]="","",NOTA[[#This Row],[JUMLAH]]-NOTA[[#This Row],[DISC]])</f>
        <v/>
      </c>
      <c r="AB977" s="51"/>
      <c r="AC9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7" s="51" t="str">
        <f>IF(OR(NOTA[[#This Row],[QTY]]="",NOTA[[#This Row],[HARGA SATUAN]]="",),"",NOTA[[#This Row],[QTY]]*NOTA[[#This Row],[HARGA SATUAN]])</f>
        <v/>
      </c>
      <c r="AG977" s="40" t="str">
        <f ca="1">IF(NOTA[ID_H]="","",INDEX(NOTA[TANGGAL],MATCH(,INDIRECT(ADDRESS(ROW(NOTA[TANGGAL]),COLUMN(NOTA[TANGGAL]))&amp;":"&amp;ADDRESS(ROW(),COLUMN(NOTA[TANGGAL]))),-1)))</f>
        <v/>
      </c>
      <c r="AH977" s="42" t="str">
        <f ca="1">IF(NOTA[[#This Row],[NAMA BARANG]]="","",INDEX(NOTA[SUPPLIER],MATCH(,INDIRECT(ADDRESS(ROW(NOTA[ID]),COLUMN(NOTA[ID]))&amp;":"&amp;ADDRESS(ROW(),COLUMN(NOTA[ID]))),-1)))</f>
        <v/>
      </c>
      <c r="AI977" s="42" t="str">
        <f ca="1">IF(NOTA[[#This Row],[ID_H]]="","",IF(NOTA[[#This Row],[FAKTUR]]="",INDIRECT(ADDRESS(ROW()-1,COLUMN())),NOTA[[#This Row],[FAKTUR]]))</f>
        <v/>
      </c>
      <c r="AJ977" s="39" t="str">
        <f ca="1">IF(NOTA[[#This Row],[ID]]="","",COUNTIF(NOTA[ID_H],NOTA[[#This Row],[ID_H]]))</f>
        <v/>
      </c>
      <c r="AK977" s="39" t="str">
        <f ca="1">IF(NOTA[[#This Row],[TGL.NOTA]]="",IF(NOTA[[#This Row],[SUPPLIER_H]]="","",AK976),MONTH(NOTA[[#This Row],[TGL.NOTA]]))</f>
        <v/>
      </c>
      <c r="AL977" s="39" t="str">
        <f>LOWER(SUBSTITUTE(SUBSTITUTE(SUBSTITUTE(SUBSTITUTE(SUBSTITUTE(SUBSTITUTE(SUBSTITUTE(SUBSTITUTE(SUBSTITUTE(NOTA[NAMA BARANG]," ",),".",""),"-",""),"(",""),")",""),",",""),"/",""),"""",""),"+",""))</f>
        <v/>
      </c>
      <c r="AM9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39" t="str">
        <f>IF(NOTA[[#This Row],[CONCAT4]]="","",_xlfn.IFNA(MATCH(NOTA[[#This Row],[CONCAT4]],[2]!RAW[CONCAT_H],0),FALSE))</f>
        <v/>
      </c>
      <c r="AQ977" s="39" t="str">
        <f>IF(NOTA[[#This Row],[CONCAT1]]="","",MATCH(NOTA[[#This Row],[CONCAT1]],[3]!db[NB NOTA_C],0))</f>
        <v/>
      </c>
      <c r="AR977" s="39" t="str">
        <f>IF(NOTA[[#This Row],[QTY/ CTN]]="","",TRUE)</f>
        <v/>
      </c>
      <c r="AS977" s="39" t="str">
        <f ca="1">IF(NOTA[[#This Row],[ID_H]]="","",IF(NOTA[[#This Row],[Column3]]=TRUE,NOTA[[#This Row],[QTY/ CTN]],INDEX([3]!db[QTY/ CTN],NOTA[[#This Row],[//DB]])))</f>
        <v/>
      </c>
      <c r="AT9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7" s="39" t="str">
        <f ca="1">IF(NOTA[[#This Row],[ID_H]]="","",MATCH(NOTA[[#This Row],[NB NOTA_C_QTY]],[4]!db[NB NOTA_C_QTY+F],0))</f>
        <v/>
      </c>
      <c r="AV977" s="55" t="str">
        <f ca="1">IF(NOTA[[#This Row],[NB NOTA_C_QTY]]="","",ROW()-2)</f>
        <v/>
      </c>
    </row>
    <row r="978" spans="1:48" ht="20.100000000000001" customHeight="1" x14ac:dyDescent="0.25">
      <c r="A9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39" t="str">
        <f>IF(NOTA[[#This Row],[ID_P]]="","",MATCH(NOTA[[#This Row],[ID_P]],[1]!B_MSK[N_ID],0))</f>
        <v/>
      </c>
      <c r="D978" s="39" t="str">
        <f ca="1">IF(NOTA[[#This Row],[NAMA BARANG]]="","",INDEX(NOTA[ID],MATCH(,INDIRECT(ADDRESS(ROW(NOTA[ID]),COLUMN(NOTA[ID]))&amp;":"&amp;ADDRESS(ROW(),COLUMN(NOTA[ID]))),-1)))</f>
        <v/>
      </c>
      <c r="E978" s="47"/>
      <c r="H978" s="48"/>
      <c r="N978" s="39"/>
      <c r="Q978" s="43"/>
      <c r="R978" s="49"/>
      <c r="S978" s="50"/>
      <c r="U978" s="51"/>
      <c r="V978" s="46"/>
      <c r="W978" s="51" t="str">
        <f>IF(NOTA[[#This Row],[HARGA/ CTN]]="",NOTA[[#This Row],[JUMLAH_H]],NOTA[[#This Row],[HARGA/ CTN]]*IF(NOTA[[#This Row],[C]]="",0,NOTA[[#This Row],[C]]))</f>
        <v/>
      </c>
      <c r="X978" s="51" t="str">
        <f>IF(NOTA[[#This Row],[JUMLAH]]="","",NOTA[[#This Row],[JUMLAH]]*NOTA[[#This Row],[DISC 1]])</f>
        <v/>
      </c>
      <c r="Y978" s="51" t="str">
        <f>IF(NOTA[[#This Row],[JUMLAH]]="","",(NOTA[[#This Row],[JUMLAH]]-NOTA[[#This Row],[DISC 1-]])*NOTA[[#This Row],[DISC 2]])</f>
        <v/>
      </c>
      <c r="Z978" s="51" t="str">
        <f>IF(NOTA[[#This Row],[JUMLAH]]="","",NOTA[[#This Row],[DISC 1-]]+NOTA[[#This Row],[DISC 2-]])</f>
        <v/>
      </c>
      <c r="AA978" s="51" t="str">
        <f>IF(NOTA[[#This Row],[JUMLAH]]="","",NOTA[[#This Row],[JUMLAH]]-NOTA[[#This Row],[DISC]])</f>
        <v/>
      </c>
      <c r="AB978" s="51"/>
      <c r="AC9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8" s="51" t="str">
        <f>IF(OR(NOTA[[#This Row],[QTY]]="",NOTA[[#This Row],[HARGA SATUAN]]="",),"",NOTA[[#This Row],[QTY]]*NOTA[[#This Row],[HARGA SATUAN]])</f>
        <v/>
      </c>
      <c r="AG978" s="40" t="str">
        <f ca="1">IF(NOTA[ID_H]="","",INDEX(NOTA[TANGGAL],MATCH(,INDIRECT(ADDRESS(ROW(NOTA[TANGGAL]),COLUMN(NOTA[TANGGAL]))&amp;":"&amp;ADDRESS(ROW(),COLUMN(NOTA[TANGGAL]))),-1)))</f>
        <v/>
      </c>
      <c r="AH978" s="42" t="str">
        <f ca="1">IF(NOTA[[#This Row],[NAMA BARANG]]="","",INDEX(NOTA[SUPPLIER],MATCH(,INDIRECT(ADDRESS(ROW(NOTA[ID]),COLUMN(NOTA[ID]))&amp;":"&amp;ADDRESS(ROW(),COLUMN(NOTA[ID]))),-1)))</f>
        <v/>
      </c>
      <c r="AI978" s="42" t="str">
        <f ca="1">IF(NOTA[[#This Row],[ID_H]]="","",IF(NOTA[[#This Row],[FAKTUR]]="",INDIRECT(ADDRESS(ROW()-1,COLUMN())),NOTA[[#This Row],[FAKTUR]]))</f>
        <v/>
      </c>
      <c r="AJ978" s="39" t="str">
        <f ca="1">IF(NOTA[[#This Row],[ID]]="","",COUNTIF(NOTA[ID_H],NOTA[[#This Row],[ID_H]]))</f>
        <v/>
      </c>
      <c r="AK978" s="39" t="str">
        <f ca="1">IF(NOTA[[#This Row],[TGL.NOTA]]="",IF(NOTA[[#This Row],[SUPPLIER_H]]="","",AK977),MONTH(NOTA[[#This Row],[TGL.NOTA]]))</f>
        <v/>
      </c>
      <c r="AL978" s="39" t="str">
        <f>LOWER(SUBSTITUTE(SUBSTITUTE(SUBSTITUTE(SUBSTITUTE(SUBSTITUTE(SUBSTITUTE(SUBSTITUTE(SUBSTITUTE(SUBSTITUTE(NOTA[NAMA BARANG]," ",),".",""),"-",""),"(",""),")",""),",",""),"/",""),"""",""),"+",""))</f>
        <v/>
      </c>
      <c r="AM9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39" t="str">
        <f>IF(NOTA[[#This Row],[CONCAT4]]="","",_xlfn.IFNA(MATCH(NOTA[[#This Row],[CONCAT4]],[2]!RAW[CONCAT_H],0),FALSE))</f>
        <v/>
      </c>
      <c r="AQ978" s="39" t="str">
        <f>IF(NOTA[[#This Row],[CONCAT1]]="","",MATCH(NOTA[[#This Row],[CONCAT1]],[3]!db[NB NOTA_C],0))</f>
        <v/>
      </c>
      <c r="AR978" s="39" t="str">
        <f>IF(NOTA[[#This Row],[QTY/ CTN]]="","",TRUE)</f>
        <v/>
      </c>
      <c r="AS978" s="39" t="str">
        <f ca="1">IF(NOTA[[#This Row],[ID_H]]="","",IF(NOTA[[#This Row],[Column3]]=TRUE,NOTA[[#This Row],[QTY/ CTN]],INDEX([3]!db[QTY/ CTN],NOTA[[#This Row],[//DB]])))</f>
        <v/>
      </c>
      <c r="AT9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8" s="39" t="str">
        <f ca="1">IF(NOTA[[#This Row],[ID_H]]="","",MATCH(NOTA[[#This Row],[NB NOTA_C_QTY]],[4]!db[NB NOTA_C_QTY+F],0))</f>
        <v/>
      </c>
      <c r="AV978" s="55" t="str">
        <f ca="1">IF(NOTA[[#This Row],[NB NOTA_C_QTY]]="","",ROW()-2)</f>
        <v/>
      </c>
    </row>
    <row r="979" spans="1:48" ht="20.100000000000001" customHeight="1" x14ac:dyDescent="0.25">
      <c r="A9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39" t="str">
        <f>IF(NOTA[[#This Row],[ID_P]]="","",MATCH(NOTA[[#This Row],[ID_P]],[1]!B_MSK[N_ID],0))</f>
        <v/>
      </c>
      <c r="D979" s="39" t="str">
        <f ca="1">IF(NOTA[[#This Row],[NAMA BARANG]]="","",INDEX(NOTA[ID],MATCH(,INDIRECT(ADDRESS(ROW(NOTA[ID]),COLUMN(NOTA[ID]))&amp;":"&amp;ADDRESS(ROW(),COLUMN(NOTA[ID]))),-1)))</f>
        <v/>
      </c>
      <c r="E979" s="47"/>
      <c r="H979" s="48"/>
      <c r="N979" s="39"/>
      <c r="Q979" s="43"/>
      <c r="R979" s="49"/>
      <c r="S979" s="50"/>
      <c r="U979" s="51"/>
      <c r="V979" s="46"/>
      <c r="W979" s="51" t="str">
        <f>IF(NOTA[[#This Row],[HARGA/ CTN]]="",NOTA[[#This Row],[JUMLAH_H]],NOTA[[#This Row],[HARGA/ CTN]]*IF(NOTA[[#This Row],[C]]="",0,NOTA[[#This Row],[C]]))</f>
        <v/>
      </c>
      <c r="X979" s="51" t="str">
        <f>IF(NOTA[[#This Row],[JUMLAH]]="","",NOTA[[#This Row],[JUMLAH]]*NOTA[[#This Row],[DISC 1]])</f>
        <v/>
      </c>
      <c r="Y979" s="51" t="str">
        <f>IF(NOTA[[#This Row],[JUMLAH]]="","",(NOTA[[#This Row],[JUMLAH]]-NOTA[[#This Row],[DISC 1-]])*NOTA[[#This Row],[DISC 2]])</f>
        <v/>
      </c>
      <c r="Z979" s="51" t="str">
        <f>IF(NOTA[[#This Row],[JUMLAH]]="","",NOTA[[#This Row],[DISC 1-]]+NOTA[[#This Row],[DISC 2-]])</f>
        <v/>
      </c>
      <c r="AA979" s="51" t="str">
        <f>IF(NOTA[[#This Row],[JUMLAH]]="","",NOTA[[#This Row],[JUMLAH]]-NOTA[[#This Row],[DISC]])</f>
        <v/>
      </c>
      <c r="AB979" s="51"/>
      <c r="AC9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9" s="51" t="str">
        <f>IF(OR(NOTA[[#This Row],[QTY]]="",NOTA[[#This Row],[HARGA SATUAN]]="",),"",NOTA[[#This Row],[QTY]]*NOTA[[#This Row],[HARGA SATUAN]])</f>
        <v/>
      </c>
      <c r="AG979" s="40" t="str">
        <f ca="1">IF(NOTA[ID_H]="","",INDEX(NOTA[TANGGAL],MATCH(,INDIRECT(ADDRESS(ROW(NOTA[TANGGAL]),COLUMN(NOTA[TANGGAL]))&amp;":"&amp;ADDRESS(ROW(),COLUMN(NOTA[TANGGAL]))),-1)))</f>
        <v/>
      </c>
      <c r="AH979" s="42" t="str">
        <f ca="1">IF(NOTA[[#This Row],[NAMA BARANG]]="","",INDEX(NOTA[SUPPLIER],MATCH(,INDIRECT(ADDRESS(ROW(NOTA[ID]),COLUMN(NOTA[ID]))&amp;":"&amp;ADDRESS(ROW(),COLUMN(NOTA[ID]))),-1)))</f>
        <v/>
      </c>
      <c r="AI979" s="42" t="str">
        <f ca="1">IF(NOTA[[#This Row],[ID_H]]="","",IF(NOTA[[#This Row],[FAKTUR]]="",INDIRECT(ADDRESS(ROW()-1,COLUMN())),NOTA[[#This Row],[FAKTUR]]))</f>
        <v/>
      </c>
      <c r="AJ979" s="39" t="str">
        <f ca="1">IF(NOTA[[#This Row],[ID]]="","",COUNTIF(NOTA[ID_H],NOTA[[#This Row],[ID_H]]))</f>
        <v/>
      </c>
      <c r="AK979" s="39" t="str">
        <f ca="1">IF(NOTA[[#This Row],[TGL.NOTA]]="",IF(NOTA[[#This Row],[SUPPLIER_H]]="","",AK978),MONTH(NOTA[[#This Row],[TGL.NOTA]]))</f>
        <v/>
      </c>
      <c r="AL979" s="39" t="str">
        <f>LOWER(SUBSTITUTE(SUBSTITUTE(SUBSTITUTE(SUBSTITUTE(SUBSTITUTE(SUBSTITUTE(SUBSTITUTE(SUBSTITUTE(SUBSTITUTE(NOTA[NAMA BARANG]," ",),".",""),"-",""),"(",""),")",""),",",""),"/",""),"""",""),"+",""))</f>
        <v/>
      </c>
      <c r="AM9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39" t="str">
        <f>IF(NOTA[[#This Row],[CONCAT4]]="","",_xlfn.IFNA(MATCH(NOTA[[#This Row],[CONCAT4]],[2]!RAW[CONCAT_H],0),FALSE))</f>
        <v/>
      </c>
      <c r="AQ979" s="39" t="str">
        <f>IF(NOTA[[#This Row],[CONCAT1]]="","",MATCH(NOTA[[#This Row],[CONCAT1]],[3]!db[NB NOTA_C],0))</f>
        <v/>
      </c>
      <c r="AR979" s="39" t="str">
        <f>IF(NOTA[[#This Row],[QTY/ CTN]]="","",TRUE)</f>
        <v/>
      </c>
      <c r="AS979" s="39" t="str">
        <f ca="1">IF(NOTA[[#This Row],[ID_H]]="","",IF(NOTA[[#This Row],[Column3]]=TRUE,NOTA[[#This Row],[QTY/ CTN]],INDEX([3]!db[QTY/ CTN],NOTA[[#This Row],[//DB]])))</f>
        <v/>
      </c>
      <c r="AT9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9" s="39" t="str">
        <f ca="1">IF(NOTA[[#This Row],[ID_H]]="","",MATCH(NOTA[[#This Row],[NB NOTA_C_QTY]],[4]!db[NB NOTA_C_QTY+F],0))</f>
        <v/>
      </c>
      <c r="AV979" s="55" t="str">
        <f ca="1">IF(NOTA[[#This Row],[NB NOTA_C_QTY]]="","",ROW()-2)</f>
        <v/>
      </c>
    </row>
    <row r="980" spans="1:48" ht="20.100000000000001" customHeight="1" x14ac:dyDescent="0.25">
      <c r="A9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39" t="str">
        <f>IF(NOTA[[#This Row],[ID_P]]="","",MATCH(NOTA[[#This Row],[ID_P]],[1]!B_MSK[N_ID],0))</f>
        <v/>
      </c>
      <c r="D980" s="39" t="str">
        <f ca="1">IF(NOTA[[#This Row],[NAMA BARANG]]="","",INDEX(NOTA[ID],MATCH(,INDIRECT(ADDRESS(ROW(NOTA[ID]),COLUMN(NOTA[ID]))&amp;":"&amp;ADDRESS(ROW(),COLUMN(NOTA[ID]))),-1)))</f>
        <v/>
      </c>
      <c r="E980" s="47"/>
      <c r="H980" s="48"/>
      <c r="N980" s="39"/>
      <c r="Q980" s="43"/>
      <c r="R980" s="49"/>
      <c r="S980" s="50"/>
      <c r="U980" s="51"/>
      <c r="V980" s="46"/>
      <c r="W980" s="51" t="str">
        <f>IF(NOTA[[#This Row],[HARGA/ CTN]]="",NOTA[[#This Row],[JUMLAH_H]],NOTA[[#This Row],[HARGA/ CTN]]*IF(NOTA[[#This Row],[C]]="",0,NOTA[[#This Row],[C]]))</f>
        <v/>
      </c>
      <c r="X980" s="51" t="str">
        <f>IF(NOTA[[#This Row],[JUMLAH]]="","",NOTA[[#This Row],[JUMLAH]]*NOTA[[#This Row],[DISC 1]])</f>
        <v/>
      </c>
      <c r="Y980" s="51" t="str">
        <f>IF(NOTA[[#This Row],[JUMLAH]]="","",(NOTA[[#This Row],[JUMLAH]]-NOTA[[#This Row],[DISC 1-]])*NOTA[[#This Row],[DISC 2]])</f>
        <v/>
      </c>
      <c r="Z980" s="51" t="str">
        <f>IF(NOTA[[#This Row],[JUMLAH]]="","",NOTA[[#This Row],[DISC 1-]]+NOTA[[#This Row],[DISC 2-]])</f>
        <v/>
      </c>
      <c r="AA980" s="51" t="str">
        <f>IF(NOTA[[#This Row],[JUMLAH]]="","",NOTA[[#This Row],[JUMLAH]]-NOTA[[#This Row],[DISC]])</f>
        <v/>
      </c>
      <c r="AB980" s="51"/>
      <c r="AC9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0" s="51" t="str">
        <f>IF(OR(NOTA[[#This Row],[QTY]]="",NOTA[[#This Row],[HARGA SATUAN]]="",),"",NOTA[[#This Row],[QTY]]*NOTA[[#This Row],[HARGA SATUAN]])</f>
        <v/>
      </c>
      <c r="AG980" s="40" t="str">
        <f ca="1">IF(NOTA[ID_H]="","",INDEX(NOTA[TANGGAL],MATCH(,INDIRECT(ADDRESS(ROW(NOTA[TANGGAL]),COLUMN(NOTA[TANGGAL]))&amp;":"&amp;ADDRESS(ROW(),COLUMN(NOTA[TANGGAL]))),-1)))</f>
        <v/>
      </c>
      <c r="AH980" s="42" t="str">
        <f ca="1">IF(NOTA[[#This Row],[NAMA BARANG]]="","",INDEX(NOTA[SUPPLIER],MATCH(,INDIRECT(ADDRESS(ROW(NOTA[ID]),COLUMN(NOTA[ID]))&amp;":"&amp;ADDRESS(ROW(),COLUMN(NOTA[ID]))),-1)))</f>
        <v/>
      </c>
      <c r="AI980" s="42" t="str">
        <f ca="1">IF(NOTA[[#This Row],[ID_H]]="","",IF(NOTA[[#This Row],[FAKTUR]]="",INDIRECT(ADDRESS(ROW()-1,COLUMN())),NOTA[[#This Row],[FAKTUR]]))</f>
        <v/>
      </c>
      <c r="AJ980" s="39" t="str">
        <f ca="1">IF(NOTA[[#This Row],[ID]]="","",COUNTIF(NOTA[ID_H],NOTA[[#This Row],[ID_H]]))</f>
        <v/>
      </c>
      <c r="AK980" s="39" t="str">
        <f ca="1">IF(NOTA[[#This Row],[TGL.NOTA]]="",IF(NOTA[[#This Row],[SUPPLIER_H]]="","",AK979),MONTH(NOTA[[#This Row],[TGL.NOTA]]))</f>
        <v/>
      </c>
      <c r="AL980" s="39" t="str">
        <f>LOWER(SUBSTITUTE(SUBSTITUTE(SUBSTITUTE(SUBSTITUTE(SUBSTITUTE(SUBSTITUTE(SUBSTITUTE(SUBSTITUTE(SUBSTITUTE(NOTA[NAMA BARANG]," ",),".",""),"-",""),"(",""),")",""),",",""),"/",""),"""",""),"+",""))</f>
        <v/>
      </c>
      <c r="AM9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39" t="str">
        <f>IF(NOTA[[#This Row],[CONCAT4]]="","",_xlfn.IFNA(MATCH(NOTA[[#This Row],[CONCAT4]],[2]!RAW[CONCAT_H],0),FALSE))</f>
        <v/>
      </c>
      <c r="AQ980" s="39" t="str">
        <f>IF(NOTA[[#This Row],[CONCAT1]]="","",MATCH(NOTA[[#This Row],[CONCAT1]],[3]!db[NB NOTA_C],0))</f>
        <v/>
      </c>
      <c r="AR980" s="39" t="str">
        <f>IF(NOTA[[#This Row],[QTY/ CTN]]="","",TRUE)</f>
        <v/>
      </c>
      <c r="AS980" s="39" t="str">
        <f ca="1">IF(NOTA[[#This Row],[ID_H]]="","",IF(NOTA[[#This Row],[Column3]]=TRUE,NOTA[[#This Row],[QTY/ CTN]],INDEX([3]!db[QTY/ CTN],NOTA[[#This Row],[//DB]])))</f>
        <v/>
      </c>
      <c r="AT9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0" s="39" t="str">
        <f ca="1">IF(NOTA[[#This Row],[ID_H]]="","",MATCH(NOTA[[#This Row],[NB NOTA_C_QTY]],[4]!db[NB NOTA_C_QTY+F],0))</f>
        <v/>
      </c>
      <c r="AV980" s="55" t="str">
        <f ca="1">IF(NOTA[[#This Row],[NB NOTA_C_QTY]]="","",ROW()-2)</f>
        <v/>
      </c>
    </row>
    <row r="981" spans="1:48" ht="20.100000000000001" customHeight="1" x14ac:dyDescent="0.25">
      <c r="A9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39" t="str">
        <f>IF(NOTA[[#This Row],[ID_P]]="","",MATCH(NOTA[[#This Row],[ID_P]],[1]!B_MSK[N_ID],0))</f>
        <v/>
      </c>
      <c r="D981" s="39" t="str">
        <f ca="1">IF(NOTA[[#This Row],[NAMA BARANG]]="","",INDEX(NOTA[ID],MATCH(,INDIRECT(ADDRESS(ROW(NOTA[ID]),COLUMN(NOTA[ID]))&amp;":"&amp;ADDRESS(ROW(),COLUMN(NOTA[ID]))),-1)))</f>
        <v/>
      </c>
      <c r="E981" s="47"/>
      <c r="H981" s="48"/>
      <c r="N981" s="39"/>
      <c r="Q981" s="43"/>
      <c r="R981" s="49"/>
      <c r="S981" s="50"/>
      <c r="U981" s="51"/>
      <c r="V981" s="46"/>
      <c r="W981" s="51" t="str">
        <f>IF(NOTA[[#This Row],[HARGA/ CTN]]="",NOTA[[#This Row],[JUMLAH_H]],NOTA[[#This Row],[HARGA/ CTN]]*IF(NOTA[[#This Row],[C]]="",0,NOTA[[#This Row],[C]]))</f>
        <v/>
      </c>
      <c r="X981" s="51" t="str">
        <f>IF(NOTA[[#This Row],[JUMLAH]]="","",NOTA[[#This Row],[JUMLAH]]*NOTA[[#This Row],[DISC 1]])</f>
        <v/>
      </c>
      <c r="Y981" s="51" t="str">
        <f>IF(NOTA[[#This Row],[JUMLAH]]="","",(NOTA[[#This Row],[JUMLAH]]-NOTA[[#This Row],[DISC 1-]])*NOTA[[#This Row],[DISC 2]])</f>
        <v/>
      </c>
      <c r="Z981" s="51" t="str">
        <f>IF(NOTA[[#This Row],[JUMLAH]]="","",NOTA[[#This Row],[DISC 1-]]+NOTA[[#This Row],[DISC 2-]])</f>
        <v/>
      </c>
      <c r="AA981" s="51" t="str">
        <f>IF(NOTA[[#This Row],[JUMLAH]]="","",NOTA[[#This Row],[JUMLAH]]-NOTA[[#This Row],[DISC]])</f>
        <v/>
      </c>
      <c r="AB981" s="51"/>
      <c r="AC9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1" s="51" t="str">
        <f>IF(OR(NOTA[[#This Row],[QTY]]="",NOTA[[#This Row],[HARGA SATUAN]]="",),"",NOTA[[#This Row],[QTY]]*NOTA[[#This Row],[HARGA SATUAN]])</f>
        <v/>
      </c>
      <c r="AG981" s="40" t="str">
        <f ca="1">IF(NOTA[ID_H]="","",INDEX(NOTA[TANGGAL],MATCH(,INDIRECT(ADDRESS(ROW(NOTA[TANGGAL]),COLUMN(NOTA[TANGGAL]))&amp;":"&amp;ADDRESS(ROW(),COLUMN(NOTA[TANGGAL]))),-1)))</f>
        <v/>
      </c>
      <c r="AH981" s="42" t="str">
        <f ca="1">IF(NOTA[[#This Row],[NAMA BARANG]]="","",INDEX(NOTA[SUPPLIER],MATCH(,INDIRECT(ADDRESS(ROW(NOTA[ID]),COLUMN(NOTA[ID]))&amp;":"&amp;ADDRESS(ROW(),COLUMN(NOTA[ID]))),-1)))</f>
        <v/>
      </c>
      <c r="AI981" s="42" t="str">
        <f ca="1">IF(NOTA[[#This Row],[ID_H]]="","",IF(NOTA[[#This Row],[FAKTUR]]="",INDIRECT(ADDRESS(ROW()-1,COLUMN())),NOTA[[#This Row],[FAKTUR]]))</f>
        <v/>
      </c>
      <c r="AJ981" s="39" t="str">
        <f ca="1">IF(NOTA[[#This Row],[ID]]="","",COUNTIF(NOTA[ID_H],NOTA[[#This Row],[ID_H]]))</f>
        <v/>
      </c>
      <c r="AK981" s="39" t="str">
        <f ca="1">IF(NOTA[[#This Row],[TGL.NOTA]]="",IF(NOTA[[#This Row],[SUPPLIER_H]]="","",AK980),MONTH(NOTA[[#This Row],[TGL.NOTA]]))</f>
        <v/>
      </c>
      <c r="AL981" s="39" t="str">
        <f>LOWER(SUBSTITUTE(SUBSTITUTE(SUBSTITUTE(SUBSTITUTE(SUBSTITUTE(SUBSTITUTE(SUBSTITUTE(SUBSTITUTE(SUBSTITUTE(NOTA[NAMA BARANG]," ",),".",""),"-",""),"(",""),")",""),",",""),"/",""),"""",""),"+",""))</f>
        <v/>
      </c>
      <c r="AM9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39" t="str">
        <f>IF(NOTA[[#This Row],[CONCAT4]]="","",_xlfn.IFNA(MATCH(NOTA[[#This Row],[CONCAT4]],[2]!RAW[CONCAT_H],0),FALSE))</f>
        <v/>
      </c>
      <c r="AQ981" s="39" t="str">
        <f>IF(NOTA[[#This Row],[CONCAT1]]="","",MATCH(NOTA[[#This Row],[CONCAT1]],[3]!db[NB NOTA_C],0))</f>
        <v/>
      </c>
      <c r="AR981" s="39" t="str">
        <f>IF(NOTA[[#This Row],[QTY/ CTN]]="","",TRUE)</f>
        <v/>
      </c>
      <c r="AS981" s="39" t="str">
        <f ca="1">IF(NOTA[[#This Row],[ID_H]]="","",IF(NOTA[[#This Row],[Column3]]=TRUE,NOTA[[#This Row],[QTY/ CTN]],INDEX([3]!db[QTY/ CTN],NOTA[[#This Row],[//DB]])))</f>
        <v/>
      </c>
      <c r="AT9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1" s="39" t="str">
        <f ca="1">IF(NOTA[[#This Row],[ID_H]]="","",MATCH(NOTA[[#This Row],[NB NOTA_C_QTY]],[4]!db[NB NOTA_C_QTY+F],0))</f>
        <v/>
      </c>
      <c r="AV981" s="55" t="str">
        <f ca="1">IF(NOTA[[#This Row],[NB NOTA_C_QTY]]="","",ROW()-2)</f>
        <v/>
      </c>
    </row>
    <row r="982" spans="1:48" ht="20.100000000000001" customHeight="1" x14ac:dyDescent="0.25">
      <c r="A9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39" t="str">
        <f>IF(NOTA[[#This Row],[ID_P]]="","",MATCH(NOTA[[#This Row],[ID_P]],[1]!B_MSK[N_ID],0))</f>
        <v/>
      </c>
      <c r="D982" s="39" t="str">
        <f ca="1">IF(NOTA[[#This Row],[NAMA BARANG]]="","",INDEX(NOTA[ID],MATCH(,INDIRECT(ADDRESS(ROW(NOTA[ID]),COLUMN(NOTA[ID]))&amp;":"&amp;ADDRESS(ROW(),COLUMN(NOTA[ID]))),-1)))</f>
        <v/>
      </c>
      <c r="E982" s="47"/>
      <c r="H982" s="48"/>
      <c r="N982" s="39"/>
      <c r="Q982" s="43"/>
      <c r="R982" s="49"/>
      <c r="S982" s="50"/>
      <c r="U982" s="51"/>
      <c r="V982" s="46"/>
      <c r="W982" s="51" t="str">
        <f>IF(NOTA[[#This Row],[HARGA/ CTN]]="",NOTA[[#This Row],[JUMLAH_H]],NOTA[[#This Row],[HARGA/ CTN]]*IF(NOTA[[#This Row],[C]]="",0,NOTA[[#This Row],[C]]))</f>
        <v/>
      </c>
      <c r="X982" s="51" t="str">
        <f>IF(NOTA[[#This Row],[JUMLAH]]="","",NOTA[[#This Row],[JUMLAH]]*NOTA[[#This Row],[DISC 1]])</f>
        <v/>
      </c>
      <c r="Y982" s="51" t="str">
        <f>IF(NOTA[[#This Row],[JUMLAH]]="","",(NOTA[[#This Row],[JUMLAH]]-NOTA[[#This Row],[DISC 1-]])*NOTA[[#This Row],[DISC 2]])</f>
        <v/>
      </c>
      <c r="Z982" s="51" t="str">
        <f>IF(NOTA[[#This Row],[JUMLAH]]="","",NOTA[[#This Row],[DISC 1-]]+NOTA[[#This Row],[DISC 2-]])</f>
        <v/>
      </c>
      <c r="AA982" s="51" t="str">
        <f>IF(NOTA[[#This Row],[JUMLAH]]="","",NOTA[[#This Row],[JUMLAH]]-NOTA[[#This Row],[DISC]])</f>
        <v/>
      </c>
      <c r="AB982" s="51"/>
      <c r="AC9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2" s="51" t="str">
        <f>IF(OR(NOTA[[#This Row],[QTY]]="",NOTA[[#This Row],[HARGA SATUAN]]="",),"",NOTA[[#This Row],[QTY]]*NOTA[[#This Row],[HARGA SATUAN]])</f>
        <v/>
      </c>
      <c r="AG982" s="40" t="str">
        <f ca="1">IF(NOTA[ID_H]="","",INDEX(NOTA[TANGGAL],MATCH(,INDIRECT(ADDRESS(ROW(NOTA[TANGGAL]),COLUMN(NOTA[TANGGAL]))&amp;":"&amp;ADDRESS(ROW(),COLUMN(NOTA[TANGGAL]))),-1)))</f>
        <v/>
      </c>
      <c r="AH982" s="42" t="str">
        <f ca="1">IF(NOTA[[#This Row],[NAMA BARANG]]="","",INDEX(NOTA[SUPPLIER],MATCH(,INDIRECT(ADDRESS(ROW(NOTA[ID]),COLUMN(NOTA[ID]))&amp;":"&amp;ADDRESS(ROW(),COLUMN(NOTA[ID]))),-1)))</f>
        <v/>
      </c>
      <c r="AI982" s="42" t="str">
        <f ca="1">IF(NOTA[[#This Row],[ID_H]]="","",IF(NOTA[[#This Row],[FAKTUR]]="",INDIRECT(ADDRESS(ROW()-1,COLUMN())),NOTA[[#This Row],[FAKTUR]]))</f>
        <v/>
      </c>
      <c r="AJ982" s="39" t="str">
        <f ca="1">IF(NOTA[[#This Row],[ID]]="","",COUNTIF(NOTA[ID_H],NOTA[[#This Row],[ID_H]]))</f>
        <v/>
      </c>
      <c r="AK982" s="39" t="str">
        <f ca="1">IF(NOTA[[#This Row],[TGL.NOTA]]="",IF(NOTA[[#This Row],[SUPPLIER_H]]="","",AK981),MONTH(NOTA[[#This Row],[TGL.NOTA]]))</f>
        <v/>
      </c>
      <c r="AL982" s="39" t="str">
        <f>LOWER(SUBSTITUTE(SUBSTITUTE(SUBSTITUTE(SUBSTITUTE(SUBSTITUTE(SUBSTITUTE(SUBSTITUTE(SUBSTITUTE(SUBSTITUTE(NOTA[NAMA BARANG]," ",),".",""),"-",""),"(",""),")",""),",",""),"/",""),"""",""),"+",""))</f>
        <v/>
      </c>
      <c r="AM9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39" t="str">
        <f>IF(NOTA[[#This Row],[CONCAT4]]="","",_xlfn.IFNA(MATCH(NOTA[[#This Row],[CONCAT4]],[2]!RAW[CONCAT_H],0),FALSE))</f>
        <v/>
      </c>
      <c r="AQ982" s="39" t="str">
        <f>IF(NOTA[[#This Row],[CONCAT1]]="","",MATCH(NOTA[[#This Row],[CONCAT1]],[3]!db[NB NOTA_C],0))</f>
        <v/>
      </c>
      <c r="AR982" s="39" t="str">
        <f>IF(NOTA[[#This Row],[QTY/ CTN]]="","",TRUE)</f>
        <v/>
      </c>
      <c r="AS982" s="39" t="str">
        <f ca="1">IF(NOTA[[#This Row],[ID_H]]="","",IF(NOTA[[#This Row],[Column3]]=TRUE,NOTA[[#This Row],[QTY/ CTN]],INDEX([3]!db[QTY/ CTN],NOTA[[#This Row],[//DB]])))</f>
        <v/>
      </c>
      <c r="AT9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2" s="39" t="str">
        <f ca="1">IF(NOTA[[#This Row],[ID_H]]="","",MATCH(NOTA[[#This Row],[NB NOTA_C_QTY]],[4]!db[NB NOTA_C_QTY+F],0))</f>
        <v/>
      </c>
      <c r="AV982" s="55" t="str">
        <f ca="1">IF(NOTA[[#This Row],[NB NOTA_C_QTY]]="","",ROW()-2)</f>
        <v/>
      </c>
    </row>
    <row r="983" spans="1:48" ht="20.100000000000001" customHeight="1" x14ac:dyDescent="0.25">
      <c r="A9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39" t="str">
        <f>IF(NOTA[[#This Row],[ID_P]]="","",MATCH(NOTA[[#This Row],[ID_P]],[1]!B_MSK[N_ID],0))</f>
        <v/>
      </c>
      <c r="D983" s="39" t="str">
        <f ca="1">IF(NOTA[[#This Row],[NAMA BARANG]]="","",INDEX(NOTA[ID],MATCH(,INDIRECT(ADDRESS(ROW(NOTA[ID]),COLUMN(NOTA[ID]))&amp;":"&amp;ADDRESS(ROW(),COLUMN(NOTA[ID]))),-1)))</f>
        <v/>
      </c>
      <c r="E983" s="47"/>
      <c r="H983" s="48"/>
      <c r="N983" s="39"/>
      <c r="Q983" s="43"/>
      <c r="R983" s="49"/>
      <c r="S983" s="50"/>
      <c r="U983" s="51"/>
      <c r="V983" s="46"/>
      <c r="W983" s="51" t="str">
        <f>IF(NOTA[[#This Row],[HARGA/ CTN]]="",NOTA[[#This Row],[JUMLAH_H]],NOTA[[#This Row],[HARGA/ CTN]]*IF(NOTA[[#This Row],[C]]="",0,NOTA[[#This Row],[C]]))</f>
        <v/>
      </c>
      <c r="X983" s="51" t="str">
        <f>IF(NOTA[[#This Row],[JUMLAH]]="","",NOTA[[#This Row],[JUMLAH]]*NOTA[[#This Row],[DISC 1]])</f>
        <v/>
      </c>
      <c r="Y983" s="51" t="str">
        <f>IF(NOTA[[#This Row],[JUMLAH]]="","",(NOTA[[#This Row],[JUMLAH]]-NOTA[[#This Row],[DISC 1-]])*NOTA[[#This Row],[DISC 2]])</f>
        <v/>
      </c>
      <c r="Z983" s="51" t="str">
        <f>IF(NOTA[[#This Row],[JUMLAH]]="","",NOTA[[#This Row],[DISC 1-]]+NOTA[[#This Row],[DISC 2-]])</f>
        <v/>
      </c>
      <c r="AA983" s="51" t="str">
        <f>IF(NOTA[[#This Row],[JUMLAH]]="","",NOTA[[#This Row],[JUMLAH]]-NOTA[[#This Row],[DISC]])</f>
        <v/>
      </c>
      <c r="AB983" s="51"/>
      <c r="AC9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51" t="str">
        <f>IF(OR(NOTA[[#This Row],[QTY]]="",NOTA[[#This Row],[HARGA SATUAN]]="",),"",NOTA[[#This Row],[QTY]]*NOTA[[#This Row],[HARGA SATUAN]])</f>
        <v/>
      </c>
      <c r="AG983" s="40" t="str">
        <f ca="1">IF(NOTA[ID_H]="","",INDEX(NOTA[TANGGAL],MATCH(,INDIRECT(ADDRESS(ROW(NOTA[TANGGAL]),COLUMN(NOTA[TANGGAL]))&amp;":"&amp;ADDRESS(ROW(),COLUMN(NOTA[TANGGAL]))),-1)))</f>
        <v/>
      </c>
      <c r="AH983" s="42" t="str">
        <f ca="1">IF(NOTA[[#This Row],[NAMA BARANG]]="","",INDEX(NOTA[SUPPLIER],MATCH(,INDIRECT(ADDRESS(ROW(NOTA[ID]),COLUMN(NOTA[ID]))&amp;":"&amp;ADDRESS(ROW(),COLUMN(NOTA[ID]))),-1)))</f>
        <v/>
      </c>
      <c r="AI983" s="42" t="str">
        <f ca="1">IF(NOTA[[#This Row],[ID_H]]="","",IF(NOTA[[#This Row],[FAKTUR]]="",INDIRECT(ADDRESS(ROW()-1,COLUMN())),NOTA[[#This Row],[FAKTUR]]))</f>
        <v/>
      </c>
      <c r="AJ983" s="39" t="str">
        <f ca="1">IF(NOTA[[#This Row],[ID]]="","",COUNTIF(NOTA[ID_H],NOTA[[#This Row],[ID_H]]))</f>
        <v/>
      </c>
      <c r="AK983" s="39" t="str">
        <f ca="1">IF(NOTA[[#This Row],[TGL.NOTA]]="",IF(NOTA[[#This Row],[SUPPLIER_H]]="","",AK982),MONTH(NOTA[[#This Row],[TGL.NOTA]]))</f>
        <v/>
      </c>
      <c r="AL983" s="39" t="str">
        <f>LOWER(SUBSTITUTE(SUBSTITUTE(SUBSTITUTE(SUBSTITUTE(SUBSTITUTE(SUBSTITUTE(SUBSTITUTE(SUBSTITUTE(SUBSTITUTE(NOTA[NAMA BARANG]," ",),".",""),"-",""),"(",""),")",""),",",""),"/",""),"""",""),"+",""))</f>
        <v/>
      </c>
      <c r="AM9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39" t="str">
        <f>IF(NOTA[[#This Row],[CONCAT4]]="","",_xlfn.IFNA(MATCH(NOTA[[#This Row],[CONCAT4]],[2]!RAW[CONCAT_H],0),FALSE))</f>
        <v/>
      </c>
      <c r="AQ983" s="39" t="str">
        <f>IF(NOTA[[#This Row],[CONCAT1]]="","",MATCH(NOTA[[#This Row],[CONCAT1]],[3]!db[NB NOTA_C],0))</f>
        <v/>
      </c>
      <c r="AR983" s="39" t="str">
        <f>IF(NOTA[[#This Row],[QTY/ CTN]]="","",TRUE)</f>
        <v/>
      </c>
      <c r="AS983" s="39" t="str">
        <f ca="1">IF(NOTA[[#This Row],[ID_H]]="","",IF(NOTA[[#This Row],[Column3]]=TRUE,NOTA[[#This Row],[QTY/ CTN]],INDEX([3]!db[QTY/ CTN],NOTA[[#This Row],[//DB]])))</f>
        <v/>
      </c>
      <c r="AT9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3" s="39" t="str">
        <f ca="1">IF(NOTA[[#This Row],[ID_H]]="","",MATCH(NOTA[[#This Row],[NB NOTA_C_QTY]],[4]!db[NB NOTA_C_QTY+F],0))</f>
        <v/>
      </c>
      <c r="AV983" s="55" t="str">
        <f ca="1">IF(NOTA[[#This Row],[NB NOTA_C_QTY]]="","",ROW()-2)</f>
        <v/>
      </c>
    </row>
    <row r="984" spans="1:48" ht="20.100000000000001" customHeight="1" x14ac:dyDescent="0.25">
      <c r="A9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39" t="str">
        <f>IF(NOTA[[#This Row],[ID_P]]="","",MATCH(NOTA[[#This Row],[ID_P]],[1]!B_MSK[N_ID],0))</f>
        <v/>
      </c>
      <c r="D984" s="39" t="str">
        <f ca="1">IF(NOTA[[#This Row],[NAMA BARANG]]="","",INDEX(NOTA[ID],MATCH(,INDIRECT(ADDRESS(ROW(NOTA[ID]),COLUMN(NOTA[ID]))&amp;":"&amp;ADDRESS(ROW(),COLUMN(NOTA[ID]))),-1)))</f>
        <v/>
      </c>
      <c r="E984" s="47"/>
      <c r="H984" s="48"/>
      <c r="N984" s="39"/>
      <c r="Q984" s="43"/>
      <c r="R984" s="49"/>
      <c r="S984" s="50"/>
      <c r="U984" s="51"/>
      <c r="V984" s="46"/>
      <c r="W984" s="51" t="str">
        <f>IF(NOTA[[#This Row],[HARGA/ CTN]]="",NOTA[[#This Row],[JUMLAH_H]],NOTA[[#This Row],[HARGA/ CTN]]*IF(NOTA[[#This Row],[C]]="",0,NOTA[[#This Row],[C]]))</f>
        <v/>
      </c>
      <c r="X984" s="51" t="str">
        <f>IF(NOTA[[#This Row],[JUMLAH]]="","",NOTA[[#This Row],[JUMLAH]]*NOTA[[#This Row],[DISC 1]])</f>
        <v/>
      </c>
      <c r="Y984" s="51" t="str">
        <f>IF(NOTA[[#This Row],[JUMLAH]]="","",(NOTA[[#This Row],[JUMLAH]]-NOTA[[#This Row],[DISC 1-]])*NOTA[[#This Row],[DISC 2]])</f>
        <v/>
      </c>
      <c r="Z984" s="51" t="str">
        <f>IF(NOTA[[#This Row],[JUMLAH]]="","",NOTA[[#This Row],[DISC 1-]]+NOTA[[#This Row],[DISC 2-]])</f>
        <v/>
      </c>
      <c r="AA984" s="51" t="str">
        <f>IF(NOTA[[#This Row],[JUMLAH]]="","",NOTA[[#This Row],[JUMLAH]]-NOTA[[#This Row],[DISC]])</f>
        <v/>
      </c>
      <c r="AB984" s="51"/>
      <c r="AC9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4" s="51" t="str">
        <f>IF(OR(NOTA[[#This Row],[QTY]]="",NOTA[[#This Row],[HARGA SATUAN]]="",),"",NOTA[[#This Row],[QTY]]*NOTA[[#This Row],[HARGA SATUAN]])</f>
        <v/>
      </c>
      <c r="AG984" s="40" t="str">
        <f ca="1">IF(NOTA[ID_H]="","",INDEX(NOTA[TANGGAL],MATCH(,INDIRECT(ADDRESS(ROW(NOTA[TANGGAL]),COLUMN(NOTA[TANGGAL]))&amp;":"&amp;ADDRESS(ROW(),COLUMN(NOTA[TANGGAL]))),-1)))</f>
        <v/>
      </c>
      <c r="AH984" s="42" t="str">
        <f ca="1">IF(NOTA[[#This Row],[NAMA BARANG]]="","",INDEX(NOTA[SUPPLIER],MATCH(,INDIRECT(ADDRESS(ROW(NOTA[ID]),COLUMN(NOTA[ID]))&amp;":"&amp;ADDRESS(ROW(),COLUMN(NOTA[ID]))),-1)))</f>
        <v/>
      </c>
      <c r="AI984" s="42" t="str">
        <f ca="1">IF(NOTA[[#This Row],[ID_H]]="","",IF(NOTA[[#This Row],[FAKTUR]]="",INDIRECT(ADDRESS(ROW()-1,COLUMN())),NOTA[[#This Row],[FAKTUR]]))</f>
        <v/>
      </c>
      <c r="AJ984" s="39" t="str">
        <f ca="1">IF(NOTA[[#This Row],[ID]]="","",COUNTIF(NOTA[ID_H],NOTA[[#This Row],[ID_H]]))</f>
        <v/>
      </c>
      <c r="AK984" s="39" t="str">
        <f ca="1">IF(NOTA[[#This Row],[TGL.NOTA]]="",IF(NOTA[[#This Row],[SUPPLIER_H]]="","",AK983),MONTH(NOTA[[#This Row],[TGL.NOTA]]))</f>
        <v/>
      </c>
      <c r="AL984" s="39" t="str">
        <f>LOWER(SUBSTITUTE(SUBSTITUTE(SUBSTITUTE(SUBSTITUTE(SUBSTITUTE(SUBSTITUTE(SUBSTITUTE(SUBSTITUTE(SUBSTITUTE(NOTA[NAMA BARANG]," ",),".",""),"-",""),"(",""),")",""),",",""),"/",""),"""",""),"+",""))</f>
        <v/>
      </c>
      <c r="AM9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4" s="39" t="str">
        <f>IF(NOTA[[#This Row],[CONCAT4]]="","",_xlfn.IFNA(MATCH(NOTA[[#This Row],[CONCAT4]],[2]!RAW[CONCAT_H],0),FALSE))</f>
        <v/>
      </c>
      <c r="AQ984" s="39" t="str">
        <f>IF(NOTA[[#This Row],[CONCAT1]]="","",MATCH(NOTA[[#This Row],[CONCAT1]],[3]!db[NB NOTA_C],0))</f>
        <v/>
      </c>
      <c r="AR984" s="39" t="str">
        <f>IF(NOTA[[#This Row],[QTY/ CTN]]="","",TRUE)</f>
        <v/>
      </c>
      <c r="AS984" s="39" t="str">
        <f ca="1">IF(NOTA[[#This Row],[ID_H]]="","",IF(NOTA[[#This Row],[Column3]]=TRUE,NOTA[[#This Row],[QTY/ CTN]],INDEX([3]!db[QTY/ CTN],NOTA[[#This Row],[//DB]])))</f>
        <v/>
      </c>
      <c r="AT9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4" s="39" t="str">
        <f ca="1">IF(NOTA[[#This Row],[ID_H]]="","",MATCH(NOTA[[#This Row],[NB NOTA_C_QTY]],[4]!db[NB NOTA_C_QTY+F],0))</f>
        <v/>
      </c>
      <c r="AV984" s="55" t="str">
        <f ca="1">IF(NOTA[[#This Row],[NB NOTA_C_QTY]]="","",ROW()-2)</f>
        <v/>
      </c>
    </row>
    <row r="985" spans="1:48" ht="20.100000000000001" customHeight="1" x14ac:dyDescent="0.25">
      <c r="A9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39" t="str">
        <f>IF(NOTA[[#This Row],[ID_P]]="","",MATCH(NOTA[[#This Row],[ID_P]],[1]!B_MSK[N_ID],0))</f>
        <v/>
      </c>
      <c r="D985" s="39" t="str">
        <f ca="1">IF(NOTA[[#This Row],[NAMA BARANG]]="","",INDEX(NOTA[ID],MATCH(,INDIRECT(ADDRESS(ROW(NOTA[ID]),COLUMN(NOTA[ID]))&amp;":"&amp;ADDRESS(ROW(),COLUMN(NOTA[ID]))),-1)))</f>
        <v/>
      </c>
      <c r="E985" s="47"/>
      <c r="H985" s="48"/>
      <c r="N985" s="39"/>
      <c r="Q985" s="43"/>
      <c r="R985" s="49"/>
      <c r="S985" s="50"/>
      <c r="U985" s="51"/>
      <c r="V985" s="46"/>
      <c r="W985" s="51" t="str">
        <f>IF(NOTA[[#This Row],[HARGA/ CTN]]="",NOTA[[#This Row],[JUMLAH_H]],NOTA[[#This Row],[HARGA/ CTN]]*IF(NOTA[[#This Row],[C]]="",0,NOTA[[#This Row],[C]]))</f>
        <v/>
      </c>
      <c r="X985" s="51" t="str">
        <f>IF(NOTA[[#This Row],[JUMLAH]]="","",NOTA[[#This Row],[JUMLAH]]*NOTA[[#This Row],[DISC 1]])</f>
        <v/>
      </c>
      <c r="Y985" s="51" t="str">
        <f>IF(NOTA[[#This Row],[JUMLAH]]="","",(NOTA[[#This Row],[JUMLAH]]-NOTA[[#This Row],[DISC 1-]])*NOTA[[#This Row],[DISC 2]])</f>
        <v/>
      </c>
      <c r="Z985" s="51" t="str">
        <f>IF(NOTA[[#This Row],[JUMLAH]]="","",NOTA[[#This Row],[DISC 1-]]+NOTA[[#This Row],[DISC 2-]])</f>
        <v/>
      </c>
      <c r="AA985" s="51" t="str">
        <f>IF(NOTA[[#This Row],[JUMLAH]]="","",NOTA[[#This Row],[JUMLAH]]-NOTA[[#This Row],[DISC]])</f>
        <v/>
      </c>
      <c r="AB985" s="51"/>
      <c r="AC9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5" s="51" t="str">
        <f>IF(OR(NOTA[[#This Row],[QTY]]="",NOTA[[#This Row],[HARGA SATUAN]]="",),"",NOTA[[#This Row],[QTY]]*NOTA[[#This Row],[HARGA SATUAN]])</f>
        <v/>
      </c>
      <c r="AG985" s="40" t="str">
        <f ca="1">IF(NOTA[ID_H]="","",INDEX(NOTA[TANGGAL],MATCH(,INDIRECT(ADDRESS(ROW(NOTA[TANGGAL]),COLUMN(NOTA[TANGGAL]))&amp;":"&amp;ADDRESS(ROW(),COLUMN(NOTA[TANGGAL]))),-1)))</f>
        <v/>
      </c>
      <c r="AH985" s="42" t="str">
        <f ca="1">IF(NOTA[[#This Row],[NAMA BARANG]]="","",INDEX(NOTA[SUPPLIER],MATCH(,INDIRECT(ADDRESS(ROW(NOTA[ID]),COLUMN(NOTA[ID]))&amp;":"&amp;ADDRESS(ROW(),COLUMN(NOTA[ID]))),-1)))</f>
        <v/>
      </c>
      <c r="AI985" s="42" t="str">
        <f ca="1">IF(NOTA[[#This Row],[ID_H]]="","",IF(NOTA[[#This Row],[FAKTUR]]="",INDIRECT(ADDRESS(ROW()-1,COLUMN())),NOTA[[#This Row],[FAKTUR]]))</f>
        <v/>
      </c>
      <c r="AJ985" s="39" t="str">
        <f ca="1">IF(NOTA[[#This Row],[ID]]="","",COUNTIF(NOTA[ID_H],NOTA[[#This Row],[ID_H]]))</f>
        <v/>
      </c>
      <c r="AK985" s="39" t="str">
        <f ca="1">IF(NOTA[[#This Row],[TGL.NOTA]]="",IF(NOTA[[#This Row],[SUPPLIER_H]]="","",AK984),MONTH(NOTA[[#This Row],[TGL.NOTA]]))</f>
        <v/>
      </c>
      <c r="AL985" s="39" t="str">
        <f>LOWER(SUBSTITUTE(SUBSTITUTE(SUBSTITUTE(SUBSTITUTE(SUBSTITUTE(SUBSTITUTE(SUBSTITUTE(SUBSTITUTE(SUBSTITUTE(NOTA[NAMA BARANG]," ",),".",""),"-",""),"(",""),")",""),",",""),"/",""),"""",""),"+",""))</f>
        <v/>
      </c>
      <c r="AM9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39" t="str">
        <f>IF(NOTA[[#This Row],[CONCAT4]]="","",_xlfn.IFNA(MATCH(NOTA[[#This Row],[CONCAT4]],[2]!RAW[CONCAT_H],0),FALSE))</f>
        <v/>
      </c>
      <c r="AQ985" s="39" t="str">
        <f>IF(NOTA[[#This Row],[CONCAT1]]="","",MATCH(NOTA[[#This Row],[CONCAT1]],[3]!db[NB NOTA_C],0))</f>
        <v/>
      </c>
      <c r="AR985" s="39" t="str">
        <f>IF(NOTA[[#This Row],[QTY/ CTN]]="","",TRUE)</f>
        <v/>
      </c>
      <c r="AS985" s="39" t="str">
        <f ca="1">IF(NOTA[[#This Row],[ID_H]]="","",IF(NOTA[[#This Row],[Column3]]=TRUE,NOTA[[#This Row],[QTY/ CTN]],INDEX([3]!db[QTY/ CTN],NOTA[[#This Row],[//DB]])))</f>
        <v/>
      </c>
      <c r="AT9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5" s="39" t="str">
        <f ca="1">IF(NOTA[[#This Row],[ID_H]]="","",MATCH(NOTA[[#This Row],[NB NOTA_C_QTY]],[4]!db[NB NOTA_C_QTY+F],0))</f>
        <v/>
      </c>
      <c r="AV985" s="55" t="str">
        <f ca="1">IF(NOTA[[#This Row],[NB NOTA_C_QTY]]="","",ROW()-2)</f>
        <v/>
      </c>
    </row>
    <row r="986" spans="1:48" ht="20.100000000000001" customHeight="1" x14ac:dyDescent="0.25">
      <c r="A9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39" t="str">
        <f>IF(NOTA[[#This Row],[ID_P]]="","",MATCH(NOTA[[#This Row],[ID_P]],[1]!B_MSK[N_ID],0))</f>
        <v/>
      </c>
      <c r="D986" s="39" t="str">
        <f ca="1">IF(NOTA[[#This Row],[NAMA BARANG]]="","",INDEX(NOTA[ID],MATCH(,INDIRECT(ADDRESS(ROW(NOTA[ID]),COLUMN(NOTA[ID]))&amp;":"&amp;ADDRESS(ROW(),COLUMN(NOTA[ID]))),-1)))</f>
        <v/>
      </c>
      <c r="E986" s="47"/>
      <c r="H986" s="48"/>
      <c r="N986" s="39"/>
      <c r="Q986" s="43"/>
      <c r="R986" s="49"/>
      <c r="S986" s="50"/>
      <c r="U986" s="51"/>
      <c r="V986" s="46"/>
      <c r="W986" s="51" t="str">
        <f>IF(NOTA[[#This Row],[HARGA/ CTN]]="",NOTA[[#This Row],[JUMLAH_H]],NOTA[[#This Row],[HARGA/ CTN]]*IF(NOTA[[#This Row],[C]]="",0,NOTA[[#This Row],[C]]))</f>
        <v/>
      </c>
      <c r="X986" s="51" t="str">
        <f>IF(NOTA[[#This Row],[JUMLAH]]="","",NOTA[[#This Row],[JUMLAH]]*NOTA[[#This Row],[DISC 1]])</f>
        <v/>
      </c>
      <c r="Y986" s="51" t="str">
        <f>IF(NOTA[[#This Row],[JUMLAH]]="","",(NOTA[[#This Row],[JUMLAH]]-NOTA[[#This Row],[DISC 1-]])*NOTA[[#This Row],[DISC 2]])</f>
        <v/>
      </c>
      <c r="Z986" s="51" t="str">
        <f>IF(NOTA[[#This Row],[JUMLAH]]="","",NOTA[[#This Row],[DISC 1-]]+NOTA[[#This Row],[DISC 2-]])</f>
        <v/>
      </c>
      <c r="AA986" s="51" t="str">
        <f>IF(NOTA[[#This Row],[JUMLAH]]="","",NOTA[[#This Row],[JUMLAH]]-NOTA[[#This Row],[DISC]])</f>
        <v/>
      </c>
      <c r="AB986" s="51"/>
      <c r="AC9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6" s="51" t="str">
        <f>IF(OR(NOTA[[#This Row],[QTY]]="",NOTA[[#This Row],[HARGA SATUAN]]="",),"",NOTA[[#This Row],[QTY]]*NOTA[[#This Row],[HARGA SATUAN]])</f>
        <v/>
      </c>
      <c r="AG986" s="40" t="str">
        <f ca="1">IF(NOTA[ID_H]="","",INDEX(NOTA[TANGGAL],MATCH(,INDIRECT(ADDRESS(ROW(NOTA[TANGGAL]),COLUMN(NOTA[TANGGAL]))&amp;":"&amp;ADDRESS(ROW(),COLUMN(NOTA[TANGGAL]))),-1)))</f>
        <v/>
      </c>
      <c r="AH986" s="42" t="str">
        <f ca="1">IF(NOTA[[#This Row],[NAMA BARANG]]="","",INDEX(NOTA[SUPPLIER],MATCH(,INDIRECT(ADDRESS(ROW(NOTA[ID]),COLUMN(NOTA[ID]))&amp;":"&amp;ADDRESS(ROW(),COLUMN(NOTA[ID]))),-1)))</f>
        <v/>
      </c>
      <c r="AI986" s="42" t="str">
        <f ca="1">IF(NOTA[[#This Row],[ID_H]]="","",IF(NOTA[[#This Row],[FAKTUR]]="",INDIRECT(ADDRESS(ROW()-1,COLUMN())),NOTA[[#This Row],[FAKTUR]]))</f>
        <v/>
      </c>
      <c r="AJ986" s="39" t="str">
        <f ca="1">IF(NOTA[[#This Row],[ID]]="","",COUNTIF(NOTA[ID_H],NOTA[[#This Row],[ID_H]]))</f>
        <v/>
      </c>
      <c r="AK986" s="39" t="str">
        <f ca="1">IF(NOTA[[#This Row],[TGL.NOTA]]="",IF(NOTA[[#This Row],[SUPPLIER_H]]="","",AK985),MONTH(NOTA[[#This Row],[TGL.NOTA]]))</f>
        <v/>
      </c>
      <c r="AL986" s="39" t="str">
        <f>LOWER(SUBSTITUTE(SUBSTITUTE(SUBSTITUTE(SUBSTITUTE(SUBSTITUTE(SUBSTITUTE(SUBSTITUTE(SUBSTITUTE(SUBSTITUTE(NOTA[NAMA BARANG]," ",),".",""),"-",""),"(",""),")",""),",",""),"/",""),"""",""),"+",""))</f>
        <v/>
      </c>
      <c r="AM9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39" t="str">
        <f>IF(NOTA[[#This Row],[CONCAT4]]="","",_xlfn.IFNA(MATCH(NOTA[[#This Row],[CONCAT4]],[2]!RAW[CONCAT_H],0),FALSE))</f>
        <v/>
      </c>
      <c r="AQ986" s="39" t="str">
        <f>IF(NOTA[[#This Row],[CONCAT1]]="","",MATCH(NOTA[[#This Row],[CONCAT1]],[3]!db[NB NOTA_C],0))</f>
        <v/>
      </c>
      <c r="AR986" s="39" t="str">
        <f>IF(NOTA[[#This Row],[QTY/ CTN]]="","",TRUE)</f>
        <v/>
      </c>
      <c r="AS986" s="39" t="str">
        <f ca="1">IF(NOTA[[#This Row],[ID_H]]="","",IF(NOTA[[#This Row],[Column3]]=TRUE,NOTA[[#This Row],[QTY/ CTN]],INDEX([3]!db[QTY/ CTN],NOTA[[#This Row],[//DB]])))</f>
        <v/>
      </c>
      <c r="AT9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6" s="39" t="str">
        <f ca="1">IF(NOTA[[#This Row],[ID_H]]="","",MATCH(NOTA[[#This Row],[NB NOTA_C_QTY]],[4]!db[NB NOTA_C_QTY+F],0))</f>
        <v/>
      </c>
      <c r="AV986" s="55" t="str">
        <f ca="1">IF(NOTA[[#This Row],[NB NOTA_C_QTY]]="","",ROW()-2)</f>
        <v/>
      </c>
    </row>
    <row r="987" spans="1:48" ht="20.100000000000001" customHeight="1" x14ac:dyDescent="0.25">
      <c r="A9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39" t="str">
        <f>IF(NOTA[[#This Row],[ID_P]]="","",MATCH(NOTA[[#This Row],[ID_P]],[1]!B_MSK[N_ID],0))</f>
        <v/>
      </c>
      <c r="D987" s="39" t="str">
        <f ca="1">IF(NOTA[[#This Row],[NAMA BARANG]]="","",INDEX(NOTA[ID],MATCH(,INDIRECT(ADDRESS(ROW(NOTA[ID]),COLUMN(NOTA[ID]))&amp;":"&amp;ADDRESS(ROW(),COLUMN(NOTA[ID]))),-1)))</f>
        <v/>
      </c>
      <c r="E987" s="47"/>
      <c r="H987" s="48"/>
      <c r="N987" s="39"/>
      <c r="Q987" s="43"/>
      <c r="R987" s="49"/>
      <c r="S987" s="50"/>
      <c r="U987" s="51"/>
      <c r="V987" s="46"/>
      <c r="W987" s="51" t="str">
        <f>IF(NOTA[[#This Row],[HARGA/ CTN]]="",NOTA[[#This Row],[JUMLAH_H]],NOTA[[#This Row],[HARGA/ CTN]]*IF(NOTA[[#This Row],[C]]="",0,NOTA[[#This Row],[C]]))</f>
        <v/>
      </c>
      <c r="X987" s="51" t="str">
        <f>IF(NOTA[[#This Row],[JUMLAH]]="","",NOTA[[#This Row],[JUMLAH]]*NOTA[[#This Row],[DISC 1]])</f>
        <v/>
      </c>
      <c r="Y987" s="51" t="str">
        <f>IF(NOTA[[#This Row],[JUMLAH]]="","",(NOTA[[#This Row],[JUMLAH]]-NOTA[[#This Row],[DISC 1-]])*NOTA[[#This Row],[DISC 2]])</f>
        <v/>
      </c>
      <c r="Z987" s="51" t="str">
        <f>IF(NOTA[[#This Row],[JUMLAH]]="","",NOTA[[#This Row],[DISC 1-]]+NOTA[[#This Row],[DISC 2-]])</f>
        <v/>
      </c>
      <c r="AA987" s="51" t="str">
        <f>IF(NOTA[[#This Row],[JUMLAH]]="","",NOTA[[#This Row],[JUMLAH]]-NOTA[[#This Row],[DISC]])</f>
        <v/>
      </c>
      <c r="AB987" s="51"/>
      <c r="AC9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7" s="51" t="str">
        <f>IF(OR(NOTA[[#This Row],[QTY]]="",NOTA[[#This Row],[HARGA SATUAN]]="",),"",NOTA[[#This Row],[QTY]]*NOTA[[#This Row],[HARGA SATUAN]])</f>
        <v/>
      </c>
      <c r="AG987" s="40" t="str">
        <f ca="1">IF(NOTA[ID_H]="","",INDEX(NOTA[TANGGAL],MATCH(,INDIRECT(ADDRESS(ROW(NOTA[TANGGAL]),COLUMN(NOTA[TANGGAL]))&amp;":"&amp;ADDRESS(ROW(),COLUMN(NOTA[TANGGAL]))),-1)))</f>
        <v/>
      </c>
      <c r="AH987" s="42" t="str">
        <f ca="1">IF(NOTA[[#This Row],[NAMA BARANG]]="","",INDEX(NOTA[SUPPLIER],MATCH(,INDIRECT(ADDRESS(ROW(NOTA[ID]),COLUMN(NOTA[ID]))&amp;":"&amp;ADDRESS(ROW(),COLUMN(NOTA[ID]))),-1)))</f>
        <v/>
      </c>
      <c r="AI987" s="42" t="str">
        <f ca="1">IF(NOTA[[#This Row],[ID_H]]="","",IF(NOTA[[#This Row],[FAKTUR]]="",INDIRECT(ADDRESS(ROW()-1,COLUMN())),NOTA[[#This Row],[FAKTUR]]))</f>
        <v/>
      </c>
      <c r="AJ987" s="39" t="str">
        <f ca="1">IF(NOTA[[#This Row],[ID]]="","",COUNTIF(NOTA[ID_H],NOTA[[#This Row],[ID_H]]))</f>
        <v/>
      </c>
      <c r="AK987" s="39" t="str">
        <f ca="1">IF(NOTA[[#This Row],[TGL.NOTA]]="",IF(NOTA[[#This Row],[SUPPLIER_H]]="","",AK986),MONTH(NOTA[[#This Row],[TGL.NOTA]]))</f>
        <v/>
      </c>
      <c r="AL987" s="39" t="str">
        <f>LOWER(SUBSTITUTE(SUBSTITUTE(SUBSTITUTE(SUBSTITUTE(SUBSTITUTE(SUBSTITUTE(SUBSTITUTE(SUBSTITUTE(SUBSTITUTE(NOTA[NAMA BARANG]," ",),".",""),"-",""),"(",""),")",""),",",""),"/",""),"""",""),"+",""))</f>
        <v/>
      </c>
      <c r="AM9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39" t="str">
        <f>IF(NOTA[[#This Row],[CONCAT4]]="","",_xlfn.IFNA(MATCH(NOTA[[#This Row],[CONCAT4]],[2]!RAW[CONCAT_H],0),FALSE))</f>
        <v/>
      </c>
      <c r="AQ987" s="39" t="str">
        <f>IF(NOTA[[#This Row],[CONCAT1]]="","",MATCH(NOTA[[#This Row],[CONCAT1]],[3]!db[NB NOTA_C],0))</f>
        <v/>
      </c>
      <c r="AR987" s="39" t="str">
        <f>IF(NOTA[[#This Row],[QTY/ CTN]]="","",TRUE)</f>
        <v/>
      </c>
      <c r="AS987" s="39" t="str">
        <f ca="1">IF(NOTA[[#This Row],[ID_H]]="","",IF(NOTA[[#This Row],[Column3]]=TRUE,NOTA[[#This Row],[QTY/ CTN]],INDEX([3]!db[QTY/ CTN],NOTA[[#This Row],[//DB]])))</f>
        <v/>
      </c>
      <c r="AT9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7" s="39" t="str">
        <f ca="1">IF(NOTA[[#This Row],[ID_H]]="","",MATCH(NOTA[[#This Row],[NB NOTA_C_QTY]],[4]!db[NB NOTA_C_QTY+F],0))</f>
        <v/>
      </c>
      <c r="AV987" s="55" t="str">
        <f ca="1">IF(NOTA[[#This Row],[NB NOTA_C_QTY]]="","",ROW()-2)</f>
        <v/>
      </c>
    </row>
    <row r="988" spans="1:48" ht="20.100000000000001" customHeight="1" x14ac:dyDescent="0.25">
      <c r="A9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39" t="str">
        <f>IF(NOTA[[#This Row],[ID_P]]="","",MATCH(NOTA[[#This Row],[ID_P]],[1]!B_MSK[N_ID],0))</f>
        <v/>
      </c>
      <c r="D988" s="39" t="str">
        <f ca="1">IF(NOTA[[#This Row],[NAMA BARANG]]="","",INDEX(NOTA[ID],MATCH(,INDIRECT(ADDRESS(ROW(NOTA[ID]),COLUMN(NOTA[ID]))&amp;":"&amp;ADDRESS(ROW(),COLUMN(NOTA[ID]))),-1)))</f>
        <v/>
      </c>
      <c r="E988" s="47"/>
      <c r="H988" s="48"/>
      <c r="N988" s="39"/>
      <c r="Q988" s="43"/>
      <c r="R988" s="49"/>
      <c r="S988" s="50"/>
      <c r="U988" s="51"/>
      <c r="V988" s="46"/>
      <c r="W988" s="51" t="str">
        <f>IF(NOTA[[#This Row],[HARGA/ CTN]]="",NOTA[[#This Row],[JUMLAH_H]],NOTA[[#This Row],[HARGA/ CTN]]*IF(NOTA[[#This Row],[C]]="",0,NOTA[[#This Row],[C]]))</f>
        <v/>
      </c>
      <c r="X988" s="51" t="str">
        <f>IF(NOTA[[#This Row],[JUMLAH]]="","",NOTA[[#This Row],[JUMLAH]]*NOTA[[#This Row],[DISC 1]])</f>
        <v/>
      </c>
      <c r="Y988" s="51" t="str">
        <f>IF(NOTA[[#This Row],[JUMLAH]]="","",(NOTA[[#This Row],[JUMLAH]]-NOTA[[#This Row],[DISC 1-]])*NOTA[[#This Row],[DISC 2]])</f>
        <v/>
      </c>
      <c r="Z988" s="51" t="str">
        <f>IF(NOTA[[#This Row],[JUMLAH]]="","",NOTA[[#This Row],[DISC 1-]]+NOTA[[#This Row],[DISC 2-]])</f>
        <v/>
      </c>
      <c r="AA988" s="51" t="str">
        <f>IF(NOTA[[#This Row],[JUMLAH]]="","",NOTA[[#This Row],[JUMLAH]]-NOTA[[#This Row],[DISC]])</f>
        <v/>
      </c>
      <c r="AB988" s="51"/>
      <c r="AC9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8" s="51" t="str">
        <f>IF(OR(NOTA[[#This Row],[QTY]]="",NOTA[[#This Row],[HARGA SATUAN]]="",),"",NOTA[[#This Row],[QTY]]*NOTA[[#This Row],[HARGA SATUAN]])</f>
        <v/>
      </c>
      <c r="AG988" s="40" t="str">
        <f ca="1">IF(NOTA[ID_H]="","",INDEX(NOTA[TANGGAL],MATCH(,INDIRECT(ADDRESS(ROW(NOTA[TANGGAL]),COLUMN(NOTA[TANGGAL]))&amp;":"&amp;ADDRESS(ROW(),COLUMN(NOTA[TANGGAL]))),-1)))</f>
        <v/>
      </c>
      <c r="AH988" s="42" t="str">
        <f ca="1">IF(NOTA[[#This Row],[NAMA BARANG]]="","",INDEX(NOTA[SUPPLIER],MATCH(,INDIRECT(ADDRESS(ROW(NOTA[ID]),COLUMN(NOTA[ID]))&amp;":"&amp;ADDRESS(ROW(),COLUMN(NOTA[ID]))),-1)))</f>
        <v/>
      </c>
      <c r="AI988" s="42" t="str">
        <f ca="1">IF(NOTA[[#This Row],[ID_H]]="","",IF(NOTA[[#This Row],[FAKTUR]]="",INDIRECT(ADDRESS(ROW()-1,COLUMN())),NOTA[[#This Row],[FAKTUR]]))</f>
        <v/>
      </c>
      <c r="AJ988" s="39" t="str">
        <f ca="1">IF(NOTA[[#This Row],[ID]]="","",COUNTIF(NOTA[ID_H],NOTA[[#This Row],[ID_H]]))</f>
        <v/>
      </c>
      <c r="AK988" s="39" t="str">
        <f ca="1">IF(NOTA[[#This Row],[TGL.NOTA]]="",IF(NOTA[[#This Row],[SUPPLIER_H]]="","",AK987),MONTH(NOTA[[#This Row],[TGL.NOTA]]))</f>
        <v/>
      </c>
      <c r="AL988" s="39" t="str">
        <f>LOWER(SUBSTITUTE(SUBSTITUTE(SUBSTITUTE(SUBSTITUTE(SUBSTITUTE(SUBSTITUTE(SUBSTITUTE(SUBSTITUTE(SUBSTITUTE(NOTA[NAMA BARANG]," ",),".",""),"-",""),"(",""),")",""),",",""),"/",""),"""",""),"+",""))</f>
        <v/>
      </c>
      <c r="AM9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39" t="str">
        <f>IF(NOTA[[#This Row],[CONCAT4]]="","",_xlfn.IFNA(MATCH(NOTA[[#This Row],[CONCAT4]],[2]!RAW[CONCAT_H],0),FALSE))</f>
        <v/>
      </c>
      <c r="AQ988" s="39" t="str">
        <f>IF(NOTA[[#This Row],[CONCAT1]]="","",MATCH(NOTA[[#This Row],[CONCAT1]],[3]!db[NB NOTA_C],0))</f>
        <v/>
      </c>
      <c r="AR988" s="39" t="str">
        <f>IF(NOTA[[#This Row],[QTY/ CTN]]="","",TRUE)</f>
        <v/>
      </c>
      <c r="AS988" s="39" t="str">
        <f ca="1">IF(NOTA[[#This Row],[ID_H]]="","",IF(NOTA[[#This Row],[Column3]]=TRUE,NOTA[[#This Row],[QTY/ CTN]],INDEX([3]!db[QTY/ CTN],NOTA[[#This Row],[//DB]])))</f>
        <v/>
      </c>
      <c r="AT9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8" s="39" t="str">
        <f ca="1">IF(NOTA[[#This Row],[ID_H]]="","",MATCH(NOTA[[#This Row],[NB NOTA_C_QTY]],[4]!db[NB NOTA_C_QTY+F],0))</f>
        <v/>
      </c>
      <c r="AV988" s="55" t="str">
        <f ca="1">IF(NOTA[[#This Row],[NB NOTA_C_QTY]]="","",ROW()-2)</f>
        <v/>
      </c>
    </row>
    <row r="989" spans="1:48" ht="20.100000000000001" customHeight="1" x14ac:dyDescent="0.25">
      <c r="A9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39" t="str">
        <f>IF(NOTA[[#This Row],[ID_P]]="","",MATCH(NOTA[[#This Row],[ID_P]],[1]!B_MSK[N_ID],0))</f>
        <v/>
      </c>
      <c r="D989" s="39" t="str">
        <f ca="1">IF(NOTA[[#This Row],[NAMA BARANG]]="","",INDEX(NOTA[ID],MATCH(,INDIRECT(ADDRESS(ROW(NOTA[ID]),COLUMN(NOTA[ID]))&amp;":"&amp;ADDRESS(ROW(),COLUMN(NOTA[ID]))),-1)))</f>
        <v/>
      </c>
      <c r="E989" s="47"/>
      <c r="H989" s="48"/>
      <c r="N989" s="39"/>
      <c r="Q989" s="43"/>
      <c r="R989" s="49"/>
      <c r="S989" s="50"/>
      <c r="U989" s="51"/>
      <c r="V989" s="46"/>
      <c r="W989" s="51" t="str">
        <f>IF(NOTA[[#This Row],[HARGA/ CTN]]="",NOTA[[#This Row],[JUMLAH_H]],NOTA[[#This Row],[HARGA/ CTN]]*IF(NOTA[[#This Row],[C]]="",0,NOTA[[#This Row],[C]]))</f>
        <v/>
      </c>
      <c r="X989" s="51" t="str">
        <f>IF(NOTA[[#This Row],[JUMLAH]]="","",NOTA[[#This Row],[JUMLAH]]*NOTA[[#This Row],[DISC 1]])</f>
        <v/>
      </c>
      <c r="Y989" s="51" t="str">
        <f>IF(NOTA[[#This Row],[JUMLAH]]="","",(NOTA[[#This Row],[JUMLAH]]-NOTA[[#This Row],[DISC 1-]])*NOTA[[#This Row],[DISC 2]])</f>
        <v/>
      </c>
      <c r="Z989" s="51" t="str">
        <f>IF(NOTA[[#This Row],[JUMLAH]]="","",NOTA[[#This Row],[DISC 1-]]+NOTA[[#This Row],[DISC 2-]])</f>
        <v/>
      </c>
      <c r="AA989" s="51" t="str">
        <f>IF(NOTA[[#This Row],[JUMLAH]]="","",NOTA[[#This Row],[JUMLAH]]-NOTA[[#This Row],[DISC]])</f>
        <v/>
      </c>
      <c r="AB989" s="51"/>
      <c r="AC9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9" s="51" t="str">
        <f>IF(OR(NOTA[[#This Row],[QTY]]="",NOTA[[#This Row],[HARGA SATUAN]]="",),"",NOTA[[#This Row],[QTY]]*NOTA[[#This Row],[HARGA SATUAN]])</f>
        <v/>
      </c>
      <c r="AG989" s="40" t="str">
        <f ca="1">IF(NOTA[ID_H]="","",INDEX(NOTA[TANGGAL],MATCH(,INDIRECT(ADDRESS(ROW(NOTA[TANGGAL]),COLUMN(NOTA[TANGGAL]))&amp;":"&amp;ADDRESS(ROW(),COLUMN(NOTA[TANGGAL]))),-1)))</f>
        <v/>
      </c>
      <c r="AH989" s="42" t="str">
        <f ca="1">IF(NOTA[[#This Row],[NAMA BARANG]]="","",INDEX(NOTA[SUPPLIER],MATCH(,INDIRECT(ADDRESS(ROW(NOTA[ID]),COLUMN(NOTA[ID]))&amp;":"&amp;ADDRESS(ROW(),COLUMN(NOTA[ID]))),-1)))</f>
        <v/>
      </c>
      <c r="AI989" s="42" t="str">
        <f ca="1">IF(NOTA[[#This Row],[ID_H]]="","",IF(NOTA[[#This Row],[FAKTUR]]="",INDIRECT(ADDRESS(ROW()-1,COLUMN())),NOTA[[#This Row],[FAKTUR]]))</f>
        <v/>
      </c>
      <c r="AJ989" s="39" t="str">
        <f ca="1">IF(NOTA[[#This Row],[ID]]="","",COUNTIF(NOTA[ID_H],NOTA[[#This Row],[ID_H]]))</f>
        <v/>
      </c>
      <c r="AK989" s="39" t="str">
        <f ca="1">IF(NOTA[[#This Row],[TGL.NOTA]]="",IF(NOTA[[#This Row],[SUPPLIER_H]]="","",AK988),MONTH(NOTA[[#This Row],[TGL.NOTA]]))</f>
        <v/>
      </c>
      <c r="AL989" s="39" t="str">
        <f>LOWER(SUBSTITUTE(SUBSTITUTE(SUBSTITUTE(SUBSTITUTE(SUBSTITUTE(SUBSTITUTE(SUBSTITUTE(SUBSTITUTE(SUBSTITUTE(NOTA[NAMA BARANG]," ",),".",""),"-",""),"(",""),")",""),",",""),"/",""),"""",""),"+",""))</f>
        <v/>
      </c>
      <c r="AM9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39" t="str">
        <f>IF(NOTA[[#This Row],[CONCAT4]]="","",_xlfn.IFNA(MATCH(NOTA[[#This Row],[CONCAT4]],[2]!RAW[CONCAT_H],0),FALSE))</f>
        <v/>
      </c>
      <c r="AQ989" s="39" t="str">
        <f>IF(NOTA[[#This Row],[CONCAT1]]="","",MATCH(NOTA[[#This Row],[CONCAT1]],[3]!db[NB NOTA_C],0))</f>
        <v/>
      </c>
      <c r="AR989" s="39" t="str">
        <f>IF(NOTA[[#This Row],[QTY/ CTN]]="","",TRUE)</f>
        <v/>
      </c>
      <c r="AS989" s="39" t="str">
        <f ca="1">IF(NOTA[[#This Row],[ID_H]]="","",IF(NOTA[[#This Row],[Column3]]=TRUE,NOTA[[#This Row],[QTY/ CTN]],INDEX([3]!db[QTY/ CTN],NOTA[[#This Row],[//DB]])))</f>
        <v/>
      </c>
      <c r="AT9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9" s="39" t="str">
        <f ca="1">IF(NOTA[[#This Row],[ID_H]]="","",MATCH(NOTA[[#This Row],[NB NOTA_C_QTY]],[4]!db[NB NOTA_C_QTY+F],0))</f>
        <v/>
      </c>
      <c r="AV989" s="55" t="str">
        <f ca="1">IF(NOTA[[#This Row],[NB NOTA_C_QTY]]="","",ROW()-2)</f>
        <v/>
      </c>
    </row>
    <row r="990" spans="1:48" ht="20.100000000000001" customHeight="1" x14ac:dyDescent="0.25">
      <c r="A9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39" t="str">
        <f>IF(NOTA[[#This Row],[ID_P]]="","",MATCH(NOTA[[#This Row],[ID_P]],[1]!B_MSK[N_ID],0))</f>
        <v/>
      </c>
      <c r="D990" s="39" t="str">
        <f ca="1">IF(NOTA[[#This Row],[NAMA BARANG]]="","",INDEX(NOTA[ID],MATCH(,INDIRECT(ADDRESS(ROW(NOTA[ID]),COLUMN(NOTA[ID]))&amp;":"&amp;ADDRESS(ROW(),COLUMN(NOTA[ID]))),-1)))</f>
        <v/>
      </c>
      <c r="E990" s="47"/>
      <c r="H990" s="48"/>
      <c r="N990" s="39"/>
      <c r="Q990" s="43"/>
      <c r="R990" s="49"/>
      <c r="S990" s="50"/>
      <c r="U990" s="51"/>
      <c r="V990" s="46"/>
      <c r="W990" s="51" t="str">
        <f>IF(NOTA[[#This Row],[HARGA/ CTN]]="",NOTA[[#This Row],[JUMLAH_H]],NOTA[[#This Row],[HARGA/ CTN]]*IF(NOTA[[#This Row],[C]]="",0,NOTA[[#This Row],[C]]))</f>
        <v/>
      </c>
      <c r="X990" s="51" t="str">
        <f>IF(NOTA[[#This Row],[JUMLAH]]="","",NOTA[[#This Row],[JUMLAH]]*NOTA[[#This Row],[DISC 1]])</f>
        <v/>
      </c>
      <c r="Y990" s="51" t="str">
        <f>IF(NOTA[[#This Row],[JUMLAH]]="","",(NOTA[[#This Row],[JUMLAH]]-NOTA[[#This Row],[DISC 1-]])*NOTA[[#This Row],[DISC 2]])</f>
        <v/>
      </c>
      <c r="Z990" s="51" t="str">
        <f>IF(NOTA[[#This Row],[JUMLAH]]="","",NOTA[[#This Row],[DISC 1-]]+NOTA[[#This Row],[DISC 2-]])</f>
        <v/>
      </c>
      <c r="AA990" s="51" t="str">
        <f>IF(NOTA[[#This Row],[JUMLAH]]="","",NOTA[[#This Row],[JUMLAH]]-NOTA[[#This Row],[DISC]])</f>
        <v/>
      </c>
      <c r="AB990" s="51"/>
      <c r="AC9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0" s="51" t="str">
        <f>IF(OR(NOTA[[#This Row],[QTY]]="",NOTA[[#This Row],[HARGA SATUAN]]="",),"",NOTA[[#This Row],[QTY]]*NOTA[[#This Row],[HARGA SATUAN]])</f>
        <v/>
      </c>
      <c r="AG990" s="40" t="str">
        <f ca="1">IF(NOTA[ID_H]="","",INDEX(NOTA[TANGGAL],MATCH(,INDIRECT(ADDRESS(ROW(NOTA[TANGGAL]),COLUMN(NOTA[TANGGAL]))&amp;":"&amp;ADDRESS(ROW(),COLUMN(NOTA[TANGGAL]))),-1)))</f>
        <v/>
      </c>
      <c r="AH990" s="42" t="str">
        <f ca="1">IF(NOTA[[#This Row],[NAMA BARANG]]="","",INDEX(NOTA[SUPPLIER],MATCH(,INDIRECT(ADDRESS(ROW(NOTA[ID]),COLUMN(NOTA[ID]))&amp;":"&amp;ADDRESS(ROW(),COLUMN(NOTA[ID]))),-1)))</f>
        <v/>
      </c>
      <c r="AI990" s="42" t="str">
        <f ca="1">IF(NOTA[[#This Row],[ID_H]]="","",IF(NOTA[[#This Row],[FAKTUR]]="",INDIRECT(ADDRESS(ROW()-1,COLUMN())),NOTA[[#This Row],[FAKTUR]]))</f>
        <v/>
      </c>
      <c r="AJ990" s="39" t="str">
        <f ca="1">IF(NOTA[[#This Row],[ID]]="","",COUNTIF(NOTA[ID_H],NOTA[[#This Row],[ID_H]]))</f>
        <v/>
      </c>
      <c r="AK990" s="39" t="str">
        <f ca="1">IF(NOTA[[#This Row],[TGL.NOTA]]="",IF(NOTA[[#This Row],[SUPPLIER_H]]="","",AK989),MONTH(NOTA[[#This Row],[TGL.NOTA]]))</f>
        <v/>
      </c>
      <c r="AL990" s="39" t="str">
        <f>LOWER(SUBSTITUTE(SUBSTITUTE(SUBSTITUTE(SUBSTITUTE(SUBSTITUTE(SUBSTITUTE(SUBSTITUTE(SUBSTITUTE(SUBSTITUTE(NOTA[NAMA BARANG]," ",),".",""),"-",""),"(",""),")",""),",",""),"/",""),"""",""),"+",""))</f>
        <v/>
      </c>
      <c r="AM9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39" t="str">
        <f>IF(NOTA[[#This Row],[CONCAT4]]="","",_xlfn.IFNA(MATCH(NOTA[[#This Row],[CONCAT4]],[2]!RAW[CONCAT_H],0),FALSE))</f>
        <v/>
      </c>
      <c r="AQ990" s="39" t="str">
        <f>IF(NOTA[[#This Row],[CONCAT1]]="","",MATCH(NOTA[[#This Row],[CONCAT1]],[3]!db[NB NOTA_C],0))</f>
        <v/>
      </c>
      <c r="AR990" s="39" t="str">
        <f>IF(NOTA[[#This Row],[QTY/ CTN]]="","",TRUE)</f>
        <v/>
      </c>
      <c r="AS990" s="39" t="str">
        <f ca="1">IF(NOTA[[#This Row],[ID_H]]="","",IF(NOTA[[#This Row],[Column3]]=TRUE,NOTA[[#This Row],[QTY/ CTN]],INDEX([3]!db[QTY/ CTN],NOTA[[#This Row],[//DB]])))</f>
        <v/>
      </c>
      <c r="AT9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0" s="39" t="str">
        <f ca="1">IF(NOTA[[#This Row],[ID_H]]="","",MATCH(NOTA[[#This Row],[NB NOTA_C_QTY]],[4]!db[NB NOTA_C_QTY+F],0))</f>
        <v/>
      </c>
      <c r="AV990" s="55" t="str">
        <f ca="1">IF(NOTA[[#This Row],[NB NOTA_C_QTY]]="","",ROW()-2)</f>
        <v/>
      </c>
    </row>
    <row r="991" spans="1:48" ht="20.100000000000001" customHeight="1" x14ac:dyDescent="0.25">
      <c r="A9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39" t="str">
        <f>IF(NOTA[[#This Row],[ID_P]]="","",MATCH(NOTA[[#This Row],[ID_P]],[1]!B_MSK[N_ID],0))</f>
        <v/>
      </c>
      <c r="D991" s="39" t="str">
        <f ca="1">IF(NOTA[[#This Row],[NAMA BARANG]]="","",INDEX(NOTA[ID],MATCH(,INDIRECT(ADDRESS(ROW(NOTA[ID]),COLUMN(NOTA[ID]))&amp;":"&amp;ADDRESS(ROW(),COLUMN(NOTA[ID]))),-1)))</f>
        <v/>
      </c>
      <c r="E991" s="47"/>
      <c r="H991" s="48"/>
      <c r="N991" s="39"/>
      <c r="Q991" s="43"/>
      <c r="R991" s="49"/>
      <c r="S991" s="50"/>
      <c r="U991" s="51"/>
      <c r="V991" s="46"/>
      <c r="W991" s="51" t="str">
        <f>IF(NOTA[[#This Row],[HARGA/ CTN]]="",NOTA[[#This Row],[JUMLAH_H]],NOTA[[#This Row],[HARGA/ CTN]]*IF(NOTA[[#This Row],[C]]="",0,NOTA[[#This Row],[C]]))</f>
        <v/>
      </c>
      <c r="X991" s="51" t="str">
        <f>IF(NOTA[[#This Row],[JUMLAH]]="","",NOTA[[#This Row],[JUMLAH]]*NOTA[[#This Row],[DISC 1]])</f>
        <v/>
      </c>
      <c r="Y991" s="51" t="str">
        <f>IF(NOTA[[#This Row],[JUMLAH]]="","",(NOTA[[#This Row],[JUMLAH]]-NOTA[[#This Row],[DISC 1-]])*NOTA[[#This Row],[DISC 2]])</f>
        <v/>
      </c>
      <c r="Z991" s="51" t="str">
        <f>IF(NOTA[[#This Row],[JUMLAH]]="","",NOTA[[#This Row],[DISC 1-]]+NOTA[[#This Row],[DISC 2-]])</f>
        <v/>
      </c>
      <c r="AA991" s="51" t="str">
        <f>IF(NOTA[[#This Row],[JUMLAH]]="","",NOTA[[#This Row],[JUMLAH]]-NOTA[[#This Row],[DISC]])</f>
        <v/>
      </c>
      <c r="AB991" s="51"/>
      <c r="AC9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1" s="51" t="str">
        <f>IF(OR(NOTA[[#This Row],[QTY]]="",NOTA[[#This Row],[HARGA SATUAN]]="",),"",NOTA[[#This Row],[QTY]]*NOTA[[#This Row],[HARGA SATUAN]])</f>
        <v/>
      </c>
      <c r="AG991" s="40" t="str">
        <f ca="1">IF(NOTA[ID_H]="","",INDEX(NOTA[TANGGAL],MATCH(,INDIRECT(ADDRESS(ROW(NOTA[TANGGAL]),COLUMN(NOTA[TANGGAL]))&amp;":"&amp;ADDRESS(ROW(),COLUMN(NOTA[TANGGAL]))),-1)))</f>
        <v/>
      </c>
      <c r="AH991" s="42" t="str">
        <f ca="1">IF(NOTA[[#This Row],[NAMA BARANG]]="","",INDEX(NOTA[SUPPLIER],MATCH(,INDIRECT(ADDRESS(ROW(NOTA[ID]),COLUMN(NOTA[ID]))&amp;":"&amp;ADDRESS(ROW(),COLUMN(NOTA[ID]))),-1)))</f>
        <v/>
      </c>
      <c r="AI991" s="42" t="str">
        <f ca="1">IF(NOTA[[#This Row],[ID_H]]="","",IF(NOTA[[#This Row],[FAKTUR]]="",INDIRECT(ADDRESS(ROW()-1,COLUMN())),NOTA[[#This Row],[FAKTUR]]))</f>
        <v/>
      </c>
      <c r="AJ991" s="39" t="str">
        <f ca="1">IF(NOTA[[#This Row],[ID]]="","",COUNTIF(NOTA[ID_H],NOTA[[#This Row],[ID_H]]))</f>
        <v/>
      </c>
      <c r="AK991" s="39" t="str">
        <f ca="1">IF(NOTA[[#This Row],[TGL.NOTA]]="",IF(NOTA[[#This Row],[SUPPLIER_H]]="","",AK990),MONTH(NOTA[[#This Row],[TGL.NOTA]]))</f>
        <v/>
      </c>
      <c r="AL991" s="39" t="str">
        <f>LOWER(SUBSTITUTE(SUBSTITUTE(SUBSTITUTE(SUBSTITUTE(SUBSTITUTE(SUBSTITUTE(SUBSTITUTE(SUBSTITUTE(SUBSTITUTE(NOTA[NAMA BARANG]," ",),".",""),"-",""),"(",""),")",""),",",""),"/",""),"""",""),"+",""))</f>
        <v/>
      </c>
      <c r="AM9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39" t="str">
        <f>IF(NOTA[[#This Row],[CONCAT4]]="","",_xlfn.IFNA(MATCH(NOTA[[#This Row],[CONCAT4]],[2]!RAW[CONCAT_H],0),FALSE))</f>
        <v/>
      </c>
      <c r="AQ991" s="39" t="str">
        <f>IF(NOTA[[#This Row],[CONCAT1]]="","",MATCH(NOTA[[#This Row],[CONCAT1]],[3]!db[NB NOTA_C],0))</f>
        <v/>
      </c>
      <c r="AR991" s="39" t="str">
        <f>IF(NOTA[[#This Row],[QTY/ CTN]]="","",TRUE)</f>
        <v/>
      </c>
      <c r="AS991" s="39" t="str">
        <f ca="1">IF(NOTA[[#This Row],[ID_H]]="","",IF(NOTA[[#This Row],[Column3]]=TRUE,NOTA[[#This Row],[QTY/ CTN]],INDEX([3]!db[QTY/ CTN],NOTA[[#This Row],[//DB]])))</f>
        <v/>
      </c>
      <c r="AT9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1" s="39" t="str">
        <f ca="1">IF(NOTA[[#This Row],[ID_H]]="","",MATCH(NOTA[[#This Row],[NB NOTA_C_QTY]],[4]!db[NB NOTA_C_QTY+F],0))</f>
        <v/>
      </c>
      <c r="AV991" s="55" t="str">
        <f ca="1">IF(NOTA[[#This Row],[NB NOTA_C_QTY]]="","",ROW()-2)</f>
        <v/>
      </c>
    </row>
    <row r="992" spans="1:48" ht="20.100000000000001" customHeight="1" x14ac:dyDescent="0.25">
      <c r="A9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39" t="str">
        <f>IF(NOTA[[#This Row],[ID_P]]="","",MATCH(NOTA[[#This Row],[ID_P]],[1]!B_MSK[N_ID],0))</f>
        <v/>
      </c>
      <c r="D992" s="39" t="str">
        <f ca="1">IF(NOTA[[#This Row],[NAMA BARANG]]="","",INDEX(NOTA[ID],MATCH(,INDIRECT(ADDRESS(ROW(NOTA[ID]),COLUMN(NOTA[ID]))&amp;":"&amp;ADDRESS(ROW(),COLUMN(NOTA[ID]))),-1)))</f>
        <v/>
      </c>
      <c r="E992" s="47"/>
      <c r="H992" s="48"/>
      <c r="N992" s="39"/>
      <c r="Q992" s="43"/>
      <c r="R992" s="49"/>
      <c r="S992" s="50"/>
      <c r="U992" s="51"/>
      <c r="V992" s="46"/>
      <c r="W992" s="51" t="str">
        <f>IF(NOTA[[#This Row],[HARGA/ CTN]]="",NOTA[[#This Row],[JUMLAH_H]],NOTA[[#This Row],[HARGA/ CTN]]*IF(NOTA[[#This Row],[C]]="",0,NOTA[[#This Row],[C]]))</f>
        <v/>
      </c>
      <c r="X992" s="51" t="str">
        <f>IF(NOTA[[#This Row],[JUMLAH]]="","",NOTA[[#This Row],[JUMLAH]]*NOTA[[#This Row],[DISC 1]])</f>
        <v/>
      </c>
      <c r="Y992" s="51" t="str">
        <f>IF(NOTA[[#This Row],[JUMLAH]]="","",(NOTA[[#This Row],[JUMLAH]]-NOTA[[#This Row],[DISC 1-]])*NOTA[[#This Row],[DISC 2]])</f>
        <v/>
      </c>
      <c r="Z992" s="51" t="str">
        <f>IF(NOTA[[#This Row],[JUMLAH]]="","",NOTA[[#This Row],[DISC 1-]]+NOTA[[#This Row],[DISC 2-]])</f>
        <v/>
      </c>
      <c r="AA992" s="51" t="str">
        <f>IF(NOTA[[#This Row],[JUMLAH]]="","",NOTA[[#This Row],[JUMLAH]]-NOTA[[#This Row],[DISC]])</f>
        <v/>
      </c>
      <c r="AB992" s="51"/>
      <c r="AC9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2" s="51" t="str">
        <f>IF(OR(NOTA[[#This Row],[QTY]]="",NOTA[[#This Row],[HARGA SATUAN]]="",),"",NOTA[[#This Row],[QTY]]*NOTA[[#This Row],[HARGA SATUAN]])</f>
        <v/>
      </c>
      <c r="AG992" s="40" t="str">
        <f ca="1">IF(NOTA[ID_H]="","",INDEX(NOTA[TANGGAL],MATCH(,INDIRECT(ADDRESS(ROW(NOTA[TANGGAL]),COLUMN(NOTA[TANGGAL]))&amp;":"&amp;ADDRESS(ROW(),COLUMN(NOTA[TANGGAL]))),-1)))</f>
        <v/>
      </c>
      <c r="AH992" s="42" t="str">
        <f ca="1">IF(NOTA[[#This Row],[NAMA BARANG]]="","",INDEX(NOTA[SUPPLIER],MATCH(,INDIRECT(ADDRESS(ROW(NOTA[ID]),COLUMN(NOTA[ID]))&amp;":"&amp;ADDRESS(ROW(),COLUMN(NOTA[ID]))),-1)))</f>
        <v/>
      </c>
      <c r="AI992" s="42" t="str">
        <f ca="1">IF(NOTA[[#This Row],[ID_H]]="","",IF(NOTA[[#This Row],[FAKTUR]]="",INDIRECT(ADDRESS(ROW()-1,COLUMN())),NOTA[[#This Row],[FAKTUR]]))</f>
        <v/>
      </c>
      <c r="AJ992" s="39" t="str">
        <f ca="1">IF(NOTA[[#This Row],[ID]]="","",COUNTIF(NOTA[ID_H],NOTA[[#This Row],[ID_H]]))</f>
        <v/>
      </c>
      <c r="AK992" s="39" t="str">
        <f ca="1">IF(NOTA[[#This Row],[TGL.NOTA]]="",IF(NOTA[[#This Row],[SUPPLIER_H]]="","",AK991),MONTH(NOTA[[#This Row],[TGL.NOTA]]))</f>
        <v/>
      </c>
      <c r="AL992" s="39" t="str">
        <f>LOWER(SUBSTITUTE(SUBSTITUTE(SUBSTITUTE(SUBSTITUTE(SUBSTITUTE(SUBSTITUTE(SUBSTITUTE(SUBSTITUTE(SUBSTITUTE(NOTA[NAMA BARANG]," ",),".",""),"-",""),"(",""),")",""),",",""),"/",""),"""",""),"+",""))</f>
        <v/>
      </c>
      <c r="AM9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39" t="str">
        <f>IF(NOTA[[#This Row],[CONCAT4]]="","",_xlfn.IFNA(MATCH(NOTA[[#This Row],[CONCAT4]],[2]!RAW[CONCAT_H],0),FALSE))</f>
        <v/>
      </c>
      <c r="AQ992" s="39" t="str">
        <f>IF(NOTA[[#This Row],[CONCAT1]]="","",MATCH(NOTA[[#This Row],[CONCAT1]],[3]!db[NB NOTA_C],0))</f>
        <v/>
      </c>
      <c r="AR992" s="39" t="str">
        <f>IF(NOTA[[#This Row],[QTY/ CTN]]="","",TRUE)</f>
        <v/>
      </c>
      <c r="AS992" s="39" t="str">
        <f ca="1">IF(NOTA[[#This Row],[ID_H]]="","",IF(NOTA[[#This Row],[Column3]]=TRUE,NOTA[[#This Row],[QTY/ CTN]],INDEX([3]!db[QTY/ CTN],NOTA[[#This Row],[//DB]])))</f>
        <v/>
      </c>
      <c r="AT9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2" s="39" t="str">
        <f ca="1">IF(NOTA[[#This Row],[ID_H]]="","",MATCH(NOTA[[#This Row],[NB NOTA_C_QTY]],[4]!db[NB NOTA_C_QTY+F],0))</f>
        <v/>
      </c>
      <c r="AV992" s="55" t="str">
        <f ca="1">IF(NOTA[[#This Row],[NB NOTA_C_QTY]]="","",ROW()-2)</f>
        <v/>
      </c>
    </row>
    <row r="993" spans="1:48" ht="20.100000000000001" customHeight="1" x14ac:dyDescent="0.25">
      <c r="A9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39" t="str">
        <f>IF(NOTA[[#This Row],[ID_P]]="","",MATCH(NOTA[[#This Row],[ID_P]],[1]!B_MSK[N_ID],0))</f>
        <v/>
      </c>
      <c r="D993" s="39" t="str">
        <f ca="1">IF(NOTA[[#This Row],[NAMA BARANG]]="","",INDEX(NOTA[ID],MATCH(,INDIRECT(ADDRESS(ROW(NOTA[ID]),COLUMN(NOTA[ID]))&amp;":"&amp;ADDRESS(ROW(),COLUMN(NOTA[ID]))),-1)))</f>
        <v/>
      </c>
      <c r="E993" s="47"/>
      <c r="H993" s="48"/>
      <c r="N993" s="39"/>
      <c r="Q993" s="43"/>
      <c r="R993" s="49"/>
      <c r="S993" s="50"/>
      <c r="U993" s="51"/>
      <c r="V993" s="46"/>
      <c r="W993" s="51" t="str">
        <f>IF(NOTA[[#This Row],[HARGA/ CTN]]="",NOTA[[#This Row],[JUMLAH_H]],NOTA[[#This Row],[HARGA/ CTN]]*IF(NOTA[[#This Row],[C]]="",0,NOTA[[#This Row],[C]]))</f>
        <v/>
      </c>
      <c r="X993" s="51" t="str">
        <f>IF(NOTA[[#This Row],[JUMLAH]]="","",NOTA[[#This Row],[JUMLAH]]*NOTA[[#This Row],[DISC 1]])</f>
        <v/>
      </c>
      <c r="Y993" s="51" t="str">
        <f>IF(NOTA[[#This Row],[JUMLAH]]="","",(NOTA[[#This Row],[JUMLAH]]-NOTA[[#This Row],[DISC 1-]])*NOTA[[#This Row],[DISC 2]])</f>
        <v/>
      </c>
      <c r="Z993" s="51" t="str">
        <f>IF(NOTA[[#This Row],[JUMLAH]]="","",NOTA[[#This Row],[DISC 1-]]+NOTA[[#This Row],[DISC 2-]])</f>
        <v/>
      </c>
      <c r="AA993" s="51" t="str">
        <f>IF(NOTA[[#This Row],[JUMLAH]]="","",NOTA[[#This Row],[JUMLAH]]-NOTA[[#This Row],[DISC]])</f>
        <v/>
      </c>
      <c r="AB993" s="51"/>
      <c r="AC9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51" t="str">
        <f>IF(OR(NOTA[[#This Row],[QTY]]="",NOTA[[#This Row],[HARGA SATUAN]]="",),"",NOTA[[#This Row],[QTY]]*NOTA[[#This Row],[HARGA SATUAN]])</f>
        <v/>
      </c>
      <c r="AG993" s="40" t="str">
        <f ca="1">IF(NOTA[ID_H]="","",INDEX(NOTA[TANGGAL],MATCH(,INDIRECT(ADDRESS(ROW(NOTA[TANGGAL]),COLUMN(NOTA[TANGGAL]))&amp;":"&amp;ADDRESS(ROW(),COLUMN(NOTA[TANGGAL]))),-1)))</f>
        <v/>
      </c>
      <c r="AH993" s="42" t="str">
        <f ca="1">IF(NOTA[[#This Row],[NAMA BARANG]]="","",INDEX(NOTA[SUPPLIER],MATCH(,INDIRECT(ADDRESS(ROW(NOTA[ID]),COLUMN(NOTA[ID]))&amp;":"&amp;ADDRESS(ROW(),COLUMN(NOTA[ID]))),-1)))</f>
        <v/>
      </c>
      <c r="AI993" s="42" t="str">
        <f ca="1">IF(NOTA[[#This Row],[ID_H]]="","",IF(NOTA[[#This Row],[FAKTUR]]="",INDIRECT(ADDRESS(ROW()-1,COLUMN())),NOTA[[#This Row],[FAKTUR]]))</f>
        <v/>
      </c>
      <c r="AJ993" s="39" t="str">
        <f ca="1">IF(NOTA[[#This Row],[ID]]="","",COUNTIF(NOTA[ID_H],NOTA[[#This Row],[ID_H]]))</f>
        <v/>
      </c>
      <c r="AK993" s="39" t="str">
        <f ca="1">IF(NOTA[[#This Row],[TGL.NOTA]]="",IF(NOTA[[#This Row],[SUPPLIER_H]]="","",AK992),MONTH(NOTA[[#This Row],[TGL.NOTA]]))</f>
        <v/>
      </c>
      <c r="AL993" s="39" t="str">
        <f>LOWER(SUBSTITUTE(SUBSTITUTE(SUBSTITUTE(SUBSTITUTE(SUBSTITUTE(SUBSTITUTE(SUBSTITUTE(SUBSTITUTE(SUBSTITUTE(NOTA[NAMA BARANG]," ",),".",""),"-",""),"(",""),")",""),",",""),"/",""),"""",""),"+",""))</f>
        <v/>
      </c>
      <c r="AM9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39" t="str">
        <f>IF(NOTA[[#This Row],[CONCAT4]]="","",_xlfn.IFNA(MATCH(NOTA[[#This Row],[CONCAT4]],[2]!RAW[CONCAT_H],0),FALSE))</f>
        <v/>
      </c>
      <c r="AQ993" s="39" t="str">
        <f>IF(NOTA[[#This Row],[CONCAT1]]="","",MATCH(NOTA[[#This Row],[CONCAT1]],[3]!db[NB NOTA_C],0))</f>
        <v/>
      </c>
      <c r="AR993" s="39" t="str">
        <f>IF(NOTA[[#This Row],[QTY/ CTN]]="","",TRUE)</f>
        <v/>
      </c>
      <c r="AS993" s="39" t="str">
        <f ca="1">IF(NOTA[[#This Row],[ID_H]]="","",IF(NOTA[[#This Row],[Column3]]=TRUE,NOTA[[#This Row],[QTY/ CTN]],INDEX([3]!db[QTY/ CTN],NOTA[[#This Row],[//DB]])))</f>
        <v/>
      </c>
      <c r="AT9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3" s="39" t="str">
        <f ca="1">IF(NOTA[[#This Row],[ID_H]]="","",MATCH(NOTA[[#This Row],[NB NOTA_C_QTY]],[4]!db[NB NOTA_C_QTY+F],0))</f>
        <v/>
      </c>
      <c r="AV993" s="55" t="str">
        <f ca="1">IF(NOTA[[#This Row],[NB NOTA_C_QTY]]="","",ROW()-2)</f>
        <v/>
      </c>
    </row>
    <row r="994" spans="1:48" ht="20.100000000000001" customHeight="1" x14ac:dyDescent="0.25">
      <c r="A9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39" t="str">
        <f>IF(NOTA[[#This Row],[ID_P]]="","",MATCH(NOTA[[#This Row],[ID_P]],[1]!B_MSK[N_ID],0))</f>
        <v/>
      </c>
      <c r="D994" s="39" t="str">
        <f ca="1">IF(NOTA[[#This Row],[NAMA BARANG]]="","",INDEX(NOTA[ID],MATCH(,INDIRECT(ADDRESS(ROW(NOTA[ID]),COLUMN(NOTA[ID]))&amp;":"&amp;ADDRESS(ROW(),COLUMN(NOTA[ID]))),-1)))</f>
        <v/>
      </c>
      <c r="E994" s="47"/>
      <c r="H994" s="48"/>
      <c r="N994" s="39"/>
      <c r="Q994" s="43"/>
      <c r="R994" s="49"/>
      <c r="S994" s="50"/>
      <c r="U994" s="51"/>
      <c r="V994" s="46"/>
      <c r="W994" s="51" t="str">
        <f>IF(NOTA[[#This Row],[HARGA/ CTN]]="",NOTA[[#This Row],[JUMLAH_H]],NOTA[[#This Row],[HARGA/ CTN]]*IF(NOTA[[#This Row],[C]]="",0,NOTA[[#This Row],[C]]))</f>
        <v/>
      </c>
      <c r="X994" s="51" t="str">
        <f>IF(NOTA[[#This Row],[JUMLAH]]="","",NOTA[[#This Row],[JUMLAH]]*NOTA[[#This Row],[DISC 1]])</f>
        <v/>
      </c>
      <c r="Y994" s="51" t="str">
        <f>IF(NOTA[[#This Row],[JUMLAH]]="","",(NOTA[[#This Row],[JUMLAH]]-NOTA[[#This Row],[DISC 1-]])*NOTA[[#This Row],[DISC 2]])</f>
        <v/>
      </c>
      <c r="Z994" s="51" t="str">
        <f>IF(NOTA[[#This Row],[JUMLAH]]="","",NOTA[[#This Row],[DISC 1-]]+NOTA[[#This Row],[DISC 2-]])</f>
        <v/>
      </c>
      <c r="AA994" s="51" t="str">
        <f>IF(NOTA[[#This Row],[JUMLAH]]="","",NOTA[[#This Row],[JUMLAH]]-NOTA[[#This Row],[DISC]])</f>
        <v/>
      </c>
      <c r="AB994" s="51"/>
      <c r="AC9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4" s="51" t="str">
        <f>IF(OR(NOTA[[#This Row],[QTY]]="",NOTA[[#This Row],[HARGA SATUAN]]="",),"",NOTA[[#This Row],[QTY]]*NOTA[[#This Row],[HARGA SATUAN]])</f>
        <v/>
      </c>
      <c r="AG994" s="40" t="str">
        <f ca="1">IF(NOTA[ID_H]="","",INDEX(NOTA[TANGGAL],MATCH(,INDIRECT(ADDRESS(ROW(NOTA[TANGGAL]),COLUMN(NOTA[TANGGAL]))&amp;":"&amp;ADDRESS(ROW(),COLUMN(NOTA[TANGGAL]))),-1)))</f>
        <v/>
      </c>
      <c r="AH994" s="42" t="str">
        <f ca="1">IF(NOTA[[#This Row],[NAMA BARANG]]="","",INDEX(NOTA[SUPPLIER],MATCH(,INDIRECT(ADDRESS(ROW(NOTA[ID]),COLUMN(NOTA[ID]))&amp;":"&amp;ADDRESS(ROW(),COLUMN(NOTA[ID]))),-1)))</f>
        <v/>
      </c>
      <c r="AI994" s="42" t="str">
        <f ca="1">IF(NOTA[[#This Row],[ID_H]]="","",IF(NOTA[[#This Row],[FAKTUR]]="",INDIRECT(ADDRESS(ROW()-1,COLUMN())),NOTA[[#This Row],[FAKTUR]]))</f>
        <v/>
      </c>
      <c r="AJ994" s="39" t="str">
        <f ca="1">IF(NOTA[[#This Row],[ID]]="","",COUNTIF(NOTA[ID_H],NOTA[[#This Row],[ID_H]]))</f>
        <v/>
      </c>
      <c r="AK994" s="39" t="str">
        <f ca="1">IF(NOTA[[#This Row],[TGL.NOTA]]="",IF(NOTA[[#This Row],[SUPPLIER_H]]="","",AK993),MONTH(NOTA[[#This Row],[TGL.NOTA]]))</f>
        <v/>
      </c>
      <c r="AL994" s="39" t="str">
        <f>LOWER(SUBSTITUTE(SUBSTITUTE(SUBSTITUTE(SUBSTITUTE(SUBSTITUTE(SUBSTITUTE(SUBSTITUTE(SUBSTITUTE(SUBSTITUTE(NOTA[NAMA BARANG]," ",),".",""),"-",""),"(",""),")",""),",",""),"/",""),"""",""),"+",""))</f>
        <v/>
      </c>
      <c r="AM9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4" s="39" t="str">
        <f>IF(NOTA[[#This Row],[CONCAT4]]="","",_xlfn.IFNA(MATCH(NOTA[[#This Row],[CONCAT4]],[2]!RAW[CONCAT_H],0),FALSE))</f>
        <v/>
      </c>
      <c r="AQ994" s="39" t="str">
        <f>IF(NOTA[[#This Row],[CONCAT1]]="","",MATCH(NOTA[[#This Row],[CONCAT1]],[3]!db[NB NOTA_C],0))</f>
        <v/>
      </c>
      <c r="AR994" s="39" t="str">
        <f>IF(NOTA[[#This Row],[QTY/ CTN]]="","",TRUE)</f>
        <v/>
      </c>
      <c r="AS994" s="39" t="str">
        <f ca="1">IF(NOTA[[#This Row],[ID_H]]="","",IF(NOTA[[#This Row],[Column3]]=TRUE,NOTA[[#This Row],[QTY/ CTN]],INDEX([3]!db[QTY/ CTN],NOTA[[#This Row],[//DB]])))</f>
        <v/>
      </c>
      <c r="AT9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4" s="39" t="str">
        <f ca="1">IF(NOTA[[#This Row],[ID_H]]="","",MATCH(NOTA[[#This Row],[NB NOTA_C_QTY]],[4]!db[NB NOTA_C_QTY+F],0))</f>
        <v/>
      </c>
      <c r="AV994" s="55" t="str">
        <f ca="1">IF(NOTA[[#This Row],[NB NOTA_C_QTY]]="","",ROW()-2)</f>
        <v/>
      </c>
    </row>
    <row r="995" spans="1:48" ht="20.100000000000001" customHeight="1" x14ac:dyDescent="0.25">
      <c r="A9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39" t="str">
        <f>IF(NOTA[[#This Row],[ID_P]]="","",MATCH(NOTA[[#This Row],[ID_P]],[1]!B_MSK[N_ID],0))</f>
        <v/>
      </c>
      <c r="D995" s="39" t="str">
        <f ca="1">IF(NOTA[[#This Row],[NAMA BARANG]]="","",INDEX(NOTA[ID],MATCH(,INDIRECT(ADDRESS(ROW(NOTA[ID]),COLUMN(NOTA[ID]))&amp;":"&amp;ADDRESS(ROW(),COLUMN(NOTA[ID]))),-1)))</f>
        <v/>
      </c>
      <c r="E995" s="47"/>
      <c r="H995" s="48"/>
      <c r="N995" s="39"/>
      <c r="Q995" s="43"/>
      <c r="R995" s="49"/>
      <c r="S995" s="50"/>
      <c r="U995" s="51"/>
      <c r="V995" s="46"/>
      <c r="W995" s="51" t="str">
        <f>IF(NOTA[[#This Row],[HARGA/ CTN]]="",NOTA[[#This Row],[JUMLAH_H]],NOTA[[#This Row],[HARGA/ CTN]]*IF(NOTA[[#This Row],[C]]="",0,NOTA[[#This Row],[C]]))</f>
        <v/>
      </c>
      <c r="X995" s="51" t="str">
        <f>IF(NOTA[[#This Row],[JUMLAH]]="","",NOTA[[#This Row],[JUMLAH]]*NOTA[[#This Row],[DISC 1]])</f>
        <v/>
      </c>
      <c r="Y995" s="51" t="str">
        <f>IF(NOTA[[#This Row],[JUMLAH]]="","",(NOTA[[#This Row],[JUMLAH]]-NOTA[[#This Row],[DISC 1-]])*NOTA[[#This Row],[DISC 2]])</f>
        <v/>
      </c>
      <c r="Z995" s="51" t="str">
        <f>IF(NOTA[[#This Row],[JUMLAH]]="","",NOTA[[#This Row],[DISC 1-]]+NOTA[[#This Row],[DISC 2-]])</f>
        <v/>
      </c>
      <c r="AA995" s="51" t="str">
        <f>IF(NOTA[[#This Row],[JUMLAH]]="","",NOTA[[#This Row],[JUMLAH]]-NOTA[[#This Row],[DISC]])</f>
        <v/>
      </c>
      <c r="AB995" s="51"/>
      <c r="AC9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5" s="51" t="str">
        <f>IF(OR(NOTA[[#This Row],[QTY]]="",NOTA[[#This Row],[HARGA SATUAN]]="",),"",NOTA[[#This Row],[QTY]]*NOTA[[#This Row],[HARGA SATUAN]])</f>
        <v/>
      </c>
      <c r="AG995" s="40" t="str">
        <f ca="1">IF(NOTA[ID_H]="","",INDEX(NOTA[TANGGAL],MATCH(,INDIRECT(ADDRESS(ROW(NOTA[TANGGAL]),COLUMN(NOTA[TANGGAL]))&amp;":"&amp;ADDRESS(ROW(),COLUMN(NOTA[TANGGAL]))),-1)))</f>
        <v/>
      </c>
      <c r="AH995" s="42" t="str">
        <f ca="1">IF(NOTA[[#This Row],[NAMA BARANG]]="","",INDEX(NOTA[SUPPLIER],MATCH(,INDIRECT(ADDRESS(ROW(NOTA[ID]),COLUMN(NOTA[ID]))&amp;":"&amp;ADDRESS(ROW(),COLUMN(NOTA[ID]))),-1)))</f>
        <v/>
      </c>
      <c r="AI995" s="42" t="str">
        <f ca="1">IF(NOTA[[#This Row],[ID_H]]="","",IF(NOTA[[#This Row],[FAKTUR]]="",INDIRECT(ADDRESS(ROW()-1,COLUMN())),NOTA[[#This Row],[FAKTUR]]))</f>
        <v/>
      </c>
      <c r="AJ995" s="39" t="str">
        <f ca="1">IF(NOTA[[#This Row],[ID]]="","",COUNTIF(NOTA[ID_H],NOTA[[#This Row],[ID_H]]))</f>
        <v/>
      </c>
      <c r="AK995" s="39" t="str">
        <f ca="1">IF(NOTA[[#This Row],[TGL.NOTA]]="",IF(NOTA[[#This Row],[SUPPLIER_H]]="","",AK994),MONTH(NOTA[[#This Row],[TGL.NOTA]]))</f>
        <v/>
      </c>
      <c r="AL995" s="39" t="str">
        <f>LOWER(SUBSTITUTE(SUBSTITUTE(SUBSTITUTE(SUBSTITUTE(SUBSTITUTE(SUBSTITUTE(SUBSTITUTE(SUBSTITUTE(SUBSTITUTE(NOTA[NAMA BARANG]," ",),".",""),"-",""),"(",""),")",""),",",""),"/",""),"""",""),"+",""))</f>
        <v/>
      </c>
      <c r="AM9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39" t="str">
        <f>IF(NOTA[[#This Row],[CONCAT4]]="","",_xlfn.IFNA(MATCH(NOTA[[#This Row],[CONCAT4]],[2]!RAW[CONCAT_H],0),FALSE))</f>
        <v/>
      </c>
      <c r="AQ995" s="39" t="str">
        <f>IF(NOTA[[#This Row],[CONCAT1]]="","",MATCH(NOTA[[#This Row],[CONCAT1]],[3]!db[NB NOTA_C],0))</f>
        <v/>
      </c>
      <c r="AR995" s="39" t="str">
        <f>IF(NOTA[[#This Row],[QTY/ CTN]]="","",TRUE)</f>
        <v/>
      </c>
      <c r="AS995" s="39" t="str">
        <f ca="1">IF(NOTA[[#This Row],[ID_H]]="","",IF(NOTA[[#This Row],[Column3]]=TRUE,NOTA[[#This Row],[QTY/ CTN]],INDEX([3]!db[QTY/ CTN],NOTA[[#This Row],[//DB]])))</f>
        <v/>
      </c>
      <c r="AT9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5" s="39" t="str">
        <f ca="1">IF(NOTA[[#This Row],[ID_H]]="","",MATCH(NOTA[[#This Row],[NB NOTA_C_QTY]],[4]!db[NB NOTA_C_QTY+F],0))</f>
        <v/>
      </c>
      <c r="AV995" s="55" t="str">
        <f ca="1">IF(NOTA[[#This Row],[NB NOTA_C_QTY]]="","",ROW()-2)</f>
        <v/>
      </c>
    </row>
    <row r="996" spans="1:48" ht="20.100000000000001" customHeight="1" x14ac:dyDescent="0.25">
      <c r="A9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39" t="str">
        <f>IF(NOTA[[#This Row],[ID_P]]="","",MATCH(NOTA[[#This Row],[ID_P]],[1]!B_MSK[N_ID],0))</f>
        <v/>
      </c>
      <c r="D996" s="39" t="str">
        <f ca="1">IF(NOTA[[#This Row],[NAMA BARANG]]="","",INDEX(NOTA[ID],MATCH(,INDIRECT(ADDRESS(ROW(NOTA[ID]),COLUMN(NOTA[ID]))&amp;":"&amp;ADDRESS(ROW(),COLUMN(NOTA[ID]))),-1)))</f>
        <v/>
      </c>
      <c r="E996" s="47"/>
      <c r="H996" s="48"/>
      <c r="N996" s="39"/>
      <c r="Q996" s="43"/>
      <c r="R996" s="49"/>
      <c r="S996" s="50"/>
      <c r="U996" s="51"/>
      <c r="V996" s="46"/>
      <c r="W996" s="51" t="str">
        <f>IF(NOTA[[#This Row],[HARGA/ CTN]]="",NOTA[[#This Row],[JUMLAH_H]],NOTA[[#This Row],[HARGA/ CTN]]*IF(NOTA[[#This Row],[C]]="",0,NOTA[[#This Row],[C]]))</f>
        <v/>
      </c>
      <c r="X996" s="51" t="str">
        <f>IF(NOTA[[#This Row],[JUMLAH]]="","",NOTA[[#This Row],[JUMLAH]]*NOTA[[#This Row],[DISC 1]])</f>
        <v/>
      </c>
      <c r="Y996" s="51" t="str">
        <f>IF(NOTA[[#This Row],[JUMLAH]]="","",(NOTA[[#This Row],[JUMLAH]]-NOTA[[#This Row],[DISC 1-]])*NOTA[[#This Row],[DISC 2]])</f>
        <v/>
      </c>
      <c r="Z996" s="51" t="str">
        <f>IF(NOTA[[#This Row],[JUMLAH]]="","",NOTA[[#This Row],[DISC 1-]]+NOTA[[#This Row],[DISC 2-]])</f>
        <v/>
      </c>
      <c r="AA996" s="51" t="str">
        <f>IF(NOTA[[#This Row],[JUMLAH]]="","",NOTA[[#This Row],[JUMLAH]]-NOTA[[#This Row],[DISC]])</f>
        <v/>
      </c>
      <c r="AB996" s="51"/>
      <c r="AC9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6" s="51" t="str">
        <f>IF(OR(NOTA[[#This Row],[QTY]]="",NOTA[[#This Row],[HARGA SATUAN]]="",),"",NOTA[[#This Row],[QTY]]*NOTA[[#This Row],[HARGA SATUAN]])</f>
        <v/>
      </c>
      <c r="AG996" s="40" t="str">
        <f ca="1">IF(NOTA[ID_H]="","",INDEX(NOTA[TANGGAL],MATCH(,INDIRECT(ADDRESS(ROW(NOTA[TANGGAL]),COLUMN(NOTA[TANGGAL]))&amp;":"&amp;ADDRESS(ROW(),COLUMN(NOTA[TANGGAL]))),-1)))</f>
        <v/>
      </c>
      <c r="AH996" s="42" t="str">
        <f ca="1">IF(NOTA[[#This Row],[NAMA BARANG]]="","",INDEX(NOTA[SUPPLIER],MATCH(,INDIRECT(ADDRESS(ROW(NOTA[ID]),COLUMN(NOTA[ID]))&amp;":"&amp;ADDRESS(ROW(),COLUMN(NOTA[ID]))),-1)))</f>
        <v/>
      </c>
      <c r="AI996" s="42" t="str">
        <f ca="1">IF(NOTA[[#This Row],[ID_H]]="","",IF(NOTA[[#This Row],[FAKTUR]]="",INDIRECT(ADDRESS(ROW()-1,COLUMN())),NOTA[[#This Row],[FAKTUR]]))</f>
        <v/>
      </c>
      <c r="AJ996" s="39" t="str">
        <f ca="1">IF(NOTA[[#This Row],[ID]]="","",COUNTIF(NOTA[ID_H],NOTA[[#This Row],[ID_H]]))</f>
        <v/>
      </c>
      <c r="AK996" s="39" t="str">
        <f ca="1">IF(NOTA[[#This Row],[TGL.NOTA]]="",IF(NOTA[[#This Row],[SUPPLIER_H]]="","",AK995),MONTH(NOTA[[#This Row],[TGL.NOTA]]))</f>
        <v/>
      </c>
      <c r="AL996" s="39" t="str">
        <f>LOWER(SUBSTITUTE(SUBSTITUTE(SUBSTITUTE(SUBSTITUTE(SUBSTITUTE(SUBSTITUTE(SUBSTITUTE(SUBSTITUTE(SUBSTITUTE(NOTA[NAMA BARANG]," ",),".",""),"-",""),"(",""),")",""),",",""),"/",""),"""",""),"+",""))</f>
        <v/>
      </c>
      <c r="AM9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39" t="str">
        <f>IF(NOTA[[#This Row],[CONCAT4]]="","",_xlfn.IFNA(MATCH(NOTA[[#This Row],[CONCAT4]],[2]!RAW[CONCAT_H],0),FALSE))</f>
        <v/>
      </c>
      <c r="AQ996" s="39" t="str">
        <f>IF(NOTA[[#This Row],[CONCAT1]]="","",MATCH(NOTA[[#This Row],[CONCAT1]],[3]!db[NB NOTA_C],0))</f>
        <v/>
      </c>
      <c r="AR996" s="39" t="str">
        <f>IF(NOTA[[#This Row],[QTY/ CTN]]="","",TRUE)</f>
        <v/>
      </c>
      <c r="AS996" s="39" t="str">
        <f ca="1">IF(NOTA[[#This Row],[ID_H]]="","",IF(NOTA[[#This Row],[Column3]]=TRUE,NOTA[[#This Row],[QTY/ CTN]],INDEX([3]!db[QTY/ CTN],NOTA[[#This Row],[//DB]])))</f>
        <v/>
      </c>
      <c r="AT9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6" s="39" t="str">
        <f ca="1">IF(NOTA[[#This Row],[ID_H]]="","",MATCH(NOTA[[#This Row],[NB NOTA_C_QTY]],[4]!db[NB NOTA_C_QTY+F],0))</f>
        <v/>
      </c>
      <c r="AV996" s="55" t="str">
        <f ca="1">IF(NOTA[[#This Row],[NB NOTA_C_QTY]]="","",ROW()-2)</f>
        <v/>
      </c>
    </row>
    <row r="997" spans="1:48" ht="20.100000000000001" customHeight="1" x14ac:dyDescent="0.25">
      <c r="A9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39" t="str">
        <f>IF(NOTA[[#This Row],[ID_P]]="","",MATCH(NOTA[[#This Row],[ID_P]],[1]!B_MSK[N_ID],0))</f>
        <v/>
      </c>
      <c r="D997" s="39" t="str">
        <f ca="1">IF(NOTA[[#This Row],[NAMA BARANG]]="","",INDEX(NOTA[ID],MATCH(,INDIRECT(ADDRESS(ROW(NOTA[ID]),COLUMN(NOTA[ID]))&amp;":"&amp;ADDRESS(ROW(),COLUMN(NOTA[ID]))),-1)))</f>
        <v/>
      </c>
      <c r="E997" s="47"/>
      <c r="H997" s="48"/>
      <c r="N997" s="39"/>
      <c r="Q997" s="43"/>
      <c r="R997" s="49"/>
      <c r="S997" s="50"/>
      <c r="U997" s="51"/>
      <c r="V997" s="46"/>
      <c r="W997" s="51" t="str">
        <f>IF(NOTA[[#This Row],[HARGA/ CTN]]="",NOTA[[#This Row],[JUMLAH_H]],NOTA[[#This Row],[HARGA/ CTN]]*IF(NOTA[[#This Row],[C]]="",0,NOTA[[#This Row],[C]]))</f>
        <v/>
      </c>
      <c r="X997" s="51" t="str">
        <f>IF(NOTA[[#This Row],[JUMLAH]]="","",NOTA[[#This Row],[JUMLAH]]*NOTA[[#This Row],[DISC 1]])</f>
        <v/>
      </c>
      <c r="Y997" s="51" t="str">
        <f>IF(NOTA[[#This Row],[JUMLAH]]="","",(NOTA[[#This Row],[JUMLAH]]-NOTA[[#This Row],[DISC 1-]])*NOTA[[#This Row],[DISC 2]])</f>
        <v/>
      </c>
      <c r="Z997" s="51" t="str">
        <f>IF(NOTA[[#This Row],[JUMLAH]]="","",NOTA[[#This Row],[DISC 1-]]+NOTA[[#This Row],[DISC 2-]])</f>
        <v/>
      </c>
      <c r="AA997" s="51" t="str">
        <f>IF(NOTA[[#This Row],[JUMLAH]]="","",NOTA[[#This Row],[JUMLAH]]-NOTA[[#This Row],[DISC]])</f>
        <v/>
      </c>
      <c r="AB997" s="51"/>
      <c r="AC9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7" s="51" t="str">
        <f>IF(OR(NOTA[[#This Row],[QTY]]="",NOTA[[#This Row],[HARGA SATUAN]]="",),"",NOTA[[#This Row],[QTY]]*NOTA[[#This Row],[HARGA SATUAN]])</f>
        <v/>
      </c>
      <c r="AG997" s="40" t="str">
        <f ca="1">IF(NOTA[ID_H]="","",INDEX(NOTA[TANGGAL],MATCH(,INDIRECT(ADDRESS(ROW(NOTA[TANGGAL]),COLUMN(NOTA[TANGGAL]))&amp;":"&amp;ADDRESS(ROW(),COLUMN(NOTA[TANGGAL]))),-1)))</f>
        <v/>
      </c>
      <c r="AH997" s="42" t="str">
        <f ca="1">IF(NOTA[[#This Row],[NAMA BARANG]]="","",INDEX(NOTA[SUPPLIER],MATCH(,INDIRECT(ADDRESS(ROW(NOTA[ID]),COLUMN(NOTA[ID]))&amp;":"&amp;ADDRESS(ROW(),COLUMN(NOTA[ID]))),-1)))</f>
        <v/>
      </c>
      <c r="AI997" s="42" t="str">
        <f ca="1">IF(NOTA[[#This Row],[ID_H]]="","",IF(NOTA[[#This Row],[FAKTUR]]="",INDIRECT(ADDRESS(ROW()-1,COLUMN())),NOTA[[#This Row],[FAKTUR]]))</f>
        <v/>
      </c>
      <c r="AJ997" s="39" t="str">
        <f ca="1">IF(NOTA[[#This Row],[ID]]="","",COUNTIF(NOTA[ID_H],NOTA[[#This Row],[ID_H]]))</f>
        <v/>
      </c>
      <c r="AK997" s="39" t="str">
        <f ca="1">IF(NOTA[[#This Row],[TGL.NOTA]]="",IF(NOTA[[#This Row],[SUPPLIER_H]]="","",AK996),MONTH(NOTA[[#This Row],[TGL.NOTA]]))</f>
        <v/>
      </c>
      <c r="AL997" s="39" t="str">
        <f>LOWER(SUBSTITUTE(SUBSTITUTE(SUBSTITUTE(SUBSTITUTE(SUBSTITUTE(SUBSTITUTE(SUBSTITUTE(SUBSTITUTE(SUBSTITUTE(NOTA[NAMA BARANG]," ",),".",""),"-",""),"(",""),")",""),",",""),"/",""),"""",""),"+",""))</f>
        <v/>
      </c>
      <c r="AM9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39" t="str">
        <f>IF(NOTA[[#This Row],[CONCAT4]]="","",_xlfn.IFNA(MATCH(NOTA[[#This Row],[CONCAT4]],[2]!RAW[CONCAT_H],0),FALSE))</f>
        <v/>
      </c>
      <c r="AQ997" s="39" t="str">
        <f>IF(NOTA[[#This Row],[CONCAT1]]="","",MATCH(NOTA[[#This Row],[CONCAT1]],[3]!db[NB NOTA_C],0))</f>
        <v/>
      </c>
      <c r="AR997" s="39" t="str">
        <f>IF(NOTA[[#This Row],[QTY/ CTN]]="","",TRUE)</f>
        <v/>
      </c>
      <c r="AS997" s="39" t="str">
        <f ca="1">IF(NOTA[[#This Row],[ID_H]]="","",IF(NOTA[[#This Row],[Column3]]=TRUE,NOTA[[#This Row],[QTY/ CTN]],INDEX([3]!db[QTY/ CTN],NOTA[[#This Row],[//DB]])))</f>
        <v/>
      </c>
      <c r="AT9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7" s="39" t="str">
        <f ca="1">IF(NOTA[[#This Row],[ID_H]]="","",MATCH(NOTA[[#This Row],[NB NOTA_C_QTY]],[4]!db[NB NOTA_C_QTY+F],0))</f>
        <v/>
      </c>
      <c r="AV997" s="55" t="str">
        <f ca="1">IF(NOTA[[#This Row],[NB NOTA_C_QTY]]="","",ROW()-2)</f>
        <v/>
      </c>
    </row>
    <row r="998" spans="1:48" ht="20.100000000000001" customHeight="1" x14ac:dyDescent="0.25">
      <c r="A9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39" t="str">
        <f>IF(NOTA[[#This Row],[ID_P]]="","",MATCH(NOTA[[#This Row],[ID_P]],[1]!B_MSK[N_ID],0))</f>
        <v/>
      </c>
      <c r="D998" s="39" t="str">
        <f ca="1">IF(NOTA[[#This Row],[NAMA BARANG]]="","",INDEX(NOTA[ID],MATCH(,INDIRECT(ADDRESS(ROW(NOTA[ID]),COLUMN(NOTA[ID]))&amp;":"&amp;ADDRESS(ROW(),COLUMN(NOTA[ID]))),-1)))</f>
        <v/>
      </c>
      <c r="E998" s="47"/>
      <c r="H998" s="48"/>
      <c r="N998" s="39"/>
      <c r="Q998" s="43"/>
      <c r="R998" s="49"/>
      <c r="S998" s="50"/>
      <c r="U998" s="51"/>
      <c r="V998" s="46"/>
      <c r="W998" s="51" t="str">
        <f>IF(NOTA[[#This Row],[HARGA/ CTN]]="",NOTA[[#This Row],[JUMLAH_H]],NOTA[[#This Row],[HARGA/ CTN]]*IF(NOTA[[#This Row],[C]]="",0,NOTA[[#This Row],[C]]))</f>
        <v/>
      </c>
      <c r="X998" s="51" t="str">
        <f>IF(NOTA[[#This Row],[JUMLAH]]="","",NOTA[[#This Row],[JUMLAH]]*NOTA[[#This Row],[DISC 1]])</f>
        <v/>
      </c>
      <c r="Y998" s="51" t="str">
        <f>IF(NOTA[[#This Row],[JUMLAH]]="","",(NOTA[[#This Row],[JUMLAH]]-NOTA[[#This Row],[DISC 1-]])*NOTA[[#This Row],[DISC 2]])</f>
        <v/>
      </c>
      <c r="Z998" s="51" t="str">
        <f>IF(NOTA[[#This Row],[JUMLAH]]="","",NOTA[[#This Row],[DISC 1-]]+NOTA[[#This Row],[DISC 2-]])</f>
        <v/>
      </c>
      <c r="AA998" s="51" t="str">
        <f>IF(NOTA[[#This Row],[JUMLAH]]="","",NOTA[[#This Row],[JUMLAH]]-NOTA[[#This Row],[DISC]])</f>
        <v/>
      </c>
      <c r="AB998" s="51"/>
      <c r="AC9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8" s="51" t="str">
        <f>IF(OR(NOTA[[#This Row],[QTY]]="",NOTA[[#This Row],[HARGA SATUAN]]="",),"",NOTA[[#This Row],[QTY]]*NOTA[[#This Row],[HARGA SATUAN]])</f>
        <v/>
      </c>
      <c r="AG998" s="40" t="str">
        <f ca="1">IF(NOTA[ID_H]="","",INDEX(NOTA[TANGGAL],MATCH(,INDIRECT(ADDRESS(ROW(NOTA[TANGGAL]),COLUMN(NOTA[TANGGAL]))&amp;":"&amp;ADDRESS(ROW(),COLUMN(NOTA[TANGGAL]))),-1)))</f>
        <v/>
      </c>
      <c r="AH998" s="42" t="str">
        <f ca="1">IF(NOTA[[#This Row],[NAMA BARANG]]="","",INDEX(NOTA[SUPPLIER],MATCH(,INDIRECT(ADDRESS(ROW(NOTA[ID]),COLUMN(NOTA[ID]))&amp;":"&amp;ADDRESS(ROW(),COLUMN(NOTA[ID]))),-1)))</f>
        <v/>
      </c>
      <c r="AI998" s="42" t="str">
        <f ca="1">IF(NOTA[[#This Row],[ID_H]]="","",IF(NOTA[[#This Row],[FAKTUR]]="",INDIRECT(ADDRESS(ROW()-1,COLUMN())),NOTA[[#This Row],[FAKTUR]]))</f>
        <v/>
      </c>
      <c r="AJ998" s="39" t="str">
        <f ca="1">IF(NOTA[[#This Row],[ID]]="","",COUNTIF(NOTA[ID_H],NOTA[[#This Row],[ID_H]]))</f>
        <v/>
      </c>
      <c r="AK998" s="39" t="str">
        <f ca="1">IF(NOTA[[#This Row],[TGL.NOTA]]="",IF(NOTA[[#This Row],[SUPPLIER_H]]="","",AK997),MONTH(NOTA[[#This Row],[TGL.NOTA]]))</f>
        <v/>
      </c>
      <c r="AL998" s="39" t="str">
        <f>LOWER(SUBSTITUTE(SUBSTITUTE(SUBSTITUTE(SUBSTITUTE(SUBSTITUTE(SUBSTITUTE(SUBSTITUTE(SUBSTITUTE(SUBSTITUTE(NOTA[NAMA BARANG]," ",),".",""),"-",""),"(",""),")",""),",",""),"/",""),"""",""),"+",""))</f>
        <v/>
      </c>
      <c r="AM9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39" t="str">
        <f>IF(NOTA[[#This Row],[CONCAT4]]="","",_xlfn.IFNA(MATCH(NOTA[[#This Row],[CONCAT4]],[2]!RAW[CONCAT_H],0),FALSE))</f>
        <v/>
      </c>
      <c r="AQ998" s="39" t="str">
        <f>IF(NOTA[[#This Row],[CONCAT1]]="","",MATCH(NOTA[[#This Row],[CONCAT1]],[3]!db[NB NOTA_C],0))</f>
        <v/>
      </c>
      <c r="AR998" s="39" t="str">
        <f>IF(NOTA[[#This Row],[QTY/ CTN]]="","",TRUE)</f>
        <v/>
      </c>
      <c r="AS998" s="39" t="str">
        <f ca="1">IF(NOTA[[#This Row],[ID_H]]="","",IF(NOTA[[#This Row],[Column3]]=TRUE,NOTA[[#This Row],[QTY/ CTN]],INDEX([3]!db[QTY/ CTN],NOTA[[#This Row],[//DB]])))</f>
        <v/>
      </c>
      <c r="AT9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8" s="39" t="str">
        <f ca="1">IF(NOTA[[#This Row],[ID_H]]="","",MATCH(NOTA[[#This Row],[NB NOTA_C_QTY]],[4]!db[NB NOTA_C_QTY+F],0))</f>
        <v/>
      </c>
      <c r="AV998" s="55" t="str">
        <f ca="1">IF(NOTA[[#This Row],[NB NOTA_C_QTY]]="","",ROW()-2)</f>
        <v/>
      </c>
    </row>
    <row r="999" spans="1:48" ht="20.100000000000001" customHeight="1" x14ac:dyDescent="0.25">
      <c r="A9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39" t="str">
        <f>IF(NOTA[[#This Row],[ID_P]]="","",MATCH(NOTA[[#This Row],[ID_P]],[1]!B_MSK[N_ID],0))</f>
        <v/>
      </c>
      <c r="D999" s="39" t="str">
        <f ca="1">IF(NOTA[[#This Row],[NAMA BARANG]]="","",INDEX(NOTA[ID],MATCH(,INDIRECT(ADDRESS(ROW(NOTA[ID]),COLUMN(NOTA[ID]))&amp;":"&amp;ADDRESS(ROW(),COLUMN(NOTA[ID]))),-1)))</f>
        <v/>
      </c>
      <c r="E999" s="47"/>
      <c r="H999" s="48"/>
      <c r="N999" s="39"/>
      <c r="Q999" s="43"/>
      <c r="R999" s="49"/>
      <c r="S999" s="50"/>
      <c r="U999" s="51"/>
      <c r="V999" s="46"/>
      <c r="W999" s="51" t="str">
        <f>IF(NOTA[[#This Row],[HARGA/ CTN]]="",NOTA[[#This Row],[JUMLAH_H]],NOTA[[#This Row],[HARGA/ CTN]]*IF(NOTA[[#This Row],[C]]="",0,NOTA[[#This Row],[C]]))</f>
        <v/>
      </c>
      <c r="X999" s="51" t="str">
        <f>IF(NOTA[[#This Row],[JUMLAH]]="","",NOTA[[#This Row],[JUMLAH]]*NOTA[[#This Row],[DISC 1]])</f>
        <v/>
      </c>
      <c r="Y999" s="51" t="str">
        <f>IF(NOTA[[#This Row],[JUMLAH]]="","",(NOTA[[#This Row],[JUMLAH]]-NOTA[[#This Row],[DISC 1-]])*NOTA[[#This Row],[DISC 2]])</f>
        <v/>
      </c>
      <c r="Z999" s="51" t="str">
        <f>IF(NOTA[[#This Row],[JUMLAH]]="","",NOTA[[#This Row],[DISC 1-]]+NOTA[[#This Row],[DISC 2-]])</f>
        <v/>
      </c>
      <c r="AA999" s="51" t="str">
        <f>IF(NOTA[[#This Row],[JUMLAH]]="","",NOTA[[#This Row],[JUMLAH]]-NOTA[[#This Row],[DISC]])</f>
        <v/>
      </c>
      <c r="AB999" s="51"/>
      <c r="AC9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9" s="51" t="str">
        <f>IF(OR(NOTA[[#This Row],[QTY]]="",NOTA[[#This Row],[HARGA SATUAN]]="",),"",NOTA[[#This Row],[QTY]]*NOTA[[#This Row],[HARGA SATUAN]])</f>
        <v/>
      </c>
      <c r="AG999" s="40" t="str">
        <f ca="1">IF(NOTA[ID_H]="","",INDEX(NOTA[TANGGAL],MATCH(,INDIRECT(ADDRESS(ROW(NOTA[TANGGAL]),COLUMN(NOTA[TANGGAL]))&amp;":"&amp;ADDRESS(ROW(),COLUMN(NOTA[TANGGAL]))),-1)))</f>
        <v/>
      </c>
      <c r="AH999" s="42" t="str">
        <f ca="1">IF(NOTA[[#This Row],[NAMA BARANG]]="","",INDEX(NOTA[SUPPLIER],MATCH(,INDIRECT(ADDRESS(ROW(NOTA[ID]),COLUMN(NOTA[ID]))&amp;":"&amp;ADDRESS(ROW(),COLUMN(NOTA[ID]))),-1)))</f>
        <v/>
      </c>
      <c r="AI999" s="42" t="str">
        <f ca="1">IF(NOTA[[#This Row],[ID_H]]="","",IF(NOTA[[#This Row],[FAKTUR]]="",INDIRECT(ADDRESS(ROW()-1,COLUMN())),NOTA[[#This Row],[FAKTUR]]))</f>
        <v/>
      </c>
      <c r="AJ999" s="39" t="str">
        <f ca="1">IF(NOTA[[#This Row],[ID]]="","",COUNTIF(NOTA[ID_H],NOTA[[#This Row],[ID_H]]))</f>
        <v/>
      </c>
      <c r="AK999" s="39" t="str">
        <f ca="1">IF(NOTA[[#This Row],[TGL.NOTA]]="",IF(NOTA[[#This Row],[SUPPLIER_H]]="","",AK998),MONTH(NOTA[[#This Row],[TGL.NOTA]]))</f>
        <v/>
      </c>
      <c r="AL999" s="39" t="str">
        <f>LOWER(SUBSTITUTE(SUBSTITUTE(SUBSTITUTE(SUBSTITUTE(SUBSTITUTE(SUBSTITUTE(SUBSTITUTE(SUBSTITUTE(SUBSTITUTE(NOTA[NAMA BARANG]," ",),".",""),"-",""),"(",""),")",""),",",""),"/",""),"""",""),"+",""))</f>
        <v/>
      </c>
      <c r="AM9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39" t="str">
        <f>IF(NOTA[[#This Row],[CONCAT4]]="","",_xlfn.IFNA(MATCH(NOTA[[#This Row],[CONCAT4]],[2]!RAW[CONCAT_H],0),FALSE))</f>
        <v/>
      </c>
      <c r="AQ999" s="39" t="str">
        <f>IF(NOTA[[#This Row],[CONCAT1]]="","",MATCH(NOTA[[#This Row],[CONCAT1]],[3]!db[NB NOTA_C],0))</f>
        <v/>
      </c>
      <c r="AR999" s="39" t="str">
        <f>IF(NOTA[[#This Row],[QTY/ CTN]]="","",TRUE)</f>
        <v/>
      </c>
      <c r="AS999" s="39" t="str">
        <f ca="1">IF(NOTA[[#This Row],[ID_H]]="","",IF(NOTA[[#This Row],[Column3]]=TRUE,NOTA[[#This Row],[QTY/ CTN]],INDEX([3]!db[QTY/ CTN],NOTA[[#This Row],[//DB]])))</f>
        <v/>
      </c>
      <c r="AT9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9" s="39" t="str">
        <f ca="1">IF(NOTA[[#This Row],[ID_H]]="","",MATCH(NOTA[[#This Row],[NB NOTA_C_QTY]],[4]!db[NB NOTA_C_QTY+F],0))</f>
        <v/>
      </c>
      <c r="AV999" s="55" t="str">
        <f ca="1">IF(NOTA[[#This Row],[NB NOTA_C_QTY]]="","",ROW()-2)</f>
        <v/>
      </c>
    </row>
    <row r="1000" spans="1:48" ht="20.100000000000001" customHeight="1" x14ac:dyDescent="0.25">
      <c r="A10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39" t="str">
        <f>IF(NOTA[[#This Row],[ID_P]]="","",MATCH(NOTA[[#This Row],[ID_P]],[1]!B_MSK[N_ID],0))</f>
        <v/>
      </c>
      <c r="D1000" s="39" t="str">
        <f ca="1">IF(NOTA[[#This Row],[NAMA BARANG]]="","",INDEX(NOTA[ID],MATCH(,INDIRECT(ADDRESS(ROW(NOTA[ID]),COLUMN(NOTA[ID]))&amp;":"&amp;ADDRESS(ROW(),COLUMN(NOTA[ID]))),-1)))</f>
        <v/>
      </c>
      <c r="E1000" s="47"/>
      <c r="H1000" s="48"/>
      <c r="N1000" s="39"/>
      <c r="Q1000" s="43"/>
      <c r="R1000" s="49"/>
      <c r="S1000" s="50"/>
      <c r="U1000" s="51"/>
      <c r="V1000" s="46"/>
      <c r="W1000" s="51" t="str">
        <f>IF(NOTA[[#This Row],[HARGA/ CTN]]="",NOTA[[#This Row],[JUMLAH_H]],NOTA[[#This Row],[HARGA/ CTN]]*IF(NOTA[[#This Row],[C]]="",0,NOTA[[#This Row],[C]]))</f>
        <v/>
      </c>
      <c r="X1000" s="51" t="str">
        <f>IF(NOTA[[#This Row],[JUMLAH]]="","",NOTA[[#This Row],[JUMLAH]]*NOTA[[#This Row],[DISC 1]])</f>
        <v/>
      </c>
      <c r="Y1000" s="51" t="str">
        <f>IF(NOTA[[#This Row],[JUMLAH]]="","",(NOTA[[#This Row],[JUMLAH]]-NOTA[[#This Row],[DISC 1-]])*NOTA[[#This Row],[DISC 2]])</f>
        <v/>
      </c>
      <c r="Z1000" s="51" t="str">
        <f>IF(NOTA[[#This Row],[JUMLAH]]="","",NOTA[[#This Row],[DISC 1-]]+NOTA[[#This Row],[DISC 2-]])</f>
        <v/>
      </c>
      <c r="AA1000" s="51" t="str">
        <f>IF(NOTA[[#This Row],[JUMLAH]]="","",NOTA[[#This Row],[JUMLAH]]-NOTA[[#This Row],[DISC]])</f>
        <v/>
      </c>
      <c r="AB1000" s="51"/>
      <c r="AC10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0" s="51" t="str">
        <f>IF(OR(NOTA[[#This Row],[QTY]]="",NOTA[[#This Row],[HARGA SATUAN]]="",),"",NOTA[[#This Row],[QTY]]*NOTA[[#This Row],[HARGA SATUAN]])</f>
        <v/>
      </c>
      <c r="AG1000" s="40" t="str">
        <f ca="1">IF(NOTA[ID_H]="","",INDEX(NOTA[TANGGAL],MATCH(,INDIRECT(ADDRESS(ROW(NOTA[TANGGAL]),COLUMN(NOTA[TANGGAL]))&amp;":"&amp;ADDRESS(ROW(),COLUMN(NOTA[TANGGAL]))),-1)))</f>
        <v/>
      </c>
      <c r="AH1000" s="42" t="str">
        <f ca="1">IF(NOTA[[#This Row],[NAMA BARANG]]="","",INDEX(NOTA[SUPPLIER],MATCH(,INDIRECT(ADDRESS(ROW(NOTA[ID]),COLUMN(NOTA[ID]))&amp;":"&amp;ADDRESS(ROW(),COLUMN(NOTA[ID]))),-1)))</f>
        <v/>
      </c>
      <c r="AI1000" s="42" t="str">
        <f ca="1">IF(NOTA[[#This Row],[ID_H]]="","",IF(NOTA[[#This Row],[FAKTUR]]="",INDIRECT(ADDRESS(ROW()-1,COLUMN())),NOTA[[#This Row],[FAKTUR]]))</f>
        <v/>
      </c>
      <c r="AJ1000" s="39" t="str">
        <f ca="1">IF(NOTA[[#This Row],[ID]]="","",COUNTIF(NOTA[ID_H],NOTA[[#This Row],[ID_H]]))</f>
        <v/>
      </c>
      <c r="AK1000" s="39" t="str">
        <f ca="1">IF(NOTA[[#This Row],[TGL.NOTA]]="",IF(NOTA[[#This Row],[SUPPLIER_H]]="","",AK999),MONTH(NOTA[[#This Row],[TGL.NOTA]]))</f>
        <v/>
      </c>
      <c r="AL1000" s="39" t="str">
        <f>LOWER(SUBSTITUTE(SUBSTITUTE(SUBSTITUTE(SUBSTITUTE(SUBSTITUTE(SUBSTITUTE(SUBSTITUTE(SUBSTITUTE(SUBSTITUTE(NOTA[NAMA BARANG]," ",),".",""),"-",""),"(",""),")",""),",",""),"/",""),"""",""),"+",""))</f>
        <v/>
      </c>
      <c r="AM10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39" t="str">
        <f>IF(NOTA[[#This Row],[CONCAT4]]="","",_xlfn.IFNA(MATCH(NOTA[[#This Row],[CONCAT4]],[2]!RAW[CONCAT_H],0),FALSE))</f>
        <v/>
      </c>
      <c r="AQ1000" s="39" t="str">
        <f>IF(NOTA[[#This Row],[CONCAT1]]="","",MATCH(NOTA[[#This Row],[CONCAT1]],[3]!db[NB NOTA_C],0))</f>
        <v/>
      </c>
      <c r="AR1000" s="39" t="str">
        <f>IF(NOTA[[#This Row],[QTY/ CTN]]="","",TRUE)</f>
        <v/>
      </c>
      <c r="AS1000" s="39" t="str">
        <f ca="1">IF(NOTA[[#This Row],[ID_H]]="","",IF(NOTA[[#This Row],[Column3]]=TRUE,NOTA[[#This Row],[QTY/ CTN]],INDEX([3]!db[QTY/ CTN],NOTA[[#This Row],[//DB]])))</f>
        <v/>
      </c>
      <c r="AT10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0" s="39" t="str">
        <f ca="1">IF(NOTA[[#This Row],[ID_H]]="","",MATCH(NOTA[[#This Row],[NB NOTA_C_QTY]],[4]!db[NB NOTA_C_QTY+F],0))</f>
        <v/>
      </c>
      <c r="AV1000" s="55" t="str">
        <f ca="1">IF(NOTA[[#This Row],[NB NOTA_C_QTY]]="","",ROW()-2)</f>
        <v/>
      </c>
    </row>
    <row r="1001" spans="1:48" ht="20.100000000000001" customHeight="1" x14ac:dyDescent="0.25">
      <c r="A10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39" t="str">
        <f>IF(NOTA[[#This Row],[ID_P]]="","",MATCH(NOTA[[#This Row],[ID_P]],[1]!B_MSK[N_ID],0))</f>
        <v/>
      </c>
      <c r="D1001" s="39" t="str">
        <f ca="1">IF(NOTA[[#This Row],[NAMA BARANG]]="","",INDEX(NOTA[ID],MATCH(,INDIRECT(ADDRESS(ROW(NOTA[ID]),COLUMN(NOTA[ID]))&amp;":"&amp;ADDRESS(ROW(),COLUMN(NOTA[ID]))),-1)))</f>
        <v/>
      </c>
      <c r="E1001" s="47"/>
      <c r="H1001" s="48"/>
      <c r="N1001" s="39"/>
      <c r="Q1001" s="43"/>
      <c r="R1001" s="49"/>
      <c r="S1001" s="50"/>
      <c r="U1001" s="51"/>
      <c r="V1001" s="46"/>
      <c r="W1001" s="51" t="str">
        <f>IF(NOTA[[#This Row],[HARGA/ CTN]]="",NOTA[[#This Row],[JUMLAH_H]],NOTA[[#This Row],[HARGA/ CTN]]*IF(NOTA[[#This Row],[C]]="",0,NOTA[[#This Row],[C]]))</f>
        <v/>
      </c>
      <c r="X1001" s="51" t="str">
        <f>IF(NOTA[[#This Row],[JUMLAH]]="","",NOTA[[#This Row],[JUMLAH]]*NOTA[[#This Row],[DISC 1]])</f>
        <v/>
      </c>
      <c r="Y1001" s="51" t="str">
        <f>IF(NOTA[[#This Row],[JUMLAH]]="","",(NOTA[[#This Row],[JUMLAH]]-NOTA[[#This Row],[DISC 1-]])*NOTA[[#This Row],[DISC 2]])</f>
        <v/>
      </c>
      <c r="Z1001" s="51" t="str">
        <f>IF(NOTA[[#This Row],[JUMLAH]]="","",NOTA[[#This Row],[DISC 1-]]+NOTA[[#This Row],[DISC 2-]])</f>
        <v/>
      </c>
      <c r="AA1001" s="51" t="str">
        <f>IF(NOTA[[#This Row],[JUMLAH]]="","",NOTA[[#This Row],[JUMLAH]]-NOTA[[#This Row],[DISC]])</f>
        <v/>
      </c>
      <c r="AB1001" s="51"/>
      <c r="AC10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1" s="51" t="str">
        <f>IF(OR(NOTA[[#This Row],[QTY]]="",NOTA[[#This Row],[HARGA SATUAN]]="",),"",NOTA[[#This Row],[QTY]]*NOTA[[#This Row],[HARGA SATUAN]])</f>
        <v/>
      </c>
      <c r="AG1001" s="40" t="str">
        <f ca="1">IF(NOTA[ID_H]="","",INDEX(NOTA[TANGGAL],MATCH(,INDIRECT(ADDRESS(ROW(NOTA[TANGGAL]),COLUMN(NOTA[TANGGAL]))&amp;":"&amp;ADDRESS(ROW(),COLUMN(NOTA[TANGGAL]))),-1)))</f>
        <v/>
      </c>
      <c r="AH1001" s="42" t="str">
        <f ca="1">IF(NOTA[[#This Row],[NAMA BARANG]]="","",INDEX(NOTA[SUPPLIER],MATCH(,INDIRECT(ADDRESS(ROW(NOTA[ID]),COLUMN(NOTA[ID]))&amp;":"&amp;ADDRESS(ROW(),COLUMN(NOTA[ID]))),-1)))</f>
        <v/>
      </c>
      <c r="AI1001" s="42" t="str">
        <f ca="1">IF(NOTA[[#This Row],[ID_H]]="","",IF(NOTA[[#This Row],[FAKTUR]]="",INDIRECT(ADDRESS(ROW()-1,COLUMN())),NOTA[[#This Row],[FAKTUR]]))</f>
        <v/>
      </c>
      <c r="AJ1001" s="39" t="str">
        <f ca="1">IF(NOTA[[#This Row],[ID]]="","",COUNTIF(NOTA[ID_H],NOTA[[#This Row],[ID_H]]))</f>
        <v/>
      </c>
      <c r="AK1001" s="39" t="str">
        <f ca="1">IF(NOTA[[#This Row],[TGL.NOTA]]="",IF(NOTA[[#This Row],[SUPPLIER_H]]="","",AK1000),MONTH(NOTA[[#This Row],[TGL.NOTA]]))</f>
        <v/>
      </c>
      <c r="AL1001" s="39" t="str">
        <f>LOWER(SUBSTITUTE(SUBSTITUTE(SUBSTITUTE(SUBSTITUTE(SUBSTITUTE(SUBSTITUTE(SUBSTITUTE(SUBSTITUTE(SUBSTITUTE(NOTA[NAMA BARANG]," ",),".",""),"-",""),"(",""),")",""),",",""),"/",""),"""",""),"+",""))</f>
        <v/>
      </c>
      <c r="AM10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39" t="str">
        <f>IF(NOTA[[#This Row],[CONCAT4]]="","",_xlfn.IFNA(MATCH(NOTA[[#This Row],[CONCAT4]],[2]!RAW[CONCAT_H],0),FALSE))</f>
        <v/>
      </c>
      <c r="AQ1001" s="39" t="str">
        <f>IF(NOTA[[#This Row],[CONCAT1]]="","",MATCH(NOTA[[#This Row],[CONCAT1]],[3]!db[NB NOTA_C],0))</f>
        <v/>
      </c>
      <c r="AR1001" s="39" t="str">
        <f>IF(NOTA[[#This Row],[QTY/ CTN]]="","",TRUE)</f>
        <v/>
      </c>
      <c r="AS1001" s="39" t="str">
        <f ca="1">IF(NOTA[[#This Row],[ID_H]]="","",IF(NOTA[[#This Row],[Column3]]=TRUE,NOTA[[#This Row],[QTY/ CTN]],INDEX([3]!db[QTY/ CTN],NOTA[[#This Row],[//DB]])))</f>
        <v/>
      </c>
      <c r="AT10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1" s="39" t="str">
        <f ca="1">IF(NOTA[[#This Row],[ID_H]]="","",MATCH(NOTA[[#This Row],[NB NOTA_C_QTY]],[4]!db[NB NOTA_C_QTY+F],0))</f>
        <v/>
      </c>
      <c r="AV1001" s="55" t="str">
        <f ca="1">IF(NOTA[[#This Row],[NB NOTA_C_QTY]]="","",ROW()-2)</f>
        <v/>
      </c>
    </row>
    <row r="1002" spans="1:48" ht="20.100000000000001" customHeight="1" x14ac:dyDescent="0.25">
      <c r="A10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39" t="str">
        <f>IF(NOTA[[#This Row],[ID_P]]="","",MATCH(NOTA[[#This Row],[ID_P]],[1]!B_MSK[N_ID],0))</f>
        <v/>
      </c>
      <c r="D1002" s="39" t="str">
        <f ca="1">IF(NOTA[[#This Row],[NAMA BARANG]]="","",INDEX(NOTA[ID],MATCH(,INDIRECT(ADDRESS(ROW(NOTA[ID]),COLUMN(NOTA[ID]))&amp;":"&amp;ADDRESS(ROW(),COLUMN(NOTA[ID]))),-1)))</f>
        <v/>
      </c>
      <c r="E1002" s="47"/>
      <c r="H1002" s="48"/>
      <c r="N1002" s="39"/>
      <c r="Q1002" s="43"/>
      <c r="R1002" s="49"/>
      <c r="S1002" s="50"/>
      <c r="U1002" s="51"/>
      <c r="V1002" s="46"/>
      <c r="W1002" s="51" t="str">
        <f>IF(NOTA[[#This Row],[HARGA/ CTN]]="",NOTA[[#This Row],[JUMLAH_H]],NOTA[[#This Row],[HARGA/ CTN]]*IF(NOTA[[#This Row],[C]]="",0,NOTA[[#This Row],[C]]))</f>
        <v/>
      </c>
      <c r="X1002" s="51" t="str">
        <f>IF(NOTA[[#This Row],[JUMLAH]]="","",NOTA[[#This Row],[JUMLAH]]*NOTA[[#This Row],[DISC 1]])</f>
        <v/>
      </c>
      <c r="Y1002" s="51" t="str">
        <f>IF(NOTA[[#This Row],[JUMLAH]]="","",(NOTA[[#This Row],[JUMLAH]]-NOTA[[#This Row],[DISC 1-]])*NOTA[[#This Row],[DISC 2]])</f>
        <v/>
      </c>
      <c r="Z1002" s="51" t="str">
        <f>IF(NOTA[[#This Row],[JUMLAH]]="","",NOTA[[#This Row],[DISC 1-]]+NOTA[[#This Row],[DISC 2-]])</f>
        <v/>
      </c>
      <c r="AA1002" s="51" t="str">
        <f>IF(NOTA[[#This Row],[JUMLAH]]="","",NOTA[[#This Row],[JUMLAH]]-NOTA[[#This Row],[DISC]])</f>
        <v/>
      </c>
      <c r="AB1002" s="51"/>
      <c r="AC10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2" s="51" t="str">
        <f>IF(OR(NOTA[[#This Row],[QTY]]="",NOTA[[#This Row],[HARGA SATUAN]]="",),"",NOTA[[#This Row],[QTY]]*NOTA[[#This Row],[HARGA SATUAN]])</f>
        <v/>
      </c>
      <c r="AG1002" s="40" t="str">
        <f ca="1">IF(NOTA[ID_H]="","",INDEX(NOTA[TANGGAL],MATCH(,INDIRECT(ADDRESS(ROW(NOTA[TANGGAL]),COLUMN(NOTA[TANGGAL]))&amp;":"&amp;ADDRESS(ROW(),COLUMN(NOTA[TANGGAL]))),-1)))</f>
        <v/>
      </c>
      <c r="AH1002" s="42" t="str">
        <f ca="1">IF(NOTA[[#This Row],[NAMA BARANG]]="","",INDEX(NOTA[SUPPLIER],MATCH(,INDIRECT(ADDRESS(ROW(NOTA[ID]),COLUMN(NOTA[ID]))&amp;":"&amp;ADDRESS(ROW(),COLUMN(NOTA[ID]))),-1)))</f>
        <v/>
      </c>
      <c r="AI1002" s="42" t="str">
        <f ca="1">IF(NOTA[[#This Row],[ID_H]]="","",IF(NOTA[[#This Row],[FAKTUR]]="",INDIRECT(ADDRESS(ROW()-1,COLUMN())),NOTA[[#This Row],[FAKTUR]]))</f>
        <v/>
      </c>
      <c r="AJ1002" s="39" t="str">
        <f ca="1">IF(NOTA[[#This Row],[ID]]="","",COUNTIF(NOTA[ID_H],NOTA[[#This Row],[ID_H]]))</f>
        <v/>
      </c>
      <c r="AK1002" s="39" t="str">
        <f ca="1">IF(NOTA[[#This Row],[TGL.NOTA]]="",IF(NOTA[[#This Row],[SUPPLIER_H]]="","",AK1001),MONTH(NOTA[[#This Row],[TGL.NOTA]]))</f>
        <v/>
      </c>
      <c r="AL1002" s="39" t="str">
        <f>LOWER(SUBSTITUTE(SUBSTITUTE(SUBSTITUTE(SUBSTITUTE(SUBSTITUTE(SUBSTITUTE(SUBSTITUTE(SUBSTITUTE(SUBSTITUTE(NOTA[NAMA BARANG]," ",),".",""),"-",""),"(",""),")",""),",",""),"/",""),"""",""),"+",""))</f>
        <v/>
      </c>
      <c r="AM10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39" t="str">
        <f>IF(NOTA[[#This Row],[CONCAT4]]="","",_xlfn.IFNA(MATCH(NOTA[[#This Row],[CONCAT4]],[2]!RAW[CONCAT_H],0),FALSE))</f>
        <v/>
      </c>
      <c r="AQ1002" s="39" t="str">
        <f>IF(NOTA[[#This Row],[CONCAT1]]="","",MATCH(NOTA[[#This Row],[CONCAT1]],[3]!db[NB NOTA_C],0))</f>
        <v/>
      </c>
      <c r="AR1002" s="39" t="str">
        <f>IF(NOTA[[#This Row],[QTY/ CTN]]="","",TRUE)</f>
        <v/>
      </c>
      <c r="AS1002" s="39" t="str">
        <f ca="1">IF(NOTA[[#This Row],[ID_H]]="","",IF(NOTA[[#This Row],[Column3]]=TRUE,NOTA[[#This Row],[QTY/ CTN]],INDEX([3]!db[QTY/ CTN],NOTA[[#This Row],[//DB]])))</f>
        <v/>
      </c>
      <c r="AT10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2" s="39" t="str">
        <f ca="1">IF(NOTA[[#This Row],[ID_H]]="","",MATCH(NOTA[[#This Row],[NB NOTA_C_QTY]],[4]!db[NB NOTA_C_QTY+F],0))</f>
        <v/>
      </c>
      <c r="AV1002" s="55" t="str">
        <f ca="1">IF(NOTA[[#This Row],[NB NOTA_C_QTY]]="","",ROW()-2)</f>
        <v/>
      </c>
    </row>
    <row r="1003" spans="1:48" ht="20.100000000000001" customHeight="1" x14ac:dyDescent="0.25">
      <c r="A10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39" t="str">
        <f>IF(NOTA[[#This Row],[ID_P]]="","",MATCH(NOTA[[#This Row],[ID_P]],[1]!B_MSK[N_ID],0))</f>
        <v/>
      </c>
      <c r="D1003" s="39" t="str">
        <f ca="1">IF(NOTA[[#This Row],[NAMA BARANG]]="","",INDEX(NOTA[ID],MATCH(,INDIRECT(ADDRESS(ROW(NOTA[ID]),COLUMN(NOTA[ID]))&amp;":"&amp;ADDRESS(ROW(),COLUMN(NOTA[ID]))),-1)))</f>
        <v/>
      </c>
      <c r="E1003" s="47"/>
      <c r="H1003" s="48"/>
      <c r="N1003" s="39"/>
      <c r="Q1003" s="43"/>
      <c r="R1003" s="49"/>
      <c r="S1003" s="50"/>
      <c r="U1003" s="51"/>
      <c r="V1003" s="46"/>
      <c r="W1003" s="51" t="str">
        <f>IF(NOTA[[#This Row],[HARGA/ CTN]]="",NOTA[[#This Row],[JUMLAH_H]],NOTA[[#This Row],[HARGA/ CTN]]*IF(NOTA[[#This Row],[C]]="",0,NOTA[[#This Row],[C]]))</f>
        <v/>
      </c>
      <c r="X1003" s="51" t="str">
        <f>IF(NOTA[[#This Row],[JUMLAH]]="","",NOTA[[#This Row],[JUMLAH]]*NOTA[[#This Row],[DISC 1]])</f>
        <v/>
      </c>
      <c r="Y1003" s="51" t="str">
        <f>IF(NOTA[[#This Row],[JUMLAH]]="","",(NOTA[[#This Row],[JUMLAH]]-NOTA[[#This Row],[DISC 1-]])*NOTA[[#This Row],[DISC 2]])</f>
        <v/>
      </c>
      <c r="Z1003" s="51" t="str">
        <f>IF(NOTA[[#This Row],[JUMLAH]]="","",NOTA[[#This Row],[DISC 1-]]+NOTA[[#This Row],[DISC 2-]])</f>
        <v/>
      </c>
      <c r="AA1003" s="51" t="str">
        <f>IF(NOTA[[#This Row],[JUMLAH]]="","",NOTA[[#This Row],[JUMLAH]]-NOTA[[#This Row],[DISC]])</f>
        <v/>
      </c>
      <c r="AB1003" s="51"/>
      <c r="AC10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51" t="str">
        <f>IF(OR(NOTA[[#This Row],[QTY]]="",NOTA[[#This Row],[HARGA SATUAN]]="",),"",NOTA[[#This Row],[QTY]]*NOTA[[#This Row],[HARGA SATUAN]])</f>
        <v/>
      </c>
      <c r="AG1003" s="40" t="str">
        <f ca="1">IF(NOTA[ID_H]="","",INDEX(NOTA[TANGGAL],MATCH(,INDIRECT(ADDRESS(ROW(NOTA[TANGGAL]),COLUMN(NOTA[TANGGAL]))&amp;":"&amp;ADDRESS(ROW(),COLUMN(NOTA[TANGGAL]))),-1)))</f>
        <v/>
      </c>
      <c r="AH1003" s="42" t="str">
        <f ca="1">IF(NOTA[[#This Row],[NAMA BARANG]]="","",INDEX(NOTA[SUPPLIER],MATCH(,INDIRECT(ADDRESS(ROW(NOTA[ID]),COLUMN(NOTA[ID]))&amp;":"&amp;ADDRESS(ROW(),COLUMN(NOTA[ID]))),-1)))</f>
        <v/>
      </c>
      <c r="AI1003" s="42" t="str">
        <f ca="1">IF(NOTA[[#This Row],[ID_H]]="","",IF(NOTA[[#This Row],[FAKTUR]]="",INDIRECT(ADDRESS(ROW()-1,COLUMN())),NOTA[[#This Row],[FAKTUR]]))</f>
        <v/>
      </c>
      <c r="AJ1003" s="39" t="str">
        <f ca="1">IF(NOTA[[#This Row],[ID]]="","",COUNTIF(NOTA[ID_H],NOTA[[#This Row],[ID_H]]))</f>
        <v/>
      </c>
      <c r="AK1003" s="39" t="str">
        <f ca="1">IF(NOTA[[#This Row],[TGL.NOTA]]="",IF(NOTA[[#This Row],[SUPPLIER_H]]="","",AK1002),MONTH(NOTA[[#This Row],[TGL.NOTA]]))</f>
        <v/>
      </c>
      <c r="AL1003" s="39" t="str">
        <f>LOWER(SUBSTITUTE(SUBSTITUTE(SUBSTITUTE(SUBSTITUTE(SUBSTITUTE(SUBSTITUTE(SUBSTITUTE(SUBSTITUTE(SUBSTITUTE(NOTA[NAMA BARANG]," ",),".",""),"-",""),"(",""),")",""),",",""),"/",""),"""",""),"+",""))</f>
        <v/>
      </c>
      <c r="AM10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39" t="str">
        <f>IF(NOTA[[#This Row],[CONCAT4]]="","",_xlfn.IFNA(MATCH(NOTA[[#This Row],[CONCAT4]],[2]!RAW[CONCAT_H],0),FALSE))</f>
        <v/>
      </c>
      <c r="AQ1003" s="39" t="str">
        <f>IF(NOTA[[#This Row],[CONCAT1]]="","",MATCH(NOTA[[#This Row],[CONCAT1]],[3]!db[NB NOTA_C],0))</f>
        <v/>
      </c>
      <c r="AR1003" s="39" t="str">
        <f>IF(NOTA[[#This Row],[QTY/ CTN]]="","",TRUE)</f>
        <v/>
      </c>
      <c r="AS1003" s="39" t="str">
        <f ca="1">IF(NOTA[[#This Row],[ID_H]]="","",IF(NOTA[[#This Row],[Column3]]=TRUE,NOTA[[#This Row],[QTY/ CTN]],INDEX([3]!db[QTY/ CTN],NOTA[[#This Row],[//DB]])))</f>
        <v/>
      </c>
      <c r="AT10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3" s="39" t="str">
        <f ca="1">IF(NOTA[[#This Row],[ID_H]]="","",MATCH(NOTA[[#This Row],[NB NOTA_C_QTY]],[4]!db[NB NOTA_C_QTY+F],0))</f>
        <v/>
      </c>
      <c r="AV1003" s="55" t="str">
        <f ca="1">IF(NOTA[[#This Row],[NB NOTA_C_QTY]]="","",ROW()-2)</f>
        <v/>
      </c>
    </row>
    <row r="1004" spans="1:48" ht="20.100000000000001" customHeight="1" x14ac:dyDescent="0.25">
      <c r="A10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39" t="str">
        <f>IF(NOTA[[#This Row],[ID_P]]="","",MATCH(NOTA[[#This Row],[ID_P]],[1]!B_MSK[N_ID],0))</f>
        <v/>
      </c>
      <c r="D1004" s="39" t="str">
        <f ca="1">IF(NOTA[[#This Row],[NAMA BARANG]]="","",INDEX(NOTA[ID],MATCH(,INDIRECT(ADDRESS(ROW(NOTA[ID]),COLUMN(NOTA[ID]))&amp;":"&amp;ADDRESS(ROW(),COLUMN(NOTA[ID]))),-1)))</f>
        <v/>
      </c>
      <c r="E1004" s="47"/>
      <c r="H1004" s="48"/>
      <c r="N1004" s="39"/>
      <c r="Q1004" s="43"/>
      <c r="R1004" s="49"/>
      <c r="S1004" s="50"/>
      <c r="U1004" s="51"/>
      <c r="V1004" s="46"/>
      <c r="W1004" s="51" t="str">
        <f>IF(NOTA[[#This Row],[HARGA/ CTN]]="",NOTA[[#This Row],[JUMLAH_H]],NOTA[[#This Row],[HARGA/ CTN]]*IF(NOTA[[#This Row],[C]]="",0,NOTA[[#This Row],[C]]))</f>
        <v/>
      </c>
      <c r="X1004" s="51" t="str">
        <f>IF(NOTA[[#This Row],[JUMLAH]]="","",NOTA[[#This Row],[JUMLAH]]*NOTA[[#This Row],[DISC 1]])</f>
        <v/>
      </c>
      <c r="Y1004" s="51" t="str">
        <f>IF(NOTA[[#This Row],[JUMLAH]]="","",(NOTA[[#This Row],[JUMLAH]]-NOTA[[#This Row],[DISC 1-]])*NOTA[[#This Row],[DISC 2]])</f>
        <v/>
      </c>
      <c r="Z1004" s="51" t="str">
        <f>IF(NOTA[[#This Row],[JUMLAH]]="","",NOTA[[#This Row],[DISC 1-]]+NOTA[[#This Row],[DISC 2-]])</f>
        <v/>
      </c>
      <c r="AA1004" s="51" t="str">
        <f>IF(NOTA[[#This Row],[JUMLAH]]="","",NOTA[[#This Row],[JUMLAH]]-NOTA[[#This Row],[DISC]])</f>
        <v/>
      </c>
      <c r="AB1004" s="51"/>
      <c r="AC10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4" s="51" t="str">
        <f>IF(OR(NOTA[[#This Row],[QTY]]="",NOTA[[#This Row],[HARGA SATUAN]]="",),"",NOTA[[#This Row],[QTY]]*NOTA[[#This Row],[HARGA SATUAN]])</f>
        <v/>
      </c>
      <c r="AG1004" s="40" t="str">
        <f ca="1">IF(NOTA[ID_H]="","",INDEX(NOTA[TANGGAL],MATCH(,INDIRECT(ADDRESS(ROW(NOTA[TANGGAL]),COLUMN(NOTA[TANGGAL]))&amp;":"&amp;ADDRESS(ROW(),COLUMN(NOTA[TANGGAL]))),-1)))</f>
        <v/>
      </c>
      <c r="AH1004" s="42" t="str">
        <f ca="1">IF(NOTA[[#This Row],[NAMA BARANG]]="","",INDEX(NOTA[SUPPLIER],MATCH(,INDIRECT(ADDRESS(ROW(NOTA[ID]),COLUMN(NOTA[ID]))&amp;":"&amp;ADDRESS(ROW(),COLUMN(NOTA[ID]))),-1)))</f>
        <v/>
      </c>
      <c r="AI1004" s="42" t="str">
        <f ca="1">IF(NOTA[[#This Row],[ID_H]]="","",IF(NOTA[[#This Row],[FAKTUR]]="",INDIRECT(ADDRESS(ROW()-1,COLUMN())),NOTA[[#This Row],[FAKTUR]]))</f>
        <v/>
      </c>
      <c r="AJ1004" s="39" t="str">
        <f ca="1">IF(NOTA[[#This Row],[ID]]="","",COUNTIF(NOTA[ID_H],NOTA[[#This Row],[ID_H]]))</f>
        <v/>
      </c>
      <c r="AK1004" s="39" t="str">
        <f ca="1">IF(NOTA[[#This Row],[TGL.NOTA]]="",IF(NOTA[[#This Row],[SUPPLIER_H]]="","",AK1003),MONTH(NOTA[[#This Row],[TGL.NOTA]]))</f>
        <v/>
      </c>
      <c r="AL1004" s="39" t="str">
        <f>LOWER(SUBSTITUTE(SUBSTITUTE(SUBSTITUTE(SUBSTITUTE(SUBSTITUTE(SUBSTITUTE(SUBSTITUTE(SUBSTITUTE(SUBSTITUTE(NOTA[NAMA BARANG]," ",),".",""),"-",""),"(",""),")",""),",",""),"/",""),"""",""),"+",""))</f>
        <v/>
      </c>
      <c r="AM10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4" s="39" t="str">
        <f>IF(NOTA[[#This Row],[CONCAT4]]="","",_xlfn.IFNA(MATCH(NOTA[[#This Row],[CONCAT4]],[2]!RAW[CONCAT_H],0),FALSE))</f>
        <v/>
      </c>
      <c r="AQ1004" s="39" t="str">
        <f>IF(NOTA[[#This Row],[CONCAT1]]="","",MATCH(NOTA[[#This Row],[CONCAT1]],[3]!db[NB NOTA_C],0))</f>
        <v/>
      </c>
      <c r="AR1004" s="39" t="str">
        <f>IF(NOTA[[#This Row],[QTY/ CTN]]="","",TRUE)</f>
        <v/>
      </c>
      <c r="AS1004" s="39" t="str">
        <f ca="1">IF(NOTA[[#This Row],[ID_H]]="","",IF(NOTA[[#This Row],[Column3]]=TRUE,NOTA[[#This Row],[QTY/ CTN]],INDEX([3]!db[QTY/ CTN],NOTA[[#This Row],[//DB]])))</f>
        <v/>
      </c>
      <c r="AT10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4" s="39" t="str">
        <f ca="1">IF(NOTA[[#This Row],[ID_H]]="","",MATCH(NOTA[[#This Row],[NB NOTA_C_QTY]],[4]!db[NB NOTA_C_QTY+F],0))</f>
        <v/>
      </c>
      <c r="AV1004" s="55" t="str">
        <f ca="1">IF(NOTA[[#This Row],[NB NOTA_C_QTY]]="","",ROW()-2)</f>
        <v/>
      </c>
    </row>
    <row r="1005" spans="1:48" ht="20.100000000000001" customHeight="1" x14ac:dyDescent="0.25">
      <c r="A10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39" t="str">
        <f>IF(NOTA[[#This Row],[ID_P]]="","",MATCH(NOTA[[#This Row],[ID_P]],[1]!B_MSK[N_ID],0))</f>
        <v/>
      </c>
      <c r="D1005" s="39" t="str">
        <f ca="1">IF(NOTA[[#This Row],[NAMA BARANG]]="","",INDEX(NOTA[ID],MATCH(,INDIRECT(ADDRESS(ROW(NOTA[ID]),COLUMN(NOTA[ID]))&amp;":"&amp;ADDRESS(ROW(),COLUMN(NOTA[ID]))),-1)))</f>
        <v/>
      </c>
      <c r="E1005" s="47"/>
      <c r="H1005" s="48"/>
      <c r="N1005" s="39"/>
      <c r="Q1005" s="43"/>
      <c r="R1005" s="49"/>
      <c r="S1005" s="50"/>
      <c r="U1005" s="51"/>
      <c r="V1005" s="46"/>
      <c r="W1005" s="51" t="str">
        <f>IF(NOTA[[#This Row],[HARGA/ CTN]]="",NOTA[[#This Row],[JUMLAH_H]],NOTA[[#This Row],[HARGA/ CTN]]*IF(NOTA[[#This Row],[C]]="",0,NOTA[[#This Row],[C]]))</f>
        <v/>
      </c>
      <c r="X1005" s="51" t="str">
        <f>IF(NOTA[[#This Row],[JUMLAH]]="","",NOTA[[#This Row],[JUMLAH]]*NOTA[[#This Row],[DISC 1]])</f>
        <v/>
      </c>
      <c r="Y1005" s="51" t="str">
        <f>IF(NOTA[[#This Row],[JUMLAH]]="","",(NOTA[[#This Row],[JUMLAH]]-NOTA[[#This Row],[DISC 1-]])*NOTA[[#This Row],[DISC 2]])</f>
        <v/>
      </c>
      <c r="Z1005" s="51" t="str">
        <f>IF(NOTA[[#This Row],[JUMLAH]]="","",NOTA[[#This Row],[DISC 1-]]+NOTA[[#This Row],[DISC 2-]])</f>
        <v/>
      </c>
      <c r="AA1005" s="51" t="str">
        <f>IF(NOTA[[#This Row],[JUMLAH]]="","",NOTA[[#This Row],[JUMLAH]]-NOTA[[#This Row],[DISC]])</f>
        <v/>
      </c>
      <c r="AB1005" s="51"/>
      <c r="AC10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5" s="51" t="str">
        <f>IF(OR(NOTA[[#This Row],[QTY]]="",NOTA[[#This Row],[HARGA SATUAN]]="",),"",NOTA[[#This Row],[QTY]]*NOTA[[#This Row],[HARGA SATUAN]])</f>
        <v/>
      </c>
      <c r="AG1005" s="40" t="str">
        <f ca="1">IF(NOTA[ID_H]="","",INDEX(NOTA[TANGGAL],MATCH(,INDIRECT(ADDRESS(ROW(NOTA[TANGGAL]),COLUMN(NOTA[TANGGAL]))&amp;":"&amp;ADDRESS(ROW(),COLUMN(NOTA[TANGGAL]))),-1)))</f>
        <v/>
      </c>
      <c r="AH1005" s="42" t="str">
        <f ca="1">IF(NOTA[[#This Row],[NAMA BARANG]]="","",INDEX(NOTA[SUPPLIER],MATCH(,INDIRECT(ADDRESS(ROW(NOTA[ID]),COLUMN(NOTA[ID]))&amp;":"&amp;ADDRESS(ROW(),COLUMN(NOTA[ID]))),-1)))</f>
        <v/>
      </c>
      <c r="AI1005" s="42" t="str">
        <f ca="1">IF(NOTA[[#This Row],[ID_H]]="","",IF(NOTA[[#This Row],[FAKTUR]]="",INDIRECT(ADDRESS(ROW()-1,COLUMN())),NOTA[[#This Row],[FAKTUR]]))</f>
        <v/>
      </c>
      <c r="AJ1005" s="39" t="str">
        <f ca="1">IF(NOTA[[#This Row],[ID]]="","",COUNTIF(NOTA[ID_H],NOTA[[#This Row],[ID_H]]))</f>
        <v/>
      </c>
      <c r="AK1005" s="39" t="str">
        <f ca="1">IF(NOTA[[#This Row],[TGL.NOTA]]="",IF(NOTA[[#This Row],[SUPPLIER_H]]="","",AK1004),MONTH(NOTA[[#This Row],[TGL.NOTA]]))</f>
        <v/>
      </c>
      <c r="AL1005" s="39" t="str">
        <f>LOWER(SUBSTITUTE(SUBSTITUTE(SUBSTITUTE(SUBSTITUTE(SUBSTITUTE(SUBSTITUTE(SUBSTITUTE(SUBSTITUTE(SUBSTITUTE(NOTA[NAMA BARANG]," ",),".",""),"-",""),"(",""),")",""),",",""),"/",""),"""",""),"+",""))</f>
        <v/>
      </c>
      <c r="AM10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39" t="str">
        <f>IF(NOTA[[#This Row],[CONCAT4]]="","",_xlfn.IFNA(MATCH(NOTA[[#This Row],[CONCAT4]],[2]!RAW[CONCAT_H],0),FALSE))</f>
        <v/>
      </c>
      <c r="AQ1005" s="39" t="str">
        <f>IF(NOTA[[#This Row],[CONCAT1]]="","",MATCH(NOTA[[#This Row],[CONCAT1]],[3]!db[NB NOTA_C],0))</f>
        <v/>
      </c>
      <c r="AR1005" s="39" t="str">
        <f>IF(NOTA[[#This Row],[QTY/ CTN]]="","",TRUE)</f>
        <v/>
      </c>
      <c r="AS1005" s="39" t="str">
        <f ca="1">IF(NOTA[[#This Row],[ID_H]]="","",IF(NOTA[[#This Row],[Column3]]=TRUE,NOTA[[#This Row],[QTY/ CTN]],INDEX([3]!db[QTY/ CTN],NOTA[[#This Row],[//DB]])))</f>
        <v/>
      </c>
      <c r="AT10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5" s="39" t="str">
        <f ca="1">IF(NOTA[[#This Row],[ID_H]]="","",MATCH(NOTA[[#This Row],[NB NOTA_C_QTY]],[4]!db[NB NOTA_C_QTY+F],0))</f>
        <v/>
      </c>
      <c r="AV1005" s="55" t="str">
        <f ca="1">IF(NOTA[[#This Row],[NB NOTA_C_QTY]]="","",ROW()-2)</f>
        <v/>
      </c>
    </row>
    <row r="1006" spans="1:48" ht="20.100000000000001" customHeight="1" x14ac:dyDescent="0.25">
      <c r="A10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39" t="str">
        <f>IF(NOTA[[#This Row],[ID_P]]="","",MATCH(NOTA[[#This Row],[ID_P]],[1]!B_MSK[N_ID],0))</f>
        <v/>
      </c>
      <c r="D1006" s="39" t="str">
        <f ca="1">IF(NOTA[[#This Row],[NAMA BARANG]]="","",INDEX(NOTA[ID],MATCH(,INDIRECT(ADDRESS(ROW(NOTA[ID]),COLUMN(NOTA[ID]))&amp;":"&amp;ADDRESS(ROW(),COLUMN(NOTA[ID]))),-1)))</f>
        <v/>
      </c>
      <c r="E1006" s="47"/>
      <c r="H1006" s="48"/>
      <c r="N1006" s="39"/>
      <c r="Q1006" s="43"/>
      <c r="R1006" s="49"/>
      <c r="S1006" s="50"/>
      <c r="U1006" s="51"/>
      <c r="V1006" s="46"/>
      <c r="W1006" s="51" t="str">
        <f>IF(NOTA[[#This Row],[HARGA/ CTN]]="",NOTA[[#This Row],[JUMLAH_H]],NOTA[[#This Row],[HARGA/ CTN]]*IF(NOTA[[#This Row],[C]]="",0,NOTA[[#This Row],[C]]))</f>
        <v/>
      </c>
      <c r="X1006" s="51" t="str">
        <f>IF(NOTA[[#This Row],[JUMLAH]]="","",NOTA[[#This Row],[JUMLAH]]*NOTA[[#This Row],[DISC 1]])</f>
        <v/>
      </c>
      <c r="Y1006" s="51" t="str">
        <f>IF(NOTA[[#This Row],[JUMLAH]]="","",(NOTA[[#This Row],[JUMLAH]]-NOTA[[#This Row],[DISC 1-]])*NOTA[[#This Row],[DISC 2]])</f>
        <v/>
      </c>
      <c r="Z1006" s="51" t="str">
        <f>IF(NOTA[[#This Row],[JUMLAH]]="","",NOTA[[#This Row],[DISC 1-]]+NOTA[[#This Row],[DISC 2-]])</f>
        <v/>
      </c>
      <c r="AA1006" s="51" t="str">
        <f>IF(NOTA[[#This Row],[JUMLAH]]="","",NOTA[[#This Row],[JUMLAH]]-NOTA[[#This Row],[DISC]])</f>
        <v/>
      </c>
      <c r="AB1006" s="51"/>
      <c r="AC10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6" s="51" t="str">
        <f>IF(OR(NOTA[[#This Row],[QTY]]="",NOTA[[#This Row],[HARGA SATUAN]]="",),"",NOTA[[#This Row],[QTY]]*NOTA[[#This Row],[HARGA SATUAN]])</f>
        <v/>
      </c>
      <c r="AG1006" s="40" t="str">
        <f ca="1">IF(NOTA[ID_H]="","",INDEX(NOTA[TANGGAL],MATCH(,INDIRECT(ADDRESS(ROW(NOTA[TANGGAL]),COLUMN(NOTA[TANGGAL]))&amp;":"&amp;ADDRESS(ROW(),COLUMN(NOTA[TANGGAL]))),-1)))</f>
        <v/>
      </c>
      <c r="AH1006" s="42" t="str">
        <f ca="1">IF(NOTA[[#This Row],[NAMA BARANG]]="","",INDEX(NOTA[SUPPLIER],MATCH(,INDIRECT(ADDRESS(ROW(NOTA[ID]),COLUMN(NOTA[ID]))&amp;":"&amp;ADDRESS(ROW(),COLUMN(NOTA[ID]))),-1)))</f>
        <v/>
      </c>
      <c r="AI1006" s="42" t="str">
        <f ca="1">IF(NOTA[[#This Row],[ID_H]]="","",IF(NOTA[[#This Row],[FAKTUR]]="",INDIRECT(ADDRESS(ROW()-1,COLUMN())),NOTA[[#This Row],[FAKTUR]]))</f>
        <v/>
      </c>
      <c r="AJ1006" s="39" t="str">
        <f ca="1">IF(NOTA[[#This Row],[ID]]="","",COUNTIF(NOTA[ID_H],NOTA[[#This Row],[ID_H]]))</f>
        <v/>
      </c>
      <c r="AK1006" s="39" t="str">
        <f ca="1">IF(NOTA[[#This Row],[TGL.NOTA]]="",IF(NOTA[[#This Row],[SUPPLIER_H]]="","",AK1005),MONTH(NOTA[[#This Row],[TGL.NOTA]]))</f>
        <v/>
      </c>
      <c r="AL1006" s="39" t="str">
        <f>LOWER(SUBSTITUTE(SUBSTITUTE(SUBSTITUTE(SUBSTITUTE(SUBSTITUTE(SUBSTITUTE(SUBSTITUTE(SUBSTITUTE(SUBSTITUTE(NOTA[NAMA BARANG]," ",),".",""),"-",""),"(",""),")",""),",",""),"/",""),"""",""),"+",""))</f>
        <v/>
      </c>
      <c r="AM10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39" t="str">
        <f>IF(NOTA[[#This Row],[CONCAT4]]="","",_xlfn.IFNA(MATCH(NOTA[[#This Row],[CONCAT4]],[2]!RAW[CONCAT_H],0),FALSE))</f>
        <v/>
      </c>
      <c r="AQ1006" s="39" t="str">
        <f>IF(NOTA[[#This Row],[CONCAT1]]="","",MATCH(NOTA[[#This Row],[CONCAT1]],[3]!db[NB NOTA_C],0))</f>
        <v/>
      </c>
      <c r="AR1006" s="39" t="str">
        <f>IF(NOTA[[#This Row],[QTY/ CTN]]="","",TRUE)</f>
        <v/>
      </c>
      <c r="AS1006" s="39" t="str">
        <f ca="1">IF(NOTA[[#This Row],[ID_H]]="","",IF(NOTA[[#This Row],[Column3]]=TRUE,NOTA[[#This Row],[QTY/ CTN]],INDEX([3]!db[QTY/ CTN],NOTA[[#This Row],[//DB]])))</f>
        <v/>
      </c>
      <c r="AT10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6" s="39" t="str">
        <f ca="1">IF(NOTA[[#This Row],[ID_H]]="","",MATCH(NOTA[[#This Row],[NB NOTA_C_QTY]],[4]!db[NB NOTA_C_QTY+F],0))</f>
        <v/>
      </c>
      <c r="AV1006" s="55" t="str">
        <f ca="1">IF(NOTA[[#This Row],[NB NOTA_C_QTY]]="","",ROW()-2)</f>
        <v/>
      </c>
    </row>
    <row r="1007" spans="1:48" ht="20.100000000000001" customHeight="1" x14ac:dyDescent="0.25">
      <c r="A10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39" t="str">
        <f>IF(NOTA[[#This Row],[ID_P]]="","",MATCH(NOTA[[#This Row],[ID_P]],[1]!B_MSK[N_ID],0))</f>
        <v/>
      </c>
      <c r="D1007" s="39" t="str">
        <f ca="1">IF(NOTA[[#This Row],[NAMA BARANG]]="","",INDEX(NOTA[ID],MATCH(,INDIRECT(ADDRESS(ROW(NOTA[ID]),COLUMN(NOTA[ID]))&amp;":"&amp;ADDRESS(ROW(),COLUMN(NOTA[ID]))),-1)))</f>
        <v/>
      </c>
      <c r="E1007" s="47"/>
      <c r="H1007" s="48"/>
      <c r="N1007" s="39"/>
      <c r="Q1007" s="43"/>
      <c r="R1007" s="49"/>
      <c r="S1007" s="50"/>
      <c r="U1007" s="51"/>
      <c r="V1007" s="46"/>
      <c r="W1007" s="51" t="str">
        <f>IF(NOTA[[#This Row],[HARGA/ CTN]]="",NOTA[[#This Row],[JUMLAH_H]],NOTA[[#This Row],[HARGA/ CTN]]*IF(NOTA[[#This Row],[C]]="",0,NOTA[[#This Row],[C]]))</f>
        <v/>
      </c>
      <c r="X1007" s="51" t="str">
        <f>IF(NOTA[[#This Row],[JUMLAH]]="","",NOTA[[#This Row],[JUMLAH]]*NOTA[[#This Row],[DISC 1]])</f>
        <v/>
      </c>
      <c r="Y1007" s="51" t="str">
        <f>IF(NOTA[[#This Row],[JUMLAH]]="","",(NOTA[[#This Row],[JUMLAH]]-NOTA[[#This Row],[DISC 1-]])*NOTA[[#This Row],[DISC 2]])</f>
        <v/>
      </c>
      <c r="Z1007" s="51" t="str">
        <f>IF(NOTA[[#This Row],[JUMLAH]]="","",NOTA[[#This Row],[DISC 1-]]+NOTA[[#This Row],[DISC 2-]])</f>
        <v/>
      </c>
      <c r="AA1007" s="51" t="str">
        <f>IF(NOTA[[#This Row],[JUMLAH]]="","",NOTA[[#This Row],[JUMLAH]]-NOTA[[#This Row],[DISC]])</f>
        <v/>
      </c>
      <c r="AB1007" s="51"/>
      <c r="AC10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7" s="51" t="str">
        <f>IF(OR(NOTA[[#This Row],[QTY]]="",NOTA[[#This Row],[HARGA SATUAN]]="",),"",NOTA[[#This Row],[QTY]]*NOTA[[#This Row],[HARGA SATUAN]])</f>
        <v/>
      </c>
      <c r="AG1007" s="40" t="str">
        <f ca="1">IF(NOTA[ID_H]="","",INDEX(NOTA[TANGGAL],MATCH(,INDIRECT(ADDRESS(ROW(NOTA[TANGGAL]),COLUMN(NOTA[TANGGAL]))&amp;":"&amp;ADDRESS(ROW(),COLUMN(NOTA[TANGGAL]))),-1)))</f>
        <v/>
      </c>
      <c r="AH1007" s="42" t="str">
        <f ca="1">IF(NOTA[[#This Row],[NAMA BARANG]]="","",INDEX(NOTA[SUPPLIER],MATCH(,INDIRECT(ADDRESS(ROW(NOTA[ID]),COLUMN(NOTA[ID]))&amp;":"&amp;ADDRESS(ROW(),COLUMN(NOTA[ID]))),-1)))</f>
        <v/>
      </c>
      <c r="AI1007" s="42" t="str">
        <f ca="1">IF(NOTA[[#This Row],[ID_H]]="","",IF(NOTA[[#This Row],[FAKTUR]]="",INDIRECT(ADDRESS(ROW()-1,COLUMN())),NOTA[[#This Row],[FAKTUR]]))</f>
        <v/>
      </c>
      <c r="AJ1007" s="39" t="str">
        <f ca="1">IF(NOTA[[#This Row],[ID]]="","",COUNTIF(NOTA[ID_H],NOTA[[#This Row],[ID_H]]))</f>
        <v/>
      </c>
      <c r="AK1007" s="39" t="str">
        <f ca="1">IF(NOTA[[#This Row],[TGL.NOTA]]="",IF(NOTA[[#This Row],[SUPPLIER_H]]="","",AK1006),MONTH(NOTA[[#This Row],[TGL.NOTA]]))</f>
        <v/>
      </c>
      <c r="AL1007" s="39" t="str">
        <f>LOWER(SUBSTITUTE(SUBSTITUTE(SUBSTITUTE(SUBSTITUTE(SUBSTITUTE(SUBSTITUTE(SUBSTITUTE(SUBSTITUTE(SUBSTITUTE(NOTA[NAMA BARANG]," ",),".",""),"-",""),"(",""),")",""),",",""),"/",""),"""",""),"+",""))</f>
        <v/>
      </c>
      <c r="AM10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39" t="str">
        <f>IF(NOTA[[#This Row],[CONCAT4]]="","",_xlfn.IFNA(MATCH(NOTA[[#This Row],[CONCAT4]],[2]!RAW[CONCAT_H],0),FALSE))</f>
        <v/>
      </c>
      <c r="AQ1007" s="39" t="str">
        <f>IF(NOTA[[#This Row],[CONCAT1]]="","",MATCH(NOTA[[#This Row],[CONCAT1]],[3]!db[NB NOTA_C],0))</f>
        <v/>
      </c>
      <c r="AR1007" s="39" t="str">
        <f>IF(NOTA[[#This Row],[QTY/ CTN]]="","",TRUE)</f>
        <v/>
      </c>
      <c r="AS1007" s="39" t="str">
        <f ca="1">IF(NOTA[[#This Row],[ID_H]]="","",IF(NOTA[[#This Row],[Column3]]=TRUE,NOTA[[#This Row],[QTY/ CTN]],INDEX([3]!db[QTY/ CTN],NOTA[[#This Row],[//DB]])))</f>
        <v/>
      </c>
      <c r="AT10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7" s="39" t="str">
        <f ca="1">IF(NOTA[[#This Row],[ID_H]]="","",MATCH(NOTA[[#This Row],[NB NOTA_C_QTY]],[4]!db[NB NOTA_C_QTY+F],0))</f>
        <v/>
      </c>
      <c r="AV1007" s="55" t="str">
        <f ca="1">IF(NOTA[[#This Row],[NB NOTA_C_QTY]]="","",ROW()-2)</f>
        <v/>
      </c>
    </row>
    <row r="1008" spans="1:48" ht="20.100000000000001" customHeight="1" x14ac:dyDescent="0.25">
      <c r="A10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39" t="str">
        <f>IF(NOTA[[#This Row],[ID_P]]="","",MATCH(NOTA[[#This Row],[ID_P]],[1]!B_MSK[N_ID],0))</f>
        <v/>
      </c>
      <c r="D1008" s="39" t="str">
        <f ca="1">IF(NOTA[[#This Row],[NAMA BARANG]]="","",INDEX(NOTA[ID],MATCH(,INDIRECT(ADDRESS(ROW(NOTA[ID]),COLUMN(NOTA[ID]))&amp;":"&amp;ADDRESS(ROW(),COLUMN(NOTA[ID]))),-1)))</f>
        <v/>
      </c>
      <c r="E1008" s="47"/>
      <c r="H1008" s="48"/>
      <c r="N1008" s="39"/>
      <c r="Q1008" s="43"/>
      <c r="R1008" s="49"/>
      <c r="S1008" s="50"/>
      <c r="U1008" s="51"/>
      <c r="V1008" s="46"/>
      <c r="W1008" s="51" t="str">
        <f>IF(NOTA[[#This Row],[HARGA/ CTN]]="",NOTA[[#This Row],[JUMLAH_H]],NOTA[[#This Row],[HARGA/ CTN]]*IF(NOTA[[#This Row],[C]]="",0,NOTA[[#This Row],[C]]))</f>
        <v/>
      </c>
      <c r="X1008" s="51" t="str">
        <f>IF(NOTA[[#This Row],[JUMLAH]]="","",NOTA[[#This Row],[JUMLAH]]*NOTA[[#This Row],[DISC 1]])</f>
        <v/>
      </c>
      <c r="Y1008" s="51" t="str">
        <f>IF(NOTA[[#This Row],[JUMLAH]]="","",(NOTA[[#This Row],[JUMLAH]]-NOTA[[#This Row],[DISC 1-]])*NOTA[[#This Row],[DISC 2]])</f>
        <v/>
      </c>
      <c r="Z1008" s="51" t="str">
        <f>IF(NOTA[[#This Row],[JUMLAH]]="","",NOTA[[#This Row],[DISC 1-]]+NOTA[[#This Row],[DISC 2-]])</f>
        <v/>
      </c>
      <c r="AA1008" s="51" t="str">
        <f>IF(NOTA[[#This Row],[JUMLAH]]="","",NOTA[[#This Row],[JUMLAH]]-NOTA[[#This Row],[DISC]])</f>
        <v/>
      </c>
      <c r="AB1008" s="51"/>
      <c r="AC10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8" s="51" t="str">
        <f>IF(OR(NOTA[[#This Row],[QTY]]="",NOTA[[#This Row],[HARGA SATUAN]]="",),"",NOTA[[#This Row],[QTY]]*NOTA[[#This Row],[HARGA SATUAN]])</f>
        <v/>
      </c>
      <c r="AG1008" s="40" t="str">
        <f ca="1">IF(NOTA[ID_H]="","",INDEX(NOTA[TANGGAL],MATCH(,INDIRECT(ADDRESS(ROW(NOTA[TANGGAL]),COLUMN(NOTA[TANGGAL]))&amp;":"&amp;ADDRESS(ROW(),COLUMN(NOTA[TANGGAL]))),-1)))</f>
        <v/>
      </c>
      <c r="AH1008" s="42" t="str">
        <f ca="1">IF(NOTA[[#This Row],[NAMA BARANG]]="","",INDEX(NOTA[SUPPLIER],MATCH(,INDIRECT(ADDRESS(ROW(NOTA[ID]),COLUMN(NOTA[ID]))&amp;":"&amp;ADDRESS(ROW(),COLUMN(NOTA[ID]))),-1)))</f>
        <v/>
      </c>
      <c r="AI1008" s="42" t="str">
        <f ca="1">IF(NOTA[[#This Row],[ID_H]]="","",IF(NOTA[[#This Row],[FAKTUR]]="",INDIRECT(ADDRESS(ROW()-1,COLUMN())),NOTA[[#This Row],[FAKTUR]]))</f>
        <v/>
      </c>
      <c r="AJ1008" s="39" t="str">
        <f ca="1">IF(NOTA[[#This Row],[ID]]="","",COUNTIF(NOTA[ID_H],NOTA[[#This Row],[ID_H]]))</f>
        <v/>
      </c>
      <c r="AK1008" s="39" t="str">
        <f ca="1">IF(NOTA[[#This Row],[TGL.NOTA]]="",IF(NOTA[[#This Row],[SUPPLIER_H]]="","",AK1007),MONTH(NOTA[[#This Row],[TGL.NOTA]]))</f>
        <v/>
      </c>
      <c r="AL1008" s="39" t="str">
        <f>LOWER(SUBSTITUTE(SUBSTITUTE(SUBSTITUTE(SUBSTITUTE(SUBSTITUTE(SUBSTITUTE(SUBSTITUTE(SUBSTITUTE(SUBSTITUTE(NOTA[NAMA BARANG]," ",),".",""),"-",""),"(",""),")",""),",",""),"/",""),"""",""),"+",""))</f>
        <v/>
      </c>
      <c r="AM10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39" t="str">
        <f>IF(NOTA[[#This Row],[CONCAT4]]="","",_xlfn.IFNA(MATCH(NOTA[[#This Row],[CONCAT4]],[2]!RAW[CONCAT_H],0),FALSE))</f>
        <v/>
      </c>
      <c r="AQ1008" s="39" t="str">
        <f>IF(NOTA[[#This Row],[CONCAT1]]="","",MATCH(NOTA[[#This Row],[CONCAT1]],[3]!db[NB NOTA_C],0))</f>
        <v/>
      </c>
      <c r="AR1008" s="39" t="str">
        <f>IF(NOTA[[#This Row],[QTY/ CTN]]="","",TRUE)</f>
        <v/>
      </c>
      <c r="AS1008" s="39" t="str">
        <f ca="1">IF(NOTA[[#This Row],[ID_H]]="","",IF(NOTA[[#This Row],[Column3]]=TRUE,NOTA[[#This Row],[QTY/ CTN]],INDEX([3]!db[QTY/ CTN],NOTA[[#This Row],[//DB]])))</f>
        <v/>
      </c>
      <c r="AT10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8" s="39" t="str">
        <f ca="1">IF(NOTA[[#This Row],[ID_H]]="","",MATCH(NOTA[[#This Row],[NB NOTA_C_QTY]],[4]!db[NB NOTA_C_QTY+F],0))</f>
        <v/>
      </c>
      <c r="AV1008" s="55" t="str">
        <f ca="1">IF(NOTA[[#This Row],[NB NOTA_C_QTY]]="","",ROW()-2)</f>
        <v/>
      </c>
    </row>
    <row r="1009" spans="1:48" ht="20.100000000000001" customHeight="1" x14ac:dyDescent="0.25">
      <c r="A10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39" t="str">
        <f>IF(NOTA[[#This Row],[ID_P]]="","",MATCH(NOTA[[#This Row],[ID_P]],[1]!B_MSK[N_ID],0))</f>
        <v/>
      </c>
      <c r="D1009" s="39" t="str">
        <f ca="1">IF(NOTA[[#This Row],[NAMA BARANG]]="","",INDEX(NOTA[ID],MATCH(,INDIRECT(ADDRESS(ROW(NOTA[ID]),COLUMN(NOTA[ID]))&amp;":"&amp;ADDRESS(ROW(),COLUMN(NOTA[ID]))),-1)))</f>
        <v/>
      </c>
      <c r="E1009" s="47"/>
      <c r="H1009" s="48"/>
      <c r="N1009" s="39"/>
      <c r="Q1009" s="43"/>
      <c r="R1009" s="49"/>
      <c r="S1009" s="50"/>
      <c r="U1009" s="51"/>
      <c r="V1009" s="46"/>
      <c r="W1009" s="51" t="str">
        <f>IF(NOTA[[#This Row],[HARGA/ CTN]]="",NOTA[[#This Row],[JUMLAH_H]],NOTA[[#This Row],[HARGA/ CTN]]*IF(NOTA[[#This Row],[C]]="",0,NOTA[[#This Row],[C]]))</f>
        <v/>
      </c>
      <c r="X1009" s="51" t="str">
        <f>IF(NOTA[[#This Row],[JUMLAH]]="","",NOTA[[#This Row],[JUMLAH]]*NOTA[[#This Row],[DISC 1]])</f>
        <v/>
      </c>
      <c r="Y1009" s="51" t="str">
        <f>IF(NOTA[[#This Row],[JUMLAH]]="","",(NOTA[[#This Row],[JUMLAH]]-NOTA[[#This Row],[DISC 1-]])*NOTA[[#This Row],[DISC 2]])</f>
        <v/>
      </c>
      <c r="Z1009" s="51" t="str">
        <f>IF(NOTA[[#This Row],[JUMLAH]]="","",NOTA[[#This Row],[DISC 1-]]+NOTA[[#This Row],[DISC 2-]])</f>
        <v/>
      </c>
      <c r="AA1009" s="51" t="str">
        <f>IF(NOTA[[#This Row],[JUMLAH]]="","",NOTA[[#This Row],[JUMLAH]]-NOTA[[#This Row],[DISC]])</f>
        <v/>
      </c>
      <c r="AB1009" s="51"/>
      <c r="AC10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9" s="51" t="str">
        <f>IF(OR(NOTA[[#This Row],[QTY]]="",NOTA[[#This Row],[HARGA SATUAN]]="",),"",NOTA[[#This Row],[QTY]]*NOTA[[#This Row],[HARGA SATUAN]])</f>
        <v/>
      </c>
      <c r="AG1009" s="40" t="str">
        <f ca="1">IF(NOTA[ID_H]="","",INDEX(NOTA[TANGGAL],MATCH(,INDIRECT(ADDRESS(ROW(NOTA[TANGGAL]),COLUMN(NOTA[TANGGAL]))&amp;":"&amp;ADDRESS(ROW(),COLUMN(NOTA[TANGGAL]))),-1)))</f>
        <v/>
      </c>
      <c r="AH1009" s="42" t="str">
        <f ca="1">IF(NOTA[[#This Row],[NAMA BARANG]]="","",INDEX(NOTA[SUPPLIER],MATCH(,INDIRECT(ADDRESS(ROW(NOTA[ID]),COLUMN(NOTA[ID]))&amp;":"&amp;ADDRESS(ROW(),COLUMN(NOTA[ID]))),-1)))</f>
        <v/>
      </c>
      <c r="AI1009" s="42" t="str">
        <f ca="1">IF(NOTA[[#This Row],[ID_H]]="","",IF(NOTA[[#This Row],[FAKTUR]]="",INDIRECT(ADDRESS(ROW()-1,COLUMN())),NOTA[[#This Row],[FAKTUR]]))</f>
        <v/>
      </c>
      <c r="AJ1009" s="39" t="str">
        <f ca="1">IF(NOTA[[#This Row],[ID]]="","",COUNTIF(NOTA[ID_H],NOTA[[#This Row],[ID_H]]))</f>
        <v/>
      </c>
      <c r="AK1009" s="39" t="str">
        <f ca="1">IF(NOTA[[#This Row],[TGL.NOTA]]="",IF(NOTA[[#This Row],[SUPPLIER_H]]="","",AK1008),MONTH(NOTA[[#This Row],[TGL.NOTA]]))</f>
        <v/>
      </c>
      <c r="AL1009" s="39" t="str">
        <f>LOWER(SUBSTITUTE(SUBSTITUTE(SUBSTITUTE(SUBSTITUTE(SUBSTITUTE(SUBSTITUTE(SUBSTITUTE(SUBSTITUTE(SUBSTITUTE(NOTA[NAMA BARANG]," ",),".",""),"-",""),"(",""),")",""),",",""),"/",""),"""",""),"+",""))</f>
        <v/>
      </c>
      <c r="AM10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39" t="str">
        <f>IF(NOTA[[#This Row],[CONCAT4]]="","",_xlfn.IFNA(MATCH(NOTA[[#This Row],[CONCAT4]],[2]!RAW[CONCAT_H],0),FALSE))</f>
        <v/>
      </c>
      <c r="AQ1009" s="39" t="str">
        <f>IF(NOTA[[#This Row],[CONCAT1]]="","",MATCH(NOTA[[#This Row],[CONCAT1]],[3]!db[NB NOTA_C],0))</f>
        <v/>
      </c>
      <c r="AR1009" s="39" t="str">
        <f>IF(NOTA[[#This Row],[QTY/ CTN]]="","",TRUE)</f>
        <v/>
      </c>
      <c r="AS1009" s="39" t="str">
        <f ca="1">IF(NOTA[[#This Row],[ID_H]]="","",IF(NOTA[[#This Row],[Column3]]=TRUE,NOTA[[#This Row],[QTY/ CTN]],INDEX([3]!db[QTY/ CTN],NOTA[[#This Row],[//DB]])))</f>
        <v/>
      </c>
      <c r="AT10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9" s="39" t="str">
        <f ca="1">IF(NOTA[[#This Row],[ID_H]]="","",MATCH(NOTA[[#This Row],[NB NOTA_C_QTY]],[4]!db[NB NOTA_C_QTY+F],0))</f>
        <v/>
      </c>
      <c r="AV1009" s="55" t="str">
        <f ca="1">IF(NOTA[[#This Row],[NB NOTA_C_QTY]]="","",ROW()-2)</f>
        <v/>
      </c>
    </row>
    <row r="1010" spans="1:48" ht="20.100000000000001" customHeight="1" x14ac:dyDescent="0.25">
      <c r="A10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39" t="str">
        <f>IF(NOTA[[#This Row],[ID_P]]="","",MATCH(NOTA[[#This Row],[ID_P]],[1]!B_MSK[N_ID],0))</f>
        <v/>
      </c>
      <c r="D1010" s="39" t="str">
        <f ca="1">IF(NOTA[[#This Row],[NAMA BARANG]]="","",INDEX(NOTA[ID],MATCH(,INDIRECT(ADDRESS(ROW(NOTA[ID]),COLUMN(NOTA[ID]))&amp;":"&amp;ADDRESS(ROW(),COLUMN(NOTA[ID]))),-1)))</f>
        <v/>
      </c>
      <c r="E1010" s="47"/>
      <c r="H1010" s="48"/>
      <c r="N1010" s="39"/>
      <c r="Q1010" s="43"/>
      <c r="R1010" s="49"/>
      <c r="S1010" s="50"/>
      <c r="U1010" s="51"/>
      <c r="V1010" s="46"/>
      <c r="W1010" s="51" t="str">
        <f>IF(NOTA[[#This Row],[HARGA/ CTN]]="",NOTA[[#This Row],[JUMLAH_H]],NOTA[[#This Row],[HARGA/ CTN]]*IF(NOTA[[#This Row],[C]]="",0,NOTA[[#This Row],[C]]))</f>
        <v/>
      </c>
      <c r="X1010" s="51" t="str">
        <f>IF(NOTA[[#This Row],[JUMLAH]]="","",NOTA[[#This Row],[JUMLAH]]*NOTA[[#This Row],[DISC 1]])</f>
        <v/>
      </c>
      <c r="Y1010" s="51" t="str">
        <f>IF(NOTA[[#This Row],[JUMLAH]]="","",(NOTA[[#This Row],[JUMLAH]]-NOTA[[#This Row],[DISC 1-]])*NOTA[[#This Row],[DISC 2]])</f>
        <v/>
      </c>
      <c r="Z1010" s="51" t="str">
        <f>IF(NOTA[[#This Row],[JUMLAH]]="","",NOTA[[#This Row],[DISC 1-]]+NOTA[[#This Row],[DISC 2-]])</f>
        <v/>
      </c>
      <c r="AA1010" s="51" t="str">
        <f>IF(NOTA[[#This Row],[JUMLAH]]="","",NOTA[[#This Row],[JUMLAH]]-NOTA[[#This Row],[DISC]])</f>
        <v/>
      </c>
      <c r="AB1010" s="51"/>
      <c r="AC10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0" s="51" t="str">
        <f>IF(OR(NOTA[[#This Row],[QTY]]="",NOTA[[#This Row],[HARGA SATUAN]]="",),"",NOTA[[#This Row],[QTY]]*NOTA[[#This Row],[HARGA SATUAN]])</f>
        <v/>
      </c>
      <c r="AG1010" s="40" t="str">
        <f ca="1">IF(NOTA[ID_H]="","",INDEX(NOTA[TANGGAL],MATCH(,INDIRECT(ADDRESS(ROW(NOTA[TANGGAL]),COLUMN(NOTA[TANGGAL]))&amp;":"&amp;ADDRESS(ROW(),COLUMN(NOTA[TANGGAL]))),-1)))</f>
        <v/>
      </c>
      <c r="AH1010" s="42" t="str">
        <f ca="1">IF(NOTA[[#This Row],[NAMA BARANG]]="","",INDEX(NOTA[SUPPLIER],MATCH(,INDIRECT(ADDRESS(ROW(NOTA[ID]),COLUMN(NOTA[ID]))&amp;":"&amp;ADDRESS(ROW(),COLUMN(NOTA[ID]))),-1)))</f>
        <v/>
      </c>
      <c r="AI1010" s="42" t="str">
        <f ca="1">IF(NOTA[[#This Row],[ID_H]]="","",IF(NOTA[[#This Row],[FAKTUR]]="",INDIRECT(ADDRESS(ROW()-1,COLUMN())),NOTA[[#This Row],[FAKTUR]]))</f>
        <v/>
      </c>
      <c r="AJ1010" s="39" t="str">
        <f ca="1">IF(NOTA[[#This Row],[ID]]="","",COUNTIF(NOTA[ID_H],NOTA[[#This Row],[ID_H]]))</f>
        <v/>
      </c>
      <c r="AK1010" s="39" t="str">
        <f ca="1">IF(NOTA[[#This Row],[TGL.NOTA]]="",IF(NOTA[[#This Row],[SUPPLIER_H]]="","",AK1009),MONTH(NOTA[[#This Row],[TGL.NOTA]]))</f>
        <v/>
      </c>
      <c r="AL1010" s="39" t="str">
        <f>LOWER(SUBSTITUTE(SUBSTITUTE(SUBSTITUTE(SUBSTITUTE(SUBSTITUTE(SUBSTITUTE(SUBSTITUTE(SUBSTITUTE(SUBSTITUTE(NOTA[NAMA BARANG]," ",),".",""),"-",""),"(",""),")",""),",",""),"/",""),"""",""),"+",""))</f>
        <v/>
      </c>
      <c r="AM10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39" t="str">
        <f>IF(NOTA[[#This Row],[CONCAT4]]="","",_xlfn.IFNA(MATCH(NOTA[[#This Row],[CONCAT4]],[2]!RAW[CONCAT_H],0),FALSE))</f>
        <v/>
      </c>
      <c r="AQ1010" s="39" t="str">
        <f>IF(NOTA[[#This Row],[CONCAT1]]="","",MATCH(NOTA[[#This Row],[CONCAT1]],[3]!db[NB NOTA_C],0))</f>
        <v/>
      </c>
      <c r="AR1010" s="39" t="str">
        <f>IF(NOTA[[#This Row],[QTY/ CTN]]="","",TRUE)</f>
        <v/>
      </c>
      <c r="AS1010" s="39" t="str">
        <f ca="1">IF(NOTA[[#This Row],[ID_H]]="","",IF(NOTA[[#This Row],[Column3]]=TRUE,NOTA[[#This Row],[QTY/ CTN]],INDEX([3]!db[QTY/ CTN],NOTA[[#This Row],[//DB]])))</f>
        <v/>
      </c>
      <c r="AT10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0" s="39" t="str">
        <f ca="1">IF(NOTA[[#This Row],[ID_H]]="","",MATCH(NOTA[[#This Row],[NB NOTA_C_QTY]],[4]!db[NB NOTA_C_QTY+F],0))</f>
        <v/>
      </c>
      <c r="AV1010" s="55" t="str">
        <f ca="1">IF(NOTA[[#This Row],[NB NOTA_C_QTY]]="","",ROW()-2)</f>
        <v/>
      </c>
    </row>
    <row r="1011" spans="1:48" ht="20.100000000000001" customHeight="1" x14ac:dyDescent="0.25">
      <c r="A10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39" t="str">
        <f>IF(NOTA[[#This Row],[ID_P]]="","",MATCH(NOTA[[#This Row],[ID_P]],[1]!B_MSK[N_ID],0))</f>
        <v/>
      </c>
      <c r="D1011" s="39" t="str">
        <f ca="1">IF(NOTA[[#This Row],[NAMA BARANG]]="","",INDEX(NOTA[ID],MATCH(,INDIRECT(ADDRESS(ROW(NOTA[ID]),COLUMN(NOTA[ID]))&amp;":"&amp;ADDRESS(ROW(),COLUMN(NOTA[ID]))),-1)))</f>
        <v/>
      </c>
      <c r="E1011" s="47"/>
      <c r="H1011" s="48"/>
      <c r="N1011" s="39"/>
      <c r="Q1011" s="43"/>
      <c r="R1011" s="49"/>
      <c r="S1011" s="50"/>
      <c r="U1011" s="51"/>
      <c r="V1011" s="46"/>
      <c r="W1011" s="51" t="str">
        <f>IF(NOTA[[#This Row],[HARGA/ CTN]]="",NOTA[[#This Row],[JUMLAH_H]],NOTA[[#This Row],[HARGA/ CTN]]*IF(NOTA[[#This Row],[C]]="",0,NOTA[[#This Row],[C]]))</f>
        <v/>
      </c>
      <c r="X1011" s="51" t="str">
        <f>IF(NOTA[[#This Row],[JUMLAH]]="","",NOTA[[#This Row],[JUMLAH]]*NOTA[[#This Row],[DISC 1]])</f>
        <v/>
      </c>
      <c r="Y1011" s="51" t="str">
        <f>IF(NOTA[[#This Row],[JUMLAH]]="","",(NOTA[[#This Row],[JUMLAH]]-NOTA[[#This Row],[DISC 1-]])*NOTA[[#This Row],[DISC 2]])</f>
        <v/>
      </c>
      <c r="Z1011" s="51" t="str">
        <f>IF(NOTA[[#This Row],[JUMLAH]]="","",NOTA[[#This Row],[DISC 1-]]+NOTA[[#This Row],[DISC 2-]])</f>
        <v/>
      </c>
      <c r="AA1011" s="51" t="str">
        <f>IF(NOTA[[#This Row],[JUMLAH]]="","",NOTA[[#This Row],[JUMLAH]]-NOTA[[#This Row],[DISC]])</f>
        <v/>
      </c>
      <c r="AB1011" s="51"/>
      <c r="AC10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1" s="51" t="str">
        <f>IF(OR(NOTA[[#This Row],[QTY]]="",NOTA[[#This Row],[HARGA SATUAN]]="",),"",NOTA[[#This Row],[QTY]]*NOTA[[#This Row],[HARGA SATUAN]])</f>
        <v/>
      </c>
      <c r="AG1011" s="40" t="str">
        <f ca="1">IF(NOTA[ID_H]="","",INDEX(NOTA[TANGGAL],MATCH(,INDIRECT(ADDRESS(ROW(NOTA[TANGGAL]),COLUMN(NOTA[TANGGAL]))&amp;":"&amp;ADDRESS(ROW(),COLUMN(NOTA[TANGGAL]))),-1)))</f>
        <v/>
      </c>
      <c r="AH1011" s="42" t="str">
        <f ca="1">IF(NOTA[[#This Row],[NAMA BARANG]]="","",INDEX(NOTA[SUPPLIER],MATCH(,INDIRECT(ADDRESS(ROW(NOTA[ID]),COLUMN(NOTA[ID]))&amp;":"&amp;ADDRESS(ROW(),COLUMN(NOTA[ID]))),-1)))</f>
        <v/>
      </c>
      <c r="AI1011" s="42" t="str">
        <f ca="1">IF(NOTA[[#This Row],[ID_H]]="","",IF(NOTA[[#This Row],[FAKTUR]]="",INDIRECT(ADDRESS(ROW()-1,COLUMN())),NOTA[[#This Row],[FAKTUR]]))</f>
        <v/>
      </c>
      <c r="AJ1011" s="39" t="str">
        <f ca="1">IF(NOTA[[#This Row],[ID]]="","",COUNTIF(NOTA[ID_H],NOTA[[#This Row],[ID_H]]))</f>
        <v/>
      </c>
      <c r="AK1011" s="39" t="str">
        <f ca="1">IF(NOTA[[#This Row],[TGL.NOTA]]="",IF(NOTA[[#This Row],[SUPPLIER_H]]="","",AK1010),MONTH(NOTA[[#This Row],[TGL.NOTA]]))</f>
        <v/>
      </c>
      <c r="AL1011" s="39" t="str">
        <f>LOWER(SUBSTITUTE(SUBSTITUTE(SUBSTITUTE(SUBSTITUTE(SUBSTITUTE(SUBSTITUTE(SUBSTITUTE(SUBSTITUTE(SUBSTITUTE(NOTA[NAMA BARANG]," ",),".",""),"-",""),"(",""),")",""),",",""),"/",""),"""",""),"+",""))</f>
        <v/>
      </c>
      <c r="AM10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39" t="str">
        <f>IF(NOTA[[#This Row],[CONCAT4]]="","",_xlfn.IFNA(MATCH(NOTA[[#This Row],[CONCAT4]],[2]!RAW[CONCAT_H],0),FALSE))</f>
        <v/>
      </c>
      <c r="AQ1011" s="39" t="str">
        <f>IF(NOTA[[#This Row],[CONCAT1]]="","",MATCH(NOTA[[#This Row],[CONCAT1]],[3]!db[NB NOTA_C],0))</f>
        <v/>
      </c>
      <c r="AR1011" s="39" t="str">
        <f>IF(NOTA[[#This Row],[QTY/ CTN]]="","",TRUE)</f>
        <v/>
      </c>
      <c r="AS1011" s="39" t="str">
        <f ca="1">IF(NOTA[[#This Row],[ID_H]]="","",IF(NOTA[[#This Row],[Column3]]=TRUE,NOTA[[#This Row],[QTY/ CTN]],INDEX([3]!db[QTY/ CTN],NOTA[[#This Row],[//DB]])))</f>
        <v/>
      </c>
      <c r="AT10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1" s="39" t="str">
        <f ca="1">IF(NOTA[[#This Row],[ID_H]]="","",MATCH(NOTA[[#This Row],[NB NOTA_C_QTY]],[4]!db[NB NOTA_C_QTY+F],0))</f>
        <v/>
      </c>
      <c r="AV1011" s="55" t="str">
        <f ca="1">IF(NOTA[[#This Row],[NB NOTA_C_QTY]]="","",ROW()-2)</f>
        <v/>
      </c>
    </row>
    <row r="1012" spans="1:48" ht="20.100000000000001" customHeight="1" x14ac:dyDescent="0.25">
      <c r="A10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39" t="str">
        <f>IF(NOTA[[#This Row],[ID_P]]="","",MATCH(NOTA[[#This Row],[ID_P]],[1]!B_MSK[N_ID],0))</f>
        <v/>
      </c>
      <c r="D1012" s="39" t="str">
        <f ca="1">IF(NOTA[[#This Row],[NAMA BARANG]]="","",INDEX(NOTA[ID],MATCH(,INDIRECT(ADDRESS(ROW(NOTA[ID]),COLUMN(NOTA[ID]))&amp;":"&amp;ADDRESS(ROW(),COLUMN(NOTA[ID]))),-1)))</f>
        <v/>
      </c>
      <c r="E1012" s="47"/>
      <c r="H1012" s="48"/>
      <c r="N1012" s="39"/>
      <c r="Q1012" s="43"/>
      <c r="R1012" s="49"/>
      <c r="S1012" s="50"/>
      <c r="U1012" s="51"/>
      <c r="V1012" s="46"/>
      <c r="W1012" s="51" t="str">
        <f>IF(NOTA[[#This Row],[HARGA/ CTN]]="",NOTA[[#This Row],[JUMLAH_H]],NOTA[[#This Row],[HARGA/ CTN]]*IF(NOTA[[#This Row],[C]]="",0,NOTA[[#This Row],[C]]))</f>
        <v/>
      </c>
      <c r="X1012" s="51" t="str">
        <f>IF(NOTA[[#This Row],[JUMLAH]]="","",NOTA[[#This Row],[JUMLAH]]*NOTA[[#This Row],[DISC 1]])</f>
        <v/>
      </c>
      <c r="Y1012" s="51" t="str">
        <f>IF(NOTA[[#This Row],[JUMLAH]]="","",(NOTA[[#This Row],[JUMLAH]]-NOTA[[#This Row],[DISC 1-]])*NOTA[[#This Row],[DISC 2]])</f>
        <v/>
      </c>
      <c r="Z1012" s="51" t="str">
        <f>IF(NOTA[[#This Row],[JUMLAH]]="","",NOTA[[#This Row],[DISC 1-]]+NOTA[[#This Row],[DISC 2-]])</f>
        <v/>
      </c>
      <c r="AA1012" s="51" t="str">
        <f>IF(NOTA[[#This Row],[JUMLAH]]="","",NOTA[[#This Row],[JUMLAH]]-NOTA[[#This Row],[DISC]])</f>
        <v/>
      </c>
      <c r="AB1012" s="51"/>
      <c r="AC10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2" s="51" t="str">
        <f>IF(OR(NOTA[[#This Row],[QTY]]="",NOTA[[#This Row],[HARGA SATUAN]]="",),"",NOTA[[#This Row],[QTY]]*NOTA[[#This Row],[HARGA SATUAN]])</f>
        <v/>
      </c>
      <c r="AG1012" s="40" t="str">
        <f ca="1">IF(NOTA[ID_H]="","",INDEX(NOTA[TANGGAL],MATCH(,INDIRECT(ADDRESS(ROW(NOTA[TANGGAL]),COLUMN(NOTA[TANGGAL]))&amp;":"&amp;ADDRESS(ROW(),COLUMN(NOTA[TANGGAL]))),-1)))</f>
        <v/>
      </c>
      <c r="AH1012" s="42" t="str">
        <f ca="1">IF(NOTA[[#This Row],[NAMA BARANG]]="","",INDEX(NOTA[SUPPLIER],MATCH(,INDIRECT(ADDRESS(ROW(NOTA[ID]),COLUMN(NOTA[ID]))&amp;":"&amp;ADDRESS(ROW(),COLUMN(NOTA[ID]))),-1)))</f>
        <v/>
      </c>
      <c r="AI1012" s="42" t="str">
        <f ca="1">IF(NOTA[[#This Row],[ID_H]]="","",IF(NOTA[[#This Row],[FAKTUR]]="",INDIRECT(ADDRESS(ROW()-1,COLUMN())),NOTA[[#This Row],[FAKTUR]]))</f>
        <v/>
      </c>
      <c r="AJ1012" s="39" t="str">
        <f ca="1">IF(NOTA[[#This Row],[ID]]="","",COUNTIF(NOTA[ID_H],NOTA[[#This Row],[ID_H]]))</f>
        <v/>
      </c>
      <c r="AK1012" s="39" t="str">
        <f ca="1">IF(NOTA[[#This Row],[TGL.NOTA]]="",IF(NOTA[[#This Row],[SUPPLIER_H]]="","",AK1011),MONTH(NOTA[[#This Row],[TGL.NOTA]]))</f>
        <v/>
      </c>
      <c r="AL1012" s="39" t="str">
        <f>LOWER(SUBSTITUTE(SUBSTITUTE(SUBSTITUTE(SUBSTITUTE(SUBSTITUTE(SUBSTITUTE(SUBSTITUTE(SUBSTITUTE(SUBSTITUTE(NOTA[NAMA BARANG]," ",),".",""),"-",""),"(",""),")",""),",",""),"/",""),"""",""),"+",""))</f>
        <v/>
      </c>
      <c r="AM10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39" t="str">
        <f>IF(NOTA[[#This Row],[CONCAT4]]="","",_xlfn.IFNA(MATCH(NOTA[[#This Row],[CONCAT4]],[2]!RAW[CONCAT_H],0),FALSE))</f>
        <v/>
      </c>
      <c r="AQ1012" s="39" t="str">
        <f>IF(NOTA[[#This Row],[CONCAT1]]="","",MATCH(NOTA[[#This Row],[CONCAT1]],[3]!db[NB NOTA_C],0))</f>
        <v/>
      </c>
      <c r="AR1012" s="39" t="str">
        <f>IF(NOTA[[#This Row],[QTY/ CTN]]="","",TRUE)</f>
        <v/>
      </c>
      <c r="AS1012" s="39" t="str">
        <f ca="1">IF(NOTA[[#This Row],[ID_H]]="","",IF(NOTA[[#This Row],[Column3]]=TRUE,NOTA[[#This Row],[QTY/ CTN]],INDEX([3]!db[QTY/ CTN],NOTA[[#This Row],[//DB]])))</f>
        <v/>
      </c>
      <c r="AT10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2" s="39" t="str">
        <f ca="1">IF(NOTA[[#This Row],[ID_H]]="","",MATCH(NOTA[[#This Row],[NB NOTA_C_QTY]],[4]!db[NB NOTA_C_QTY+F],0))</f>
        <v/>
      </c>
      <c r="AV1012" s="55" t="str">
        <f ca="1">IF(NOTA[[#This Row],[NB NOTA_C_QTY]]="","",ROW()-2)</f>
        <v/>
      </c>
    </row>
    <row r="1013" spans="1:48" ht="20.100000000000001" customHeight="1" x14ac:dyDescent="0.25">
      <c r="A10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39" t="str">
        <f>IF(NOTA[[#This Row],[ID_P]]="","",MATCH(NOTA[[#This Row],[ID_P]],[1]!B_MSK[N_ID],0))</f>
        <v/>
      </c>
      <c r="D1013" s="39" t="str">
        <f ca="1">IF(NOTA[[#This Row],[NAMA BARANG]]="","",INDEX(NOTA[ID],MATCH(,INDIRECT(ADDRESS(ROW(NOTA[ID]),COLUMN(NOTA[ID]))&amp;":"&amp;ADDRESS(ROW(),COLUMN(NOTA[ID]))),-1)))</f>
        <v/>
      </c>
      <c r="E1013" s="47"/>
      <c r="H1013" s="48"/>
      <c r="N1013" s="39"/>
      <c r="Q1013" s="43"/>
      <c r="R1013" s="49"/>
      <c r="S1013" s="50"/>
      <c r="U1013" s="51"/>
      <c r="V1013" s="46"/>
      <c r="W1013" s="51" t="str">
        <f>IF(NOTA[[#This Row],[HARGA/ CTN]]="",NOTA[[#This Row],[JUMLAH_H]],NOTA[[#This Row],[HARGA/ CTN]]*IF(NOTA[[#This Row],[C]]="",0,NOTA[[#This Row],[C]]))</f>
        <v/>
      </c>
      <c r="X1013" s="51" t="str">
        <f>IF(NOTA[[#This Row],[JUMLAH]]="","",NOTA[[#This Row],[JUMLAH]]*NOTA[[#This Row],[DISC 1]])</f>
        <v/>
      </c>
      <c r="Y1013" s="51" t="str">
        <f>IF(NOTA[[#This Row],[JUMLAH]]="","",(NOTA[[#This Row],[JUMLAH]]-NOTA[[#This Row],[DISC 1-]])*NOTA[[#This Row],[DISC 2]])</f>
        <v/>
      </c>
      <c r="Z1013" s="51" t="str">
        <f>IF(NOTA[[#This Row],[JUMLAH]]="","",NOTA[[#This Row],[DISC 1-]]+NOTA[[#This Row],[DISC 2-]])</f>
        <v/>
      </c>
      <c r="AA1013" s="51" t="str">
        <f>IF(NOTA[[#This Row],[JUMLAH]]="","",NOTA[[#This Row],[JUMLAH]]-NOTA[[#This Row],[DISC]])</f>
        <v/>
      </c>
      <c r="AB1013" s="51"/>
      <c r="AC10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3" s="51" t="str">
        <f>IF(OR(NOTA[[#This Row],[QTY]]="",NOTA[[#This Row],[HARGA SATUAN]]="",),"",NOTA[[#This Row],[QTY]]*NOTA[[#This Row],[HARGA SATUAN]])</f>
        <v/>
      </c>
      <c r="AG1013" s="40" t="str">
        <f ca="1">IF(NOTA[ID_H]="","",INDEX(NOTA[TANGGAL],MATCH(,INDIRECT(ADDRESS(ROW(NOTA[TANGGAL]),COLUMN(NOTA[TANGGAL]))&amp;":"&amp;ADDRESS(ROW(),COLUMN(NOTA[TANGGAL]))),-1)))</f>
        <v/>
      </c>
      <c r="AH1013" s="42" t="str">
        <f ca="1">IF(NOTA[[#This Row],[NAMA BARANG]]="","",INDEX(NOTA[SUPPLIER],MATCH(,INDIRECT(ADDRESS(ROW(NOTA[ID]),COLUMN(NOTA[ID]))&amp;":"&amp;ADDRESS(ROW(),COLUMN(NOTA[ID]))),-1)))</f>
        <v/>
      </c>
      <c r="AI1013" s="42" t="str">
        <f ca="1">IF(NOTA[[#This Row],[ID_H]]="","",IF(NOTA[[#This Row],[FAKTUR]]="",INDIRECT(ADDRESS(ROW()-1,COLUMN())),NOTA[[#This Row],[FAKTUR]]))</f>
        <v/>
      </c>
      <c r="AJ1013" s="39" t="str">
        <f ca="1">IF(NOTA[[#This Row],[ID]]="","",COUNTIF(NOTA[ID_H],NOTA[[#This Row],[ID_H]]))</f>
        <v/>
      </c>
      <c r="AK1013" s="39" t="str">
        <f ca="1">IF(NOTA[[#This Row],[TGL.NOTA]]="",IF(NOTA[[#This Row],[SUPPLIER_H]]="","",AK1012),MONTH(NOTA[[#This Row],[TGL.NOTA]]))</f>
        <v/>
      </c>
      <c r="AL1013" s="39" t="str">
        <f>LOWER(SUBSTITUTE(SUBSTITUTE(SUBSTITUTE(SUBSTITUTE(SUBSTITUTE(SUBSTITUTE(SUBSTITUTE(SUBSTITUTE(SUBSTITUTE(NOTA[NAMA BARANG]," ",),".",""),"-",""),"(",""),")",""),",",""),"/",""),"""",""),"+",""))</f>
        <v/>
      </c>
      <c r="AM10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39" t="str">
        <f>IF(NOTA[[#This Row],[CONCAT4]]="","",_xlfn.IFNA(MATCH(NOTA[[#This Row],[CONCAT4]],[2]!RAW[CONCAT_H],0),FALSE))</f>
        <v/>
      </c>
      <c r="AQ1013" s="39" t="str">
        <f>IF(NOTA[[#This Row],[CONCAT1]]="","",MATCH(NOTA[[#This Row],[CONCAT1]],[3]!db[NB NOTA_C],0))</f>
        <v/>
      </c>
      <c r="AR1013" s="39" t="str">
        <f>IF(NOTA[[#This Row],[QTY/ CTN]]="","",TRUE)</f>
        <v/>
      </c>
      <c r="AS1013" s="39" t="str">
        <f ca="1">IF(NOTA[[#This Row],[ID_H]]="","",IF(NOTA[[#This Row],[Column3]]=TRUE,NOTA[[#This Row],[QTY/ CTN]],INDEX([3]!db[QTY/ CTN],NOTA[[#This Row],[//DB]])))</f>
        <v/>
      </c>
      <c r="AT10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3" s="39" t="str">
        <f ca="1">IF(NOTA[[#This Row],[ID_H]]="","",MATCH(NOTA[[#This Row],[NB NOTA_C_QTY]],[4]!db[NB NOTA_C_QTY+F],0))</f>
        <v/>
      </c>
      <c r="AV1013" s="55" t="str">
        <f ca="1">IF(NOTA[[#This Row],[NB NOTA_C_QTY]]="","",ROW()-2)</f>
        <v/>
      </c>
    </row>
    <row r="1014" spans="1:48" ht="20.100000000000001" customHeight="1" x14ac:dyDescent="0.25">
      <c r="A10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39" t="str">
        <f>IF(NOTA[[#This Row],[ID_P]]="","",MATCH(NOTA[[#This Row],[ID_P]],[1]!B_MSK[N_ID],0))</f>
        <v/>
      </c>
      <c r="D1014" s="39" t="str">
        <f ca="1">IF(NOTA[[#This Row],[NAMA BARANG]]="","",INDEX(NOTA[ID],MATCH(,INDIRECT(ADDRESS(ROW(NOTA[ID]),COLUMN(NOTA[ID]))&amp;":"&amp;ADDRESS(ROW(),COLUMN(NOTA[ID]))),-1)))</f>
        <v/>
      </c>
      <c r="E1014" s="47"/>
      <c r="H1014" s="48"/>
      <c r="N1014" s="39"/>
      <c r="Q1014" s="43"/>
      <c r="R1014" s="49"/>
      <c r="S1014" s="50"/>
      <c r="U1014" s="51"/>
      <c r="V1014" s="46"/>
      <c r="W1014" s="51" t="str">
        <f>IF(NOTA[[#This Row],[HARGA/ CTN]]="",NOTA[[#This Row],[JUMLAH_H]],NOTA[[#This Row],[HARGA/ CTN]]*IF(NOTA[[#This Row],[C]]="",0,NOTA[[#This Row],[C]]))</f>
        <v/>
      </c>
      <c r="X1014" s="51" t="str">
        <f>IF(NOTA[[#This Row],[JUMLAH]]="","",NOTA[[#This Row],[JUMLAH]]*NOTA[[#This Row],[DISC 1]])</f>
        <v/>
      </c>
      <c r="Y1014" s="51" t="str">
        <f>IF(NOTA[[#This Row],[JUMLAH]]="","",(NOTA[[#This Row],[JUMLAH]]-NOTA[[#This Row],[DISC 1-]])*NOTA[[#This Row],[DISC 2]])</f>
        <v/>
      </c>
      <c r="Z1014" s="51" t="str">
        <f>IF(NOTA[[#This Row],[JUMLAH]]="","",NOTA[[#This Row],[DISC 1-]]+NOTA[[#This Row],[DISC 2-]])</f>
        <v/>
      </c>
      <c r="AA1014" s="51" t="str">
        <f>IF(NOTA[[#This Row],[JUMLAH]]="","",NOTA[[#This Row],[JUMLAH]]-NOTA[[#This Row],[DISC]])</f>
        <v/>
      </c>
      <c r="AB1014" s="51"/>
      <c r="AC10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51" t="str">
        <f>IF(OR(NOTA[[#This Row],[QTY]]="",NOTA[[#This Row],[HARGA SATUAN]]="",),"",NOTA[[#This Row],[QTY]]*NOTA[[#This Row],[HARGA SATUAN]])</f>
        <v/>
      </c>
      <c r="AG1014" s="40" t="str">
        <f ca="1">IF(NOTA[ID_H]="","",INDEX(NOTA[TANGGAL],MATCH(,INDIRECT(ADDRESS(ROW(NOTA[TANGGAL]),COLUMN(NOTA[TANGGAL]))&amp;":"&amp;ADDRESS(ROW(),COLUMN(NOTA[TANGGAL]))),-1)))</f>
        <v/>
      </c>
      <c r="AH1014" s="42" t="str">
        <f ca="1">IF(NOTA[[#This Row],[NAMA BARANG]]="","",INDEX(NOTA[SUPPLIER],MATCH(,INDIRECT(ADDRESS(ROW(NOTA[ID]),COLUMN(NOTA[ID]))&amp;":"&amp;ADDRESS(ROW(),COLUMN(NOTA[ID]))),-1)))</f>
        <v/>
      </c>
      <c r="AI1014" s="42" t="str">
        <f ca="1">IF(NOTA[[#This Row],[ID_H]]="","",IF(NOTA[[#This Row],[FAKTUR]]="",INDIRECT(ADDRESS(ROW()-1,COLUMN())),NOTA[[#This Row],[FAKTUR]]))</f>
        <v/>
      </c>
      <c r="AJ1014" s="39" t="str">
        <f ca="1">IF(NOTA[[#This Row],[ID]]="","",COUNTIF(NOTA[ID_H],NOTA[[#This Row],[ID_H]]))</f>
        <v/>
      </c>
      <c r="AK1014" s="39" t="str">
        <f ca="1">IF(NOTA[[#This Row],[TGL.NOTA]]="",IF(NOTA[[#This Row],[SUPPLIER_H]]="","",AK1013),MONTH(NOTA[[#This Row],[TGL.NOTA]]))</f>
        <v/>
      </c>
      <c r="AL1014" s="39" t="str">
        <f>LOWER(SUBSTITUTE(SUBSTITUTE(SUBSTITUTE(SUBSTITUTE(SUBSTITUTE(SUBSTITUTE(SUBSTITUTE(SUBSTITUTE(SUBSTITUTE(NOTA[NAMA BARANG]," ",),".",""),"-",""),"(",""),")",""),",",""),"/",""),"""",""),"+",""))</f>
        <v/>
      </c>
      <c r="AM10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39" t="str">
        <f>IF(NOTA[[#This Row],[CONCAT4]]="","",_xlfn.IFNA(MATCH(NOTA[[#This Row],[CONCAT4]],[2]!RAW[CONCAT_H],0),FALSE))</f>
        <v/>
      </c>
      <c r="AQ1014" s="39" t="str">
        <f>IF(NOTA[[#This Row],[CONCAT1]]="","",MATCH(NOTA[[#This Row],[CONCAT1]],[3]!db[NB NOTA_C],0))</f>
        <v/>
      </c>
      <c r="AR1014" s="39" t="str">
        <f>IF(NOTA[[#This Row],[QTY/ CTN]]="","",TRUE)</f>
        <v/>
      </c>
      <c r="AS1014" s="39" t="str">
        <f ca="1">IF(NOTA[[#This Row],[ID_H]]="","",IF(NOTA[[#This Row],[Column3]]=TRUE,NOTA[[#This Row],[QTY/ CTN]],INDEX([3]!db[QTY/ CTN],NOTA[[#This Row],[//DB]])))</f>
        <v/>
      </c>
      <c r="AT10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4" s="39" t="str">
        <f ca="1">IF(NOTA[[#This Row],[ID_H]]="","",MATCH(NOTA[[#This Row],[NB NOTA_C_QTY]],[4]!db[NB NOTA_C_QTY+F],0))</f>
        <v/>
      </c>
      <c r="AV1014" s="55" t="str">
        <f ca="1">IF(NOTA[[#This Row],[NB NOTA_C_QTY]]="","",ROW()-2)</f>
        <v/>
      </c>
    </row>
    <row r="1015" spans="1:48" ht="20.100000000000001" customHeight="1" x14ac:dyDescent="0.25">
      <c r="A10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39" t="str">
        <f>IF(NOTA[[#This Row],[ID_P]]="","",MATCH(NOTA[[#This Row],[ID_P]],[1]!B_MSK[N_ID],0))</f>
        <v/>
      </c>
      <c r="D1015" s="39" t="str">
        <f ca="1">IF(NOTA[[#This Row],[NAMA BARANG]]="","",INDEX(NOTA[ID],MATCH(,INDIRECT(ADDRESS(ROW(NOTA[ID]),COLUMN(NOTA[ID]))&amp;":"&amp;ADDRESS(ROW(),COLUMN(NOTA[ID]))),-1)))</f>
        <v/>
      </c>
      <c r="E1015" s="47"/>
      <c r="H1015" s="48"/>
      <c r="N1015" s="39"/>
      <c r="Q1015" s="43"/>
      <c r="R1015" s="49"/>
      <c r="S1015" s="50"/>
      <c r="U1015" s="51"/>
      <c r="V1015" s="46"/>
      <c r="W1015" s="51" t="str">
        <f>IF(NOTA[[#This Row],[HARGA/ CTN]]="",NOTA[[#This Row],[JUMLAH_H]],NOTA[[#This Row],[HARGA/ CTN]]*IF(NOTA[[#This Row],[C]]="",0,NOTA[[#This Row],[C]]))</f>
        <v/>
      </c>
      <c r="X1015" s="51" t="str">
        <f>IF(NOTA[[#This Row],[JUMLAH]]="","",NOTA[[#This Row],[JUMLAH]]*NOTA[[#This Row],[DISC 1]])</f>
        <v/>
      </c>
      <c r="Y1015" s="51" t="str">
        <f>IF(NOTA[[#This Row],[JUMLAH]]="","",(NOTA[[#This Row],[JUMLAH]]-NOTA[[#This Row],[DISC 1-]])*NOTA[[#This Row],[DISC 2]])</f>
        <v/>
      </c>
      <c r="Z1015" s="51" t="str">
        <f>IF(NOTA[[#This Row],[JUMLAH]]="","",NOTA[[#This Row],[DISC 1-]]+NOTA[[#This Row],[DISC 2-]])</f>
        <v/>
      </c>
      <c r="AA1015" s="51" t="str">
        <f>IF(NOTA[[#This Row],[JUMLAH]]="","",NOTA[[#This Row],[JUMLAH]]-NOTA[[#This Row],[DISC]])</f>
        <v/>
      </c>
      <c r="AB1015" s="51"/>
      <c r="AC10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5" s="51" t="str">
        <f>IF(OR(NOTA[[#This Row],[QTY]]="",NOTA[[#This Row],[HARGA SATUAN]]="",),"",NOTA[[#This Row],[QTY]]*NOTA[[#This Row],[HARGA SATUAN]])</f>
        <v/>
      </c>
      <c r="AG1015" s="40" t="str">
        <f ca="1">IF(NOTA[ID_H]="","",INDEX(NOTA[TANGGAL],MATCH(,INDIRECT(ADDRESS(ROW(NOTA[TANGGAL]),COLUMN(NOTA[TANGGAL]))&amp;":"&amp;ADDRESS(ROW(),COLUMN(NOTA[TANGGAL]))),-1)))</f>
        <v/>
      </c>
      <c r="AH1015" s="42" t="str">
        <f ca="1">IF(NOTA[[#This Row],[NAMA BARANG]]="","",INDEX(NOTA[SUPPLIER],MATCH(,INDIRECT(ADDRESS(ROW(NOTA[ID]),COLUMN(NOTA[ID]))&amp;":"&amp;ADDRESS(ROW(),COLUMN(NOTA[ID]))),-1)))</f>
        <v/>
      </c>
      <c r="AI1015" s="42" t="str">
        <f ca="1">IF(NOTA[[#This Row],[ID_H]]="","",IF(NOTA[[#This Row],[FAKTUR]]="",INDIRECT(ADDRESS(ROW()-1,COLUMN())),NOTA[[#This Row],[FAKTUR]]))</f>
        <v/>
      </c>
      <c r="AJ1015" s="39" t="str">
        <f ca="1">IF(NOTA[[#This Row],[ID]]="","",COUNTIF(NOTA[ID_H],NOTA[[#This Row],[ID_H]]))</f>
        <v/>
      </c>
      <c r="AK1015" s="39" t="str">
        <f ca="1">IF(NOTA[[#This Row],[TGL.NOTA]]="",IF(NOTA[[#This Row],[SUPPLIER_H]]="","",AK1014),MONTH(NOTA[[#This Row],[TGL.NOTA]]))</f>
        <v/>
      </c>
      <c r="AL1015" s="39" t="str">
        <f>LOWER(SUBSTITUTE(SUBSTITUTE(SUBSTITUTE(SUBSTITUTE(SUBSTITUTE(SUBSTITUTE(SUBSTITUTE(SUBSTITUTE(SUBSTITUTE(NOTA[NAMA BARANG]," ",),".",""),"-",""),"(",""),")",""),",",""),"/",""),"""",""),"+",""))</f>
        <v/>
      </c>
      <c r="AM10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5" s="39" t="str">
        <f>IF(NOTA[[#This Row],[CONCAT4]]="","",_xlfn.IFNA(MATCH(NOTA[[#This Row],[CONCAT4]],[2]!RAW[CONCAT_H],0),FALSE))</f>
        <v/>
      </c>
      <c r="AQ1015" s="39" t="str">
        <f>IF(NOTA[[#This Row],[CONCAT1]]="","",MATCH(NOTA[[#This Row],[CONCAT1]],[3]!db[NB NOTA_C],0))</f>
        <v/>
      </c>
      <c r="AR1015" s="39" t="str">
        <f>IF(NOTA[[#This Row],[QTY/ CTN]]="","",TRUE)</f>
        <v/>
      </c>
      <c r="AS1015" s="39" t="str">
        <f ca="1">IF(NOTA[[#This Row],[ID_H]]="","",IF(NOTA[[#This Row],[Column3]]=TRUE,NOTA[[#This Row],[QTY/ CTN]],INDEX([3]!db[QTY/ CTN],NOTA[[#This Row],[//DB]])))</f>
        <v/>
      </c>
      <c r="AT10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5" s="39" t="str">
        <f ca="1">IF(NOTA[[#This Row],[ID_H]]="","",MATCH(NOTA[[#This Row],[NB NOTA_C_QTY]],[4]!db[NB NOTA_C_QTY+F],0))</f>
        <v/>
      </c>
      <c r="AV1015" s="55" t="str">
        <f ca="1">IF(NOTA[[#This Row],[NB NOTA_C_QTY]]="","",ROW()-2)</f>
        <v/>
      </c>
    </row>
    <row r="1016" spans="1:48" ht="20.100000000000001" customHeight="1" x14ac:dyDescent="0.25">
      <c r="A10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39" t="str">
        <f>IF(NOTA[[#This Row],[ID_P]]="","",MATCH(NOTA[[#This Row],[ID_P]],[1]!B_MSK[N_ID],0))</f>
        <v/>
      </c>
      <c r="D1016" s="39" t="str">
        <f ca="1">IF(NOTA[[#This Row],[NAMA BARANG]]="","",INDEX(NOTA[ID],MATCH(,INDIRECT(ADDRESS(ROW(NOTA[ID]),COLUMN(NOTA[ID]))&amp;":"&amp;ADDRESS(ROW(),COLUMN(NOTA[ID]))),-1)))</f>
        <v/>
      </c>
      <c r="E1016" s="47"/>
      <c r="H1016" s="48"/>
      <c r="N1016" s="39"/>
      <c r="Q1016" s="43"/>
      <c r="R1016" s="49"/>
      <c r="S1016" s="50"/>
      <c r="U1016" s="51"/>
      <c r="V1016" s="46"/>
      <c r="W1016" s="51" t="str">
        <f>IF(NOTA[[#This Row],[HARGA/ CTN]]="",NOTA[[#This Row],[JUMLAH_H]],NOTA[[#This Row],[HARGA/ CTN]]*IF(NOTA[[#This Row],[C]]="",0,NOTA[[#This Row],[C]]))</f>
        <v/>
      </c>
      <c r="X1016" s="51" t="str">
        <f>IF(NOTA[[#This Row],[JUMLAH]]="","",NOTA[[#This Row],[JUMLAH]]*NOTA[[#This Row],[DISC 1]])</f>
        <v/>
      </c>
      <c r="Y1016" s="51" t="str">
        <f>IF(NOTA[[#This Row],[JUMLAH]]="","",(NOTA[[#This Row],[JUMLAH]]-NOTA[[#This Row],[DISC 1-]])*NOTA[[#This Row],[DISC 2]])</f>
        <v/>
      </c>
      <c r="Z1016" s="51" t="str">
        <f>IF(NOTA[[#This Row],[JUMLAH]]="","",NOTA[[#This Row],[DISC 1-]]+NOTA[[#This Row],[DISC 2-]])</f>
        <v/>
      </c>
      <c r="AA1016" s="51" t="str">
        <f>IF(NOTA[[#This Row],[JUMLAH]]="","",NOTA[[#This Row],[JUMLAH]]-NOTA[[#This Row],[DISC]])</f>
        <v/>
      </c>
      <c r="AB1016" s="51"/>
      <c r="AC10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6" s="51" t="str">
        <f>IF(OR(NOTA[[#This Row],[QTY]]="",NOTA[[#This Row],[HARGA SATUAN]]="",),"",NOTA[[#This Row],[QTY]]*NOTA[[#This Row],[HARGA SATUAN]])</f>
        <v/>
      </c>
      <c r="AG1016" s="40" t="str">
        <f ca="1">IF(NOTA[ID_H]="","",INDEX(NOTA[TANGGAL],MATCH(,INDIRECT(ADDRESS(ROW(NOTA[TANGGAL]),COLUMN(NOTA[TANGGAL]))&amp;":"&amp;ADDRESS(ROW(),COLUMN(NOTA[TANGGAL]))),-1)))</f>
        <v/>
      </c>
      <c r="AH1016" s="42" t="str">
        <f ca="1">IF(NOTA[[#This Row],[NAMA BARANG]]="","",INDEX(NOTA[SUPPLIER],MATCH(,INDIRECT(ADDRESS(ROW(NOTA[ID]),COLUMN(NOTA[ID]))&amp;":"&amp;ADDRESS(ROW(),COLUMN(NOTA[ID]))),-1)))</f>
        <v/>
      </c>
      <c r="AI1016" s="42" t="str">
        <f ca="1">IF(NOTA[[#This Row],[ID_H]]="","",IF(NOTA[[#This Row],[FAKTUR]]="",INDIRECT(ADDRESS(ROW()-1,COLUMN())),NOTA[[#This Row],[FAKTUR]]))</f>
        <v/>
      </c>
      <c r="AJ1016" s="39" t="str">
        <f ca="1">IF(NOTA[[#This Row],[ID]]="","",COUNTIF(NOTA[ID_H],NOTA[[#This Row],[ID_H]]))</f>
        <v/>
      </c>
      <c r="AK1016" s="39" t="str">
        <f ca="1">IF(NOTA[[#This Row],[TGL.NOTA]]="",IF(NOTA[[#This Row],[SUPPLIER_H]]="","",AK1015),MONTH(NOTA[[#This Row],[TGL.NOTA]]))</f>
        <v/>
      </c>
      <c r="AL1016" s="39" t="str">
        <f>LOWER(SUBSTITUTE(SUBSTITUTE(SUBSTITUTE(SUBSTITUTE(SUBSTITUTE(SUBSTITUTE(SUBSTITUTE(SUBSTITUTE(SUBSTITUTE(NOTA[NAMA BARANG]," ",),".",""),"-",""),"(",""),")",""),",",""),"/",""),"""",""),"+",""))</f>
        <v/>
      </c>
      <c r="AM10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39" t="str">
        <f>IF(NOTA[[#This Row],[CONCAT4]]="","",_xlfn.IFNA(MATCH(NOTA[[#This Row],[CONCAT4]],[2]!RAW[CONCAT_H],0),FALSE))</f>
        <v/>
      </c>
      <c r="AQ1016" s="39" t="str">
        <f>IF(NOTA[[#This Row],[CONCAT1]]="","",MATCH(NOTA[[#This Row],[CONCAT1]],[3]!db[NB NOTA_C],0))</f>
        <v/>
      </c>
      <c r="AR1016" s="39" t="str">
        <f>IF(NOTA[[#This Row],[QTY/ CTN]]="","",TRUE)</f>
        <v/>
      </c>
      <c r="AS1016" s="39" t="str">
        <f ca="1">IF(NOTA[[#This Row],[ID_H]]="","",IF(NOTA[[#This Row],[Column3]]=TRUE,NOTA[[#This Row],[QTY/ CTN]],INDEX([3]!db[QTY/ CTN],NOTA[[#This Row],[//DB]])))</f>
        <v/>
      </c>
      <c r="AT10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6" s="39" t="str">
        <f ca="1">IF(NOTA[[#This Row],[ID_H]]="","",MATCH(NOTA[[#This Row],[NB NOTA_C_QTY]],[4]!db[NB NOTA_C_QTY+F],0))</f>
        <v/>
      </c>
      <c r="AV1016" s="55" t="str">
        <f ca="1">IF(NOTA[[#This Row],[NB NOTA_C_QTY]]="","",ROW()-2)</f>
        <v/>
      </c>
    </row>
    <row r="1017" spans="1:48" ht="20.100000000000001" customHeight="1" x14ac:dyDescent="0.25">
      <c r="A10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39" t="str">
        <f>IF(NOTA[[#This Row],[ID_P]]="","",MATCH(NOTA[[#This Row],[ID_P]],[1]!B_MSK[N_ID],0))</f>
        <v/>
      </c>
      <c r="D1017" s="39" t="str">
        <f ca="1">IF(NOTA[[#This Row],[NAMA BARANG]]="","",INDEX(NOTA[ID],MATCH(,INDIRECT(ADDRESS(ROW(NOTA[ID]),COLUMN(NOTA[ID]))&amp;":"&amp;ADDRESS(ROW(),COLUMN(NOTA[ID]))),-1)))</f>
        <v/>
      </c>
      <c r="E1017" s="47"/>
      <c r="H1017" s="48"/>
      <c r="N1017" s="39"/>
      <c r="Q1017" s="43"/>
      <c r="R1017" s="49"/>
      <c r="S1017" s="50"/>
      <c r="U1017" s="51"/>
      <c r="V1017" s="46"/>
      <c r="W1017" s="51" t="str">
        <f>IF(NOTA[[#This Row],[HARGA/ CTN]]="",NOTA[[#This Row],[JUMLAH_H]],NOTA[[#This Row],[HARGA/ CTN]]*IF(NOTA[[#This Row],[C]]="",0,NOTA[[#This Row],[C]]))</f>
        <v/>
      </c>
      <c r="X1017" s="51" t="str">
        <f>IF(NOTA[[#This Row],[JUMLAH]]="","",NOTA[[#This Row],[JUMLAH]]*NOTA[[#This Row],[DISC 1]])</f>
        <v/>
      </c>
      <c r="Y1017" s="51" t="str">
        <f>IF(NOTA[[#This Row],[JUMLAH]]="","",(NOTA[[#This Row],[JUMLAH]]-NOTA[[#This Row],[DISC 1-]])*NOTA[[#This Row],[DISC 2]])</f>
        <v/>
      </c>
      <c r="Z1017" s="51" t="str">
        <f>IF(NOTA[[#This Row],[JUMLAH]]="","",NOTA[[#This Row],[DISC 1-]]+NOTA[[#This Row],[DISC 2-]])</f>
        <v/>
      </c>
      <c r="AA1017" s="51" t="str">
        <f>IF(NOTA[[#This Row],[JUMLAH]]="","",NOTA[[#This Row],[JUMLAH]]-NOTA[[#This Row],[DISC]])</f>
        <v/>
      </c>
      <c r="AB1017" s="51"/>
      <c r="AC10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51" t="str">
        <f>IF(OR(NOTA[[#This Row],[QTY]]="",NOTA[[#This Row],[HARGA SATUAN]]="",),"",NOTA[[#This Row],[QTY]]*NOTA[[#This Row],[HARGA SATUAN]])</f>
        <v/>
      </c>
      <c r="AG1017" s="40" t="str">
        <f ca="1">IF(NOTA[ID_H]="","",INDEX(NOTA[TANGGAL],MATCH(,INDIRECT(ADDRESS(ROW(NOTA[TANGGAL]),COLUMN(NOTA[TANGGAL]))&amp;":"&amp;ADDRESS(ROW(),COLUMN(NOTA[TANGGAL]))),-1)))</f>
        <v/>
      </c>
      <c r="AH1017" s="42" t="str">
        <f ca="1">IF(NOTA[[#This Row],[NAMA BARANG]]="","",INDEX(NOTA[SUPPLIER],MATCH(,INDIRECT(ADDRESS(ROW(NOTA[ID]),COLUMN(NOTA[ID]))&amp;":"&amp;ADDRESS(ROW(),COLUMN(NOTA[ID]))),-1)))</f>
        <v/>
      </c>
      <c r="AI1017" s="42" t="str">
        <f ca="1">IF(NOTA[[#This Row],[ID_H]]="","",IF(NOTA[[#This Row],[FAKTUR]]="",INDIRECT(ADDRESS(ROW()-1,COLUMN())),NOTA[[#This Row],[FAKTUR]]))</f>
        <v/>
      </c>
      <c r="AJ1017" s="39" t="str">
        <f ca="1">IF(NOTA[[#This Row],[ID]]="","",COUNTIF(NOTA[ID_H],NOTA[[#This Row],[ID_H]]))</f>
        <v/>
      </c>
      <c r="AK1017" s="39" t="str">
        <f ca="1">IF(NOTA[[#This Row],[TGL.NOTA]]="",IF(NOTA[[#This Row],[SUPPLIER_H]]="","",AK1016),MONTH(NOTA[[#This Row],[TGL.NOTA]]))</f>
        <v/>
      </c>
      <c r="AL1017" s="39" t="str">
        <f>LOWER(SUBSTITUTE(SUBSTITUTE(SUBSTITUTE(SUBSTITUTE(SUBSTITUTE(SUBSTITUTE(SUBSTITUTE(SUBSTITUTE(SUBSTITUTE(NOTA[NAMA BARANG]," ",),".",""),"-",""),"(",""),")",""),",",""),"/",""),"""",""),"+",""))</f>
        <v/>
      </c>
      <c r="AM10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39" t="str">
        <f>IF(NOTA[[#This Row],[CONCAT4]]="","",_xlfn.IFNA(MATCH(NOTA[[#This Row],[CONCAT4]],[2]!RAW[CONCAT_H],0),FALSE))</f>
        <v/>
      </c>
      <c r="AQ1017" s="39" t="str">
        <f>IF(NOTA[[#This Row],[CONCAT1]]="","",MATCH(NOTA[[#This Row],[CONCAT1]],[3]!db[NB NOTA_C],0))</f>
        <v/>
      </c>
      <c r="AR1017" s="39" t="str">
        <f>IF(NOTA[[#This Row],[QTY/ CTN]]="","",TRUE)</f>
        <v/>
      </c>
      <c r="AS1017" s="39" t="str">
        <f ca="1">IF(NOTA[[#This Row],[ID_H]]="","",IF(NOTA[[#This Row],[Column3]]=TRUE,NOTA[[#This Row],[QTY/ CTN]],INDEX([3]!db[QTY/ CTN],NOTA[[#This Row],[//DB]])))</f>
        <v/>
      </c>
      <c r="AT10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7" s="39" t="str">
        <f ca="1">IF(NOTA[[#This Row],[ID_H]]="","",MATCH(NOTA[[#This Row],[NB NOTA_C_QTY]],[4]!db[NB NOTA_C_QTY+F],0))</f>
        <v/>
      </c>
      <c r="AV1017" s="55" t="str">
        <f ca="1">IF(NOTA[[#This Row],[NB NOTA_C_QTY]]="","",ROW()-2)</f>
        <v/>
      </c>
    </row>
    <row r="1018" spans="1:48" ht="20.100000000000001" customHeight="1" x14ac:dyDescent="0.25">
      <c r="A10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39" t="str">
        <f>IF(NOTA[[#This Row],[ID_P]]="","",MATCH(NOTA[[#This Row],[ID_P]],[1]!B_MSK[N_ID],0))</f>
        <v/>
      </c>
      <c r="D1018" s="39" t="str">
        <f ca="1">IF(NOTA[[#This Row],[NAMA BARANG]]="","",INDEX(NOTA[ID],MATCH(,INDIRECT(ADDRESS(ROW(NOTA[ID]),COLUMN(NOTA[ID]))&amp;":"&amp;ADDRESS(ROW(),COLUMN(NOTA[ID]))),-1)))</f>
        <v/>
      </c>
      <c r="E1018" s="47"/>
      <c r="H1018" s="48"/>
      <c r="N1018" s="39"/>
      <c r="Q1018" s="43"/>
      <c r="R1018" s="49"/>
      <c r="S1018" s="50"/>
      <c r="U1018" s="51"/>
      <c r="V1018" s="46"/>
      <c r="W1018" s="51" t="str">
        <f>IF(NOTA[[#This Row],[HARGA/ CTN]]="",NOTA[[#This Row],[JUMLAH_H]],NOTA[[#This Row],[HARGA/ CTN]]*IF(NOTA[[#This Row],[C]]="",0,NOTA[[#This Row],[C]]))</f>
        <v/>
      </c>
      <c r="X1018" s="51" t="str">
        <f>IF(NOTA[[#This Row],[JUMLAH]]="","",NOTA[[#This Row],[JUMLAH]]*NOTA[[#This Row],[DISC 1]])</f>
        <v/>
      </c>
      <c r="Y1018" s="51" t="str">
        <f>IF(NOTA[[#This Row],[JUMLAH]]="","",(NOTA[[#This Row],[JUMLAH]]-NOTA[[#This Row],[DISC 1-]])*NOTA[[#This Row],[DISC 2]])</f>
        <v/>
      </c>
      <c r="Z1018" s="51" t="str">
        <f>IF(NOTA[[#This Row],[JUMLAH]]="","",NOTA[[#This Row],[DISC 1-]]+NOTA[[#This Row],[DISC 2-]])</f>
        <v/>
      </c>
      <c r="AA1018" s="51" t="str">
        <f>IF(NOTA[[#This Row],[JUMLAH]]="","",NOTA[[#This Row],[JUMLAH]]-NOTA[[#This Row],[DISC]])</f>
        <v/>
      </c>
      <c r="AB1018" s="51"/>
      <c r="AC10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8" s="51" t="str">
        <f>IF(OR(NOTA[[#This Row],[QTY]]="",NOTA[[#This Row],[HARGA SATUAN]]="",),"",NOTA[[#This Row],[QTY]]*NOTA[[#This Row],[HARGA SATUAN]])</f>
        <v/>
      </c>
      <c r="AG1018" s="40" t="str">
        <f ca="1">IF(NOTA[ID_H]="","",INDEX(NOTA[TANGGAL],MATCH(,INDIRECT(ADDRESS(ROW(NOTA[TANGGAL]),COLUMN(NOTA[TANGGAL]))&amp;":"&amp;ADDRESS(ROW(),COLUMN(NOTA[TANGGAL]))),-1)))</f>
        <v/>
      </c>
      <c r="AH1018" s="42" t="str">
        <f ca="1">IF(NOTA[[#This Row],[NAMA BARANG]]="","",INDEX(NOTA[SUPPLIER],MATCH(,INDIRECT(ADDRESS(ROW(NOTA[ID]),COLUMN(NOTA[ID]))&amp;":"&amp;ADDRESS(ROW(),COLUMN(NOTA[ID]))),-1)))</f>
        <v/>
      </c>
      <c r="AI1018" s="42" t="str">
        <f ca="1">IF(NOTA[[#This Row],[ID_H]]="","",IF(NOTA[[#This Row],[FAKTUR]]="",INDIRECT(ADDRESS(ROW()-1,COLUMN())),NOTA[[#This Row],[FAKTUR]]))</f>
        <v/>
      </c>
      <c r="AJ1018" s="39" t="str">
        <f ca="1">IF(NOTA[[#This Row],[ID]]="","",COUNTIF(NOTA[ID_H],NOTA[[#This Row],[ID_H]]))</f>
        <v/>
      </c>
      <c r="AK1018" s="39" t="str">
        <f ca="1">IF(NOTA[[#This Row],[TGL.NOTA]]="",IF(NOTA[[#This Row],[SUPPLIER_H]]="","",AK1017),MONTH(NOTA[[#This Row],[TGL.NOTA]]))</f>
        <v/>
      </c>
      <c r="AL1018" s="39" t="str">
        <f>LOWER(SUBSTITUTE(SUBSTITUTE(SUBSTITUTE(SUBSTITUTE(SUBSTITUTE(SUBSTITUTE(SUBSTITUTE(SUBSTITUTE(SUBSTITUTE(NOTA[NAMA BARANG]," ",),".",""),"-",""),"(",""),")",""),",",""),"/",""),"""",""),"+",""))</f>
        <v/>
      </c>
      <c r="AM10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8" s="39" t="str">
        <f>IF(NOTA[[#This Row],[CONCAT4]]="","",_xlfn.IFNA(MATCH(NOTA[[#This Row],[CONCAT4]],[2]!RAW[CONCAT_H],0),FALSE))</f>
        <v/>
      </c>
      <c r="AQ1018" s="39" t="str">
        <f>IF(NOTA[[#This Row],[CONCAT1]]="","",MATCH(NOTA[[#This Row],[CONCAT1]],[3]!db[NB NOTA_C],0))</f>
        <v/>
      </c>
      <c r="AR1018" s="39" t="str">
        <f>IF(NOTA[[#This Row],[QTY/ CTN]]="","",TRUE)</f>
        <v/>
      </c>
      <c r="AS1018" s="39" t="str">
        <f ca="1">IF(NOTA[[#This Row],[ID_H]]="","",IF(NOTA[[#This Row],[Column3]]=TRUE,NOTA[[#This Row],[QTY/ CTN]],INDEX([3]!db[QTY/ CTN],NOTA[[#This Row],[//DB]])))</f>
        <v/>
      </c>
      <c r="AT10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8" s="39" t="str">
        <f ca="1">IF(NOTA[[#This Row],[ID_H]]="","",MATCH(NOTA[[#This Row],[NB NOTA_C_QTY]],[4]!db[NB NOTA_C_QTY+F],0))</f>
        <v/>
      </c>
      <c r="AV1018" s="55" t="str">
        <f ca="1">IF(NOTA[[#This Row],[NB NOTA_C_QTY]]="","",ROW()-2)</f>
        <v/>
      </c>
    </row>
    <row r="1019" spans="1:48" ht="20.100000000000001" customHeight="1" x14ac:dyDescent="0.25">
      <c r="A10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39" t="str">
        <f>IF(NOTA[[#This Row],[ID_P]]="","",MATCH(NOTA[[#This Row],[ID_P]],[1]!B_MSK[N_ID],0))</f>
        <v/>
      </c>
      <c r="D1019" s="39" t="str">
        <f ca="1">IF(NOTA[[#This Row],[NAMA BARANG]]="","",INDEX(NOTA[ID],MATCH(,INDIRECT(ADDRESS(ROW(NOTA[ID]),COLUMN(NOTA[ID]))&amp;":"&amp;ADDRESS(ROW(),COLUMN(NOTA[ID]))),-1)))</f>
        <v/>
      </c>
      <c r="E1019" s="47"/>
      <c r="H1019" s="48"/>
      <c r="N1019" s="39"/>
      <c r="Q1019" s="43"/>
      <c r="R1019" s="49"/>
      <c r="S1019" s="50"/>
      <c r="U1019" s="51"/>
      <c r="V1019" s="46"/>
      <c r="W1019" s="51" t="str">
        <f>IF(NOTA[[#This Row],[HARGA/ CTN]]="",NOTA[[#This Row],[JUMLAH_H]],NOTA[[#This Row],[HARGA/ CTN]]*IF(NOTA[[#This Row],[C]]="",0,NOTA[[#This Row],[C]]))</f>
        <v/>
      </c>
      <c r="X1019" s="51" t="str">
        <f>IF(NOTA[[#This Row],[JUMLAH]]="","",NOTA[[#This Row],[JUMLAH]]*NOTA[[#This Row],[DISC 1]])</f>
        <v/>
      </c>
      <c r="Y1019" s="51" t="str">
        <f>IF(NOTA[[#This Row],[JUMLAH]]="","",(NOTA[[#This Row],[JUMLAH]]-NOTA[[#This Row],[DISC 1-]])*NOTA[[#This Row],[DISC 2]])</f>
        <v/>
      </c>
      <c r="Z1019" s="51" t="str">
        <f>IF(NOTA[[#This Row],[JUMLAH]]="","",NOTA[[#This Row],[DISC 1-]]+NOTA[[#This Row],[DISC 2-]])</f>
        <v/>
      </c>
      <c r="AA1019" s="51" t="str">
        <f>IF(NOTA[[#This Row],[JUMLAH]]="","",NOTA[[#This Row],[JUMLAH]]-NOTA[[#This Row],[DISC]])</f>
        <v/>
      </c>
      <c r="AB1019" s="51"/>
      <c r="AC10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51" t="str">
        <f>IF(OR(NOTA[[#This Row],[QTY]]="",NOTA[[#This Row],[HARGA SATUAN]]="",),"",NOTA[[#This Row],[QTY]]*NOTA[[#This Row],[HARGA SATUAN]])</f>
        <v/>
      </c>
      <c r="AG1019" s="40" t="str">
        <f ca="1">IF(NOTA[ID_H]="","",INDEX(NOTA[TANGGAL],MATCH(,INDIRECT(ADDRESS(ROW(NOTA[TANGGAL]),COLUMN(NOTA[TANGGAL]))&amp;":"&amp;ADDRESS(ROW(),COLUMN(NOTA[TANGGAL]))),-1)))</f>
        <v/>
      </c>
      <c r="AH1019" s="42" t="str">
        <f ca="1">IF(NOTA[[#This Row],[NAMA BARANG]]="","",INDEX(NOTA[SUPPLIER],MATCH(,INDIRECT(ADDRESS(ROW(NOTA[ID]),COLUMN(NOTA[ID]))&amp;":"&amp;ADDRESS(ROW(),COLUMN(NOTA[ID]))),-1)))</f>
        <v/>
      </c>
      <c r="AI1019" s="42" t="str">
        <f ca="1">IF(NOTA[[#This Row],[ID_H]]="","",IF(NOTA[[#This Row],[FAKTUR]]="",INDIRECT(ADDRESS(ROW()-1,COLUMN())),NOTA[[#This Row],[FAKTUR]]))</f>
        <v/>
      </c>
      <c r="AJ1019" s="39" t="str">
        <f ca="1">IF(NOTA[[#This Row],[ID]]="","",COUNTIF(NOTA[ID_H],NOTA[[#This Row],[ID_H]]))</f>
        <v/>
      </c>
      <c r="AK1019" s="39" t="str">
        <f ca="1">IF(NOTA[[#This Row],[TGL.NOTA]]="",IF(NOTA[[#This Row],[SUPPLIER_H]]="","",AK1018),MONTH(NOTA[[#This Row],[TGL.NOTA]]))</f>
        <v/>
      </c>
      <c r="AL1019" s="39" t="str">
        <f>LOWER(SUBSTITUTE(SUBSTITUTE(SUBSTITUTE(SUBSTITUTE(SUBSTITUTE(SUBSTITUTE(SUBSTITUTE(SUBSTITUTE(SUBSTITUTE(NOTA[NAMA BARANG]," ",),".",""),"-",""),"(",""),")",""),",",""),"/",""),"""",""),"+",""))</f>
        <v/>
      </c>
      <c r="AM10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39" t="str">
        <f>IF(NOTA[[#This Row],[CONCAT4]]="","",_xlfn.IFNA(MATCH(NOTA[[#This Row],[CONCAT4]],[2]!RAW[CONCAT_H],0),FALSE))</f>
        <v/>
      </c>
      <c r="AQ1019" s="39" t="str">
        <f>IF(NOTA[[#This Row],[CONCAT1]]="","",MATCH(NOTA[[#This Row],[CONCAT1]],[3]!db[NB NOTA_C],0))</f>
        <v/>
      </c>
      <c r="AR1019" s="39" t="str">
        <f>IF(NOTA[[#This Row],[QTY/ CTN]]="","",TRUE)</f>
        <v/>
      </c>
      <c r="AS1019" s="39" t="str">
        <f ca="1">IF(NOTA[[#This Row],[ID_H]]="","",IF(NOTA[[#This Row],[Column3]]=TRUE,NOTA[[#This Row],[QTY/ CTN]],INDEX([3]!db[QTY/ CTN],NOTA[[#This Row],[//DB]])))</f>
        <v/>
      </c>
      <c r="AT10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9" s="39" t="str">
        <f ca="1">IF(NOTA[[#This Row],[ID_H]]="","",MATCH(NOTA[[#This Row],[NB NOTA_C_QTY]],[4]!db[NB NOTA_C_QTY+F],0))</f>
        <v/>
      </c>
      <c r="AV1019" s="55" t="str">
        <f ca="1">IF(NOTA[[#This Row],[NB NOTA_C_QTY]]="","",ROW()-2)</f>
        <v/>
      </c>
    </row>
    <row r="1020" spans="1:48" ht="20.100000000000001" customHeight="1" x14ac:dyDescent="0.25">
      <c r="A10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39" t="str">
        <f>IF(NOTA[[#This Row],[ID_P]]="","",MATCH(NOTA[[#This Row],[ID_P]],[1]!B_MSK[N_ID],0))</f>
        <v/>
      </c>
      <c r="D1020" s="39" t="str">
        <f ca="1">IF(NOTA[[#This Row],[NAMA BARANG]]="","",INDEX(NOTA[ID],MATCH(,INDIRECT(ADDRESS(ROW(NOTA[ID]),COLUMN(NOTA[ID]))&amp;":"&amp;ADDRESS(ROW(),COLUMN(NOTA[ID]))),-1)))</f>
        <v/>
      </c>
      <c r="E1020" s="47"/>
      <c r="H1020" s="48"/>
      <c r="N1020" s="39"/>
      <c r="Q1020" s="43"/>
      <c r="R1020" s="49"/>
      <c r="S1020" s="50"/>
      <c r="U1020" s="51"/>
      <c r="V1020" s="46"/>
      <c r="W1020" s="51" t="str">
        <f>IF(NOTA[[#This Row],[HARGA/ CTN]]="",NOTA[[#This Row],[JUMLAH_H]],NOTA[[#This Row],[HARGA/ CTN]]*IF(NOTA[[#This Row],[C]]="",0,NOTA[[#This Row],[C]]))</f>
        <v/>
      </c>
      <c r="X1020" s="51" t="str">
        <f>IF(NOTA[[#This Row],[JUMLAH]]="","",NOTA[[#This Row],[JUMLAH]]*NOTA[[#This Row],[DISC 1]])</f>
        <v/>
      </c>
      <c r="Y1020" s="51" t="str">
        <f>IF(NOTA[[#This Row],[JUMLAH]]="","",(NOTA[[#This Row],[JUMLAH]]-NOTA[[#This Row],[DISC 1-]])*NOTA[[#This Row],[DISC 2]])</f>
        <v/>
      </c>
      <c r="Z1020" s="51" t="str">
        <f>IF(NOTA[[#This Row],[JUMLAH]]="","",NOTA[[#This Row],[DISC 1-]]+NOTA[[#This Row],[DISC 2-]])</f>
        <v/>
      </c>
      <c r="AA1020" s="51" t="str">
        <f>IF(NOTA[[#This Row],[JUMLAH]]="","",NOTA[[#This Row],[JUMLAH]]-NOTA[[#This Row],[DISC]])</f>
        <v/>
      </c>
      <c r="AB1020" s="51"/>
      <c r="AC10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0" s="51" t="str">
        <f>IF(OR(NOTA[[#This Row],[QTY]]="",NOTA[[#This Row],[HARGA SATUAN]]="",),"",NOTA[[#This Row],[QTY]]*NOTA[[#This Row],[HARGA SATUAN]])</f>
        <v/>
      </c>
      <c r="AG1020" s="40" t="str">
        <f ca="1">IF(NOTA[ID_H]="","",INDEX(NOTA[TANGGAL],MATCH(,INDIRECT(ADDRESS(ROW(NOTA[TANGGAL]),COLUMN(NOTA[TANGGAL]))&amp;":"&amp;ADDRESS(ROW(),COLUMN(NOTA[TANGGAL]))),-1)))</f>
        <v/>
      </c>
      <c r="AH1020" s="42" t="str">
        <f ca="1">IF(NOTA[[#This Row],[NAMA BARANG]]="","",INDEX(NOTA[SUPPLIER],MATCH(,INDIRECT(ADDRESS(ROW(NOTA[ID]),COLUMN(NOTA[ID]))&amp;":"&amp;ADDRESS(ROW(),COLUMN(NOTA[ID]))),-1)))</f>
        <v/>
      </c>
      <c r="AI1020" s="42" t="str">
        <f ca="1">IF(NOTA[[#This Row],[ID_H]]="","",IF(NOTA[[#This Row],[FAKTUR]]="",INDIRECT(ADDRESS(ROW()-1,COLUMN())),NOTA[[#This Row],[FAKTUR]]))</f>
        <v/>
      </c>
      <c r="AJ1020" s="39" t="str">
        <f ca="1">IF(NOTA[[#This Row],[ID]]="","",COUNTIF(NOTA[ID_H],NOTA[[#This Row],[ID_H]]))</f>
        <v/>
      </c>
      <c r="AK1020" s="39" t="str">
        <f ca="1">IF(NOTA[[#This Row],[TGL.NOTA]]="",IF(NOTA[[#This Row],[SUPPLIER_H]]="","",AK1019),MONTH(NOTA[[#This Row],[TGL.NOTA]]))</f>
        <v/>
      </c>
      <c r="AL1020" s="39" t="str">
        <f>LOWER(SUBSTITUTE(SUBSTITUTE(SUBSTITUTE(SUBSTITUTE(SUBSTITUTE(SUBSTITUTE(SUBSTITUTE(SUBSTITUTE(SUBSTITUTE(NOTA[NAMA BARANG]," ",),".",""),"-",""),"(",""),")",""),",",""),"/",""),"""",""),"+",""))</f>
        <v/>
      </c>
      <c r="AM10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0" s="39" t="str">
        <f>IF(NOTA[[#This Row],[CONCAT4]]="","",_xlfn.IFNA(MATCH(NOTA[[#This Row],[CONCAT4]],[2]!RAW[CONCAT_H],0),FALSE))</f>
        <v/>
      </c>
      <c r="AQ1020" s="39" t="str">
        <f>IF(NOTA[[#This Row],[CONCAT1]]="","",MATCH(NOTA[[#This Row],[CONCAT1]],[3]!db[NB NOTA_C],0))</f>
        <v/>
      </c>
      <c r="AR1020" s="39" t="str">
        <f>IF(NOTA[[#This Row],[QTY/ CTN]]="","",TRUE)</f>
        <v/>
      </c>
      <c r="AS1020" s="39" t="str">
        <f ca="1">IF(NOTA[[#This Row],[ID_H]]="","",IF(NOTA[[#This Row],[Column3]]=TRUE,NOTA[[#This Row],[QTY/ CTN]],INDEX([3]!db[QTY/ CTN],NOTA[[#This Row],[//DB]])))</f>
        <v/>
      </c>
      <c r="AT10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0" s="39" t="str">
        <f ca="1">IF(NOTA[[#This Row],[ID_H]]="","",MATCH(NOTA[[#This Row],[NB NOTA_C_QTY]],[4]!db[NB NOTA_C_QTY+F],0))</f>
        <v/>
      </c>
      <c r="AV1020" s="55" t="str">
        <f ca="1">IF(NOTA[[#This Row],[NB NOTA_C_QTY]]="","",ROW()-2)</f>
        <v/>
      </c>
    </row>
    <row r="1021" spans="1:48" ht="20.100000000000001" customHeight="1" x14ac:dyDescent="0.25">
      <c r="A10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39" t="str">
        <f>IF(NOTA[[#This Row],[ID_P]]="","",MATCH(NOTA[[#This Row],[ID_P]],[1]!B_MSK[N_ID],0))</f>
        <v/>
      </c>
      <c r="D1021" s="39" t="str">
        <f ca="1">IF(NOTA[[#This Row],[NAMA BARANG]]="","",INDEX(NOTA[ID],MATCH(,INDIRECT(ADDRESS(ROW(NOTA[ID]),COLUMN(NOTA[ID]))&amp;":"&amp;ADDRESS(ROW(),COLUMN(NOTA[ID]))),-1)))</f>
        <v/>
      </c>
      <c r="E1021" s="47"/>
      <c r="H1021" s="48"/>
      <c r="N1021" s="39"/>
      <c r="Q1021" s="43"/>
      <c r="R1021" s="49"/>
      <c r="S1021" s="50"/>
      <c r="U1021" s="51"/>
      <c r="V1021" s="46"/>
      <c r="W1021" s="51" t="str">
        <f>IF(NOTA[[#This Row],[HARGA/ CTN]]="",NOTA[[#This Row],[JUMLAH_H]],NOTA[[#This Row],[HARGA/ CTN]]*IF(NOTA[[#This Row],[C]]="",0,NOTA[[#This Row],[C]]))</f>
        <v/>
      </c>
      <c r="X1021" s="51" t="str">
        <f>IF(NOTA[[#This Row],[JUMLAH]]="","",NOTA[[#This Row],[JUMLAH]]*NOTA[[#This Row],[DISC 1]])</f>
        <v/>
      </c>
      <c r="Y1021" s="51" t="str">
        <f>IF(NOTA[[#This Row],[JUMLAH]]="","",(NOTA[[#This Row],[JUMLAH]]-NOTA[[#This Row],[DISC 1-]])*NOTA[[#This Row],[DISC 2]])</f>
        <v/>
      </c>
      <c r="Z1021" s="51" t="str">
        <f>IF(NOTA[[#This Row],[JUMLAH]]="","",NOTA[[#This Row],[DISC 1-]]+NOTA[[#This Row],[DISC 2-]])</f>
        <v/>
      </c>
      <c r="AA1021" s="51" t="str">
        <f>IF(NOTA[[#This Row],[JUMLAH]]="","",NOTA[[#This Row],[JUMLAH]]-NOTA[[#This Row],[DISC]])</f>
        <v/>
      </c>
      <c r="AB1021" s="51"/>
      <c r="AC10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1" s="51" t="str">
        <f>IF(OR(NOTA[[#This Row],[QTY]]="",NOTA[[#This Row],[HARGA SATUAN]]="",),"",NOTA[[#This Row],[QTY]]*NOTA[[#This Row],[HARGA SATUAN]])</f>
        <v/>
      </c>
      <c r="AG1021" s="40" t="str">
        <f ca="1">IF(NOTA[ID_H]="","",INDEX(NOTA[TANGGAL],MATCH(,INDIRECT(ADDRESS(ROW(NOTA[TANGGAL]),COLUMN(NOTA[TANGGAL]))&amp;":"&amp;ADDRESS(ROW(),COLUMN(NOTA[TANGGAL]))),-1)))</f>
        <v/>
      </c>
      <c r="AH1021" s="42" t="str">
        <f ca="1">IF(NOTA[[#This Row],[NAMA BARANG]]="","",INDEX(NOTA[SUPPLIER],MATCH(,INDIRECT(ADDRESS(ROW(NOTA[ID]),COLUMN(NOTA[ID]))&amp;":"&amp;ADDRESS(ROW(),COLUMN(NOTA[ID]))),-1)))</f>
        <v/>
      </c>
      <c r="AI1021" s="42" t="str">
        <f ca="1">IF(NOTA[[#This Row],[ID_H]]="","",IF(NOTA[[#This Row],[FAKTUR]]="",INDIRECT(ADDRESS(ROW()-1,COLUMN())),NOTA[[#This Row],[FAKTUR]]))</f>
        <v/>
      </c>
      <c r="AJ1021" s="39" t="str">
        <f ca="1">IF(NOTA[[#This Row],[ID]]="","",COUNTIF(NOTA[ID_H],NOTA[[#This Row],[ID_H]]))</f>
        <v/>
      </c>
      <c r="AK1021" s="39" t="str">
        <f ca="1">IF(NOTA[[#This Row],[TGL.NOTA]]="",IF(NOTA[[#This Row],[SUPPLIER_H]]="","",AK1020),MONTH(NOTA[[#This Row],[TGL.NOTA]]))</f>
        <v/>
      </c>
      <c r="AL1021" s="39" t="str">
        <f>LOWER(SUBSTITUTE(SUBSTITUTE(SUBSTITUTE(SUBSTITUTE(SUBSTITUTE(SUBSTITUTE(SUBSTITUTE(SUBSTITUTE(SUBSTITUTE(NOTA[NAMA BARANG]," ",),".",""),"-",""),"(",""),")",""),",",""),"/",""),"""",""),"+",""))</f>
        <v/>
      </c>
      <c r="AM10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39" t="str">
        <f>IF(NOTA[[#This Row],[CONCAT4]]="","",_xlfn.IFNA(MATCH(NOTA[[#This Row],[CONCAT4]],[2]!RAW[CONCAT_H],0),FALSE))</f>
        <v/>
      </c>
      <c r="AQ1021" s="39" t="str">
        <f>IF(NOTA[[#This Row],[CONCAT1]]="","",MATCH(NOTA[[#This Row],[CONCAT1]],[3]!db[NB NOTA_C],0))</f>
        <v/>
      </c>
      <c r="AR1021" s="39" t="str">
        <f>IF(NOTA[[#This Row],[QTY/ CTN]]="","",TRUE)</f>
        <v/>
      </c>
      <c r="AS1021" s="39" t="str">
        <f ca="1">IF(NOTA[[#This Row],[ID_H]]="","",IF(NOTA[[#This Row],[Column3]]=TRUE,NOTA[[#This Row],[QTY/ CTN]],INDEX([3]!db[QTY/ CTN],NOTA[[#This Row],[//DB]])))</f>
        <v/>
      </c>
      <c r="AT10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1" s="39" t="str">
        <f ca="1">IF(NOTA[[#This Row],[ID_H]]="","",MATCH(NOTA[[#This Row],[NB NOTA_C_QTY]],[4]!db[NB NOTA_C_QTY+F],0))</f>
        <v/>
      </c>
      <c r="AV1021" s="55" t="str">
        <f ca="1">IF(NOTA[[#This Row],[NB NOTA_C_QTY]]="","",ROW()-2)</f>
        <v/>
      </c>
    </row>
    <row r="1022" spans="1:48" ht="20.100000000000001" customHeight="1" x14ac:dyDescent="0.25">
      <c r="A10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39" t="str">
        <f>IF(NOTA[[#This Row],[ID_P]]="","",MATCH(NOTA[[#This Row],[ID_P]],[1]!B_MSK[N_ID],0))</f>
        <v/>
      </c>
      <c r="D1022" s="39" t="str">
        <f ca="1">IF(NOTA[[#This Row],[NAMA BARANG]]="","",INDEX(NOTA[ID],MATCH(,INDIRECT(ADDRESS(ROW(NOTA[ID]),COLUMN(NOTA[ID]))&amp;":"&amp;ADDRESS(ROW(),COLUMN(NOTA[ID]))),-1)))</f>
        <v/>
      </c>
      <c r="E1022" s="47"/>
      <c r="H1022" s="48"/>
      <c r="N1022" s="39"/>
      <c r="Q1022" s="43"/>
      <c r="R1022" s="49"/>
      <c r="S1022" s="50"/>
      <c r="U1022" s="51"/>
      <c r="V1022" s="46"/>
      <c r="W1022" s="51" t="str">
        <f>IF(NOTA[[#This Row],[HARGA/ CTN]]="",NOTA[[#This Row],[JUMLAH_H]],NOTA[[#This Row],[HARGA/ CTN]]*IF(NOTA[[#This Row],[C]]="",0,NOTA[[#This Row],[C]]))</f>
        <v/>
      </c>
      <c r="X1022" s="51" t="str">
        <f>IF(NOTA[[#This Row],[JUMLAH]]="","",NOTA[[#This Row],[JUMLAH]]*NOTA[[#This Row],[DISC 1]])</f>
        <v/>
      </c>
      <c r="Y1022" s="51" t="str">
        <f>IF(NOTA[[#This Row],[JUMLAH]]="","",(NOTA[[#This Row],[JUMLAH]]-NOTA[[#This Row],[DISC 1-]])*NOTA[[#This Row],[DISC 2]])</f>
        <v/>
      </c>
      <c r="Z1022" s="51" t="str">
        <f>IF(NOTA[[#This Row],[JUMLAH]]="","",NOTA[[#This Row],[DISC 1-]]+NOTA[[#This Row],[DISC 2-]])</f>
        <v/>
      </c>
      <c r="AA1022" s="51" t="str">
        <f>IF(NOTA[[#This Row],[JUMLAH]]="","",NOTA[[#This Row],[JUMLAH]]-NOTA[[#This Row],[DISC]])</f>
        <v/>
      </c>
      <c r="AB1022" s="51"/>
      <c r="AC10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2" s="51" t="str">
        <f>IF(OR(NOTA[[#This Row],[QTY]]="",NOTA[[#This Row],[HARGA SATUAN]]="",),"",NOTA[[#This Row],[QTY]]*NOTA[[#This Row],[HARGA SATUAN]])</f>
        <v/>
      </c>
      <c r="AG1022" s="40" t="str">
        <f ca="1">IF(NOTA[ID_H]="","",INDEX(NOTA[TANGGAL],MATCH(,INDIRECT(ADDRESS(ROW(NOTA[TANGGAL]),COLUMN(NOTA[TANGGAL]))&amp;":"&amp;ADDRESS(ROW(),COLUMN(NOTA[TANGGAL]))),-1)))</f>
        <v/>
      </c>
      <c r="AH1022" s="42" t="str">
        <f ca="1">IF(NOTA[[#This Row],[NAMA BARANG]]="","",INDEX(NOTA[SUPPLIER],MATCH(,INDIRECT(ADDRESS(ROW(NOTA[ID]),COLUMN(NOTA[ID]))&amp;":"&amp;ADDRESS(ROW(),COLUMN(NOTA[ID]))),-1)))</f>
        <v/>
      </c>
      <c r="AI1022" s="42" t="str">
        <f ca="1">IF(NOTA[[#This Row],[ID_H]]="","",IF(NOTA[[#This Row],[FAKTUR]]="",INDIRECT(ADDRESS(ROW()-1,COLUMN())),NOTA[[#This Row],[FAKTUR]]))</f>
        <v/>
      </c>
      <c r="AJ1022" s="39" t="str">
        <f ca="1">IF(NOTA[[#This Row],[ID]]="","",COUNTIF(NOTA[ID_H],NOTA[[#This Row],[ID_H]]))</f>
        <v/>
      </c>
      <c r="AK1022" s="39" t="str">
        <f ca="1">IF(NOTA[[#This Row],[TGL.NOTA]]="",IF(NOTA[[#This Row],[SUPPLIER_H]]="","",AK1021),MONTH(NOTA[[#This Row],[TGL.NOTA]]))</f>
        <v/>
      </c>
      <c r="AL1022" s="39" t="str">
        <f>LOWER(SUBSTITUTE(SUBSTITUTE(SUBSTITUTE(SUBSTITUTE(SUBSTITUTE(SUBSTITUTE(SUBSTITUTE(SUBSTITUTE(SUBSTITUTE(NOTA[NAMA BARANG]," ",),".",""),"-",""),"(",""),")",""),",",""),"/",""),"""",""),"+",""))</f>
        <v/>
      </c>
      <c r="AM10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39" t="str">
        <f>IF(NOTA[[#This Row],[CONCAT4]]="","",_xlfn.IFNA(MATCH(NOTA[[#This Row],[CONCAT4]],[2]!RAW[CONCAT_H],0),FALSE))</f>
        <v/>
      </c>
      <c r="AQ1022" s="39" t="str">
        <f>IF(NOTA[[#This Row],[CONCAT1]]="","",MATCH(NOTA[[#This Row],[CONCAT1]],[3]!db[NB NOTA_C],0))</f>
        <v/>
      </c>
      <c r="AR1022" s="39" t="str">
        <f>IF(NOTA[[#This Row],[QTY/ CTN]]="","",TRUE)</f>
        <v/>
      </c>
      <c r="AS1022" s="39" t="str">
        <f ca="1">IF(NOTA[[#This Row],[ID_H]]="","",IF(NOTA[[#This Row],[Column3]]=TRUE,NOTA[[#This Row],[QTY/ CTN]],INDEX([3]!db[QTY/ CTN],NOTA[[#This Row],[//DB]])))</f>
        <v/>
      </c>
      <c r="AT10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2" s="39" t="str">
        <f ca="1">IF(NOTA[[#This Row],[ID_H]]="","",MATCH(NOTA[[#This Row],[NB NOTA_C_QTY]],[4]!db[NB NOTA_C_QTY+F],0))</f>
        <v/>
      </c>
      <c r="AV1022" s="55" t="str">
        <f ca="1">IF(NOTA[[#This Row],[NB NOTA_C_QTY]]="","",ROW()-2)</f>
        <v/>
      </c>
    </row>
    <row r="1023" spans="1:48" ht="20.100000000000001" customHeight="1" x14ac:dyDescent="0.25">
      <c r="A10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39" t="str">
        <f>IF(NOTA[[#This Row],[ID_P]]="","",MATCH(NOTA[[#This Row],[ID_P]],[1]!B_MSK[N_ID],0))</f>
        <v/>
      </c>
      <c r="D1023" s="39" t="str">
        <f ca="1">IF(NOTA[[#This Row],[NAMA BARANG]]="","",INDEX(NOTA[ID],MATCH(,INDIRECT(ADDRESS(ROW(NOTA[ID]),COLUMN(NOTA[ID]))&amp;":"&amp;ADDRESS(ROW(),COLUMN(NOTA[ID]))),-1)))</f>
        <v/>
      </c>
      <c r="E1023" s="47"/>
      <c r="H1023" s="48"/>
      <c r="N1023" s="39"/>
      <c r="Q1023" s="43"/>
      <c r="R1023" s="49"/>
      <c r="S1023" s="50"/>
      <c r="U1023" s="51"/>
      <c r="V1023" s="46"/>
      <c r="W1023" s="51" t="str">
        <f>IF(NOTA[[#This Row],[HARGA/ CTN]]="",NOTA[[#This Row],[JUMLAH_H]],NOTA[[#This Row],[HARGA/ CTN]]*IF(NOTA[[#This Row],[C]]="",0,NOTA[[#This Row],[C]]))</f>
        <v/>
      </c>
      <c r="X1023" s="51" t="str">
        <f>IF(NOTA[[#This Row],[JUMLAH]]="","",NOTA[[#This Row],[JUMLAH]]*NOTA[[#This Row],[DISC 1]])</f>
        <v/>
      </c>
      <c r="Y1023" s="51" t="str">
        <f>IF(NOTA[[#This Row],[JUMLAH]]="","",(NOTA[[#This Row],[JUMLAH]]-NOTA[[#This Row],[DISC 1-]])*NOTA[[#This Row],[DISC 2]])</f>
        <v/>
      </c>
      <c r="Z1023" s="51" t="str">
        <f>IF(NOTA[[#This Row],[JUMLAH]]="","",NOTA[[#This Row],[DISC 1-]]+NOTA[[#This Row],[DISC 2-]])</f>
        <v/>
      </c>
      <c r="AA1023" s="51" t="str">
        <f>IF(NOTA[[#This Row],[JUMLAH]]="","",NOTA[[#This Row],[JUMLAH]]-NOTA[[#This Row],[DISC]])</f>
        <v/>
      </c>
      <c r="AB1023" s="51"/>
      <c r="AC10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3" s="51" t="str">
        <f>IF(OR(NOTA[[#This Row],[QTY]]="",NOTA[[#This Row],[HARGA SATUAN]]="",),"",NOTA[[#This Row],[QTY]]*NOTA[[#This Row],[HARGA SATUAN]])</f>
        <v/>
      </c>
      <c r="AG1023" s="40" t="str">
        <f ca="1">IF(NOTA[ID_H]="","",INDEX(NOTA[TANGGAL],MATCH(,INDIRECT(ADDRESS(ROW(NOTA[TANGGAL]),COLUMN(NOTA[TANGGAL]))&amp;":"&amp;ADDRESS(ROW(),COLUMN(NOTA[TANGGAL]))),-1)))</f>
        <v/>
      </c>
      <c r="AH1023" s="42" t="str">
        <f ca="1">IF(NOTA[[#This Row],[NAMA BARANG]]="","",INDEX(NOTA[SUPPLIER],MATCH(,INDIRECT(ADDRESS(ROW(NOTA[ID]),COLUMN(NOTA[ID]))&amp;":"&amp;ADDRESS(ROW(),COLUMN(NOTA[ID]))),-1)))</f>
        <v/>
      </c>
      <c r="AI1023" s="42" t="str">
        <f ca="1">IF(NOTA[[#This Row],[ID_H]]="","",IF(NOTA[[#This Row],[FAKTUR]]="",INDIRECT(ADDRESS(ROW()-1,COLUMN())),NOTA[[#This Row],[FAKTUR]]))</f>
        <v/>
      </c>
      <c r="AJ1023" s="39" t="str">
        <f ca="1">IF(NOTA[[#This Row],[ID]]="","",COUNTIF(NOTA[ID_H],NOTA[[#This Row],[ID_H]]))</f>
        <v/>
      </c>
      <c r="AK1023" s="39" t="str">
        <f ca="1">IF(NOTA[[#This Row],[TGL.NOTA]]="",IF(NOTA[[#This Row],[SUPPLIER_H]]="","",AK1022),MONTH(NOTA[[#This Row],[TGL.NOTA]]))</f>
        <v/>
      </c>
      <c r="AL1023" s="39" t="str">
        <f>LOWER(SUBSTITUTE(SUBSTITUTE(SUBSTITUTE(SUBSTITUTE(SUBSTITUTE(SUBSTITUTE(SUBSTITUTE(SUBSTITUTE(SUBSTITUTE(NOTA[NAMA BARANG]," ",),".",""),"-",""),"(",""),")",""),",",""),"/",""),"""",""),"+",""))</f>
        <v/>
      </c>
      <c r="AM10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39" t="str">
        <f>IF(NOTA[[#This Row],[CONCAT4]]="","",_xlfn.IFNA(MATCH(NOTA[[#This Row],[CONCAT4]],[2]!RAW[CONCAT_H],0),FALSE))</f>
        <v/>
      </c>
      <c r="AQ1023" s="39" t="str">
        <f>IF(NOTA[[#This Row],[CONCAT1]]="","",MATCH(NOTA[[#This Row],[CONCAT1]],[3]!db[NB NOTA_C],0))</f>
        <v/>
      </c>
      <c r="AR1023" s="39" t="str">
        <f>IF(NOTA[[#This Row],[QTY/ CTN]]="","",TRUE)</f>
        <v/>
      </c>
      <c r="AS1023" s="39" t="str">
        <f ca="1">IF(NOTA[[#This Row],[ID_H]]="","",IF(NOTA[[#This Row],[Column3]]=TRUE,NOTA[[#This Row],[QTY/ CTN]],INDEX([3]!db[QTY/ CTN],NOTA[[#This Row],[//DB]])))</f>
        <v/>
      </c>
      <c r="AT10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3" s="39" t="str">
        <f ca="1">IF(NOTA[[#This Row],[ID_H]]="","",MATCH(NOTA[[#This Row],[NB NOTA_C_QTY]],[4]!db[NB NOTA_C_QTY+F],0))</f>
        <v/>
      </c>
      <c r="AV1023" s="55" t="str">
        <f ca="1">IF(NOTA[[#This Row],[NB NOTA_C_QTY]]="","",ROW()-2)</f>
        <v/>
      </c>
    </row>
    <row r="1024" spans="1:48" ht="20.100000000000001" customHeight="1" x14ac:dyDescent="0.25">
      <c r="A10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39" t="str">
        <f>IF(NOTA[[#This Row],[ID_P]]="","",MATCH(NOTA[[#This Row],[ID_P]],[1]!B_MSK[N_ID],0))</f>
        <v/>
      </c>
      <c r="D1024" s="39" t="str">
        <f ca="1">IF(NOTA[[#This Row],[NAMA BARANG]]="","",INDEX(NOTA[ID],MATCH(,INDIRECT(ADDRESS(ROW(NOTA[ID]),COLUMN(NOTA[ID]))&amp;":"&amp;ADDRESS(ROW(),COLUMN(NOTA[ID]))),-1)))</f>
        <v/>
      </c>
      <c r="E1024" s="47"/>
      <c r="H1024" s="48"/>
      <c r="N1024" s="39"/>
      <c r="Q1024" s="43"/>
      <c r="R1024" s="49"/>
      <c r="S1024" s="50"/>
      <c r="U1024" s="51"/>
      <c r="V1024" s="46"/>
      <c r="W1024" s="51" t="str">
        <f>IF(NOTA[[#This Row],[HARGA/ CTN]]="",NOTA[[#This Row],[JUMLAH_H]],NOTA[[#This Row],[HARGA/ CTN]]*IF(NOTA[[#This Row],[C]]="",0,NOTA[[#This Row],[C]]))</f>
        <v/>
      </c>
      <c r="X1024" s="51" t="str">
        <f>IF(NOTA[[#This Row],[JUMLAH]]="","",NOTA[[#This Row],[JUMLAH]]*NOTA[[#This Row],[DISC 1]])</f>
        <v/>
      </c>
      <c r="Y1024" s="51" t="str">
        <f>IF(NOTA[[#This Row],[JUMLAH]]="","",(NOTA[[#This Row],[JUMLAH]]-NOTA[[#This Row],[DISC 1-]])*NOTA[[#This Row],[DISC 2]])</f>
        <v/>
      </c>
      <c r="Z1024" s="51" t="str">
        <f>IF(NOTA[[#This Row],[JUMLAH]]="","",NOTA[[#This Row],[DISC 1-]]+NOTA[[#This Row],[DISC 2-]])</f>
        <v/>
      </c>
      <c r="AA1024" s="51" t="str">
        <f>IF(NOTA[[#This Row],[JUMLAH]]="","",NOTA[[#This Row],[JUMLAH]]-NOTA[[#This Row],[DISC]])</f>
        <v/>
      </c>
      <c r="AB1024" s="51"/>
      <c r="AC10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4" s="51" t="str">
        <f>IF(OR(NOTA[[#This Row],[QTY]]="",NOTA[[#This Row],[HARGA SATUAN]]="",),"",NOTA[[#This Row],[QTY]]*NOTA[[#This Row],[HARGA SATUAN]])</f>
        <v/>
      </c>
      <c r="AG1024" s="40" t="str">
        <f ca="1">IF(NOTA[ID_H]="","",INDEX(NOTA[TANGGAL],MATCH(,INDIRECT(ADDRESS(ROW(NOTA[TANGGAL]),COLUMN(NOTA[TANGGAL]))&amp;":"&amp;ADDRESS(ROW(),COLUMN(NOTA[TANGGAL]))),-1)))</f>
        <v/>
      </c>
      <c r="AH1024" s="42" t="str">
        <f ca="1">IF(NOTA[[#This Row],[NAMA BARANG]]="","",INDEX(NOTA[SUPPLIER],MATCH(,INDIRECT(ADDRESS(ROW(NOTA[ID]),COLUMN(NOTA[ID]))&amp;":"&amp;ADDRESS(ROW(),COLUMN(NOTA[ID]))),-1)))</f>
        <v/>
      </c>
      <c r="AI1024" s="42" t="str">
        <f ca="1">IF(NOTA[[#This Row],[ID_H]]="","",IF(NOTA[[#This Row],[FAKTUR]]="",INDIRECT(ADDRESS(ROW()-1,COLUMN())),NOTA[[#This Row],[FAKTUR]]))</f>
        <v/>
      </c>
      <c r="AJ1024" s="39" t="str">
        <f ca="1">IF(NOTA[[#This Row],[ID]]="","",COUNTIF(NOTA[ID_H],NOTA[[#This Row],[ID_H]]))</f>
        <v/>
      </c>
      <c r="AK1024" s="39" t="str">
        <f ca="1">IF(NOTA[[#This Row],[TGL.NOTA]]="",IF(NOTA[[#This Row],[SUPPLIER_H]]="","",AK1023),MONTH(NOTA[[#This Row],[TGL.NOTA]]))</f>
        <v/>
      </c>
      <c r="AL1024" s="39" t="str">
        <f>LOWER(SUBSTITUTE(SUBSTITUTE(SUBSTITUTE(SUBSTITUTE(SUBSTITUTE(SUBSTITUTE(SUBSTITUTE(SUBSTITUTE(SUBSTITUTE(NOTA[NAMA BARANG]," ",),".",""),"-",""),"(",""),")",""),",",""),"/",""),"""",""),"+",""))</f>
        <v/>
      </c>
      <c r="AM10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39" t="str">
        <f>IF(NOTA[[#This Row],[CONCAT4]]="","",_xlfn.IFNA(MATCH(NOTA[[#This Row],[CONCAT4]],[2]!RAW[CONCAT_H],0),FALSE))</f>
        <v/>
      </c>
      <c r="AQ1024" s="39" t="str">
        <f>IF(NOTA[[#This Row],[CONCAT1]]="","",MATCH(NOTA[[#This Row],[CONCAT1]],[3]!db[NB NOTA_C],0))</f>
        <v/>
      </c>
      <c r="AR1024" s="39" t="str">
        <f>IF(NOTA[[#This Row],[QTY/ CTN]]="","",TRUE)</f>
        <v/>
      </c>
      <c r="AS1024" s="39" t="str">
        <f ca="1">IF(NOTA[[#This Row],[ID_H]]="","",IF(NOTA[[#This Row],[Column3]]=TRUE,NOTA[[#This Row],[QTY/ CTN]],INDEX([3]!db[QTY/ CTN],NOTA[[#This Row],[//DB]])))</f>
        <v/>
      </c>
      <c r="AT10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4" s="39" t="str">
        <f ca="1">IF(NOTA[[#This Row],[ID_H]]="","",MATCH(NOTA[[#This Row],[NB NOTA_C_QTY]],[4]!db[NB NOTA_C_QTY+F],0))</f>
        <v/>
      </c>
      <c r="AV1024" s="55" t="str">
        <f ca="1">IF(NOTA[[#This Row],[NB NOTA_C_QTY]]="","",ROW()-2)</f>
        <v/>
      </c>
    </row>
    <row r="1025" spans="1:48" ht="20.100000000000001" customHeight="1" x14ac:dyDescent="0.25">
      <c r="A10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39" t="str">
        <f>IF(NOTA[[#This Row],[ID_P]]="","",MATCH(NOTA[[#This Row],[ID_P]],[1]!B_MSK[N_ID],0))</f>
        <v/>
      </c>
      <c r="D1025" s="39" t="str">
        <f ca="1">IF(NOTA[[#This Row],[NAMA BARANG]]="","",INDEX(NOTA[ID],MATCH(,INDIRECT(ADDRESS(ROW(NOTA[ID]),COLUMN(NOTA[ID]))&amp;":"&amp;ADDRESS(ROW(),COLUMN(NOTA[ID]))),-1)))</f>
        <v/>
      </c>
      <c r="E1025" s="47"/>
      <c r="H1025" s="48"/>
      <c r="N1025" s="39"/>
      <c r="Q1025" s="43"/>
      <c r="R1025" s="49"/>
      <c r="S1025" s="50"/>
      <c r="U1025" s="51"/>
      <c r="V1025" s="46"/>
      <c r="W1025" s="51" t="str">
        <f>IF(NOTA[[#This Row],[HARGA/ CTN]]="",NOTA[[#This Row],[JUMLAH_H]],NOTA[[#This Row],[HARGA/ CTN]]*IF(NOTA[[#This Row],[C]]="",0,NOTA[[#This Row],[C]]))</f>
        <v/>
      </c>
      <c r="X1025" s="51" t="str">
        <f>IF(NOTA[[#This Row],[JUMLAH]]="","",NOTA[[#This Row],[JUMLAH]]*NOTA[[#This Row],[DISC 1]])</f>
        <v/>
      </c>
      <c r="Y1025" s="51" t="str">
        <f>IF(NOTA[[#This Row],[JUMLAH]]="","",(NOTA[[#This Row],[JUMLAH]]-NOTA[[#This Row],[DISC 1-]])*NOTA[[#This Row],[DISC 2]])</f>
        <v/>
      </c>
      <c r="Z1025" s="51" t="str">
        <f>IF(NOTA[[#This Row],[JUMLAH]]="","",NOTA[[#This Row],[DISC 1-]]+NOTA[[#This Row],[DISC 2-]])</f>
        <v/>
      </c>
      <c r="AA1025" s="51" t="str">
        <f>IF(NOTA[[#This Row],[JUMLAH]]="","",NOTA[[#This Row],[JUMLAH]]-NOTA[[#This Row],[DISC]])</f>
        <v/>
      </c>
      <c r="AB1025" s="51"/>
      <c r="AC10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5" s="51" t="str">
        <f>IF(OR(NOTA[[#This Row],[QTY]]="",NOTA[[#This Row],[HARGA SATUAN]]="",),"",NOTA[[#This Row],[QTY]]*NOTA[[#This Row],[HARGA SATUAN]])</f>
        <v/>
      </c>
      <c r="AG1025" s="40" t="str">
        <f ca="1">IF(NOTA[ID_H]="","",INDEX(NOTA[TANGGAL],MATCH(,INDIRECT(ADDRESS(ROW(NOTA[TANGGAL]),COLUMN(NOTA[TANGGAL]))&amp;":"&amp;ADDRESS(ROW(),COLUMN(NOTA[TANGGAL]))),-1)))</f>
        <v/>
      </c>
      <c r="AH1025" s="42" t="str">
        <f ca="1">IF(NOTA[[#This Row],[NAMA BARANG]]="","",INDEX(NOTA[SUPPLIER],MATCH(,INDIRECT(ADDRESS(ROW(NOTA[ID]),COLUMN(NOTA[ID]))&amp;":"&amp;ADDRESS(ROW(),COLUMN(NOTA[ID]))),-1)))</f>
        <v/>
      </c>
      <c r="AI1025" s="42" t="str">
        <f ca="1">IF(NOTA[[#This Row],[ID_H]]="","",IF(NOTA[[#This Row],[FAKTUR]]="",INDIRECT(ADDRESS(ROW()-1,COLUMN())),NOTA[[#This Row],[FAKTUR]]))</f>
        <v/>
      </c>
      <c r="AJ1025" s="39" t="str">
        <f ca="1">IF(NOTA[[#This Row],[ID]]="","",COUNTIF(NOTA[ID_H],NOTA[[#This Row],[ID_H]]))</f>
        <v/>
      </c>
      <c r="AK1025" s="39" t="str">
        <f ca="1">IF(NOTA[[#This Row],[TGL.NOTA]]="",IF(NOTA[[#This Row],[SUPPLIER_H]]="","",AK1024),MONTH(NOTA[[#This Row],[TGL.NOTA]]))</f>
        <v/>
      </c>
      <c r="AL1025" s="39" t="str">
        <f>LOWER(SUBSTITUTE(SUBSTITUTE(SUBSTITUTE(SUBSTITUTE(SUBSTITUTE(SUBSTITUTE(SUBSTITUTE(SUBSTITUTE(SUBSTITUTE(NOTA[NAMA BARANG]," ",),".",""),"-",""),"(",""),")",""),",",""),"/",""),"""",""),"+",""))</f>
        <v/>
      </c>
      <c r="AM10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39" t="str">
        <f>IF(NOTA[[#This Row],[CONCAT4]]="","",_xlfn.IFNA(MATCH(NOTA[[#This Row],[CONCAT4]],[2]!RAW[CONCAT_H],0),FALSE))</f>
        <v/>
      </c>
      <c r="AQ1025" s="39" t="str">
        <f>IF(NOTA[[#This Row],[CONCAT1]]="","",MATCH(NOTA[[#This Row],[CONCAT1]],[3]!db[NB NOTA_C],0))</f>
        <v/>
      </c>
      <c r="AR1025" s="39" t="str">
        <f>IF(NOTA[[#This Row],[QTY/ CTN]]="","",TRUE)</f>
        <v/>
      </c>
      <c r="AS1025" s="39" t="str">
        <f ca="1">IF(NOTA[[#This Row],[ID_H]]="","",IF(NOTA[[#This Row],[Column3]]=TRUE,NOTA[[#This Row],[QTY/ CTN]],INDEX([3]!db[QTY/ CTN],NOTA[[#This Row],[//DB]])))</f>
        <v/>
      </c>
      <c r="AT10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5" s="39" t="str">
        <f ca="1">IF(NOTA[[#This Row],[ID_H]]="","",MATCH(NOTA[[#This Row],[NB NOTA_C_QTY]],[4]!db[NB NOTA_C_QTY+F],0))</f>
        <v/>
      </c>
      <c r="AV1025" s="55" t="str">
        <f ca="1">IF(NOTA[[#This Row],[NB NOTA_C_QTY]]="","",ROW()-2)</f>
        <v/>
      </c>
    </row>
    <row r="1026" spans="1:48" ht="20.100000000000001" customHeight="1" x14ac:dyDescent="0.25">
      <c r="A10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39" t="str">
        <f>IF(NOTA[[#This Row],[ID_P]]="","",MATCH(NOTA[[#This Row],[ID_P]],[1]!B_MSK[N_ID],0))</f>
        <v/>
      </c>
      <c r="D1026" s="39" t="str">
        <f ca="1">IF(NOTA[[#This Row],[NAMA BARANG]]="","",INDEX(NOTA[ID],MATCH(,INDIRECT(ADDRESS(ROW(NOTA[ID]),COLUMN(NOTA[ID]))&amp;":"&amp;ADDRESS(ROW(),COLUMN(NOTA[ID]))),-1)))</f>
        <v/>
      </c>
      <c r="E1026" s="47"/>
      <c r="H1026" s="48"/>
      <c r="N1026" s="39"/>
      <c r="Q1026" s="43"/>
      <c r="R1026" s="49"/>
      <c r="S1026" s="50"/>
      <c r="U1026" s="51"/>
      <c r="V1026" s="46"/>
      <c r="W1026" s="51" t="str">
        <f>IF(NOTA[[#This Row],[HARGA/ CTN]]="",NOTA[[#This Row],[JUMLAH_H]],NOTA[[#This Row],[HARGA/ CTN]]*IF(NOTA[[#This Row],[C]]="",0,NOTA[[#This Row],[C]]))</f>
        <v/>
      </c>
      <c r="X1026" s="51" t="str">
        <f>IF(NOTA[[#This Row],[JUMLAH]]="","",NOTA[[#This Row],[JUMLAH]]*NOTA[[#This Row],[DISC 1]])</f>
        <v/>
      </c>
      <c r="Y1026" s="51" t="str">
        <f>IF(NOTA[[#This Row],[JUMLAH]]="","",(NOTA[[#This Row],[JUMLAH]]-NOTA[[#This Row],[DISC 1-]])*NOTA[[#This Row],[DISC 2]])</f>
        <v/>
      </c>
      <c r="Z1026" s="51" t="str">
        <f>IF(NOTA[[#This Row],[JUMLAH]]="","",NOTA[[#This Row],[DISC 1-]]+NOTA[[#This Row],[DISC 2-]])</f>
        <v/>
      </c>
      <c r="AA1026" s="51" t="str">
        <f>IF(NOTA[[#This Row],[JUMLAH]]="","",NOTA[[#This Row],[JUMLAH]]-NOTA[[#This Row],[DISC]])</f>
        <v/>
      </c>
      <c r="AB1026" s="51"/>
      <c r="AC10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6" s="51" t="str">
        <f>IF(OR(NOTA[[#This Row],[QTY]]="",NOTA[[#This Row],[HARGA SATUAN]]="",),"",NOTA[[#This Row],[QTY]]*NOTA[[#This Row],[HARGA SATUAN]])</f>
        <v/>
      </c>
      <c r="AG1026" s="40" t="str">
        <f ca="1">IF(NOTA[ID_H]="","",INDEX(NOTA[TANGGAL],MATCH(,INDIRECT(ADDRESS(ROW(NOTA[TANGGAL]),COLUMN(NOTA[TANGGAL]))&amp;":"&amp;ADDRESS(ROW(),COLUMN(NOTA[TANGGAL]))),-1)))</f>
        <v/>
      </c>
      <c r="AH1026" s="42" t="str">
        <f ca="1">IF(NOTA[[#This Row],[NAMA BARANG]]="","",INDEX(NOTA[SUPPLIER],MATCH(,INDIRECT(ADDRESS(ROW(NOTA[ID]),COLUMN(NOTA[ID]))&amp;":"&amp;ADDRESS(ROW(),COLUMN(NOTA[ID]))),-1)))</f>
        <v/>
      </c>
      <c r="AI1026" s="42" t="str">
        <f ca="1">IF(NOTA[[#This Row],[ID_H]]="","",IF(NOTA[[#This Row],[FAKTUR]]="",INDIRECT(ADDRESS(ROW()-1,COLUMN())),NOTA[[#This Row],[FAKTUR]]))</f>
        <v/>
      </c>
      <c r="AJ1026" s="39" t="str">
        <f ca="1">IF(NOTA[[#This Row],[ID]]="","",COUNTIF(NOTA[ID_H],NOTA[[#This Row],[ID_H]]))</f>
        <v/>
      </c>
      <c r="AK1026" s="39" t="str">
        <f ca="1">IF(NOTA[[#This Row],[TGL.NOTA]]="",IF(NOTA[[#This Row],[SUPPLIER_H]]="","",AK1025),MONTH(NOTA[[#This Row],[TGL.NOTA]]))</f>
        <v/>
      </c>
      <c r="AL1026" s="39" t="str">
        <f>LOWER(SUBSTITUTE(SUBSTITUTE(SUBSTITUTE(SUBSTITUTE(SUBSTITUTE(SUBSTITUTE(SUBSTITUTE(SUBSTITUTE(SUBSTITUTE(NOTA[NAMA BARANG]," ",),".",""),"-",""),"(",""),")",""),",",""),"/",""),"""",""),"+",""))</f>
        <v/>
      </c>
      <c r="AM10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39" t="str">
        <f>IF(NOTA[[#This Row],[CONCAT4]]="","",_xlfn.IFNA(MATCH(NOTA[[#This Row],[CONCAT4]],[2]!RAW[CONCAT_H],0),FALSE))</f>
        <v/>
      </c>
      <c r="AQ1026" s="39" t="str">
        <f>IF(NOTA[[#This Row],[CONCAT1]]="","",MATCH(NOTA[[#This Row],[CONCAT1]],[3]!db[NB NOTA_C],0))</f>
        <v/>
      </c>
      <c r="AR1026" s="39" t="str">
        <f>IF(NOTA[[#This Row],[QTY/ CTN]]="","",TRUE)</f>
        <v/>
      </c>
      <c r="AS1026" s="39" t="str">
        <f ca="1">IF(NOTA[[#This Row],[ID_H]]="","",IF(NOTA[[#This Row],[Column3]]=TRUE,NOTA[[#This Row],[QTY/ CTN]],INDEX([3]!db[QTY/ CTN],NOTA[[#This Row],[//DB]])))</f>
        <v/>
      </c>
      <c r="AT10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6" s="39" t="str">
        <f ca="1">IF(NOTA[[#This Row],[ID_H]]="","",MATCH(NOTA[[#This Row],[NB NOTA_C_QTY]],[4]!db[NB NOTA_C_QTY+F],0))</f>
        <v/>
      </c>
      <c r="AV1026" s="55" t="str">
        <f ca="1">IF(NOTA[[#This Row],[NB NOTA_C_QTY]]="","",ROW()-2)</f>
        <v/>
      </c>
    </row>
    <row r="1027" spans="1:48" ht="20.100000000000001" customHeight="1" x14ac:dyDescent="0.25">
      <c r="A10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39" t="str">
        <f>IF(NOTA[[#This Row],[ID_P]]="","",MATCH(NOTA[[#This Row],[ID_P]],[1]!B_MSK[N_ID],0))</f>
        <v/>
      </c>
      <c r="D1027" s="39" t="str">
        <f ca="1">IF(NOTA[[#This Row],[NAMA BARANG]]="","",INDEX(NOTA[ID],MATCH(,INDIRECT(ADDRESS(ROW(NOTA[ID]),COLUMN(NOTA[ID]))&amp;":"&amp;ADDRESS(ROW(),COLUMN(NOTA[ID]))),-1)))</f>
        <v/>
      </c>
      <c r="E1027" s="47"/>
      <c r="H1027" s="48"/>
      <c r="N1027" s="39"/>
      <c r="Q1027" s="43"/>
      <c r="R1027" s="49"/>
      <c r="S1027" s="50"/>
      <c r="U1027" s="51"/>
      <c r="V1027" s="46"/>
      <c r="W1027" s="51" t="str">
        <f>IF(NOTA[[#This Row],[HARGA/ CTN]]="",NOTA[[#This Row],[JUMLAH_H]],NOTA[[#This Row],[HARGA/ CTN]]*IF(NOTA[[#This Row],[C]]="",0,NOTA[[#This Row],[C]]))</f>
        <v/>
      </c>
      <c r="X1027" s="51" t="str">
        <f>IF(NOTA[[#This Row],[JUMLAH]]="","",NOTA[[#This Row],[JUMLAH]]*NOTA[[#This Row],[DISC 1]])</f>
        <v/>
      </c>
      <c r="Y1027" s="51" t="str">
        <f>IF(NOTA[[#This Row],[JUMLAH]]="","",(NOTA[[#This Row],[JUMLAH]]-NOTA[[#This Row],[DISC 1-]])*NOTA[[#This Row],[DISC 2]])</f>
        <v/>
      </c>
      <c r="Z1027" s="51" t="str">
        <f>IF(NOTA[[#This Row],[JUMLAH]]="","",NOTA[[#This Row],[DISC 1-]]+NOTA[[#This Row],[DISC 2-]])</f>
        <v/>
      </c>
      <c r="AA1027" s="51" t="str">
        <f>IF(NOTA[[#This Row],[JUMLAH]]="","",NOTA[[#This Row],[JUMLAH]]-NOTA[[#This Row],[DISC]])</f>
        <v/>
      </c>
      <c r="AB1027" s="51"/>
      <c r="AC10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7" s="51" t="str">
        <f>IF(OR(NOTA[[#This Row],[QTY]]="",NOTA[[#This Row],[HARGA SATUAN]]="",),"",NOTA[[#This Row],[QTY]]*NOTA[[#This Row],[HARGA SATUAN]])</f>
        <v/>
      </c>
      <c r="AG1027" s="40" t="str">
        <f ca="1">IF(NOTA[ID_H]="","",INDEX(NOTA[TANGGAL],MATCH(,INDIRECT(ADDRESS(ROW(NOTA[TANGGAL]),COLUMN(NOTA[TANGGAL]))&amp;":"&amp;ADDRESS(ROW(),COLUMN(NOTA[TANGGAL]))),-1)))</f>
        <v/>
      </c>
      <c r="AH1027" s="42" t="str">
        <f ca="1">IF(NOTA[[#This Row],[NAMA BARANG]]="","",INDEX(NOTA[SUPPLIER],MATCH(,INDIRECT(ADDRESS(ROW(NOTA[ID]),COLUMN(NOTA[ID]))&amp;":"&amp;ADDRESS(ROW(),COLUMN(NOTA[ID]))),-1)))</f>
        <v/>
      </c>
      <c r="AI1027" s="42" t="str">
        <f ca="1">IF(NOTA[[#This Row],[ID_H]]="","",IF(NOTA[[#This Row],[FAKTUR]]="",INDIRECT(ADDRESS(ROW()-1,COLUMN())),NOTA[[#This Row],[FAKTUR]]))</f>
        <v/>
      </c>
      <c r="AJ1027" s="39" t="str">
        <f ca="1">IF(NOTA[[#This Row],[ID]]="","",COUNTIF(NOTA[ID_H],NOTA[[#This Row],[ID_H]]))</f>
        <v/>
      </c>
      <c r="AK1027" s="39" t="str">
        <f ca="1">IF(NOTA[[#This Row],[TGL.NOTA]]="",IF(NOTA[[#This Row],[SUPPLIER_H]]="","",AK1026),MONTH(NOTA[[#This Row],[TGL.NOTA]]))</f>
        <v/>
      </c>
      <c r="AL1027" s="39" t="str">
        <f>LOWER(SUBSTITUTE(SUBSTITUTE(SUBSTITUTE(SUBSTITUTE(SUBSTITUTE(SUBSTITUTE(SUBSTITUTE(SUBSTITUTE(SUBSTITUTE(NOTA[NAMA BARANG]," ",),".",""),"-",""),"(",""),")",""),",",""),"/",""),"""",""),"+",""))</f>
        <v/>
      </c>
      <c r="AM10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39" t="str">
        <f>IF(NOTA[[#This Row],[CONCAT4]]="","",_xlfn.IFNA(MATCH(NOTA[[#This Row],[CONCAT4]],[2]!RAW[CONCAT_H],0),FALSE))</f>
        <v/>
      </c>
      <c r="AQ1027" s="39" t="str">
        <f>IF(NOTA[[#This Row],[CONCAT1]]="","",MATCH(NOTA[[#This Row],[CONCAT1]],[3]!db[NB NOTA_C],0))</f>
        <v/>
      </c>
      <c r="AR1027" s="39" t="str">
        <f>IF(NOTA[[#This Row],[QTY/ CTN]]="","",TRUE)</f>
        <v/>
      </c>
      <c r="AS1027" s="39" t="str">
        <f ca="1">IF(NOTA[[#This Row],[ID_H]]="","",IF(NOTA[[#This Row],[Column3]]=TRUE,NOTA[[#This Row],[QTY/ CTN]],INDEX([3]!db[QTY/ CTN],NOTA[[#This Row],[//DB]])))</f>
        <v/>
      </c>
      <c r="AT10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7" s="39" t="str">
        <f ca="1">IF(NOTA[[#This Row],[ID_H]]="","",MATCH(NOTA[[#This Row],[NB NOTA_C_QTY]],[4]!db[NB NOTA_C_QTY+F],0))</f>
        <v/>
      </c>
      <c r="AV1027" s="55" t="str">
        <f ca="1">IF(NOTA[[#This Row],[NB NOTA_C_QTY]]="","",ROW()-2)</f>
        <v/>
      </c>
    </row>
    <row r="1028" spans="1:48" ht="20.100000000000001" customHeight="1" x14ac:dyDescent="0.25">
      <c r="A10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39" t="str">
        <f>IF(NOTA[[#This Row],[ID_P]]="","",MATCH(NOTA[[#This Row],[ID_P]],[1]!B_MSK[N_ID],0))</f>
        <v/>
      </c>
      <c r="D1028" s="39" t="str">
        <f ca="1">IF(NOTA[[#This Row],[NAMA BARANG]]="","",INDEX(NOTA[ID],MATCH(,INDIRECT(ADDRESS(ROW(NOTA[ID]),COLUMN(NOTA[ID]))&amp;":"&amp;ADDRESS(ROW(),COLUMN(NOTA[ID]))),-1)))</f>
        <v/>
      </c>
      <c r="E1028" s="47"/>
      <c r="H1028" s="48"/>
      <c r="N1028" s="39"/>
      <c r="Q1028" s="43"/>
      <c r="R1028" s="49"/>
      <c r="S1028" s="50"/>
      <c r="U1028" s="51"/>
      <c r="V1028" s="46"/>
      <c r="W1028" s="51" t="str">
        <f>IF(NOTA[[#This Row],[HARGA/ CTN]]="",NOTA[[#This Row],[JUMLAH_H]],NOTA[[#This Row],[HARGA/ CTN]]*IF(NOTA[[#This Row],[C]]="",0,NOTA[[#This Row],[C]]))</f>
        <v/>
      </c>
      <c r="X1028" s="51" t="str">
        <f>IF(NOTA[[#This Row],[JUMLAH]]="","",NOTA[[#This Row],[JUMLAH]]*NOTA[[#This Row],[DISC 1]])</f>
        <v/>
      </c>
      <c r="Y1028" s="51" t="str">
        <f>IF(NOTA[[#This Row],[JUMLAH]]="","",(NOTA[[#This Row],[JUMLAH]]-NOTA[[#This Row],[DISC 1-]])*NOTA[[#This Row],[DISC 2]])</f>
        <v/>
      </c>
      <c r="Z1028" s="51" t="str">
        <f>IF(NOTA[[#This Row],[JUMLAH]]="","",NOTA[[#This Row],[DISC 1-]]+NOTA[[#This Row],[DISC 2-]])</f>
        <v/>
      </c>
      <c r="AA1028" s="51" t="str">
        <f>IF(NOTA[[#This Row],[JUMLAH]]="","",NOTA[[#This Row],[JUMLAH]]-NOTA[[#This Row],[DISC]])</f>
        <v/>
      </c>
      <c r="AB1028" s="51"/>
      <c r="AC10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8" s="51" t="str">
        <f>IF(OR(NOTA[[#This Row],[QTY]]="",NOTA[[#This Row],[HARGA SATUAN]]="",),"",NOTA[[#This Row],[QTY]]*NOTA[[#This Row],[HARGA SATUAN]])</f>
        <v/>
      </c>
      <c r="AG1028" s="40" t="str">
        <f ca="1">IF(NOTA[ID_H]="","",INDEX(NOTA[TANGGAL],MATCH(,INDIRECT(ADDRESS(ROW(NOTA[TANGGAL]),COLUMN(NOTA[TANGGAL]))&amp;":"&amp;ADDRESS(ROW(),COLUMN(NOTA[TANGGAL]))),-1)))</f>
        <v/>
      </c>
      <c r="AH1028" s="42" t="str">
        <f ca="1">IF(NOTA[[#This Row],[NAMA BARANG]]="","",INDEX(NOTA[SUPPLIER],MATCH(,INDIRECT(ADDRESS(ROW(NOTA[ID]),COLUMN(NOTA[ID]))&amp;":"&amp;ADDRESS(ROW(),COLUMN(NOTA[ID]))),-1)))</f>
        <v/>
      </c>
      <c r="AI1028" s="42" t="str">
        <f ca="1">IF(NOTA[[#This Row],[ID_H]]="","",IF(NOTA[[#This Row],[FAKTUR]]="",INDIRECT(ADDRESS(ROW()-1,COLUMN())),NOTA[[#This Row],[FAKTUR]]))</f>
        <v/>
      </c>
      <c r="AJ1028" s="39" t="str">
        <f ca="1">IF(NOTA[[#This Row],[ID]]="","",COUNTIF(NOTA[ID_H],NOTA[[#This Row],[ID_H]]))</f>
        <v/>
      </c>
      <c r="AK1028" s="39" t="str">
        <f ca="1">IF(NOTA[[#This Row],[TGL.NOTA]]="",IF(NOTA[[#This Row],[SUPPLIER_H]]="","",AK1027),MONTH(NOTA[[#This Row],[TGL.NOTA]]))</f>
        <v/>
      </c>
      <c r="AL1028" s="39" t="str">
        <f>LOWER(SUBSTITUTE(SUBSTITUTE(SUBSTITUTE(SUBSTITUTE(SUBSTITUTE(SUBSTITUTE(SUBSTITUTE(SUBSTITUTE(SUBSTITUTE(NOTA[NAMA BARANG]," ",),".",""),"-",""),"(",""),")",""),",",""),"/",""),"""",""),"+",""))</f>
        <v/>
      </c>
      <c r="AM10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39" t="str">
        <f>IF(NOTA[[#This Row],[CONCAT4]]="","",_xlfn.IFNA(MATCH(NOTA[[#This Row],[CONCAT4]],[2]!RAW[CONCAT_H],0),FALSE))</f>
        <v/>
      </c>
      <c r="AQ1028" s="39" t="str">
        <f>IF(NOTA[[#This Row],[CONCAT1]]="","",MATCH(NOTA[[#This Row],[CONCAT1]],[3]!db[NB NOTA_C],0))</f>
        <v/>
      </c>
      <c r="AR1028" s="39" t="str">
        <f>IF(NOTA[[#This Row],[QTY/ CTN]]="","",TRUE)</f>
        <v/>
      </c>
      <c r="AS1028" s="39" t="str">
        <f ca="1">IF(NOTA[[#This Row],[ID_H]]="","",IF(NOTA[[#This Row],[Column3]]=TRUE,NOTA[[#This Row],[QTY/ CTN]],INDEX([3]!db[QTY/ CTN],NOTA[[#This Row],[//DB]])))</f>
        <v/>
      </c>
      <c r="AT10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8" s="39" t="str">
        <f ca="1">IF(NOTA[[#This Row],[ID_H]]="","",MATCH(NOTA[[#This Row],[NB NOTA_C_QTY]],[4]!db[NB NOTA_C_QTY+F],0))</f>
        <v/>
      </c>
      <c r="AV1028" s="55" t="str">
        <f ca="1">IF(NOTA[[#This Row],[NB NOTA_C_QTY]]="","",ROW()-2)</f>
        <v/>
      </c>
    </row>
    <row r="1029" spans="1:48" ht="20.100000000000001" customHeight="1" x14ac:dyDescent="0.25">
      <c r="A10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39" t="str">
        <f>IF(NOTA[[#This Row],[ID_P]]="","",MATCH(NOTA[[#This Row],[ID_P]],[1]!B_MSK[N_ID],0))</f>
        <v/>
      </c>
      <c r="D1029" s="39" t="str">
        <f ca="1">IF(NOTA[[#This Row],[NAMA BARANG]]="","",INDEX(NOTA[ID],MATCH(,INDIRECT(ADDRESS(ROW(NOTA[ID]),COLUMN(NOTA[ID]))&amp;":"&amp;ADDRESS(ROW(),COLUMN(NOTA[ID]))),-1)))</f>
        <v/>
      </c>
      <c r="E1029" s="47"/>
      <c r="H1029" s="48"/>
      <c r="N1029" s="39"/>
      <c r="Q1029" s="43"/>
      <c r="R1029" s="49"/>
      <c r="S1029" s="50"/>
      <c r="U1029" s="51"/>
      <c r="V1029" s="46"/>
      <c r="W1029" s="51" t="str">
        <f>IF(NOTA[[#This Row],[HARGA/ CTN]]="",NOTA[[#This Row],[JUMLAH_H]],NOTA[[#This Row],[HARGA/ CTN]]*IF(NOTA[[#This Row],[C]]="",0,NOTA[[#This Row],[C]]))</f>
        <v/>
      </c>
      <c r="X1029" s="51" t="str">
        <f>IF(NOTA[[#This Row],[JUMLAH]]="","",NOTA[[#This Row],[JUMLAH]]*NOTA[[#This Row],[DISC 1]])</f>
        <v/>
      </c>
      <c r="Y1029" s="51" t="str">
        <f>IF(NOTA[[#This Row],[JUMLAH]]="","",(NOTA[[#This Row],[JUMLAH]]-NOTA[[#This Row],[DISC 1-]])*NOTA[[#This Row],[DISC 2]])</f>
        <v/>
      </c>
      <c r="Z1029" s="51" t="str">
        <f>IF(NOTA[[#This Row],[JUMLAH]]="","",NOTA[[#This Row],[DISC 1-]]+NOTA[[#This Row],[DISC 2-]])</f>
        <v/>
      </c>
      <c r="AA1029" s="51" t="str">
        <f>IF(NOTA[[#This Row],[JUMLAH]]="","",NOTA[[#This Row],[JUMLAH]]-NOTA[[#This Row],[DISC]])</f>
        <v/>
      </c>
      <c r="AB1029" s="51"/>
      <c r="AC10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9" s="51" t="str">
        <f>IF(OR(NOTA[[#This Row],[QTY]]="",NOTA[[#This Row],[HARGA SATUAN]]="",),"",NOTA[[#This Row],[QTY]]*NOTA[[#This Row],[HARGA SATUAN]])</f>
        <v/>
      </c>
      <c r="AG1029" s="40" t="str">
        <f ca="1">IF(NOTA[ID_H]="","",INDEX(NOTA[TANGGAL],MATCH(,INDIRECT(ADDRESS(ROW(NOTA[TANGGAL]),COLUMN(NOTA[TANGGAL]))&amp;":"&amp;ADDRESS(ROW(),COLUMN(NOTA[TANGGAL]))),-1)))</f>
        <v/>
      </c>
      <c r="AH1029" s="42" t="str">
        <f ca="1">IF(NOTA[[#This Row],[NAMA BARANG]]="","",INDEX(NOTA[SUPPLIER],MATCH(,INDIRECT(ADDRESS(ROW(NOTA[ID]),COLUMN(NOTA[ID]))&amp;":"&amp;ADDRESS(ROW(),COLUMN(NOTA[ID]))),-1)))</f>
        <v/>
      </c>
      <c r="AI1029" s="42" t="str">
        <f ca="1">IF(NOTA[[#This Row],[ID_H]]="","",IF(NOTA[[#This Row],[FAKTUR]]="",INDIRECT(ADDRESS(ROW()-1,COLUMN())),NOTA[[#This Row],[FAKTUR]]))</f>
        <v/>
      </c>
      <c r="AJ1029" s="39" t="str">
        <f ca="1">IF(NOTA[[#This Row],[ID]]="","",COUNTIF(NOTA[ID_H],NOTA[[#This Row],[ID_H]]))</f>
        <v/>
      </c>
      <c r="AK1029" s="39" t="str">
        <f ca="1">IF(NOTA[[#This Row],[TGL.NOTA]]="",IF(NOTA[[#This Row],[SUPPLIER_H]]="","",AK1028),MONTH(NOTA[[#This Row],[TGL.NOTA]]))</f>
        <v/>
      </c>
      <c r="AL1029" s="39" t="str">
        <f>LOWER(SUBSTITUTE(SUBSTITUTE(SUBSTITUTE(SUBSTITUTE(SUBSTITUTE(SUBSTITUTE(SUBSTITUTE(SUBSTITUTE(SUBSTITUTE(NOTA[NAMA BARANG]," ",),".",""),"-",""),"(",""),")",""),",",""),"/",""),"""",""),"+",""))</f>
        <v/>
      </c>
      <c r="AM10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39" t="str">
        <f>IF(NOTA[[#This Row],[CONCAT4]]="","",_xlfn.IFNA(MATCH(NOTA[[#This Row],[CONCAT4]],[2]!RAW[CONCAT_H],0),FALSE))</f>
        <v/>
      </c>
      <c r="AQ1029" s="39" t="str">
        <f>IF(NOTA[[#This Row],[CONCAT1]]="","",MATCH(NOTA[[#This Row],[CONCAT1]],[3]!db[NB NOTA_C],0))</f>
        <v/>
      </c>
      <c r="AR1029" s="39" t="str">
        <f>IF(NOTA[[#This Row],[QTY/ CTN]]="","",TRUE)</f>
        <v/>
      </c>
      <c r="AS1029" s="39" t="str">
        <f ca="1">IF(NOTA[[#This Row],[ID_H]]="","",IF(NOTA[[#This Row],[Column3]]=TRUE,NOTA[[#This Row],[QTY/ CTN]],INDEX([3]!db[QTY/ CTN],NOTA[[#This Row],[//DB]])))</f>
        <v/>
      </c>
      <c r="AT10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9" s="39" t="str">
        <f ca="1">IF(NOTA[[#This Row],[ID_H]]="","",MATCH(NOTA[[#This Row],[NB NOTA_C_QTY]],[4]!db[NB NOTA_C_QTY+F],0))</f>
        <v/>
      </c>
      <c r="AV1029" s="55" t="str">
        <f ca="1">IF(NOTA[[#This Row],[NB NOTA_C_QTY]]="","",ROW()-2)</f>
        <v/>
      </c>
    </row>
    <row r="1030" spans="1:48" ht="20.100000000000001" customHeight="1" x14ac:dyDescent="0.25">
      <c r="A10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39" t="str">
        <f>IF(NOTA[[#This Row],[ID_P]]="","",MATCH(NOTA[[#This Row],[ID_P]],[1]!B_MSK[N_ID],0))</f>
        <v/>
      </c>
      <c r="D1030" s="39" t="str">
        <f ca="1">IF(NOTA[[#This Row],[NAMA BARANG]]="","",INDEX(NOTA[ID],MATCH(,INDIRECT(ADDRESS(ROW(NOTA[ID]),COLUMN(NOTA[ID]))&amp;":"&amp;ADDRESS(ROW(),COLUMN(NOTA[ID]))),-1)))</f>
        <v/>
      </c>
      <c r="E1030" s="47"/>
      <c r="H1030" s="48"/>
      <c r="N1030" s="39"/>
      <c r="Q1030" s="43"/>
      <c r="R1030" s="49"/>
      <c r="S1030" s="50"/>
      <c r="U1030" s="51"/>
      <c r="V1030" s="46"/>
      <c r="W1030" s="51" t="str">
        <f>IF(NOTA[[#This Row],[HARGA/ CTN]]="",NOTA[[#This Row],[JUMLAH_H]],NOTA[[#This Row],[HARGA/ CTN]]*IF(NOTA[[#This Row],[C]]="",0,NOTA[[#This Row],[C]]))</f>
        <v/>
      </c>
      <c r="X1030" s="51" t="str">
        <f>IF(NOTA[[#This Row],[JUMLAH]]="","",NOTA[[#This Row],[JUMLAH]]*NOTA[[#This Row],[DISC 1]])</f>
        <v/>
      </c>
      <c r="Y1030" s="51" t="str">
        <f>IF(NOTA[[#This Row],[JUMLAH]]="","",(NOTA[[#This Row],[JUMLAH]]-NOTA[[#This Row],[DISC 1-]])*NOTA[[#This Row],[DISC 2]])</f>
        <v/>
      </c>
      <c r="Z1030" s="51" t="str">
        <f>IF(NOTA[[#This Row],[JUMLAH]]="","",NOTA[[#This Row],[DISC 1-]]+NOTA[[#This Row],[DISC 2-]])</f>
        <v/>
      </c>
      <c r="AA1030" s="51" t="str">
        <f>IF(NOTA[[#This Row],[JUMLAH]]="","",NOTA[[#This Row],[JUMLAH]]-NOTA[[#This Row],[DISC]])</f>
        <v/>
      </c>
      <c r="AB1030" s="51"/>
      <c r="AC10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0" s="51" t="str">
        <f>IF(OR(NOTA[[#This Row],[QTY]]="",NOTA[[#This Row],[HARGA SATUAN]]="",),"",NOTA[[#This Row],[QTY]]*NOTA[[#This Row],[HARGA SATUAN]])</f>
        <v/>
      </c>
      <c r="AG1030" s="40" t="str">
        <f ca="1">IF(NOTA[ID_H]="","",INDEX(NOTA[TANGGAL],MATCH(,INDIRECT(ADDRESS(ROW(NOTA[TANGGAL]),COLUMN(NOTA[TANGGAL]))&amp;":"&amp;ADDRESS(ROW(),COLUMN(NOTA[TANGGAL]))),-1)))</f>
        <v/>
      </c>
      <c r="AH1030" s="42" t="str">
        <f ca="1">IF(NOTA[[#This Row],[NAMA BARANG]]="","",INDEX(NOTA[SUPPLIER],MATCH(,INDIRECT(ADDRESS(ROW(NOTA[ID]),COLUMN(NOTA[ID]))&amp;":"&amp;ADDRESS(ROW(),COLUMN(NOTA[ID]))),-1)))</f>
        <v/>
      </c>
      <c r="AI1030" s="42" t="str">
        <f ca="1">IF(NOTA[[#This Row],[ID_H]]="","",IF(NOTA[[#This Row],[FAKTUR]]="",INDIRECT(ADDRESS(ROW()-1,COLUMN())),NOTA[[#This Row],[FAKTUR]]))</f>
        <v/>
      </c>
      <c r="AJ1030" s="39" t="str">
        <f ca="1">IF(NOTA[[#This Row],[ID]]="","",COUNTIF(NOTA[ID_H],NOTA[[#This Row],[ID_H]]))</f>
        <v/>
      </c>
      <c r="AK1030" s="39" t="str">
        <f ca="1">IF(NOTA[[#This Row],[TGL.NOTA]]="",IF(NOTA[[#This Row],[SUPPLIER_H]]="","",AK1029),MONTH(NOTA[[#This Row],[TGL.NOTA]]))</f>
        <v/>
      </c>
      <c r="AL1030" s="39" t="str">
        <f>LOWER(SUBSTITUTE(SUBSTITUTE(SUBSTITUTE(SUBSTITUTE(SUBSTITUTE(SUBSTITUTE(SUBSTITUTE(SUBSTITUTE(SUBSTITUTE(NOTA[NAMA BARANG]," ",),".",""),"-",""),"(",""),")",""),",",""),"/",""),"""",""),"+",""))</f>
        <v/>
      </c>
      <c r="AM10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39" t="str">
        <f>IF(NOTA[[#This Row],[CONCAT4]]="","",_xlfn.IFNA(MATCH(NOTA[[#This Row],[CONCAT4]],[2]!RAW[CONCAT_H],0),FALSE))</f>
        <v/>
      </c>
      <c r="AQ1030" s="39" t="str">
        <f>IF(NOTA[[#This Row],[CONCAT1]]="","",MATCH(NOTA[[#This Row],[CONCAT1]],[3]!db[NB NOTA_C],0))</f>
        <v/>
      </c>
      <c r="AR1030" s="39" t="str">
        <f>IF(NOTA[[#This Row],[QTY/ CTN]]="","",TRUE)</f>
        <v/>
      </c>
      <c r="AS1030" s="39" t="str">
        <f ca="1">IF(NOTA[[#This Row],[ID_H]]="","",IF(NOTA[[#This Row],[Column3]]=TRUE,NOTA[[#This Row],[QTY/ CTN]],INDEX([3]!db[QTY/ CTN],NOTA[[#This Row],[//DB]])))</f>
        <v/>
      </c>
      <c r="AT10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0" s="39" t="str">
        <f ca="1">IF(NOTA[[#This Row],[ID_H]]="","",MATCH(NOTA[[#This Row],[NB NOTA_C_QTY]],[4]!db[NB NOTA_C_QTY+F],0))</f>
        <v/>
      </c>
      <c r="AV1030" s="55" t="str">
        <f ca="1">IF(NOTA[[#This Row],[NB NOTA_C_QTY]]="","",ROW()-2)</f>
        <v/>
      </c>
    </row>
    <row r="1031" spans="1:48" ht="20.100000000000001" customHeight="1" x14ac:dyDescent="0.25">
      <c r="A10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39" t="str">
        <f>IF(NOTA[[#This Row],[ID_P]]="","",MATCH(NOTA[[#This Row],[ID_P]],[1]!B_MSK[N_ID],0))</f>
        <v/>
      </c>
      <c r="D1031" s="39" t="str">
        <f ca="1">IF(NOTA[[#This Row],[NAMA BARANG]]="","",INDEX(NOTA[ID],MATCH(,INDIRECT(ADDRESS(ROW(NOTA[ID]),COLUMN(NOTA[ID]))&amp;":"&amp;ADDRESS(ROW(),COLUMN(NOTA[ID]))),-1)))</f>
        <v/>
      </c>
      <c r="E1031" s="47"/>
      <c r="H1031" s="48"/>
      <c r="N1031" s="39"/>
      <c r="Q1031" s="43"/>
      <c r="R1031" s="49"/>
      <c r="S1031" s="50"/>
      <c r="U1031" s="51"/>
      <c r="V1031" s="46"/>
      <c r="W1031" s="51" t="str">
        <f>IF(NOTA[[#This Row],[HARGA/ CTN]]="",NOTA[[#This Row],[JUMLAH_H]],NOTA[[#This Row],[HARGA/ CTN]]*IF(NOTA[[#This Row],[C]]="",0,NOTA[[#This Row],[C]]))</f>
        <v/>
      </c>
      <c r="X1031" s="51" t="str">
        <f>IF(NOTA[[#This Row],[JUMLAH]]="","",NOTA[[#This Row],[JUMLAH]]*NOTA[[#This Row],[DISC 1]])</f>
        <v/>
      </c>
      <c r="Y1031" s="51" t="str">
        <f>IF(NOTA[[#This Row],[JUMLAH]]="","",(NOTA[[#This Row],[JUMLAH]]-NOTA[[#This Row],[DISC 1-]])*NOTA[[#This Row],[DISC 2]])</f>
        <v/>
      </c>
      <c r="Z1031" s="51" t="str">
        <f>IF(NOTA[[#This Row],[JUMLAH]]="","",NOTA[[#This Row],[DISC 1-]]+NOTA[[#This Row],[DISC 2-]])</f>
        <v/>
      </c>
      <c r="AA1031" s="51" t="str">
        <f>IF(NOTA[[#This Row],[JUMLAH]]="","",NOTA[[#This Row],[JUMLAH]]-NOTA[[#This Row],[DISC]])</f>
        <v/>
      </c>
      <c r="AB1031" s="51"/>
      <c r="AC10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1" s="51" t="str">
        <f>IF(OR(NOTA[[#This Row],[QTY]]="",NOTA[[#This Row],[HARGA SATUAN]]="",),"",NOTA[[#This Row],[QTY]]*NOTA[[#This Row],[HARGA SATUAN]])</f>
        <v/>
      </c>
      <c r="AG1031" s="40" t="str">
        <f ca="1">IF(NOTA[ID_H]="","",INDEX(NOTA[TANGGAL],MATCH(,INDIRECT(ADDRESS(ROW(NOTA[TANGGAL]),COLUMN(NOTA[TANGGAL]))&amp;":"&amp;ADDRESS(ROW(),COLUMN(NOTA[TANGGAL]))),-1)))</f>
        <v/>
      </c>
      <c r="AH1031" s="42" t="str">
        <f ca="1">IF(NOTA[[#This Row],[NAMA BARANG]]="","",INDEX(NOTA[SUPPLIER],MATCH(,INDIRECT(ADDRESS(ROW(NOTA[ID]),COLUMN(NOTA[ID]))&amp;":"&amp;ADDRESS(ROW(),COLUMN(NOTA[ID]))),-1)))</f>
        <v/>
      </c>
      <c r="AI1031" s="42" t="str">
        <f ca="1">IF(NOTA[[#This Row],[ID_H]]="","",IF(NOTA[[#This Row],[FAKTUR]]="",INDIRECT(ADDRESS(ROW()-1,COLUMN())),NOTA[[#This Row],[FAKTUR]]))</f>
        <v/>
      </c>
      <c r="AJ1031" s="39" t="str">
        <f ca="1">IF(NOTA[[#This Row],[ID]]="","",COUNTIF(NOTA[ID_H],NOTA[[#This Row],[ID_H]]))</f>
        <v/>
      </c>
      <c r="AK1031" s="39" t="str">
        <f ca="1">IF(NOTA[[#This Row],[TGL.NOTA]]="",IF(NOTA[[#This Row],[SUPPLIER_H]]="","",AK1030),MONTH(NOTA[[#This Row],[TGL.NOTA]]))</f>
        <v/>
      </c>
      <c r="AL1031" s="39" t="str">
        <f>LOWER(SUBSTITUTE(SUBSTITUTE(SUBSTITUTE(SUBSTITUTE(SUBSTITUTE(SUBSTITUTE(SUBSTITUTE(SUBSTITUTE(SUBSTITUTE(NOTA[NAMA BARANG]," ",),".",""),"-",""),"(",""),")",""),",",""),"/",""),"""",""),"+",""))</f>
        <v/>
      </c>
      <c r="AM10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39" t="str">
        <f>IF(NOTA[[#This Row],[CONCAT4]]="","",_xlfn.IFNA(MATCH(NOTA[[#This Row],[CONCAT4]],[2]!RAW[CONCAT_H],0),FALSE))</f>
        <v/>
      </c>
      <c r="AQ1031" s="39" t="str">
        <f>IF(NOTA[[#This Row],[CONCAT1]]="","",MATCH(NOTA[[#This Row],[CONCAT1]],[3]!db[NB NOTA_C],0))</f>
        <v/>
      </c>
      <c r="AR1031" s="39" t="str">
        <f>IF(NOTA[[#This Row],[QTY/ CTN]]="","",TRUE)</f>
        <v/>
      </c>
      <c r="AS1031" s="39" t="str">
        <f ca="1">IF(NOTA[[#This Row],[ID_H]]="","",IF(NOTA[[#This Row],[Column3]]=TRUE,NOTA[[#This Row],[QTY/ CTN]],INDEX([3]!db[QTY/ CTN],NOTA[[#This Row],[//DB]])))</f>
        <v/>
      </c>
      <c r="AT10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1" s="39" t="str">
        <f ca="1">IF(NOTA[[#This Row],[ID_H]]="","",MATCH(NOTA[[#This Row],[NB NOTA_C_QTY]],[4]!db[NB NOTA_C_QTY+F],0))</f>
        <v/>
      </c>
      <c r="AV1031" s="55" t="str">
        <f ca="1">IF(NOTA[[#This Row],[NB NOTA_C_QTY]]="","",ROW()-2)</f>
        <v/>
      </c>
    </row>
    <row r="1032" spans="1:48" ht="20.100000000000001" customHeight="1" x14ac:dyDescent="0.25">
      <c r="A10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39" t="str">
        <f>IF(NOTA[[#This Row],[ID_P]]="","",MATCH(NOTA[[#This Row],[ID_P]],[1]!B_MSK[N_ID],0))</f>
        <v/>
      </c>
      <c r="D1032" s="39" t="str">
        <f ca="1">IF(NOTA[[#This Row],[NAMA BARANG]]="","",INDEX(NOTA[ID],MATCH(,INDIRECT(ADDRESS(ROW(NOTA[ID]),COLUMN(NOTA[ID]))&amp;":"&amp;ADDRESS(ROW(),COLUMN(NOTA[ID]))),-1)))</f>
        <v/>
      </c>
      <c r="E1032" s="47"/>
      <c r="H1032" s="48"/>
      <c r="N1032" s="39"/>
      <c r="Q1032" s="43"/>
      <c r="R1032" s="49"/>
      <c r="S1032" s="50"/>
      <c r="U1032" s="51"/>
      <c r="V1032" s="46"/>
      <c r="W1032" s="51" t="str">
        <f>IF(NOTA[[#This Row],[HARGA/ CTN]]="",NOTA[[#This Row],[JUMLAH_H]],NOTA[[#This Row],[HARGA/ CTN]]*IF(NOTA[[#This Row],[C]]="",0,NOTA[[#This Row],[C]]))</f>
        <v/>
      </c>
      <c r="X1032" s="51" t="str">
        <f>IF(NOTA[[#This Row],[JUMLAH]]="","",NOTA[[#This Row],[JUMLAH]]*NOTA[[#This Row],[DISC 1]])</f>
        <v/>
      </c>
      <c r="Y1032" s="51" t="str">
        <f>IF(NOTA[[#This Row],[JUMLAH]]="","",(NOTA[[#This Row],[JUMLAH]]-NOTA[[#This Row],[DISC 1-]])*NOTA[[#This Row],[DISC 2]])</f>
        <v/>
      </c>
      <c r="Z1032" s="51" t="str">
        <f>IF(NOTA[[#This Row],[JUMLAH]]="","",NOTA[[#This Row],[DISC 1-]]+NOTA[[#This Row],[DISC 2-]])</f>
        <v/>
      </c>
      <c r="AA1032" s="51" t="str">
        <f>IF(NOTA[[#This Row],[JUMLAH]]="","",NOTA[[#This Row],[JUMLAH]]-NOTA[[#This Row],[DISC]])</f>
        <v/>
      </c>
      <c r="AB1032" s="51"/>
      <c r="AC10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2" s="51" t="str">
        <f>IF(OR(NOTA[[#This Row],[QTY]]="",NOTA[[#This Row],[HARGA SATUAN]]="",),"",NOTA[[#This Row],[QTY]]*NOTA[[#This Row],[HARGA SATUAN]])</f>
        <v/>
      </c>
      <c r="AG1032" s="40" t="str">
        <f ca="1">IF(NOTA[ID_H]="","",INDEX(NOTA[TANGGAL],MATCH(,INDIRECT(ADDRESS(ROW(NOTA[TANGGAL]),COLUMN(NOTA[TANGGAL]))&amp;":"&amp;ADDRESS(ROW(),COLUMN(NOTA[TANGGAL]))),-1)))</f>
        <v/>
      </c>
      <c r="AH1032" s="42" t="str">
        <f ca="1">IF(NOTA[[#This Row],[NAMA BARANG]]="","",INDEX(NOTA[SUPPLIER],MATCH(,INDIRECT(ADDRESS(ROW(NOTA[ID]),COLUMN(NOTA[ID]))&amp;":"&amp;ADDRESS(ROW(),COLUMN(NOTA[ID]))),-1)))</f>
        <v/>
      </c>
      <c r="AI1032" s="42" t="str">
        <f ca="1">IF(NOTA[[#This Row],[ID_H]]="","",IF(NOTA[[#This Row],[FAKTUR]]="",INDIRECT(ADDRESS(ROW()-1,COLUMN())),NOTA[[#This Row],[FAKTUR]]))</f>
        <v/>
      </c>
      <c r="AJ1032" s="39" t="str">
        <f ca="1">IF(NOTA[[#This Row],[ID]]="","",COUNTIF(NOTA[ID_H],NOTA[[#This Row],[ID_H]]))</f>
        <v/>
      </c>
      <c r="AK1032" s="39" t="str">
        <f ca="1">IF(NOTA[[#This Row],[TGL.NOTA]]="",IF(NOTA[[#This Row],[SUPPLIER_H]]="","",AK1031),MONTH(NOTA[[#This Row],[TGL.NOTA]]))</f>
        <v/>
      </c>
      <c r="AL1032" s="39" t="str">
        <f>LOWER(SUBSTITUTE(SUBSTITUTE(SUBSTITUTE(SUBSTITUTE(SUBSTITUTE(SUBSTITUTE(SUBSTITUTE(SUBSTITUTE(SUBSTITUTE(NOTA[NAMA BARANG]," ",),".",""),"-",""),"(",""),")",""),",",""),"/",""),"""",""),"+",""))</f>
        <v/>
      </c>
      <c r="AM10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39" t="str">
        <f>IF(NOTA[[#This Row],[CONCAT4]]="","",_xlfn.IFNA(MATCH(NOTA[[#This Row],[CONCAT4]],[2]!RAW[CONCAT_H],0),FALSE))</f>
        <v/>
      </c>
      <c r="AQ1032" s="39" t="str">
        <f>IF(NOTA[[#This Row],[CONCAT1]]="","",MATCH(NOTA[[#This Row],[CONCAT1]],[3]!db[NB NOTA_C],0))</f>
        <v/>
      </c>
      <c r="AR1032" s="39" t="str">
        <f>IF(NOTA[[#This Row],[QTY/ CTN]]="","",TRUE)</f>
        <v/>
      </c>
      <c r="AS1032" s="39" t="str">
        <f ca="1">IF(NOTA[[#This Row],[ID_H]]="","",IF(NOTA[[#This Row],[Column3]]=TRUE,NOTA[[#This Row],[QTY/ CTN]],INDEX([3]!db[QTY/ CTN],NOTA[[#This Row],[//DB]])))</f>
        <v/>
      </c>
      <c r="AT10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2" s="39" t="str">
        <f ca="1">IF(NOTA[[#This Row],[ID_H]]="","",MATCH(NOTA[[#This Row],[NB NOTA_C_QTY]],[4]!db[NB NOTA_C_QTY+F],0))</f>
        <v/>
      </c>
      <c r="AV1032" s="55" t="str">
        <f ca="1">IF(NOTA[[#This Row],[NB NOTA_C_QTY]]="","",ROW()-2)</f>
        <v/>
      </c>
    </row>
    <row r="1033" spans="1:48" ht="20.100000000000001" customHeight="1" x14ac:dyDescent="0.25">
      <c r="A10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39" t="str">
        <f>IF(NOTA[[#This Row],[ID_P]]="","",MATCH(NOTA[[#This Row],[ID_P]],[1]!B_MSK[N_ID],0))</f>
        <v/>
      </c>
      <c r="D1033" s="39" t="str">
        <f ca="1">IF(NOTA[[#This Row],[NAMA BARANG]]="","",INDEX(NOTA[ID],MATCH(,INDIRECT(ADDRESS(ROW(NOTA[ID]),COLUMN(NOTA[ID]))&amp;":"&amp;ADDRESS(ROW(),COLUMN(NOTA[ID]))),-1)))</f>
        <v/>
      </c>
      <c r="E1033" s="47"/>
      <c r="H1033" s="48"/>
      <c r="N1033" s="39"/>
      <c r="Q1033" s="43"/>
      <c r="R1033" s="49"/>
      <c r="S1033" s="50"/>
      <c r="U1033" s="51"/>
      <c r="V1033" s="46"/>
      <c r="W1033" s="51" t="str">
        <f>IF(NOTA[[#This Row],[HARGA/ CTN]]="",NOTA[[#This Row],[JUMLAH_H]],NOTA[[#This Row],[HARGA/ CTN]]*IF(NOTA[[#This Row],[C]]="",0,NOTA[[#This Row],[C]]))</f>
        <v/>
      </c>
      <c r="X1033" s="51" t="str">
        <f>IF(NOTA[[#This Row],[JUMLAH]]="","",NOTA[[#This Row],[JUMLAH]]*NOTA[[#This Row],[DISC 1]])</f>
        <v/>
      </c>
      <c r="Y1033" s="51" t="str">
        <f>IF(NOTA[[#This Row],[JUMLAH]]="","",(NOTA[[#This Row],[JUMLAH]]-NOTA[[#This Row],[DISC 1-]])*NOTA[[#This Row],[DISC 2]])</f>
        <v/>
      </c>
      <c r="Z1033" s="51" t="str">
        <f>IF(NOTA[[#This Row],[JUMLAH]]="","",NOTA[[#This Row],[DISC 1-]]+NOTA[[#This Row],[DISC 2-]])</f>
        <v/>
      </c>
      <c r="AA1033" s="51" t="str">
        <f>IF(NOTA[[#This Row],[JUMLAH]]="","",NOTA[[#This Row],[JUMLAH]]-NOTA[[#This Row],[DISC]])</f>
        <v/>
      </c>
      <c r="AB1033" s="51"/>
      <c r="AC10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51" t="str">
        <f>IF(OR(NOTA[[#This Row],[QTY]]="",NOTA[[#This Row],[HARGA SATUAN]]="",),"",NOTA[[#This Row],[QTY]]*NOTA[[#This Row],[HARGA SATUAN]])</f>
        <v/>
      </c>
      <c r="AG1033" s="40" t="str">
        <f ca="1">IF(NOTA[ID_H]="","",INDEX(NOTA[TANGGAL],MATCH(,INDIRECT(ADDRESS(ROW(NOTA[TANGGAL]),COLUMN(NOTA[TANGGAL]))&amp;":"&amp;ADDRESS(ROW(),COLUMN(NOTA[TANGGAL]))),-1)))</f>
        <v/>
      </c>
      <c r="AH1033" s="42" t="str">
        <f ca="1">IF(NOTA[[#This Row],[NAMA BARANG]]="","",INDEX(NOTA[SUPPLIER],MATCH(,INDIRECT(ADDRESS(ROW(NOTA[ID]),COLUMN(NOTA[ID]))&amp;":"&amp;ADDRESS(ROW(),COLUMN(NOTA[ID]))),-1)))</f>
        <v/>
      </c>
      <c r="AI1033" s="42" t="str">
        <f ca="1">IF(NOTA[[#This Row],[ID_H]]="","",IF(NOTA[[#This Row],[FAKTUR]]="",INDIRECT(ADDRESS(ROW()-1,COLUMN())),NOTA[[#This Row],[FAKTUR]]))</f>
        <v/>
      </c>
      <c r="AJ1033" s="39" t="str">
        <f ca="1">IF(NOTA[[#This Row],[ID]]="","",COUNTIF(NOTA[ID_H],NOTA[[#This Row],[ID_H]]))</f>
        <v/>
      </c>
      <c r="AK1033" s="39" t="str">
        <f ca="1">IF(NOTA[[#This Row],[TGL.NOTA]]="",IF(NOTA[[#This Row],[SUPPLIER_H]]="","",AK1032),MONTH(NOTA[[#This Row],[TGL.NOTA]]))</f>
        <v/>
      </c>
      <c r="AL1033" s="39" t="str">
        <f>LOWER(SUBSTITUTE(SUBSTITUTE(SUBSTITUTE(SUBSTITUTE(SUBSTITUTE(SUBSTITUTE(SUBSTITUTE(SUBSTITUTE(SUBSTITUTE(NOTA[NAMA BARANG]," ",),".",""),"-",""),"(",""),")",""),",",""),"/",""),"""",""),"+",""))</f>
        <v/>
      </c>
      <c r="AM10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39" t="str">
        <f>IF(NOTA[[#This Row],[CONCAT4]]="","",_xlfn.IFNA(MATCH(NOTA[[#This Row],[CONCAT4]],[2]!RAW[CONCAT_H],0),FALSE))</f>
        <v/>
      </c>
      <c r="AQ1033" s="39" t="str">
        <f>IF(NOTA[[#This Row],[CONCAT1]]="","",MATCH(NOTA[[#This Row],[CONCAT1]],[3]!db[NB NOTA_C],0))</f>
        <v/>
      </c>
      <c r="AR1033" s="39" t="str">
        <f>IF(NOTA[[#This Row],[QTY/ CTN]]="","",TRUE)</f>
        <v/>
      </c>
      <c r="AS1033" s="39" t="str">
        <f ca="1">IF(NOTA[[#This Row],[ID_H]]="","",IF(NOTA[[#This Row],[Column3]]=TRUE,NOTA[[#This Row],[QTY/ CTN]],INDEX([3]!db[QTY/ CTN],NOTA[[#This Row],[//DB]])))</f>
        <v/>
      </c>
      <c r="AT10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3" s="39" t="str">
        <f ca="1">IF(NOTA[[#This Row],[ID_H]]="","",MATCH(NOTA[[#This Row],[NB NOTA_C_QTY]],[4]!db[NB NOTA_C_QTY+F],0))</f>
        <v/>
      </c>
      <c r="AV1033" s="55" t="str">
        <f ca="1">IF(NOTA[[#This Row],[NB NOTA_C_QTY]]="","",ROW()-2)</f>
        <v/>
      </c>
    </row>
    <row r="1034" spans="1:48" ht="20.100000000000001" customHeight="1" x14ac:dyDescent="0.25">
      <c r="A10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39" t="str">
        <f>IF(NOTA[[#This Row],[ID_P]]="","",MATCH(NOTA[[#This Row],[ID_P]],[1]!B_MSK[N_ID],0))</f>
        <v/>
      </c>
      <c r="D1034" s="39" t="str">
        <f ca="1">IF(NOTA[[#This Row],[NAMA BARANG]]="","",INDEX(NOTA[ID],MATCH(,INDIRECT(ADDRESS(ROW(NOTA[ID]),COLUMN(NOTA[ID]))&amp;":"&amp;ADDRESS(ROW(),COLUMN(NOTA[ID]))),-1)))</f>
        <v/>
      </c>
      <c r="E1034" s="47"/>
      <c r="H1034" s="48"/>
      <c r="N1034" s="39"/>
      <c r="Q1034" s="43"/>
      <c r="R1034" s="49"/>
      <c r="S1034" s="50"/>
      <c r="U1034" s="51"/>
      <c r="V1034" s="46"/>
      <c r="W1034" s="51" t="str">
        <f>IF(NOTA[[#This Row],[HARGA/ CTN]]="",NOTA[[#This Row],[JUMLAH_H]],NOTA[[#This Row],[HARGA/ CTN]]*IF(NOTA[[#This Row],[C]]="",0,NOTA[[#This Row],[C]]))</f>
        <v/>
      </c>
      <c r="X1034" s="51" t="str">
        <f>IF(NOTA[[#This Row],[JUMLAH]]="","",NOTA[[#This Row],[JUMLAH]]*NOTA[[#This Row],[DISC 1]])</f>
        <v/>
      </c>
      <c r="Y1034" s="51" t="str">
        <f>IF(NOTA[[#This Row],[JUMLAH]]="","",(NOTA[[#This Row],[JUMLAH]]-NOTA[[#This Row],[DISC 1-]])*NOTA[[#This Row],[DISC 2]])</f>
        <v/>
      </c>
      <c r="Z1034" s="51" t="str">
        <f>IF(NOTA[[#This Row],[JUMLAH]]="","",NOTA[[#This Row],[DISC 1-]]+NOTA[[#This Row],[DISC 2-]])</f>
        <v/>
      </c>
      <c r="AA1034" s="51" t="str">
        <f>IF(NOTA[[#This Row],[JUMLAH]]="","",NOTA[[#This Row],[JUMLAH]]-NOTA[[#This Row],[DISC]])</f>
        <v/>
      </c>
      <c r="AB1034" s="51"/>
      <c r="AC10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4" s="51" t="str">
        <f>IF(OR(NOTA[[#This Row],[QTY]]="",NOTA[[#This Row],[HARGA SATUAN]]="",),"",NOTA[[#This Row],[QTY]]*NOTA[[#This Row],[HARGA SATUAN]])</f>
        <v/>
      </c>
      <c r="AG1034" s="40" t="str">
        <f ca="1">IF(NOTA[ID_H]="","",INDEX(NOTA[TANGGAL],MATCH(,INDIRECT(ADDRESS(ROW(NOTA[TANGGAL]),COLUMN(NOTA[TANGGAL]))&amp;":"&amp;ADDRESS(ROW(),COLUMN(NOTA[TANGGAL]))),-1)))</f>
        <v/>
      </c>
      <c r="AH1034" s="42" t="str">
        <f ca="1">IF(NOTA[[#This Row],[NAMA BARANG]]="","",INDEX(NOTA[SUPPLIER],MATCH(,INDIRECT(ADDRESS(ROW(NOTA[ID]),COLUMN(NOTA[ID]))&amp;":"&amp;ADDRESS(ROW(),COLUMN(NOTA[ID]))),-1)))</f>
        <v/>
      </c>
      <c r="AI1034" s="42" t="str">
        <f ca="1">IF(NOTA[[#This Row],[ID_H]]="","",IF(NOTA[[#This Row],[FAKTUR]]="",INDIRECT(ADDRESS(ROW()-1,COLUMN())),NOTA[[#This Row],[FAKTUR]]))</f>
        <v/>
      </c>
      <c r="AJ1034" s="39" t="str">
        <f ca="1">IF(NOTA[[#This Row],[ID]]="","",COUNTIF(NOTA[ID_H],NOTA[[#This Row],[ID_H]]))</f>
        <v/>
      </c>
      <c r="AK1034" s="39" t="str">
        <f ca="1">IF(NOTA[[#This Row],[TGL.NOTA]]="",IF(NOTA[[#This Row],[SUPPLIER_H]]="","",AK1033),MONTH(NOTA[[#This Row],[TGL.NOTA]]))</f>
        <v/>
      </c>
      <c r="AL1034" s="39" t="str">
        <f>LOWER(SUBSTITUTE(SUBSTITUTE(SUBSTITUTE(SUBSTITUTE(SUBSTITUTE(SUBSTITUTE(SUBSTITUTE(SUBSTITUTE(SUBSTITUTE(NOTA[NAMA BARANG]," ",),".",""),"-",""),"(",""),")",""),",",""),"/",""),"""",""),"+",""))</f>
        <v/>
      </c>
      <c r="AM10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4" s="39" t="str">
        <f>IF(NOTA[[#This Row],[CONCAT4]]="","",_xlfn.IFNA(MATCH(NOTA[[#This Row],[CONCAT4]],[2]!RAW[CONCAT_H],0),FALSE))</f>
        <v/>
      </c>
      <c r="AQ1034" s="39" t="str">
        <f>IF(NOTA[[#This Row],[CONCAT1]]="","",MATCH(NOTA[[#This Row],[CONCAT1]],[3]!db[NB NOTA_C],0))</f>
        <v/>
      </c>
      <c r="AR1034" s="39" t="str">
        <f>IF(NOTA[[#This Row],[QTY/ CTN]]="","",TRUE)</f>
        <v/>
      </c>
      <c r="AS1034" s="39" t="str">
        <f ca="1">IF(NOTA[[#This Row],[ID_H]]="","",IF(NOTA[[#This Row],[Column3]]=TRUE,NOTA[[#This Row],[QTY/ CTN]],INDEX([3]!db[QTY/ CTN],NOTA[[#This Row],[//DB]])))</f>
        <v/>
      </c>
      <c r="AT10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4" s="39" t="str">
        <f ca="1">IF(NOTA[[#This Row],[ID_H]]="","",MATCH(NOTA[[#This Row],[NB NOTA_C_QTY]],[4]!db[NB NOTA_C_QTY+F],0))</f>
        <v/>
      </c>
      <c r="AV1034" s="55" t="str">
        <f ca="1">IF(NOTA[[#This Row],[NB NOTA_C_QTY]]="","",ROW()-2)</f>
        <v/>
      </c>
    </row>
    <row r="1035" spans="1:48" ht="20.100000000000001" customHeight="1" x14ac:dyDescent="0.25">
      <c r="A10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39" t="str">
        <f>IF(NOTA[[#This Row],[ID_P]]="","",MATCH(NOTA[[#This Row],[ID_P]],[1]!B_MSK[N_ID],0))</f>
        <v/>
      </c>
      <c r="D1035" s="39" t="str">
        <f ca="1">IF(NOTA[[#This Row],[NAMA BARANG]]="","",INDEX(NOTA[ID],MATCH(,INDIRECT(ADDRESS(ROW(NOTA[ID]),COLUMN(NOTA[ID]))&amp;":"&amp;ADDRESS(ROW(),COLUMN(NOTA[ID]))),-1)))</f>
        <v/>
      </c>
      <c r="E1035" s="47"/>
      <c r="H1035" s="48"/>
      <c r="N1035" s="39"/>
      <c r="Q1035" s="43"/>
      <c r="R1035" s="49"/>
      <c r="S1035" s="50"/>
      <c r="U1035" s="51"/>
      <c r="V1035" s="46"/>
      <c r="W1035" s="51" t="str">
        <f>IF(NOTA[[#This Row],[HARGA/ CTN]]="",NOTA[[#This Row],[JUMLAH_H]],NOTA[[#This Row],[HARGA/ CTN]]*IF(NOTA[[#This Row],[C]]="",0,NOTA[[#This Row],[C]]))</f>
        <v/>
      </c>
      <c r="X1035" s="51" t="str">
        <f>IF(NOTA[[#This Row],[JUMLAH]]="","",NOTA[[#This Row],[JUMLAH]]*NOTA[[#This Row],[DISC 1]])</f>
        <v/>
      </c>
      <c r="Y1035" s="51" t="str">
        <f>IF(NOTA[[#This Row],[JUMLAH]]="","",(NOTA[[#This Row],[JUMLAH]]-NOTA[[#This Row],[DISC 1-]])*NOTA[[#This Row],[DISC 2]])</f>
        <v/>
      </c>
      <c r="Z1035" s="51" t="str">
        <f>IF(NOTA[[#This Row],[JUMLAH]]="","",NOTA[[#This Row],[DISC 1-]]+NOTA[[#This Row],[DISC 2-]])</f>
        <v/>
      </c>
      <c r="AA1035" s="51" t="str">
        <f>IF(NOTA[[#This Row],[JUMLAH]]="","",NOTA[[#This Row],[JUMLAH]]-NOTA[[#This Row],[DISC]])</f>
        <v/>
      </c>
      <c r="AB1035" s="51"/>
      <c r="AC10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5" s="51" t="str">
        <f>IF(OR(NOTA[[#This Row],[QTY]]="",NOTA[[#This Row],[HARGA SATUAN]]="",),"",NOTA[[#This Row],[QTY]]*NOTA[[#This Row],[HARGA SATUAN]])</f>
        <v/>
      </c>
      <c r="AG1035" s="40" t="str">
        <f ca="1">IF(NOTA[ID_H]="","",INDEX(NOTA[TANGGAL],MATCH(,INDIRECT(ADDRESS(ROW(NOTA[TANGGAL]),COLUMN(NOTA[TANGGAL]))&amp;":"&amp;ADDRESS(ROW(),COLUMN(NOTA[TANGGAL]))),-1)))</f>
        <v/>
      </c>
      <c r="AH1035" s="42" t="str">
        <f ca="1">IF(NOTA[[#This Row],[NAMA BARANG]]="","",INDEX(NOTA[SUPPLIER],MATCH(,INDIRECT(ADDRESS(ROW(NOTA[ID]),COLUMN(NOTA[ID]))&amp;":"&amp;ADDRESS(ROW(),COLUMN(NOTA[ID]))),-1)))</f>
        <v/>
      </c>
      <c r="AI1035" s="42" t="str">
        <f ca="1">IF(NOTA[[#This Row],[ID_H]]="","",IF(NOTA[[#This Row],[FAKTUR]]="",INDIRECT(ADDRESS(ROW()-1,COLUMN())),NOTA[[#This Row],[FAKTUR]]))</f>
        <v/>
      </c>
      <c r="AJ1035" s="39" t="str">
        <f ca="1">IF(NOTA[[#This Row],[ID]]="","",COUNTIF(NOTA[ID_H],NOTA[[#This Row],[ID_H]]))</f>
        <v/>
      </c>
      <c r="AK1035" s="39" t="str">
        <f ca="1">IF(NOTA[[#This Row],[TGL.NOTA]]="",IF(NOTA[[#This Row],[SUPPLIER_H]]="","",AK1034),MONTH(NOTA[[#This Row],[TGL.NOTA]]))</f>
        <v/>
      </c>
      <c r="AL1035" s="39" t="str">
        <f>LOWER(SUBSTITUTE(SUBSTITUTE(SUBSTITUTE(SUBSTITUTE(SUBSTITUTE(SUBSTITUTE(SUBSTITUTE(SUBSTITUTE(SUBSTITUTE(NOTA[NAMA BARANG]," ",),".",""),"-",""),"(",""),")",""),",",""),"/",""),"""",""),"+",""))</f>
        <v/>
      </c>
      <c r="AM10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39" t="str">
        <f>IF(NOTA[[#This Row],[CONCAT4]]="","",_xlfn.IFNA(MATCH(NOTA[[#This Row],[CONCAT4]],[2]!RAW[CONCAT_H],0),FALSE))</f>
        <v/>
      </c>
      <c r="AQ1035" s="39" t="str">
        <f>IF(NOTA[[#This Row],[CONCAT1]]="","",MATCH(NOTA[[#This Row],[CONCAT1]],[3]!db[NB NOTA_C],0))</f>
        <v/>
      </c>
      <c r="AR1035" s="39" t="str">
        <f>IF(NOTA[[#This Row],[QTY/ CTN]]="","",TRUE)</f>
        <v/>
      </c>
      <c r="AS1035" s="39" t="str">
        <f ca="1">IF(NOTA[[#This Row],[ID_H]]="","",IF(NOTA[[#This Row],[Column3]]=TRUE,NOTA[[#This Row],[QTY/ CTN]],INDEX([3]!db[QTY/ CTN],NOTA[[#This Row],[//DB]])))</f>
        <v/>
      </c>
      <c r="AT10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5" s="39" t="str">
        <f ca="1">IF(NOTA[[#This Row],[ID_H]]="","",MATCH(NOTA[[#This Row],[NB NOTA_C_QTY]],[4]!db[NB NOTA_C_QTY+F],0))</f>
        <v/>
      </c>
      <c r="AV1035" s="55" t="str">
        <f ca="1">IF(NOTA[[#This Row],[NB NOTA_C_QTY]]="","",ROW()-2)</f>
        <v/>
      </c>
    </row>
    <row r="1036" spans="1:48" ht="20.100000000000001" customHeight="1" x14ac:dyDescent="0.25">
      <c r="A10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39" t="str">
        <f>IF(NOTA[[#This Row],[ID_P]]="","",MATCH(NOTA[[#This Row],[ID_P]],[1]!B_MSK[N_ID],0))</f>
        <v/>
      </c>
      <c r="D1036" s="39" t="str">
        <f ca="1">IF(NOTA[[#This Row],[NAMA BARANG]]="","",INDEX(NOTA[ID],MATCH(,INDIRECT(ADDRESS(ROW(NOTA[ID]),COLUMN(NOTA[ID]))&amp;":"&amp;ADDRESS(ROW(),COLUMN(NOTA[ID]))),-1)))</f>
        <v/>
      </c>
      <c r="E1036" s="47"/>
      <c r="H1036" s="48"/>
      <c r="N1036" s="39"/>
      <c r="Q1036" s="43"/>
      <c r="R1036" s="49"/>
      <c r="S1036" s="50"/>
      <c r="U1036" s="51"/>
      <c r="V1036" s="46"/>
      <c r="W1036" s="51" t="str">
        <f>IF(NOTA[[#This Row],[HARGA/ CTN]]="",NOTA[[#This Row],[JUMLAH_H]],NOTA[[#This Row],[HARGA/ CTN]]*IF(NOTA[[#This Row],[C]]="",0,NOTA[[#This Row],[C]]))</f>
        <v/>
      </c>
      <c r="X1036" s="51" t="str">
        <f>IF(NOTA[[#This Row],[JUMLAH]]="","",NOTA[[#This Row],[JUMLAH]]*NOTA[[#This Row],[DISC 1]])</f>
        <v/>
      </c>
      <c r="Y1036" s="51" t="str">
        <f>IF(NOTA[[#This Row],[JUMLAH]]="","",(NOTA[[#This Row],[JUMLAH]]-NOTA[[#This Row],[DISC 1-]])*NOTA[[#This Row],[DISC 2]])</f>
        <v/>
      </c>
      <c r="Z1036" s="51" t="str">
        <f>IF(NOTA[[#This Row],[JUMLAH]]="","",NOTA[[#This Row],[DISC 1-]]+NOTA[[#This Row],[DISC 2-]])</f>
        <v/>
      </c>
      <c r="AA1036" s="51" t="str">
        <f>IF(NOTA[[#This Row],[JUMLAH]]="","",NOTA[[#This Row],[JUMLAH]]-NOTA[[#This Row],[DISC]])</f>
        <v/>
      </c>
      <c r="AB1036" s="51"/>
      <c r="AC10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6" s="51" t="str">
        <f>IF(OR(NOTA[[#This Row],[QTY]]="",NOTA[[#This Row],[HARGA SATUAN]]="",),"",NOTA[[#This Row],[QTY]]*NOTA[[#This Row],[HARGA SATUAN]])</f>
        <v/>
      </c>
      <c r="AG1036" s="40" t="str">
        <f ca="1">IF(NOTA[ID_H]="","",INDEX(NOTA[TANGGAL],MATCH(,INDIRECT(ADDRESS(ROW(NOTA[TANGGAL]),COLUMN(NOTA[TANGGAL]))&amp;":"&amp;ADDRESS(ROW(),COLUMN(NOTA[TANGGAL]))),-1)))</f>
        <v/>
      </c>
      <c r="AH1036" s="42" t="str">
        <f ca="1">IF(NOTA[[#This Row],[NAMA BARANG]]="","",INDEX(NOTA[SUPPLIER],MATCH(,INDIRECT(ADDRESS(ROW(NOTA[ID]),COLUMN(NOTA[ID]))&amp;":"&amp;ADDRESS(ROW(),COLUMN(NOTA[ID]))),-1)))</f>
        <v/>
      </c>
      <c r="AI1036" s="42" t="str">
        <f ca="1">IF(NOTA[[#This Row],[ID_H]]="","",IF(NOTA[[#This Row],[FAKTUR]]="",INDIRECT(ADDRESS(ROW()-1,COLUMN())),NOTA[[#This Row],[FAKTUR]]))</f>
        <v/>
      </c>
      <c r="AJ1036" s="39" t="str">
        <f ca="1">IF(NOTA[[#This Row],[ID]]="","",COUNTIF(NOTA[ID_H],NOTA[[#This Row],[ID_H]]))</f>
        <v/>
      </c>
      <c r="AK1036" s="39" t="str">
        <f ca="1">IF(NOTA[[#This Row],[TGL.NOTA]]="",IF(NOTA[[#This Row],[SUPPLIER_H]]="","",AK1035),MONTH(NOTA[[#This Row],[TGL.NOTA]]))</f>
        <v/>
      </c>
      <c r="AL1036" s="39" t="str">
        <f>LOWER(SUBSTITUTE(SUBSTITUTE(SUBSTITUTE(SUBSTITUTE(SUBSTITUTE(SUBSTITUTE(SUBSTITUTE(SUBSTITUTE(SUBSTITUTE(NOTA[NAMA BARANG]," ",),".",""),"-",""),"(",""),")",""),",",""),"/",""),"""",""),"+",""))</f>
        <v/>
      </c>
      <c r="AM10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39" t="str">
        <f>IF(NOTA[[#This Row],[CONCAT4]]="","",_xlfn.IFNA(MATCH(NOTA[[#This Row],[CONCAT4]],[2]!RAW[CONCAT_H],0),FALSE))</f>
        <v/>
      </c>
      <c r="AQ1036" s="39" t="str">
        <f>IF(NOTA[[#This Row],[CONCAT1]]="","",MATCH(NOTA[[#This Row],[CONCAT1]],[3]!db[NB NOTA_C],0))</f>
        <v/>
      </c>
      <c r="AR1036" s="39" t="str">
        <f>IF(NOTA[[#This Row],[QTY/ CTN]]="","",TRUE)</f>
        <v/>
      </c>
      <c r="AS1036" s="39" t="str">
        <f ca="1">IF(NOTA[[#This Row],[ID_H]]="","",IF(NOTA[[#This Row],[Column3]]=TRUE,NOTA[[#This Row],[QTY/ CTN]],INDEX([3]!db[QTY/ CTN],NOTA[[#This Row],[//DB]])))</f>
        <v/>
      </c>
      <c r="AT10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6" s="39" t="str">
        <f ca="1">IF(NOTA[[#This Row],[ID_H]]="","",MATCH(NOTA[[#This Row],[NB NOTA_C_QTY]],[4]!db[NB NOTA_C_QTY+F],0))</f>
        <v/>
      </c>
      <c r="AV1036" s="55" t="str">
        <f ca="1">IF(NOTA[[#This Row],[NB NOTA_C_QTY]]="","",ROW()-2)</f>
        <v/>
      </c>
    </row>
    <row r="1037" spans="1:48" ht="20.100000000000001" customHeight="1" x14ac:dyDescent="0.25">
      <c r="A10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39" t="str">
        <f>IF(NOTA[[#This Row],[ID_P]]="","",MATCH(NOTA[[#This Row],[ID_P]],[1]!B_MSK[N_ID],0))</f>
        <v/>
      </c>
      <c r="D1037" s="39" t="str">
        <f ca="1">IF(NOTA[[#This Row],[NAMA BARANG]]="","",INDEX(NOTA[ID],MATCH(,INDIRECT(ADDRESS(ROW(NOTA[ID]),COLUMN(NOTA[ID]))&amp;":"&amp;ADDRESS(ROW(),COLUMN(NOTA[ID]))),-1)))</f>
        <v/>
      </c>
      <c r="E1037" s="47"/>
      <c r="H1037" s="48"/>
      <c r="N1037" s="39"/>
      <c r="Q1037" s="43"/>
      <c r="R1037" s="49"/>
      <c r="S1037" s="50"/>
      <c r="U1037" s="51"/>
      <c r="V1037" s="46"/>
      <c r="W1037" s="51" t="str">
        <f>IF(NOTA[[#This Row],[HARGA/ CTN]]="",NOTA[[#This Row],[JUMLAH_H]],NOTA[[#This Row],[HARGA/ CTN]]*IF(NOTA[[#This Row],[C]]="",0,NOTA[[#This Row],[C]]))</f>
        <v/>
      </c>
      <c r="X1037" s="51" t="str">
        <f>IF(NOTA[[#This Row],[JUMLAH]]="","",NOTA[[#This Row],[JUMLAH]]*NOTA[[#This Row],[DISC 1]])</f>
        <v/>
      </c>
      <c r="Y1037" s="51" t="str">
        <f>IF(NOTA[[#This Row],[JUMLAH]]="","",(NOTA[[#This Row],[JUMLAH]]-NOTA[[#This Row],[DISC 1-]])*NOTA[[#This Row],[DISC 2]])</f>
        <v/>
      </c>
      <c r="Z1037" s="51" t="str">
        <f>IF(NOTA[[#This Row],[JUMLAH]]="","",NOTA[[#This Row],[DISC 1-]]+NOTA[[#This Row],[DISC 2-]])</f>
        <v/>
      </c>
      <c r="AA1037" s="51" t="str">
        <f>IF(NOTA[[#This Row],[JUMLAH]]="","",NOTA[[#This Row],[JUMLAH]]-NOTA[[#This Row],[DISC]])</f>
        <v/>
      </c>
      <c r="AB1037" s="51"/>
      <c r="AC10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7" s="51" t="str">
        <f>IF(OR(NOTA[[#This Row],[QTY]]="",NOTA[[#This Row],[HARGA SATUAN]]="",),"",NOTA[[#This Row],[QTY]]*NOTA[[#This Row],[HARGA SATUAN]])</f>
        <v/>
      </c>
      <c r="AG1037" s="40" t="str">
        <f ca="1">IF(NOTA[ID_H]="","",INDEX(NOTA[TANGGAL],MATCH(,INDIRECT(ADDRESS(ROW(NOTA[TANGGAL]),COLUMN(NOTA[TANGGAL]))&amp;":"&amp;ADDRESS(ROW(),COLUMN(NOTA[TANGGAL]))),-1)))</f>
        <v/>
      </c>
      <c r="AH1037" s="42" t="str">
        <f ca="1">IF(NOTA[[#This Row],[NAMA BARANG]]="","",INDEX(NOTA[SUPPLIER],MATCH(,INDIRECT(ADDRESS(ROW(NOTA[ID]),COLUMN(NOTA[ID]))&amp;":"&amp;ADDRESS(ROW(),COLUMN(NOTA[ID]))),-1)))</f>
        <v/>
      </c>
      <c r="AI1037" s="42" t="str">
        <f ca="1">IF(NOTA[[#This Row],[ID_H]]="","",IF(NOTA[[#This Row],[FAKTUR]]="",INDIRECT(ADDRESS(ROW()-1,COLUMN())),NOTA[[#This Row],[FAKTUR]]))</f>
        <v/>
      </c>
      <c r="AJ1037" s="39" t="str">
        <f ca="1">IF(NOTA[[#This Row],[ID]]="","",COUNTIF(NOTA[ID_H],NOTA[[#This Row],[ID_H]]))</f>
        <v/>
      </c>
      <c r="AK1037" s="39" t="str">
        <f ca="1">IF(NOTA[[#This Row],[TGL.NOTA]]="",IF(NOTA[[#This Row],[SUPPLIER_H]]="","",AK1036),MONTH(NOTA[[#This Row],[TGL.NOTA]]))</f>
        <v/>
      </c>
      <c r="AL1037" s="39" t="str">
        <f>LOWER(SUBSTITUTE(SUBSTITUTE(SUBSTITUTE(SUBSTITUTE(SUBSTITUTE(SUBSTITUTE(SUBSTITUTE(SUBSTITUTE(SUBSTITUTE(NOTA[NAMA BARANG]," ",),".",""),"-",""),"(",""),")",""),",",""),"/",""),"""",""),"+",""))</f>
        <v/>
      </c>
      <c r="AM10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39" t="str">
        <f>IF(NOTA[[#This Row],[CONCAT4]]="","",_xlfn.IFNA(MATCH(NOTA[[#This Row],[CONCAT4]],[2]!RAW[CONCAT_H],0),FALSE))</f>
        <v/>
      </c>
      <c r="AQ1037" s="39" t="str">
        <f>IF(NOTA[[#This Row],[CONCAT1]]="","",MATCH(NOTA[[#This Row],[CONCAT1]],[3]!db[NB NOTA_C],0))</f>
        <v/>
      </c>
      <c r="AR1037" s="39" t="str">
        <f>IF(NOTA[[#This Row],[QTY/ CTN]]="","",TRUE)</f>
        <v/>
      </c>
      <c r="AS1037" s="39" t="str">
        <f ca="1">IF(NOTA[[#This Row],[ID_H]]="","",IF(NOTA[[#This Row],[Column3]]=TRUE,NOTA[[#This Row],[QTY/ CTN]],INDEX([3]!db[QTY/ CTN],NOTA[[#This Row],[//DB]])))</f>
        <v/>
      </c>
      <c r="AT10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7" s="39" t="str">
        <f ca="1">IF(NOTA[[#This Row],[ID_H]]="","",MATCH(NOTA[[#This Row],[NB NOTA_C_QTY]],[4]!db[NB NOTA_C_QTY+F],0))</f>
        <v/>
      </c>
      <c r="AV1037" s="55" t="str">
        <f ca="1">IF(NOTA[[#This Row],[NB NOTA_C_QTY]]="","",ROW()-2)</f>
        <v/>
      </c>
    </row>
    <row r="1038" spans="1:48" ht="20.100000000000001" customHeight="1" x14ac:dyDescent="0.25">
      <c r="A10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39" t="str">
        <f>IF(NOTA[[#This Row],[ID_P]]="","",MATCH(NOTA[[#This Row],[ID_P]],[1]!B_MSK[N_ID],0))</f>
        <v/>
      </c>
      <c r="D1038" s="39" t="str">
        <f ca="1">IF(NOTA[[#This Row],[NAMA BARANG]]="","",INDEX(NOTA[ID],MATCH(,INDIRECT(ADDRESS(ROW(NOTA[ID]),COLUMN(NOTA[ID]))&amp;":"&amp;ADDRESS(ROW(),COLUMN(NOTA[ID]))),-1)))</f>
        <v/>
      </c>
      <c r="E1038" s="47"/>
      <c r="H1038" s="48"/>
      <c r="N1038" s="39"/>
      <c r="Q1038" s="43"/>
      <c r="R1038" s="49"/>
      <c r="S1038" s="50"/>
      <c r="U1038" s="51"/>
      <c r="V1038" s="46"/>
      <c r="W1038" s="51" t="str">
        <f>IF(NOTA[[#This Row],[HARGA/ CTN]]="",NOTA[[#This Row],[JUMLAH_H]],NOTA[[#This Row],[HARGA/ CTN]]*IF(NOTA[[#This Row],[C]]="",0,NOTA[[#This Row],[C]]))</f>
        <v/>
      </c>
      <c r="X1038" s="51" t="str">
        <f>IF(NOTA[[#This Row],[JUMLAH]]="","",NOTA[[#This Row],[JUMLAH]]*NOTA[[#This Row],[DISC 1]])</f>
        <v/>
      </c>
      <c r="Y1038" s="51" t="str">
        <f>IF(NOTA[[#This Row],[JUMLAH]]="","",(NOTA[[#This Row],[JUMLAH]]-NOTA[[#This Row],[DISC 1-]])*NOTA[[#This Row],[DISC 2]])</f>
        <v/>
      </c>
      <c r="Z1038" s="51" t="str">
        <f>IF(NOTA[[#This Row],[JUMLAH]]="","",NOTA[[#This Row],[DISC 1-]]+NOTA[[#This Row],[DISC 2-]])</f>
        <v/>
      </c>
      <c r="AA1038" s="51" t="str">
        <f>IF(NOTA[[#This Row],[JUMLAH]]="","",NOTA[[#This Row],[JUMLAH]]-NOTA[[#This Row],[DISC]])</f>
        <v/>
      </c>
      <c r="AB1038" s="51"/>
      <c r="AC10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8" s="51" t="str">
        <f>IF(OR(NOTA[[#This Row],[QTY]]="",NOTA[[#This Row],[HARGA SATUAN]]="",),"",NOTA[[#This Row],[QTY]]*NOTA[[#This Row],[HARGA SATUAN]])</f>
        <v/>
      </c>
      <c r="AG1038" s="40" t="str">
        <f ca="1">IF(NOTA[ID_H]="","",INDEX(NOTA[TANGGAL],MATCH(,INDIRECT(ADDRESS(ROW(NOTA[TANGGAL]),COLUMN(NOTA[TANGGAL]))&amp;":"&amp;ADDRESS(ROW(),COLUMN(NOTA[TANGGAL]))),-1)))</f>
        <v/>
      </c>
      <c r="AH1038" s="42" t="str">
        <f ca="1">IF(NOTA[[#This Row],[NAMA BARANG]]="","",INDEX(NOTA[SUPPLIER],MATCH(,INDIRECT(ADDRESS(ROW(NOTA[ID]),COLUMN(NOTA[ID]))&amp;":"&amp;ADDRESS(ROW(),COLUMN(NOTA[ID]))),-1)))</f>
        <v/>
      </c>
      <c r="AI1038" s="42" t="str">
        <f ca="1">IF(NOTA[[#This Row],[ID_H]]="","",IF(NOTA[[#This Row],[FAKTUR]]="",INDIRECT(ADDRESS(ROW()-1,COLUMN())),NOTA[[#This Row],[FAKTUR]]))</f>
        <v/>
      </c>
      <c r="AJ1038" s="39" t="str">
        <f ca="1">IF(NOTA[[#This Row],[ID]]="","",COUNTIF(NOTA[ID_H],NOTA[[#This Row],[ID_H]]))</f>
        <v/>
      </c>
      <c r="AK1038" s="39" t="str">
        <f ca="1">IF(NOTA[[#This Row],[TGL.NOTA]]="",IF(NOTA[[#This Row],[SUPPLIER_H]]="","",AK1037),MONTH(NOTA[[#This Row],[TGL.NOTA]]))</f>
        <v/>
      </c>
      <c r="AL1038" s="39" t="str">
        <f>LOWER(SUBSTITUTE(SUBSTITUTE(SUBSTITUTE(SUBSTITUTE(SUBSTITUTE(SUBSTITUTE(SUBSTITUTE(SUBSTITUTE(SUBSTITUTE(NOTA[NAMA BARANG]," ",),".",""),"-",""),"(",""),")",""),",",""),"/",""),"""",""),"+",""))</f>
        <v/>
      </c>
      <c r="AM10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39" t="str">
        <f>IF(NOTA[[#This Row],[CONCAT4]]="","",_xlfn.IFNA(MATCH(NOTA[[#This Row],[CONCAT4]],[2]!RAW[CONCAT_H],0),FALSE))</f>
        <v/>
      </c>
      <c r="AQ1038" s="39" t="str">
        <f>IF(NOTA[[#This Row],[CONCAT1]]="","",MATCH(NOTA[[#This Row],[CONCAT1]],[3]!db[NB NOTA_C],0))</f>
        <v/>
      </c>
      <c r="AR1038" s="39" t="str">
        <f>IF(NOTA[[#This Row],[QTY/ CTN]]="","",TRUE)</f>
        <v/>
      </c>
      <c r="AS1038" s="39" t="str">
        <f ca="1">IF(NOTA[[#This Row],[ID_H]]="","",IF(NOTA[[#This Row],[Column3]]=TRUE,NOTA[[#This Row],[QTY/ CTN]],INDEX([3]!db[QTY/ CTN],NOTA[[#This Row],[//DB]])))</f>
        <v/>
      </c>
      <c r="AT10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8" s="39" t="str">
        <f ca="1">IF(NOTA[[#This Row],[ID_H]]="","",MATCH(NOTA[[#This Row],[NB NOTA_C_QTY]],[4]!db[NB NOTA_C_QTY+F],0))</f>
        <v/>
      </c>
      <c r="AV1038" s="55" t="str">
        <f ca="1">IF(NOTA[[#This Row],[NB NOTA_C_QTY]]="","",ROW()-2)</f>
        <v/>
      </c>
    </row>
    <row r="1039" spans="1:48" ht="20.100000000000001" customHeight="1" x14ac:dyDescent="0.25">
      <c r="A10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39" t="str">
        <f>IF(NOTA[[#This Row],[ID_P]]="","",MATCH(NOTA[[#This Row],[ID_P]],[1]!B_MSK[N_ID],0))</f>
        <v/>
      </c>
      <c r="D1039" s="39" t="str">
        <f ca="1">IF(NOTA[[#This Row],[NAMA BARANG]]="","",INDEX(NOTA[ID],MATCH(,INDIRECT(ADDRESS(ROW(NOTA[ID]),COLUMN(NOTA[ID]))&amp;":"&amp;ADDRESS(ROW(),COLUMN(NOTA[ID]))),-1)))</f>
        <v/>
      </c>
      <c r="E1039" s="47"/>
      <c r="H1039" s="48"/>
      <c r="N1039" s="39"/>
      <c r="Q1039" s="43"/>
      <c r="R1039" s="49"/>
      <c r="S1039" s="50"/>
      <c r="U1039" s="51"/>
      <c r="V1039" s="46"/>
      <c r="W1039" s="51" t="str">
        <f>IF(NOTA[[#This Row],[HARGA/ CTN]]="",NOTA[[#This Row],[JUMLAH_H]],NOTA[[#This Row],[HARGA/ CTN]]*IF(NOTA[[#This Row],[C]]="",0,NOTA[[#This Row],[C]]))</f>
        <v/>
      </c>
      <c r="X1039" s="51" t="str">
        <f>IF(NOTA[[#This Row],[JUMLAH]]="","",NOTA[[#This Row],[JUMLAH]]*NOTA[[#This Row],[DISC 1]])</f>
        <v/>
      </c>
      <c r="Y1039" s="51" t="str">
        <f>IF(NOTA[[#This Row],[JUMLAH]]="","",(NOTA[[#This Row],[JUMLAH]]-NOTA[[#This Row],[DISC 1-]])*NOTA[[#This Row],[DISC 2]])</f>
        <v/>
      </c>
      <c r="Z1039" s="51" t="str">
        <f>IF(NOTA[[#This Row],[JUMLAH]]="","",NOTA[[#This Row],[DISC 1-]]+NOTA[[#This Row],[DISC 2-]])</f>
        <v/>
      </c>
      <c r="AA1039" s="51" t="str">
        <f>IF(NOTA[[#This Row],[JUMLAH]]="","",NOTA[[#This Row],[JUMLAH]]-NOTA[[#This Row],[DISC]])</f>
        <v/>
      </c>
      <c r="AB1039" s="51"/>
      <c r="AC10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51" t="str">
        <f>IF(OR(NOTA[[#This Row],[QTY]]="",NOTA[[#This Row],[HARGA SATUAN]]="",),"",NOTA[[#This Row],[QTY]]*NOTA[[#This Row],[HARGA SATUAN]])</f>
        <v/>
      </c>
      <c r="AG1039" s="40" t="str">
        <f ca="1">IF(NOTA[ID_H]="","",INDEX(NOTA[TANGGAL],MATCH(,INDIRECT(ADDRESS(ROW(NOTA[TANGGAL]),COLUMN(NOTA[TANGGAL]))&amp;":"&amp;ADDRESS(ROW(),COLUMN(NOTA[TANGGAL]))),-1)))</f>
        <v/>
      </c>
      <c r="AH1039" s="42" t="str">
        <f ca="1">IF(NOTA[[#This Row],[NAMA BARANG]]="","",INDEX(NOTA[SUPPLIER],MATCH(,INDIRECT(ADDRESS(ROW(NOTA[ID]),COLUMN(NOTA[ID]))&amp;":"&amp;ADDRESS(ROW(),COLUMN(NOTA[ID]))),-1)))</f>
        <v/>
      </c>
      <c r="AI1039" s="42" t="str">
        <f ca="1">IF(NOTA[[#This Row],[ID_H]]="","",IF(NOTA[[#This Row],[FAKTUR]]="",INDIRECT(ADDRESS(ROW()-1,COLUMN())),NOTA[[#This Row],[FAKTUR]]))</f>
        <v/>
      </c>
      <c r="AJ1039" s="39" t="str">
        <f ca="1">IF(NOTA[[#This Row],[ID]]="","",COUNTIF(NOTA[ID_H],NOTA[[#This Row],[ID_H]]))</f>
        <v/>
      </c>
      <c r="AK1039" s="39" t="str">
        <f ca="1">IF(NOTA[[#This Row],[TGL.NOTA]]="",IF(NOTA[[#This Row],[SUPPLIER_H]]="","",AK1038),MONTH(NOTA[[#This Row],[TGL.NOTA]]))</f>
        <v/>
      </c>
      <c r="AL1039" s="39" t="str">
        <f>LOWER(SUBSTITUTE(SUBSTITUTE(SUBSTITUTE(SUBSTITUTE(SUBSTITUTE(SUBSTITUTE(SUBSTITUTE(SUBSTITUTE(SUBSTITUTE(NOTA[NAMA BARANG]," ",),".",""),"-",""),"(",""),")",""),",",""),"/",""),"""",""),"+",""))</f>
        <v/>
      </c>
      <c r="AM10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39" t="str">
        <f>IF(NOTA[[#This Row],[CONCAT4]]="","",_xlfn.IFNA(MATCH(NOTA[[#This Row],[CONCAT4]],[2]!RAW[CONCAT_H],0),FALSE))</f>
        <v/>
      </c>
      <c r="AQ1039" s="39" t="str">
        <f>IF(NOTA[[#This Row],[CONCAT1]]="","",MATCH(NOTA[[#This Row],[CONCAT1]],[3]!db[NB NOTA_C],0))</f>
        <v/>
      </c>
      <c r="AR1039" s="39" t="str">
        <f>IF(NOTA[[#This Row],[QTY/ CTN]]="","",TRUE)</f>
        <v/>
      </c>
      <c r="AS1039" s="39" t="str">
        <f ca="1">IF(NOTA[[#This Row],[ID_H]]="","",IF(NOTA[[#This Row],[Column3]]=TRUE,NOTA[[#This Row],[QTY/ CTN]],INDEX([3]!db[QTY/ CTN],NOTA[[#This Row],[//DB]])))</f>
        <v/>
      </c>
      <c r="AT10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9" s="39" t="str">
        <f ca="1">IF(NOTA[[#This Row],[ID_H]]="","",MATCH(NOTA[[#This Row],[NB NOTA_C_QTY]],[4]!db[NB NOTA_C_QTY+F],0))</f>
        <v/>
      </c>
      <c r="AV1039" s="55" t="str">
        <f ca="1">IF(NOTA[[#This Row],[NB NOTA_C_QTY]]="","",ROW()-2)</f>
        <v/>
      </c>
    </row>
    <row r="1040" spans="1:48" ht="20.100000000000001" customHeight="1" x14ac:dyDescent="0.25">
      <c r="A10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39" t="str">
        <f>IF(NOTA[[#This Row],[ID_P]]="","",MATCH(NOTA[[#This Row],[ID_P]],[1]!B_MSK[N_ID],0))</f>
        <v/>
      </c>
      <c r="D1040" s="39" t="str">
        <f ca="1">IF(NOTA[[#This Row],[NAMA BARANG]]="","",INDEX(NOTA[ID],MATCH(,INDIRECT(ADDRESS(ROW(NOTA[ID]),COLUMN(NOTA[ID]))&amp;":"&amp;ADDRESS(ROW(),COLUMN(NOTA[ID]))),-1)))</f>
        <v/>
      </c>
      <c r="E1040" s="47"/>
      <c r="H1040" s="48"/>
      <c r="N1040" s="39"/>
      <c r="Q1040" s="43"/>
      <c r="R1040" s="49"/>
      <c r="S1040" s="50"/>
      <c r="U1040" s="51"/>
      <c r="V1040" s="46"/>
      <c r="W1040" s="51" t="str">
        <f>IF(NOTA[[#This Row],[HARGA/ CTN]]="",NOTA[[#This Row],[JUMLAH_H]],NOTA[[#This Row],[HARGA/ CTN]]*IF(NOTA[[#This Row],[C]]="",0,NOTA[[#This Row],[C]]))</f>
        <v/>
      </c>
      <c r="X1040" s="51" t="str">
        <f>IF(NOTA[[#This Row],[JUMLAH]]="","",NOTA[[#This Row],[JUMLAH]]*NOTA[[#This Row],[DISC 1]])</f>
        <v/>
      </c>
      <c r="Y1040" s="51" t="str">
        <f>IF(NOTA[[#This Row],[JUMLAH]]="","",(NOTA[[#This Row],[JUMLAH]]-NOTA[[#This Row],[DISC 1-]])*NOTA[[#This Row],[DISC 2]])</f>
        <v/>
      </c>
      <c r="Z1040" s="51" t="str">
        <f>IF(NOTA[[#This Row],[JUMLAH]]="","",NOTA[[#This Row],[DISC 1-]]+NOTA[[#This Row],[DISC 2-]])</f>
        <v/>
      </c>
      <c r="AA1040" s="51" t="str">
        <f>IF(NOTA[[#This Row],[JUMLAH]]="","",NOTA[[#This Row],[JUMLAH]]-NOTA[[#This Row],[DISC]])</f>
        <v/>
      </c>
      <c r="AB1040" s="51"/>
      <c r="AC10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0" s="51" t="str">
        <f>IF(OR(NOTA[[#This Row],[QTY]]="",NOTA[[#This Row],[HARGA SATUAN]]="",),"",NOTA[[#This Row],[QTY]]*NOTA[[#This Row],[HARGA SATUAN]])</f>
        <v/>
      </c>
      <c r="AG1040" s="40" t="str">
        <f ca="1">IF(NOTA[ID_H]="","",INDEX(NOTA[TANGGAL],MATCH(,INDIRECT(ADDRESS(ROW(NOTA[TANGGAL]),COLUMN(NOTA[TANGGAL]))&amp;":"&amp;ADDRESS(ROW(),COLUMN(NOTA[TANGGAL]))),-1)))</f>
        <v/>
      </c>
      <c r="AH1040" s="42" t="str">
        <f ca="1">IF(NOTA[[#This Row],[NAMA BARANG]]="","",INDEX(NOTA[SUPPLIER],MATCH(,INDIRECT(ADDRESS(ROW(NOTA[ID]),COLUMN(NOTA[ID]))&amp;":"&amp;ADDRESS(ROW(),COLUMN(NOTA[ID]))),-1)))</f>
        <v/>
      </c>
      <c r="AI1040" s="42" t="str">
        <f ca="1">IF(NOTA[[#This Row],[ID_H]]="","",IF(NOTA[[#This Row],[FAKTUR]]="",INDIRECT(ADDRESS(ROW()-1,COLUMN())),NOTA[[#This Row],[FAKTUR]]))</f>
        <v/>
      </c>
      <c r="AJ1040" s="39" t="str">
        <f ca="1">IF(NOTA[[#This Row],[ID]]="","",COUNTIF(NOTA[ID_H],NOTA[[#This Row],[ID_H]]))</f>
        <v/>
      </c>
      <c r="AK1040" s="39" t="str">
        <f ca="1">IF(NOTA[[#This Row],[TGL.NOTA]]="",IF(NOTA[[#This Row],[SUPPLIER_H]]="","",AK1039),MONTH(NOTA[[#This Row],[TGL.NOTA]]))</f>
        <v/>
      </c>
      <c r="AL1040" s="39" t="str">
        <f>LOWER(SUBSTITUTE(SUBSTITUTE(SUBSTITUTE(SUBSTITUTE(SUBSTITUTE(SUBSTITUTE(SUBSTITUTE(SUBSTITUTE(SUBSTITUTE(NOTA[NAMA BARANG]," ",),".",""),"-",""),"(",""),")",""),",",""),"/",""),"""",""),"+",""))</f>
        <v/>
      </c>
      <c r="AM10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0" s="39" t="str">
        <f>IF(NOTA[[#This Row],[CONCAT4]]="","",_xlfn.IFNA(MATCH(NOTA[[#This Row],[CONCAT4]],[2]!RAW[CONCAT_H],0),FALSE))</f>
        <v/>
      </c>
      <c r="AQ1040" s="39" t="str">
        <f>IF(NOTA[[#This Row],[CONCAT1]]="","",MATCH(NOTA[[#This Row],[CONCAT1]],[3]!db[NB NOTA_C],0))</f>
        <v/>
      </c>
      <c r="AR1040" s="39" t="str">
        <f>IF(NOTA[[#This Row],[QTY/ CTN]]="","",TRUE)</f>
        <v/>
      </c>
      <c r="AS1040" s="39" t="str">
        <f ca="1">IF(NOTA[[#This Row],[ID_H]]="","",IF(NOTA[[#This Row],[Column3]]=TRUE,NOTA[[#This Row],[QTY/ CTN]],INDEX([3]!db[QTY/ CTN],NOTA[[#This Row],[//DB]])))</f>
        <v/>
      </c>
      <c r="AT10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0" s="39" t="str">
        <f ca="1">IF(NOTA[[#This Row],[ID_H]]="","",MATCH(NOTA[[#This Row],[NB NOTA_C_QTY]],[4]!db[NB NOTA_C_QTY+F],0))</f>
        <v/>
      </c>
      <c r="AV1040" s="55" t="str">
        <f ca="1">IF(NOTA[[#This Row],[NB NOTA_C_QTY]]="","",ROW()-2)</f>
        <v/>
      </c>
    </row>
    <row r="1041" spans="1:48" ht="20.100000000000001" customHeight="1" x14ac:dyDescent="0.25">
      <c r="A10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39" t="str">
        <f>IF(NOTA[[#This Row],[ID_P]]="","",MATCH(NOTA[[#This Row],[ID_P]],[1]!B_MSK[N_ID],0))</f>
        <v/>
      </c>
      <c r="D1041" s="39" t="str">
        <f ca="1">IF(NOTA[[#This Row],[NAMA BARANG]]="","",INDEX(NOTA[ID],MATCH(,INDIRECT(ADDRESS(ROW(NOTA[ID]),COLUMN(NOTA[ID]))&amp;":"&amp;ADDRESS(ROW(),COLUMN(NOTA[ID]))),-1)))</f>
        <v/>
      </c>
      <c r="E1041" s="47"/>
      <c r="H1041" s="48"/>
      <c r="N1041" s="39"/>
      <c r="Q1041" s="43"/>
      <c r="R1041" s="49"/>
      <c r="S1041" s="50"/>
      <c r="U1041" s="51"/>
      <c r="V1041" s="46"/>
      <c r="W1041" s="51" t="str">
        <f>IF(NOTA[[#This Row],[HARGA/ CTN]]="",NOTA[[#This Row],[JUMLAH_H]],NOTA[[#This Row],[HARGA/ CTN]]*IF(NOTA[[#This Row],[C]]="",0,NOTA[[#This Row],[C]]))</f>
        <v/>
      </c>
      <c r="X1041" s="51" t="str">
        <f>IF(NOTA[[#This Row],[JUMLAH]]="","",NOTA[[#This Row],[JUMLAH]]*NOTA[[#This Row],[DISC 1]])</f>
        <v/>
      </c>
      <c r="Y1041" s="51" t="str">
        <f>IF(NOTA[[#This Row],[JUMLAH]]="","",(NOTA[[#This Row],[JUMLAH]]-NOTA[[#This Row],[DISC 1-]])*NOTA[[#This Row],[DISC 2]])</f>
        <v/>
      </c>
      <c r="Z1041" s="51" t="str">
        <f>IF(NOTA[[#This Row],[JUMLAH]]="","",NOTA[[#This Row],[DISC 1-]]+NOTA[[#This Row],[DISC 2-]])</f>
        <v/>
      </c>
      <c r="AA1041" s="51" t="str">
        <f>IF(NOTA[[#This Row],[JUMLAH]]="","",NOTA[[#This Row],[JUMLAH]]-NOTA[[#This Row],[DISC]])</f>
        <v/>
      </c>
      <c r="AB1041" s="51"/>
      <c r="AC10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51" t="str">
        <f>IF(OR(NOTA[[#This Row],[QTY]]="",NOTA[[#This Row],[HARGA SATUAN]]="",),"",NOTA[[#This Row],[QTY]]*NOTA[[#This Row],[HARGA SATUAN]])</f>
        <v/>
      </c>
      <c r="AG1041" s="40" t="str">
        <f ca="1">IF(NOTA[ID_H]="","",INDEX(NOTA[TANGGAL],MATCH(,INDIRECT(ADDRESS(ROW(NOTA[TANGGAL]),COLUMN(NOTA[TANGGAL]))&amp;":"&amp;ADDRESS(ROW(),COLUMN(NOTA[TANGGAL]))),-1)))</f>
        <v/>
      </c>
      <c r="AH1041" s="42" t="str">
        <f ca="1">IF(NOTA[[#This Row],[NAMA BARANG]]="","",INDEX(NOTA[SUPPLIER],MATCH(,INDIRECT(ADDRESS(ROW(NOTA[ID]),COLUMN(NOTA[ID]))&amp;":"&amp;ADDRESS(ROW(),COLUMN(NOTA[ID]))),-1)))</f>
        <v/>
      </c>
      <c r="AI1041" s="42" t="str">
        <f ca="1">IF(NOTA[[#This Row],[ID_H]]="","",IF(NOTA[[#This Row],[FAKTUR]]="",INDIRECT(ADDRESS(ROW()-1,COLUMN())),NOTA[[#This Row],[FAKTUR]]))</f>
        <v/>
      </c>
      <c r="AJ1041" s="39" t="str">
        <f ca="1">IF(NOTA[[#This Row],[ID]]="","",COUNTIF(NOTA[ID_H],NOTA[[#This Row],[ID_H]]))</f>
        <v/>
      </c>
      <c r="AK1041" s="39" t="str">
        <f ca="1">IF(NOTA[[#This Row],[TGL.NOTA]]="",IF(NOTA[[#This Row],[SUPPLIER_H]]="","",AK1040),MONTH(NOTA[[#This Row],[TGL.NOTA]]))</f>
        <v/>
      </c>
      <c r="AL1041" s="39" t="str">
        <f>LOWER(SUBSTITUTE(SUBSTITUTE(SUBSTITUTE(SUBSTITUTE(SUBSTITUTE(SUBSTITUTE(SUBSTITUTE(SUBSTITUTE(SUBSTITUTE(NOTA[NAMA BARANG]," ",),".",""),"-",""),"(",""),")",""),",",""),"/",""),"""",""),"+",""))</f>
        <v/>
      </c>
      <c r="AM10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39" t="str">
        <f>IF(NOTA[[#This Row],[CONCAT4]]="","",_xlfn.IFNA(MATCH(NOTA[[#This Row],[CONCAT4]],[2]!RAW[CONCAT_H],0),FALSE))</f>
        <v/>
      </c>
      <c r="AQ1041" s="39" t="str">
        <f>IF(NOTA[[#This Row],[CONCAT1]]="","",MATCH(NOTA[[#This Row],[CONCAT1]],[3]!db[NB NOTA_C],0))</f>
        <v/>
      </c>
      <c r="AR1041" s="39" t="str">
        <f>IF(NOTA[[#This Row],[QTY/ CTN]]="","",TRUE)</f>
        <v/>
      </c>
      <c r="AS1041" s="39" t="str">
        <f ca="1">IF(NOTA[[#This Row],[ID_H]]="","",IF(NOTA[[#This Row],[Column3]]=TRUE,NOTA[[#This Row],[QTY/ CTN]],INDEX([3]!db[QTY/ CTN],NOTA[[#This Row],[//DB]])))</f>
        <v/>
      </c>
      <c r="AT10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1" s="39" t="str">
        <f ca="1">IF(NOTA[[#This Row],[ID_H]]="","",MATCH(NOTA[[#This Row],[NB NOTA_C_QTY]],[4]!db[NB NOTA_C_QTY+F],0))</f>
        <v/>
      </c>
      <c r="AV1041" s="55" t="str">
        <f ca="1">IF(NOTA[[#This Row],[NB NOTA_C_QTY]]="","",ROW()-2)</f>
        <v/>
      </c>
    </row>
    <row r="1042" spans="1:48" ht="20.100000000000001" customHeight="1" x14ac:dyDescent="0.25">
      <c r="A10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39" t="str">
        <f>IF(NOTA[[#This Row],[ID_P]]="","",MATCH(NOTA[[#This Row],[ID_P]],[1]!B_MSK[N_ID],0))</f>
        <v/>
      </c>
      <c r="D1042" s="39" t="str">
        <f ca="1">IF(NOTA[[#This Row],[NAMA BARANG]]="","",INDEX(NOTA[ID],MATCH(,INDIRECT(ADDRESS(ROW(NOTA[ID]),COLUMN(NOTA[ID]))&amp;":"&amp;ADDRESS(ROW(),COLUMN(NOTA[ID]))),-1)))</f>
        <v/>
      </c>
      <c r="E1042" s="47"/>
      <c r="H1042" s="48"/>
      <c r="N1042" s="39"/>
      <c r="Q1042" s="43"/>
      <c r="R1042" s="49"/>
      <c r="S1042" s="50"/>
      <c r="U1042" s="51"/>
      <c r="V1042" s="46"/>
      <c r="W1042" s="51" t="str">
        <f>IF(NOTA[[#This Row],[HARGA/ CTN]]="",NOTA[[#This Row],[JUMLAH_H]],NOTA[[#This Row],[HARGA/ CTN]]*IF(NOTA[[#This Row],[C]]="",0,NOTA[[#This Row],[C]]))</f>
        <v/>
      </c>
      <c r="X1042" s="51" t="str">
        <f>IF(NOTA[[#This Row],[JUMLAH]]="","",NOTA[[#This Row],[JUMLAH]]*NOTA[[#This Row],[DISC 1]])</f>
        <v/>
      </c>
      <c r="Y1042" s="51" t="str">
        <f>IF(NOTA[[#This Row],[JUMLAH]]="","",(NOTA[[#This Row],[JUMLAH]]-NOTA[[#This Row],[DISC 1-]])*NOTA[[#This Row],[DISC 2]])</f>
        <v/>
      </c>
      <c r="Z1042" s="51" t="str">
        <f>IF(NOTA[[#This Row],[JUMLAH]]="","",NOTA[[#This Row],[DISC 1-]]+NOTA[[#This Row],[DISC 2-]])</f>
        <v/>
      </c>
      <c r="AA1042" s="51" t="str">
        <f>IF(NOTA[[#This Row],[JUMLAH]]="","",NOTA[[#This Row],[JUMLAH]]-NOTA[[#This Row],[DISC]])</f>
        <v/>
      </c>
      <c r="AB1042" s="51"/>
      <c r="AC10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2" s="51" t="str">
        <f>IF(OR(NOTA[[#This Row],[QTY]]="",NOTA[[#This Row],[HARGA SATUAN]]="",),"",NOTA[[#This Row],[QTY]]*NOTA[[#This Row],[HARGA SATUAN]])</f>
        <v/>
      </c>
      <c r="AG1042" s="40" t="str">
        <f ca="1">IF(NOTA[ID_H]="","",INDEX(NOTA[TANGGAL],MATCH(,INDIRECT(ADDRESS(ROW(NOTA[TANGGAL]),COLUMN(NOTA[TANGGAL]))&amp;":"&amp;ADDRESS(ROW(),COLUMN(NOTA[TANGGAL]))),-1)))</f>
        <v/>
      </c>
      <c r="AH1042" s="42" t="str">
        <f ca="1">IF(NOTA[[#This Row],[NAMA BARANG]]="","",INDEX(NOTA[SUPPLIER],MATCH(,INDIRECT(ADDRESS(ROW(NOTA[ID]),COLUMN(NOTA[ID]))&amp;":"&amp;ADDRESS(ROW(),COLUMN(NOTA[ID]))),-1)))</f>
        <v/>
      </c>
      <c r="AI1042" s="42" t="str">
        <f ca="1">IF(NOTA[[#This Row],[ID_H]]="","",IF(NOTA[[#This Row],[FAKTUR]]="",INDIRECT(ADDRESS(ROW()-1,COLUMN())),NOTA[[#This Row],[FAKTUR]]))</f>
        <v/>
      </c>
      <c r="AJ1042" s="39" t="str">
        <f ca="1">IF(NOTA[[#This Row],[ID]]="","",COUNTIF(NOTA[ID_H],NOTA[[#This Row],[ID_H]]))</f>
        <v/>
      </c>
      <c r="AK1042" s="39" t="str">
        <f ca="1">IF(NOTA[[#This Row],[TGL.NOTA]]="",IF(NOTA[[#This Row],[SUPPLIER_H]]="","",AK1041),MONTH(NOTA[[#This Row],[TGL.NOTA]]))</f>
        <v/>
      </c>
      <c r="AL1042" s="39" t="str">
        <f>LOWER(SUBSTITUTE(SUBSTITUTE(SUBSTITUTE(SUBSTITUTE(SUBSTITUTE(SUBSTITUTE(SUBSTITUTE(SUBSTITUTE(SUBSTITUTE(NOTA[NAMA BARANG]," ",),".",""),"-",""),"(",""),")",""),",",""),"/",""),"""",""),"+",""))</f>
        <v/>
      </c>
      <c r="AM10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2" s="39" t="str">
        <f>IF(NOTA[[#This Row],[CONCAT4]]="","",_xlfn.IFNA(MATCH(NOTA[[#This Row],[CONCAT4]],[2]!RAW[CONCAT_H],0),FALSE))</f>
        <v/>
      </c>
      <c r="AQ1042" s="39" t="str">
        <f>IF(NOTA[[#This Row],[CONCAT1]]="","",MATCH(NOTA[[#This Row],[CONCAT1]],[3]!db[NB NOTA_C],0))</f>
        <v/>
      </c>
      <c r="AR1042" s="39" t="str">
        <f>IF(NOTA[[#This Row],[QTY/ CTN]]="","",TRUE)</f>
        <v/>
      </c>
      <c r="AS1042" s="39" t="str">
        <f ca="1">IF(NOTA[[#This Row],[ID_H]]="","",IF(NOTA[[#This Row],[Column3]]=TRUE,NOTA[[#This Row],[QTY/ CTN]],INDEX([3]!db[QTY/ CTN],NOTA[[#This Row],[//DB]])))</f>
        <v/>
      </c>
      <c r="AT10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2" s="39" t="str">
        <f ca="1">IF(NOTA[[#This Row],[ID_H]]="","",MATCH(NOTA[[#This Row],[NB NOTA_C_QTY]],[4]!db[NB NOTA_C_QTY+F],0))</f>
        <v/>
      </c>
      <c r="AV1042" s="55" t="str">
        <f ca="1">IF(NOTA[[#This Row],[NB NOTA_C_QTY]]="","",ROW()-2)</f>
        <v/>
      </c>
    </row>
    <row r="1043" spans="1:48" ht="20.100000000000001" customHeight="1" x14ac:dyDescent="0.25">
      <c r="A10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39" t="str">
        <f>IF(NOTA[[#This Row],[ID_P]]="","",MATCH(NOTA[[#This Row],[ID_P]],[1]!B_MSK[N_ID],0))</f>
        <v/>
      </c>
      <c r="D1043" s="39" t="str">
        <f ca="1">IF(NOTA[[#This Row],[NAMA BARANG]]="","",INDEX(NOTA[ID],MATCH(,INDIRECT(ADDRESS(ROW(NOTA[ID]),COLUMN(NOTA[ID]))&amp;":"&amp;ADDRESS(ROW(),COLUMN(NOTA[ID]))),-1)))</f>
        <v/>
      </c>
      <c r="E1043" s="47"/>
      <c r="H1043" s="48"/>
      <c r="N1043" s="39"/>
      <c r="Q1043" s="43"/>
      <c r="R1043" s="49"/>
      <c r="S1043" s="50"/>
      <c r="U1043" s="51"/>
      <c r="V1043" s="46"/>
      <c r="W1043" s="51" t="str">
        <f>IF(NOTA[[#This Row],[HARGA/ CTN]]="",NOTA[[#This Row],[JUMLAH_H]],NOTA[[#This Row],[HARGA/ CTN]]*IF(NOTA[[#This Row],[C]]="",0,NOTA[[#This Row],[C]]))</f>
        <v/>
      </c>
      <c r="X1043" s="51" t="str">
        <f>IF(NOTA[[#This Row],[JUMLAH]]="","",NOTA[[#This Row],[JUMLAH]]*NOTA[[#This Row],[DISC 1]])</f>
        <v/>
      </c>
      <c r="Y1043" s="51" t="str">
        <f>IF(NOTA[[#This Row],[JUMLAH]]="","",(NOTA[[#This Row],[JUMLAH]]-NOTA[[#This Row],[DISC 1-]])*NOTA[[#This Row],[DISC 2]])</f>
        <v/>
      </c>
      <c r="Z1043" s="51" t="str">
        <f>IF(NOTA[[#This Row],[JUMLAH]]="","",NOTA[[#This Row],[DISC 1-]]+NOTA[[#This Row],[DISC 2-]])</f>
        <v/>
      </c>
      <c r="AA1043" s="51" t="str">
        <f>IF(NOTA[[#This Row],[JUMLAH]]="","",NOTA[[#This Row],[JUMLAH]]-NOTA[[#This Row],[DISC]])</f>
        <v/>
      </c>
      <c r="AB1043" s="51"/>
      <c r="AC10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3" s="51" t="str">
        <f>IF(OR(NOTA[[#This Row],[QTY]]="",NOTA[[#This Row],[HARGA SATUAN]]="",),"",NOTA[[#This Row],[QTY]]*NOTA[[#This Row],[HARGA SATUAN]])</f>
        <v/>
      </c>
      <c r="AG1043" s="40" t="str">
        <f ca="1">IF(NOTA[ID_H]="","",INDEX(NOTA[TANGGAL],MATCH(,INDIRECT(ADDRESS(ROW(NOTA[TANGGAL]),COLUMN(NOTA[TANGGAL]))&amp;":"&amp;ADDRESS(ROW(),COLUMN(NOTA[TANGGAL]))),-1)))</f>
        <v/>
      </c>
      <c r="AH1043" s="42" t="str">
        <f ca="1">IF(NOTA[[#This Row],[NAMA BARANG]]="","",INDEX(NOTA[SUPPLIER],MATCH(,INDIRECT(ADDRESS(ROW(NOTA[ID]),COLUMN(NOTA[ID]))&amp;":"&amp;ADDRESS(ROW(),COLUMN(NOTA[ID]))),-1)))</f>
        <v/>
      </c>
      <c r="AI1043" s="42" t="str">
        <f ca="1">IF(NOTA[[#This Row],[ID_H]]="","",IF(NOTA[[#This Row],[FAKTUR]]="",INDIRECT(ADDRESS(ROW()-1,COLUMN())),NOTA[[#This Row],[FAKTUR]]))</f>
        <v/>
      </c>
      <c r="AJ1043" s="39" t="str">
        <f ca="1">IF(NOTA[[#This Row],[ID]]="","",COUNTIF(NOTA[ID_H],NOTA[[#This Row],[ID_H]]))</f>
        <v/>
      </c>
      <c r="AK1043" s="39" t="str">
        <f ca="1">IF(NOTA[[#This Row],[TGL.NOTA]]="",IF(NOTA[[#This Row],[SUPPLIER_H]]="","",AK1042),MONTH(NOTA[[#This Row],[TGL.NOTA]]))</f>
        <v/>
      </c>
      <c r="AL1043" s="39" t="str">
        <f>LOWER(SUBSTITUTE(SUBSTITUTE(SUBSTITUTE(SUBSTITUTE(SUBSTITUTE(SUBSTITUTE(SUBSTITUTE(SUBSTITUTE(SUBSTITUTE(NOTA[NAMA BARANG]," ",),".",""),"-",""),"(",""),")",""),",",""),"/",""),"""",""),"+",""))</f>
        <v/>
      </c>
      <c r="AM10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39" t="str">
        <f>IF(NOTA[[#This Row],[CONCAT4]]="","",_xlfn.IFNA(MATCH(NOTA[[#This Row],[CONCAT4]],[2]!RAW[CONCAT_H],0),FALSE))</f>
        <v/>
      </c>
      <c r="AQ1043" s="39" t="str">
        <f>IF(NOTA[[#This Row],[CONCAT1]]="","",MATCH(NOTA[[#This Row],[CONCAT1]],[3]!db[NB NOTA_C],0))</f>
        <v/>
      </c>
      <c r="AR1043" s="39" t="str">
        <f>IF(NOTA[[#This Row],[QTY/ CTN]]="","",TRUE)</f>
        <v/>
      </c>
      <c r="AS1043" s="39" t="str">
        <f ca="1">IF(NOTA[[#This Row],[ID_H]]="","",IF(NOTA[[#This Row],[Column3]]=TRUE,NOTA[[#This Row],[QTY/ CTN]],INDEX([3]!db[QTY/ CTN],NOTA[[#This Row],[//DB]])))</f>
        <v/>
      </c>
      <c r="AT10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3" s="39" t="str">
        <f ca="1">IF(NOTA[[#This Row],[ID_H]]="","",MATCH(NOTA[[#This Row],[NB NOTA_C_QTY]],[4]!db[NB NOTA_C_QTY+F],0))</f>
        <v/>
      </c>
      <c r="AV1043" s="55" t="str">
        <f ca="1">IF(NOTA[[#This Row],[NB NOTA_C_QTY]]="","",ROW()-2)</f>
        <v/>
      </c>
    </row>
    <row r="1044" spans="1:48" ht="20.100000000000001" customHeight="1" x14ac:dyDescent="0.25">
      <c r="A10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39" t="str">
        <f>IF(NOTA[[#This Row],[ID_P]]="","",MATCH(NOTA[[#This Row],[ID_P]],[1]!B_MSK[N_ID],0))</f>
        <v/>
      </c>
      <c r="D1044" s="39" t="str">
        <f ca="1">IF(NOTA[[#This Row],[NAMA BARANG]]="","",INDEX(NOTA[ID],MATCH(,INDIRECT(ADDRESS(ROW(NOTA[ID]),COLUMN(NOTA[ID]))&amp;":"&amp;ADDRESS(ROW(),COLUMN(NOTA[ID]))),-1)))</f>
        <v/>
      </c>
      <c r="E1044" s="47"/>
      <c r="H1044" s="48"/>
      <c r="N1044" s="39"/>
      <c r="Q1044" s="43"/>
      <c r="R1044" s="49"/>
      <c r="S1044" s="50"/>
      <c r="U1044" s="51"/>
      <c r="V1044" s="46"/>
      <c r="W1044" s="51" t="str">
        <f>IF(NOTA[[#This Row],[HARGA/ CTN]]="",NOTA[[#This Row],[JUMLAH_H]],NOTA[[#This Row],[HARGA/ CTN]]*IF(NOTA[[#This Row],[C]]="",0,NOTA[[#This Row],[C]]))</f>
        <v/>
      </c>
      <c r="X1044" s="51" t="str">
        <f>IF(NOTA[[#This Row],[JUMLAH]]="","",NOTA[[#This Row],[JUMLAH]]*NOTA[[#This Row],[DISC 1]])</f>
        <v/>
      </c>
      <c r="Y1044" s="51" t="str">
        <f>IF(NOTA[[#This Row],[JUMLAH]]="","",(NOTA[[#This Row],[JUMLAH]]-NOTA[[#This Row],[DISC 1-]])*NOTA[[#This Row],[DISC 2]])</f>
        <v/>
      </c>
      <c r="Z1044" s="51" t="str">
        <f>IF(NOTA[[#This Row],[JUMLAH]]="","",NOTA[[#This Row],[DISC 1-]]+NOTA[[#This Row],[DISC 2-]])</f>
        <v/>
      </c>
      <c r="AA1044" s="51" t="str">
        <f>IF(NOTA[[#This Row],[JUMLAH]]="","",NOTA[[#This Row],[JUMLAH]]-NOTA[[#This Row],[DISC]])</f>
        <v/>
      </c>
      <c r="AB1044" s="51"/>
      <c r="AC10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4" s="51" t="str">
        <f>IF(OR(NOTA[[#This Row],[QTY]]="",NOTA[[#This Row],[HARGA SATUAN]]="",),"",NOTA[[#This Row],[QTY]]*NOTA[[#This Row],[HARGA SATUAN]])</f>
        <v/>
      </c>
      <c r="AG1044" s="40" t="str">
        <f ca="1">IF(NOTA[ID_H]="","",INDEX(NOTA[TANGGAL],MATCH(,INDIRECT(ADDRESS(ROW(NOTA[TANGGAL]),COLUMN(NOTA[TANGGAL]))&amp;":"&amp;ADDRESS(ROW(),COLUMN(NOTA[TANGGAL]))),-1)))</f>
        <v/>
      </c>
      <c r="AH1044" s="42" t="str">
        <f ca="1">IF(NOTA[[#This Row],[NAMA BARANG]]="","",INDEX(NOTA[SUPPLIER],MATCH(,INDIRECT(ADDRESS(ROW(NOTA[ID]),COLUMN(NOTA[ID]))&amp;":"&amp;ADDRESS(ROW(),COLUMN(NOTA[ID]))),-1)))</f>
        <v/>
      </c>
      <c r="AI1044" s="42" t="str">
        <f ca="1">IF(NOTA[[#This Row],[ID_H]]="","",IF(NOTA[[#This Row],[FAKTUR]]="",INDIRECT(ADDRESS(ROW()-1,COLUMN())),NOTA[[#This Row],[FAKTUR]]))</f>
        <v/>
      </c>
      <c r="AJ1044" s="39" t="str">
        <f ca="1">IF(NOTA[[#This Row],[ID]]="","",COUNTIF(NOTA[ID_H],NOTA[[#This Row],[ID_H]]))</f>
        <v/>
      </c>
      <c r="AK1044" s="39" t="str">
        <f ca="1">IF(NOTA[[#This Row],[TGL.NOTA]]="",IF(NOTA[[#This Row],[SUPPLIER_H]]="","",AK1043),MONTH(NOTA[[#This Row],[TGL.NOTA]]))</f>
        <v/>
      </c>
      <c r="AL1044" s="39" t="str">
        <f>LOWER(SUBSTITUTE(SUBSTITUTE(SUBSTITUTE(SUBSTITUTE(SUBSTITUTE(SUBSTITUTE(SUBSTITUTE(SUBSTITUTE(SUBSTITUTE(NOTA[NAMA BARANG]," ",),".",""),"-",""),"(",""),")",""),",",""),"/",""),"""",""),"+",""))</f>
        <v/>
      </c>
      <c r="AM10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39" t="str">
        <f>IF(NOTA[[#This Row],[CONCAT4]]="","",_xlfn.IFNA(MATCH(NOTA[[#This Row],[CONCAT4]],[2]!RAW[CONCAT_H],0),FALSE))</f>
        <v/>
      </c>
      <c r="AQ1044" s="39" t="str">
        <f>IF(NOTA[[#This Row],[CONCAT1]]="","",MATCH(NOTA[[#This Row],[CONCAT1]],[3]!db[NB NOTA_C],0))</f>
        <v/>
      </c>
      <c r="AR1044" s="39" t="str">
        <f>IF(NOTA[[#This Row],[QTY/ CTN]]="","",TRUE)</f>
        <v/>
      </c>
      <c r="AS1044" s="39" t="str">
        <f ca="1">IF(NOTA[[#This Row],[ID_H]]="","",IF(NOTA[[#This Row],[Column3]]=TRUE,NOTA[[#This Row],[QTY/ CTN]],INDEX([3]!db[QTY/ CTN],NOTA[[#This Row],[//DB]])))</f>
        <v/>
      </c>
      <c r="AT10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4" s="39" t="str">
        <f ca="1">IF(NOTA[[#This Row],[ID_H]]="","",MATCH(NOTA[[#This Row],[NB NOTA_C_QTY]],[4]!db[NB NOTA_C_QTY+F],0))</f>
        <v/>
      </c>
      <c r="AV1044" s="55" t="str">
        <f ca="1">IF(NOTA[[#This Row],[NB NOTA_C_QTY]]="","",ROW()-2)</f>
        <v/>
      </c>
    </row>
    <row r="1045" spans="1:48" ht="20.100000000000001" customHeight="1" x14ac:dyDescent="0.25">
      <c r="A10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39" t="str">
        <f>IF(NOTA[[#This Row],[ID_P]]="","",MATCH(NOTA[[#This Row],[ID_P]],[1]!B_MSK[N_ID],0))</f>
        <v/>
      </c>
      <c r="D1045" s="39" t="str">
        <f ca="1">IF(NOTA[[#This Row],[NAMA BARANG]]="","",INDEX(NOTA[ID],MATCH(,INDIRECT(ADDRESS(ROW(NOTA[ID]),COLUMN(NOTA[ID]))&amp;":"&amp;ADDRESS(ROW(),COLUMN(NOTA[ID]))),-1)))</f>
        <v/>
      </c>
      <c r="E1045" s="47"/>
      <c r="H1045" s="48"/>
      <c r="N1045" s="39"/>
      <c r="Q1045" s="43"/>
      <c r="R1045" s="49"/>
      <c r="S1045" s="50"/>
      <c r="U1045" s="51"/>
      <c r="V1045" s="46"/>
      <c r="W1045" s="51" t="str">
        <f>IF(NOTA[[#This Row],[HARGA/ CTN]]="",NOTA[[#This Row],[JUMLAH_H]],NOTA[[#This Row],[HARGA/ CTN]]*IF(NOTA[[#This Row],[C]]="",0,NOTA[[#This Row],[C]]))</f>
        <v/>
      </c>
      <c r="X1045" s="51" t="str">
        <f>IF(NOTA[[#This Row],[JUMLAH]]="","",NOTA[[#This Row],[JUMLAH]]*NOTA[[#This Row],[DISC 1]])</f>
        <v/>
      </c>
      <c r="Y1045" s="51" t="str">
        <f>IF(NOTA[[#This Row],[JUMLAH]]="","",(NOTA[[#This Row],[JUMLAH]]-NOTA[[#This Row],[DISC 1-]])*NOTA[[#This Row],[DISC 2]])</f>
        <v/>
      </c>
      <c r="Z1045" s="51" t="str">
        <f>IF(NOTA[[#This Row],[JUMLAH]]="","",NOTA[[#This Row],[DISC 1-]]+NOTA[[#This Row],[DISC 2-]])</f>
        <v/>
      </c>
      <c r="AA1045" s="51" t="str">
        <f>IF(NOTA[[#This Row],[JUMLAH]]="","",NOTA[[#This Row],[JUMLAH]]-NOTA[[#This Row],[DISC]])</f>
        <v/>
      </c>
      <c r="AB1045" s="51"/>
      <c r="AC10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51" t="str">
        <f>IF(OR(NOTA[[#This Row],[QTY]]="",NOTA[[#This Row],[HARGA SATUAN]]="",),"",NOTA[[#This Row],[QTY]]*NOTA[[#This Row],[HARGA SATUAN]])</f>
        <v/>
      </c>
      <c r="AG1045" s="40" t="str">
        <f ca="1">IF(NOTA[ID_H]="","",INDEX(NOTA[TANGGAL],MATCH(,INDIRECT(ADDRESS(ROW(NOTA[TANGGAL]),COLUMN(NOTA[TANGGAL]))&amp;":"&amp;ADDRESS(ROW(),COLUMN(NOTA[TANGGAL]))),-1)))</f>
        <v/>
      </c>
      <c r="AH1045" s="42" t="str">
        <f ca="1">IF(NOTA[[#This Row],[NAMA BARANG]]="","",INDEX(NOTA[SUPPLIER],MATCH(,INDIRECT(ADDRESS(ROW(NOTA[ID]),COLUMN(NOTA[ID]))&amp;":"&amp;ADDRESS(ROW(),COLUMN(NOTA[ID]))),-1)))</f>
        <v/>
      </c>
      <c r="AI1045" s="42" t="str">
        <f ca="1">IF(NOTA[[#This Row],[ID_H]]="","",IF(NOTA[[#This Row],[FAKTUR]]="",INDIRECT(ADDRESS(ROW()-1,COLUMN())),NOTA[[#This Row],[FAKTUR]]))</f>
        <v/>
      </c>
      <c r="AJ1045" s="39" t="str">
        <f ca="1">IF(NOTA[[#This Row],[ID]]="","",COUNTIF(NOTA[ID_H],NOTA[[#This Row],[ID_H]]))</f>
        <v/>
      </c>
      <c r="AK1045" s="39" t="str">
        <f ca="1">IF(NOTA[[#This Row],[TGL.NOTA]]="",IF(NOTA[[#This Row],[SUPPLIER_H]]="","",AK1044),MONTH(NOTA[[#This Row],[TGL.NOTA]]))</f>
        <v/>
      </c>
      <c r="AL1045" s="39" t="str">
        <f>LOWER(SUBSTITUTE(SUBSTITUTE(SUBSTITUTE(SUBSTITUTE(SUBSTITUTE(SUBSTITUTE(SUBSTITUTE(SUBSTITUTE(SUBSTITUTE(NOTA[NAMA BARANG]," ",),".",""),"-",""),"(",""),")",""),",",""),"/",""),"""",""),"+",""))</f>
        <v/>
      </c>
      <c r="AM10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39" t="str">
        <f>IF(NOTA[[#This Row],[CONCAT4]]="","",_xlfn.IFNA(MATCH(NOTA[[#This Row],[CONCAT4]],[2]!RAW[CONCAT_H],0),FALSE))</f>
        <v/>
      </c>
      <c r="AQ1045" s="39" t="str">
        <f>IF(NOTA[[#This Row],[CONCAT1]]="","",MATCH(NOTA[[#This Row],[CONCAT1]],[3]!db[NB NOTA_C],0))</f>
        <v/>
      </c>
      <c r="AR1045" s="39" t="str">
        <f>IF(NOTA[[#This Row],[QTY/ CTN]]="","",TRUE)</f>
        <v/>
      </c>
      <c r="AS1045" s="39" t="str">
        <f ca="1">IF(NOTA[[#This Row],[ID_H]]="","",IF(NOTA[[#This Row],[Column3]]=TRUE,NOTA[[#This Row],[QTY/ CTN]],INDEX([3]!db[QTY/ CTN],NOTA[[#This Row],[//DB]])))</f>
        <v/>
      </c>
      <c r="AT10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5" s="39" t="str">
        <f ca="1">IF(NOTA[[#This Row],[ID_H]]="","",MATCH(NOTA[[#This Row],[NB NOTA_C_QTY]],[4]!db[NB NOTA_C_QTY+F],0))</f>
        <v/>
      </c>
      <c r="AV1045" s="55" t="str">
        <f ca="1">IF(NOTA[[#This Row],[NB NOTA_C_QTY]]="","",ROW()-2)</f>
        <v/>
      </c>
    </row>
    <row r="1046" spans="1:48" ht="20.100000000000001" customHeight="1" x14ac:dyDescent="0.25">
      <c r="A10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39" t="str">
        <f>IF(NOTA[[#This Row],[ID_P]]="","",MATCH(NOTA[[#This Row],[ID_P]],[1]!B_MSK[N_ID],0))</f>
        <v/>
      </c>
      <c r="D1046" s="39" t="str">
        <f ca="1">IF(NOTA[[#This Row],[NAMA BARANG]]="","",INDEX(NOTA[ID],MATCH(,INDIRECT(ADDRESS(ROW(NOTA[ID]),COLUMN(NOTA[ID]))&amp;":"&amp;ADDRESS(ROW(),COLUMN(NOTA[ID]))),-1)))</f>
        <v/>
      </c>
      <c r="E1046" s="47"/>
      <c r="H1046" s="48"/>
      <c r="N1046" s="39"/>
      <c r="Q1046" s="43"/>
      <c r="R1046" s="49"/>
      <c r="S1046" s="50"/>
      <c r="U1046" s="51"/>
      <c r="V1046" s="46"/>
      <c r="W1046" s="51" t="str">
        <f>IF(NOTA[[#This Row],[HARGA/ CTN]]="",NOTA[[#This Row],[JUMLAH_H]],NOTA[[#This Row],[HARGA/ CTN]]*IF(NOTA[[#This Row],[C]]="",0,NOTA[[#This Row],[C]]))</f>
        <v/>
      </c>
      <c r="X1046" s="51" t="str">
        <f>IF(NOTA[[#This Row],[JUMLAH]]="","",NOTA[[#This Row],[JUMLAH]]*NOTA[[#This Row],[DISC 1]])</f>
        <v/>
      </c>
      <c r="Y1046" s="51" t="str">
        <f>IF(NOTA[[#This Row],[JUMLAH]]="","",(NOTA[[#This Row],[JUMLAH]]-NOTA[[#This Row],[DISC 1-]])*NOTA[[#This Row],[DISC 2]])</f>
        <v/>
      </c>
      <c r="Z1046" s="51" t="str">
        <f>IF(NOTA[[#This Row],[JUMLAH]]="","",NOTA[[#This Row],[DISC 1-]]+NOTA[[#This Row],[DISC 2-]])</f>
        <v/>
      </c>
      <c r="AA1046" s="51" t="str">
        <f>IF(NOTA[[#This Row],[JUMLAH]]="","",NOTA[[#This Row],[JUMLAH]]-NOTA[[#This Row],[DISC]])</f>
        <v/>
      </c>
      <c r="AB1046" s="51"/>
      <c r="AC10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6" s="51" t="str">
        <f>IF(OR(NOTA[[#This Row],[QTY]]="",NOTA[[#This Row],[HARGA SATUAN]]="",),"",NOTA[[#This Row],[QTY]]*NOTA[[#This Row],[HARGA SATUAN]])</f>
        <v/>
      </c>
      <c r="AG1046" s="40" t="str">
        <f ca="1">IF(NOTA[ID_H]="","",INDEX(NOTA[TANGGAL],MATCH(,INDIRECT(ADDRESS(ROW(NOTA[TANGGAL]),COLUMN(NOTA[TANGGAL]))&amp;":"&amp;ADDRESS(ROW(),COLUMN(NOTA[TANGGAL]))),-1)))</f>
        <v/>
      </c>
      <c r="AH1046" s="42" t="str">
        <f ca="1">IF(NOTA[[#This Row],[NAMA BARANG]]="","",INDEX(NOTA[SUPPLIER],MATCH(,INDIRECT(ADDRESS(ROW(NOTA[ID]),COLUMN(NOTA[ID]))&amp;":"&amp;ADDRESS(ROW(),COLUMN(NOTA[ID]))),-1)))</f>
        <v/>
      </c>
      <c r="AI1046" s="42" t="str">
        <f ca="1">IF(NOTA[[#This Row],[ID_H]]="","",IF(NOTA[[#This Row],[FAKTUR]]="",INDIRECT(ADDRESS(ROW()-1,COLUMN())),NOTA[[#This Row],[FAKTUR]]))</f>
        <v/>
      </c>
      <c r="AJ1046" s="39" t="str">
        <f ca="1">IF(NOTA[[#This Row],[ID]]="","",COUNTIF(NOTA[ID_H],NOTA[[#This Row],[ID_H]]))</f>
        <v/>
      </c>
      <c r="AK1046" s="39" t="str">
        <f ca="1">IF(NOTA[[#This Row],[TGL.NOTA]]="",IF(NOTA[[#This Row],[SUPPLIER_H]]="","",AK1045),MONTH(NOTA[[#This Row],[TGL.NOTA]]))</f>
        <v/>
      </c>
      <c r="AL1046" s="39" t="str">
        <f>LOWER(SUBSTITUTE(SUBSTITUTE(SUBSTITUTE(SUBSTITUTE(SUBSTITUTE(SUBSTITUTE(SUBSTITUTE(SUBSTITUTE(SUBSTITUTE(NOTA[NAMA BARANG]," ",),".",""),"-",""),"(",""),")",""),",",""),"/",""),"""",""),"+",""))</f>
        <v/>
      </c>
      <c r="AM10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6" s="39" t="str">
        <f>IF(NOTA[[#This Row],[CONCAT4]]="","",_xlfn.IFNA(MATCH(NOTA[[#This Row],[CONCAT4]],[2]!RAW[CONCAT_H],0),FALSE))</f>
        <v/>
      </c>
      <c r="AQ1046" s="39" t="str">
        <f>IF(NOTA[[#This Row],[CONCAT1]]="","",MATCH(NOTA[[#This Row],[CONCAT1]],[3]!db[NB NOTA_C],0))</f>
        <v/>
      </c>
      <c r="AR1046" s="39" t="str">
        <f>IF(NOTA[[#This Row],[QTY/ CTN]]="","",TRUE)</f>
        <v/>
      </c>
      <c r="AS1046" s="39" t="str">
        <f ca="1">IF(NOTA[[#This Row],[ID_H]]="","",IF(NOTA[[#This Row],[Column3]]=TRUE,NOTA[[#This Row],[QTY/ CTN]],INDEX([3]!db[QTY/ CTN],NOTA[[#This Row],[//DB]])))</f>
        <v/>
      </c>
      <c r="AT10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6" s="39" t="str">
        <f ca="1">IF(NOTA[[#This Row],[ID_H]]="","",MATCH(NOTA[[#This Row],[NB NOTA_C_QTY]],[4]!db[NB NOTA_C_QTY+F],0))</f>
        <v/>
      </c>
      <c r="AV1046" s="55" t="str">
        <f ca="1">IF(NOTA[[#This Row],[NB NOTA_C_QTY]]="","",ROW()-2)</f>
        <v/>
      </c>
    </row>
    <row r="1047" spans="1:48" ht="20.100000000000001" customHeight="1" x14ac:dyDescent="0.25">
      <c r="A10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39" t="str">
        <f>IF(NOTA[[#This Row],[ID_P]]="","",MATCH(NOTA[[#This Row],[ID_P]],[1]!B_MSK[N_ID],0))</f>
        <v/>
      </c>
      <c r="D1047" s="39" t="str">
        <f ca="1">IF(NOTA[[#This Row],[NAMA BARANG]]="","",INDEX(NOTA[ID],MATCH(,INDIRECT(ADDRESS(ROW(NOTA[ID]),COLUMN(NOTA[ID]))&amp;":"&amp;ADDRESS(ROW(),COLUMN(NOTA[ID]))),-1)))</f>
        <v/>
      </c>
      <c r="E1047" s="47"/>
      <c r="H1047" s="48"/>
      <c r="N1047" s="39"/>
      <c r="Q1047" s="43"/>
      <c r="R1047" s="49"/>
      <c r="S1047" s="50"/>
      <c r="U1047" s="51"/>
      <c r="V1047" s="46"/>
      <c r="W1047" s="51" t="str">
        <f>IF(NOTA[[#This Row],[HARGA/ CTN]]="",NOTA[[#This Row],[JUMLAH_H]],NOTA[[#This Row],[HARGA/ CTN]]*IF(NOTA[[#This Row],[C]]="",0,NOTA[[#This Row],[C]]))</f>
        <v/>
      </c>
      <c r="X1047" s="51" t="str">
        <f>IF(NOTA[[#This Row],[JUMLAH]]="","",NOTA[[#This Row],[JUMLAH]]*NOTA[[#This Row],[DISC 1]])</f>
        <v/>
      </c>
      <c r="Y1047" s="51" t="str">
        <f>IF(NOTA[[#This Row],[JUMLAH]]="","",(NOTA[[#This Row],[JUMLAH]]-NOTA[[#This Row],[DISC 1-]])*NOTA[[#This Row],[DISC 2]])</f>
        <v/>
      </c>
      <c r="Z1047" s="51" t="str">
        <f>IF(NOTA[[#This Row],[JUMLAH]]="","",NOTA[[#This Row],[DISC 1-]]+NOTA[[#This Row],[DISC 2-]])</f>
        <v/>
      </c>
      <c r="AA1047" s="51" t="str">
        <f>IF(NOTA[[#This Row],[JUMLAH]]="","",NOTA[[#This Row],[JUMLAH]]-NOTA[[#This Row],[DISC]])</f>
        <v/>
      </c>
      <c r="AB1047" s="51"/>
      <c r="AC10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7" s="51" t="str">
        <f>IF(OR(NOTA[[#This Row],[QTY]]="",NOTA[[#This Row],[HARGA SATUAN]]="",),"",NOTA[[#This Row],[QTY]]*NOTA[[#This Row],[HARGA SATUAN]])</f>
        <v/>
      </c>
      <c r="AG1047" s="40" t="str">
        <f ca="1">IF(NOTA[ID_H]="","",INDEX(NOTA[TANGGAL],MATCH(,INDIRECT(ADDRESS(ROW(NOTA[TANGGAL]),COLUMN(NOTA[TANGGAL]))&amp;":"&amp;ADDRESS(ROW(),COLUMN(NOTA[TANGGAL]))),-1)))</f>
        <v/>
      </c>
      <c r="AH1047" s="42" t="str">
        <f ca="1">IF(NOTA[[#This Row],[NAMA BARANG]]="","",INDEX(NOTA[SUPPLIER],MATCH(,INDIRECT(ADDRESS(ROW(NOTA[ID]),COLUMN(NOTA[ID]))&amp;":"&amp;ADDRESS(ROW(),COLUMN(NOTA[ID]))),-1)))</f>
        <v/>
      </c>
      <c r="AI1047" s="42" t="str">
        <f ca="1">IF(NOTA[[#This Row],[ID_H]]="","",IF(NOTA[[#This Row],[FAKTUR]]="",INDIRECT(ADDRESS(ROW()-1,COLUMN())),NOTA[[#This Row],[FAKTUR]]))</f>
        <v/>
      </c>
      <c r="AJ1047" s="39" t="str">
        <f ca="1">IF(NOTA[[#This Row],[ID]]="","",COUNTIF(NOTA[ID_H],NOTA[[#This Row],[ID_H]]))</f>
        <v/>
      </c>
      <c r="AK1047" s="39" t="str">
        <f ca="1">IF(NOTA[[#This Row],[TGL.NOTA]]="",IF(NOTA[[#This Row],[SUPPLIER_H]]="","",AK1046),MONTH(NOTA[[#This Row],[TGL.NOTA]]))</f>
        <v/>
      </c>
      <c r="AL1047" s="39" t="str">
        <f>LOWER(SUBSTITUTE(SUBSTITUTE(SUBSTITUTE(SUBSTITUTE(SUBSTITUTE(SUBSTITUTE(SUBSTITUTE(SUBSTITUTE(SUBSTITUTE(NOTA[NAMA BARANG]," ",),".",""),"-",""),"(",""),")",""),",",""),"/",""),"""",""),"+",""))</f>
        <v/>
      </c>
      <c r="AM10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39" t="str">
        <f>IF(NOTA[[#This Row],[CONCAT4]]="","",_xlfn.IFNA(MATCH(NOTA[[#This Row],[CONCAT4]],[2]!RAW[CONCAT_H],0),FALSE))</f>
        <v/>
      </c>
      <c r="AQ1047" s="39" t="str">
        <f>IF(NOTA[[#This Row],[CONCAT1]]="","",MATCH(NOTA[[#This Row],[CONCAT1]],[3]!db[NB NOTA_C],0))</f>
        <v/>
      </c>
      <c r="AR1047" s="39" t="str">
        <f>IF(NOTA[[#This Row],[QTY/ CTN]]="","",TRUE)</f>
        <v/>
      </c>
      <c r="AS1047" s="39" t="str">
        <f ca="1">IF(NOTA[[#This Row],[ID_H]]="","",IF(NOTA[[#This Row],[Column3]]=TRUE,NOTA[[#This Row],[QTY/ CTN]],INDEX([3]!db[QTY/ CTN],NOTA[[#This Row],[//DB]])))</f>
        <v/>
      </c>
      <c r="AT10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7" s="39" t="str">
        <f ca="1">IF(NOTA[[#This Row],[ID_H]]="","",MATCH(NOTA[[#This Row],[NB NOTA_C_QTY]],[4]!db[NB NOTA_C_QTY+F],0))</f>
        <v/>
      </c>
      <c r="AV1047" s="55" t="str">
        <f ca="1">IF(NOTA[[#This Row],[NB NOTA_C_QTY]]="","",ROW()-2)</f>
        <v/>
      </c>
    </row>
    <row r="1048" spans="1:48" ht="20.100000000000001" customHeight="1" x14ac:dyDescent="0.25">
      <c r="A10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39" t="str">
        <f>IF(NOTA[[#This Row],[ID_P]]="","",MATCH(NOTA[[#This Row],[ID_P]],[1]!B_MSK[N_ID],0))</f>
        <v/>
      </c>
      <c r="D1048" s="39" t="str">
        <f ca="1">IF(NOTA[[#This Row],[NAMA BARANG]]="","",INDEX(NOTA[ID],MATCH(,INDIRECT(ADDRESS(ROW(NOTA[ID]),COLUMN(NOTA[ID]))&amp;":"&amp;ADDRESS(ROW(),COLUMN(NOTA[ID]))),-1)))</f>
        <v/>
      </c>
      <c r="E1048" s="47"/>
      <c r="H1048" s="48"/>
      <c r="N1048" s="39"/>
      <c r="Q1048" s="43"/>
      <c r="R1048" s="49"/>
      <c r="S1048" s="50"/>
      <c r="U1048" s="51"/>
      <c r="V1048" s="46"/>
      <c r="W1048" s="51" t="str">
        <f>IF(NOTA[[#This Row],[HARGA/ CTN]]="",NOTA[[#This Row],[JUMLAH_H]],NOTA[[#This Row],[HARGA/ CTN]]*IF(NOTA[[#This Row],[C]]="",0,NOTA[[#This Row],[C]]))</f>
        <v/>
      </c>
      <c r="X1048" s="51" t="str">
        <f>IF(NOTA[[#This Row],[JUMLAH]]="","",NOTA[[#This Row],[JUMLAH]]*NOTA[[#This Row],[DISC 1]])</f>
        <v/>
      </c>
      <c r="Y1048" s="51" t="str">
        <f>IF(NOTA[[#This Row],[JUMLAH]]="","",(NOTA[[#This Row],[JUMLAH]]-NOTA[[#This Row],[DISC 1-]])*NOTA[[#This Row],[DISC 2]])</f>
        <v/>
      </c>
      <c r="Z1048" s="51" t="str">
        <f>IF(NOTA[[#This Row],[JUMLAH]]="","",NOTA[[#This Row],[DISC 1-]]+NOTA[[#This Row],[DISC 2-]])</f>
        <v/>
      </c>
      <c r="AA1048" s="51" t="str">
        <f>IF(NOTA[[#This Row],[JUMLAH]]="","",NOTA[[#This Row],[JUMLAH]]-NOTA[[#This Row],[DISC]])</f>
        <v/>
      </c>
      <c r="AB1048" s="51"/>
      <c r="AC10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51" t="str">
        <f>IF(OR(NOTA[[#This Row],[QTY]]="",NOTA[[#This Row],[HARGA SATUAN]]="",),"",NOTA[[#This Row],[QTY]]*NOTA[[#This Row],[HARGA SATUAN]])</f>
        <v/>
      </c>
      <c r="AG1048" s="40" t="str">
        <f ca="1">IF(NOTA[ID_H]="","",INDEX(NOTA[TANGGAL],MATCH(,INDIRECT(ADDRESS(ROW(NOTA[TANGGAL]),COLUMN(NOTA[TANGGAL]))&amp;":"&amp;ADDRESS(ROW(),COLUMN(NOTA[TANGGAL]))),-1)))</f>
        <v/>
      </c>
      <c r="AH1048" s="42" t="str">
        <f ca="1">IF(NOTA[[#This Row],[NAMA BARANG]]="","",INDEX(NOTA[SUPPLIER],MATCH(,INDIRECT(ADDRESS(ROW(NOTA[ID]),COLUMN(NOTA[ID]))&amp;":"&amp;ADDRESS(ROW(),COLUMN(NOTA[ID]))),-1)))</f>
        <v/>
      </c>
      <c r="AI1048" s="42" t="str">
        <f ca="1">IF(NOTA[[#This Row],[ID_H]]="","",IF(NOTA[[#This Row],[FAKTUR]]="",INDIRECT(ADDRESS(ROW()-1,COLUMN())),NOTA[[#This Row],[FAKTUR]]))</f>
        <v/>
      </c>
      <c r="AJ1048" s="39" t="str">
        <f ca="1">IF(NOTA[[#This Row],[ID]]="","",COUNTIF(NOTA[ID_H],NOTA[[#This Row],[ID_H]]))</f>
        <v/>
      </c>
      <c r="AK1048" s="39" t="str">
        <f ca="1">IF(NOTA[[#This Row],[TGL.NOTA]]="",IF(NOTA[[#This Row],[SUPPLIER_H]]="","",AK1047),MONTH(NOTA[[#This Row],[TGL.NOTA]]))</f>
        <v/>
      </c>
      <c r="AL1048" s="39" t="str">
        <f>LOWER(SUBSTITUTE(SUBSTITUTE(SUBSTITUTE(SUBSTITUTE(SUBSTITUTE(SUBSTITUTE(SUBSTITUTE(SUBSTITUTE(SUBSTITUTE(NOTA[NAMA BARANG]," ",),".",""),"-",""),"(",""),")",""),",",""),"/",""),"""",""),"+",""))</f>
        <v/>
      </c>
      <c r="AM10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39" t="str">
        <f>IF(NOTA[[#This Row],[CONCAT4]]="","",_xlfn.IFNA(MATCH(NOTA[[#This Row],[CONCAT4]],[2]!RAW[CONCAT_H],0),FALSE))</f>
        <v/>
      </c>
      <c r="AQ1048" s="39" t="str">
        <f>IF(NOTA[[#This Row],[CONCAT1]]="","",MATCH(NOTA[[#This Row],[CONCAT1]],[3]!db[NB NOTA_C],0))</f>
        <v/>
      </c>
      <c r="AR1048" s="39" t="str">
        <f>IF(NOTA[[#This Row],[QTY/ CTN]]="","",TRUE)</f>
        <v/>
      </c>
      <c r="AS1048" s="39" t="str">
        <f ca="1">IF(NOTA[[#This Row],[ID_H]]="","",IF(NOTA[[#This Row],[Column3]]=TRUE,NOTA[[#This Row],[QTY/ CTN]],INDEX([3]!db[QTY/ CTN],NOTA[[#This Row],[//DB]])))</f>
        <v/>
      </c>
      <c r="AT10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8" s="39" t="str">
        <f ca="1">IF(NOTA[[#This Row],[ID_H]]="","",MATCH(NOTA[[#This Row],[NB NOTA_C_QTY]],[4]!db[NB NOTA_C_QTY+F],0))</f>
        <v/>
      </c>
      <c r="AV1048" s="55" t="str">
        <f ca="1">IF(NOTA[[#This Row],[NB NOTA_C_QTY]]="","",ROW()-2)</f>
        <v/>
      </c>
    </row>
    <row r="1049" spans="1:48" ht="20.100000000000001" customHeight="1" x14ac:dyDescent="0.25">
      <c r="A10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39" t="str">
        <f>IF(NOTA[[#This Row],[ID_P]]="","",MATCH(NOTA[[#This Row],[ID_P]],[1]!B_MSK[N_ID],0))</f>
        <v/>
      </c>
      <c r="D1049" s="39" t="str">
        <f ca="1">IF(NOTA[[#This Row],[NAMA BARANG]]="","",INDEX(NOTA[ID],MATCH(,INDIRECT(ADDRESS(ROW(NOTA[ID]),COLUMN(NOTA[ID]))&amp;":"&amp;ADDRESS(ROW(),COLUMN(NOTA[ID]))),-1)))</f>
        <v/>
      </c>
      <c r="E1049" s="47"/>
      <c r="H1049" s="48"/>
      <c r="N1049" s="39"/>
      <c r="Q1049" s="43"/>
      <c r="R1049" s="49"/>
      <c r="S1049" s="50"/>
      <c r="U1049" s="51"/>
      <c r="V1049" s="46"/>
      <c r="W1049" s="51" t="str">
        <f>IF(NOTA[[#This Row],[HARGA/ CTN]]="",NOTA[[#This Row],[JUMLAH_H]],NOTA[[#This Row],[HARGA/ CTN]]*IF(NOTA[[#This Row],[C]]="",0,NOTA[[#This Row],[C]]))</f>
        <v/>
      </c>
      <c r="X1049" s="51" t="str">
        <f>IF(NOTA[[#This Row],[JUMLAH]]="","",NOTA[[#This Row],[JUMLAH]]*NOTA[[#This Row],[DISC 1]])</f>
        <v/>
      </c>
      <c r="Y1049" s="51" t="str">
        <f>IF(NOTA[[#This Row],[JUMLAH]]="","",(NOTA[[#This Row],[JUMLAH]]-NOTA[[#This Row],[DISC 1-]])*NOTA[[#This Row],[DISC 2]])</f>
        <v/>
      </c>
      <c r="Z1049" s="51" t="str">
        <f>IF(NOTA[[#This Row],[JUMLAH]]="","",NOTA[[#This Row],[DISC 1-]]+NOTA[[#This Row],[DISC 2-]])</f>
        <v/>
      </c>
      <c r="AA1049" s="51" t="str">
        <f>IF(NOTA[[#This Row],[JUMLAH]]="","",NOTA[[#This Row],[JUMLAH]]-NOTA[[#This Row],[DISC]])</f>
        <v/>
      </c>
      <c r="AB1049" s="51"/>
      <c r="AC10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9" s="51" t="str">
        <f>IF(OR(NOTA[[#This Row],[QTY]]="",NOTA[[#This Row],[HARGA SATUAN]]="",),"",NOTA[[#This Row],[QTY]]*NOTA[[#This Row],[HARGA SATUAN]])</f>
        <v/>
      </c>
      <c r="AG1049" s="40" t="str">
        <f ca="1">IF(NOTA[ID_H]="","",INDEX(NOTA[TANGGAL],MATCH(,INDIRECT(ADDRESS(ROW(NOTA[TANGGAL]),COLUMN(NOTA[TANGGAL]))&amp;":"&amp;ADDRESS(ROW(),COLUMN(NOTA[TANGGAL]))),-1)))</f>
        <v/>
      </c>
      <c r="AH1049" s="42" t="str">
        <f ca="1">IF(NOTA[[#This Row],[NAMA BARANG]]="","",INDEX(NOTA[SUPPLIER],MATCH(,INDIRECT(ADDRESS(ROW(NOTA[ID]),COLUMN(NOTA[ID]))&amp;":"&amp;ADDRESS(ROW(),COLUMN(NOTA[ID]))),-1)))</f>
        <v/>
      </c>
      <c r="AI1049" s="42" t="str">
        <f ca="1">IF(NOTA[[#This Row],[ID_H]]="","",IF(NOTA[[#This Row],[FAKTUR]]="",INDIRECT(ADDRESS(ROW()-1,COLUMN())),NOTA[[#This Row],[FAKTUR]]))</f>
        <v/>
      </c>
      <c r="AJ1049" s="39" t="str">
        <f ca="1">IF(NOTA[[#This Row],[ID]]="","",COUNTIF(NOTA[ID_H],NOTA[[#This Row],[ID_H]]))</f>
        <v/>
      </c>
      <c r="AK1049" s="39" t="str">
        <f ca="1">IF(NOTA[[#This Row],[TGL.NOTA]]="",IF(NOTA[[#This Row],[SUPPLIER_H]]="","",AK1048),MONTH(NOTA[[#This Row],[TGL.NOTA]]))</f>
        <v/>
      </c>
      <c r="AL1049" s="39" t="str">
        <f>LOWER(SUBSTITUTE(SUBSTITUTE(SUBSTITUTE(SUBSTITUTE(SUBSTITUTE(SUBSTITUTE(SUBSTITUTE(SUBSTITUTE(SUBSTITUTE(NOTA[NAMA BARANG]," ",),".",""),"-",""),"(",""),")",""),",",""),"/",""),"""",""),"+",""))</f>
        <v/>
      </c>
      <c r="AM10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9" s="39" t="str">
        <f>IF(NOTA[[#This Row],[CONCAT4]]="","",_xlfn.IFNA(MATCH(NOTA[[#This Row],[CONCAT4]],[2]!RAW[CONCAT_H],0),FALSE))</f>
        <v/>
      </c>
      <c r="AQ1049" s="39" t="str">
        <f>IF(NOTA[[#This Row],[CONCAT1]]="","",MATCH(NOTA[[#This Row],[CONCAT1]],[3]!db[NB NOTA_C],0))</f>
        <v/>
      </c>
      <c r="AR1049" s="39" t="str">
        <f>IF(NOTA[[#This Row],[QTY/ CTN]]="","",TRUE)</f>
        <v/>
      </c>
      <c r="AS1049" s="39" t="str">
        <f ca="1">IF(NOTA[[#This Row],[ID_H]]="","",IF(NOTA[[#This Row],[Column3]]=TRUE,NOTA[[#This Row],[QTY/ CTN]],INDEX([3]!db[QTY/ CTN],NOTA[[#This Row],[//DB]])))</f>
        <v/>
      </c>
      <c r="AT10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9" s="39" t="str">
        <f ca="1">IF(NOTA[[#This Row],[ID_H]]="","",MATCH(NOTA[[#This Row],[NB NOTA_C_QTY]],[4]!db[NB NOTA_C_QTY+F],0))</f>
        <v/>
      </c>
      <c r="AV1049" s="55" t="str">
        <f ca="1">IF(NOTA[[#This Row],[NB NOTA_C_QTY]]="","",ROW()-2)</f>
        <v/>
      </c>
    </row>
    <row r="1050" spans="1:48" ht="20.100000000000001" customHeight="1" x14ac:dyDescent="0.25">
      <c r="A10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39" t="str">
        <f>IF(NOTA[[#This Row],[ID_P]]="","",MATCH(NOTA[[#This Row],[ID_P]],[1]!B_MSK[N_ID],0))</f>
        <v/>
      </c>
      <c r="D1050" s="39" t="str">
        <f ca="1">IF(NOTA[[#This Row],[NAMA BARANG]]="","",INDEX(NOTA[ID],MATCH(,INDIRECT(ADDRESS(ROW(NOTA[ID]),COLUMN(NOTA[ID]))&amp;":"&amp;ADDRESS(ROW(),COLUMN(NOTA[ID]))),-1)))</f>
        <v/>
      </c>
      <c r="E1050" s="47"/>
      <c r="H1050" s="48"/>
      <c r="N1050" s="39"/>
      <c r="Q1050" s="43"/>
      <c r="R1050" s="49"/>
      <c r="S1050" s="50"/>
      <c r="U1050" s="51"/>
      <c r="V1050" s="46"/>
      <c r="W1050" s="51" t="str">
        <f>IF(NOTA[[#This Row],[HARGA/ CTN]]="",NOTA[[#This Row],[JUMLAH_H]],NOTA[[#This Row],[HARGA/ CTN]]*IF(NOTA[[#This Row],[C]]="",0,NOTA[[#This Row],[C]]))</f>
        <v/>
      </c>
      <c r="X1050" s="51" t="str">
        <f>IF(NOTA[[#This Row],[JUMLAH]]="","",NOTA[[#This Row],[JUMLAH]]*NOTA[[#This Row],[DISC 1]])</f>
        <v/>
      </c>
      <c r="Y1050" s="51" t="str">
        <f>IF(NOTA[[#This Row],[JUMLAH]]="","",(NOTA[[#This Row],[JUMLAH]]-NOTA[[#This Row],[DISC 1-]])*NOTA[[#This Row],[DISC 2]])</f>
        <v/>
      </c>
      <c r="Z1050" s="51" t="str">
        <f>IF(NOTA[[#This Row],[JUMLAH]]="","",NOTA[[#This Row],[DISC 1-]]+NOTA[[#This Row],[DISC 2-]])</f>
        <v/>
      </c>
      <c r="AA1050" s="51" t="str">
        <f>IF(NOTA[[#This Row],[JUMLAH]]="","",NOTA[[#This Row],[JUMLAH]]-NOTA[[#This Row],[DISC]])</f>
        <v/>
      </c>
      <c r="AB1050" s="51"/>
      <c r="AC10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0" s="51" t="str">
        <f>IF(OR(NOTA[[#This Row],[QTY]]="",NOTA[[#This Row],[HARGA SATUAN]]="",),"",NOTA[[#This Row],[QTY]]*NOTA[[#This Row],[HARGA SATUAN]])</f>
        <v/>
      </c>
      <c r="AG1050" s="40" t="str">
        <f ca="1">IF(NOTA[ID_H]="","",INDEX(NOTA[TANGGAL],MATCH(,INDIRECT(ADDRESS(ROW(NOTA[TANGGAL]),COLUMN(NOTA[TANGGAL]))&amp;":"&amp;ADDRESS(ROW(),COLUMN(NOTA[TANGGAL]))),-1)))</f>
        <v/>
      </c>
      <c r="AH1050" s="42" t="str">
        <f ca="1">IF(NOTA[[#This Row],[NAMA BARANG]]="","",INDEX(NOTA[SUPPLIER],MATCH(,INDIRECT(ADDRESS(ROW(NOTA[ID]),COLUMN(NOTA[ID]))&amp;":"&amp;ADDRESS(ROW(),COLUMN(NOTA[ID]))),-1)))</f>
        <v/>
      </c>
      <c r="AI1050" s="42" t="str">
        <f ca="1">IF(NOTA[[#This Row],[ID_H]]="","",IF(NOTA[[#This Row],[FAKTUR]]="",INDIRECT(ADDRESS(ROW()-1,COLUMN())),NOTA[[#This Row],[FAKTUR]]))</f>
        <v/>
      </c>
      <c r="AJ1050" s="39" t="str">
        <f ca="1">IF(NOTA[[#This Row],[ID]]="","",COUNTIF(NOTA[ID_H],NOTA[[#This Row],[ID_H]]))</f>
        <v/>
      </c>
      <c r="AK1050" s="39" t="str">
        <f ca="1">IF(NOTA[[#This Row],[TGL.NOTA]]="",IF(NOTA[[#This Row],[SUPPLIER_H]]="","",AK1049),MONTH(NOTA[[#This Row],[TGL.NOTA]]))</f>
        <v/>
      </c>
      <c r="AL1050" s="39" t="str">
        <f>LOWER(SUBSTITUTE(SUBSTITUTE(SUBSTITUTE(SUBSTITUTE(SUBSTITUTE(SUBSTITUTE(SUBSTITUTE(SUBSTITUTE(SUBSTITUTE(NOTA[NAMA BARANG]," ",),".",""),"-",""),"(",""),")",""),",",""),"/",""),"""",""),"+",""))</f>
        <v/>
      </c>
      <c r="AM10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39" t="str">
        <f>IF(NOTA[[#This Row],[CONCAT4]]="","",_xlfn.IFNA(MATCH(NOTA[[#This Row],[CONCAT4]],[2]!RAW[CONCAT_H],0),FALSE))</f>
        <v/>
      </c>
      <c r="AQ1050" s="39" t="str">
        <f>IF(NOTA[[#This Row],[CONCAT1]]="","",MATCH(NOTA[[#This Row],[CONCAT1]],[3]!db[NB NOTA_C],0))</f>
        <v/>
      </c>
      <c r="AR1050" s="39" t="str">
        <f>IF(NOTA[[#This Row],[QTY/ CTN]]="","",TRUE)</f>
        <v/>
      </c>
      <c r="AS1050" s="39" t="str">
        <f ca="1">IF(NOTA[[#This Row],[ID_H]]="","",IF(NOTA[[#This Row],[Column3]]=TRUE,NOTA[[#This Row],[QTY/ CTN]],INDEX([3]!db[QTY/ CTN],NOTA[[#This Row],[//DB]])))</f>
        <v/>
      </c>
      <c r="AT10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0" s="39" t="str">
        <f ca="1">IF(NOTA[[#This Row],[ID_H]]="","",MATCH(NOTA[[#This Row],[NB NOTA_C_QTY]],[4]!db[NB NOTA_C_QTY+F],0))</f>
        <v/>
      </c>
      <c r="AV1050" s="55" t="str">
        <f ca="1">IF(NOTA[[#This Row],[NB NOTA_C_QTY]]="","",ROW()-2)</f>
        <v/>
      </c>
    </row>
    <row r="1051" spans="1:48" ht="20.100000000000001" customHeight="1" x14ac:dyDescent="0.25">
      <c r="A10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39" t="str">
        <f>IF(NOTA[[#This Row],[ID_P]]="","",MATCH(NOTA[[#This Row],[ID_P]],[1]!B_MSK[N_ID],0))</f>
        <v/>
      </c>
      <c r="D1051" s="39" t="str">
        <f ca="1">IF(NOTA[[#This Row],[NAMA BARANG]]="","",INDEX(NOTA[ID],MATCH(,INDIRECT(ADDRESS(ROW(NOTA[ID]),COLUMN(NOTA[ID]))&amp;":"&amp;ADDRESS(ROW(),COLUMN(NOTA[ID]))),-1)))</f>
        <v/>
      </c>
      <c r="E1051" s="47"/>
      <c r="H1051" s="48"/>
      <c r="N1051" s="39"/>
      <c r="Q1051" s="43"/>
      <c r="R1051" s="49"/>
      <c r="S1051" s="50"/>
      <c r="U1051" s="51"/>
      <c r="V1051" s="46"/>
      <c r="W1051" s="51" t="str">
        <f>IF(NOTA[[#This Row],[HARGA/ CTN]]="",NOTA[[#This Row],[JUMLAH_H]],NOTA[[#This Row],[HARGA/ CTN]]*IF(NOTA[[#This Row],[C]]="",0,NOTA[[#This Row],[C]]))</f>
        <v/>
      </c>
      <c r="X1051" s="51" t="str">
        <f>IF(NOTA[[#This Row],[JUMLAH]]="","",NOTA[[#This Row],[JUMLAH]]*NOTA[[#This Row],[DISC 1]])</f>
        <v/>
      </c>
      <c r="Y1051" s="51" t="str">
        <f>IF(NOTA[[#This Row],[JUMLAH]]="","",(NOTA[[#This Row],[JUMLAH]]-NOTA[[#This Row],[DISC 1-]])*NOTA[[#This Row],[DISC 2]])</f>
        <v/>
      </c>
      <c r="Z1051" s="51" t="str">
        <f>IF(NOTA[[#This Row],[JUMLAH]]="","",NOTA[[#This Row],[DISC 1-]]+NOTA[[#This Row],[DISC 2-]])</f>
        <v/>
      </c>
      <c r="AA1051" s="51" t="str">
        <f>IF(NOTA[[#This Row],[JUMLAH]]="","",NOTA[[#This Row],[JUMLAH]]-NOTA[[#This Row],[DISC]])</f>
        <v/>
      </c>
      <c r="AB1051" s="51"/>
      <c r="AC10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51" t="str">
        <f>IF(OR(NOTA[[#This Row],[QTY]]="",NOTA[[#This Row],[HARGA SATUAN]]="",),"",NOTA[[#This Row],[QTY]]*NOTA[[#This Row],[HARGA SATUAN]])</f>
        <v/>
      </c>
      <c r="AG1051" s="40" t="str">
        <f ca="1">IF(NOTA[ID_H]="","",INDEX(NOTA[TANGGAL],MATCH(,INDIRECT(ADDRESS(ROW(NOTA[TANGGAL]),COLUMN(NOTA[TANGGAL]))&amp;":"&amp;ADDRESS(ROW(),COLUMN(NOTA[TANGGAL]))),-1)))</f>
        <v/>
      </c>
      <c r="AH1051" s="42" t="str">
        <f ca="1">IF(NOTA[[#This Row],[NAMA BARANG]]="","",INDEX(NOTA[SUPPLIER],MATCH(,INDIRECT(ADDRESS(ROW(NOTA[ID]),COLUMN(NOTA[ID]))&amp;":"&amp;ADDRESS(ROW(),COLUMN(NOTA[ID]))),-1)))</f>
        <v/>
      </c>
      <c r="AI1051" s="42" t="str">
        <f ca="1">IF(NOTA[[#This Row],[ID_H]]="","",IF(NOTA[[#This Row],[FAKTUR]]="",INDIRECT(ADDRESS(ROW()-1,COLUMN())),NOTA[[#This Row],[FAKTUR]]))</f>
        <v/>
      </c>
      <c r="AJ1051" s="39" t="str">
        <f ca="1">IF(NOTA[[#This Row],[ID]]="","",COUNTIF(NOTA[ID_H],NOTA[[#This Row],[ID_H]]))</f>
        <v/>
      </c>
      <c r="AK1051" s="39" t="str">
        <f ca="1">IF(NOTA[[#This Row],[TGL.NOTA]]="",IF(NOTA[[#This Row],[SUPPLIER_H]]="","",AK1050),MONTH(NOTA[[#This Row],[TGL.NOTA]]))</f>
        <v/>
      </c>
      <c r="AL1051" s="39" t="str">
        <f>LOWER(SUBSTITUTE(SUBSTITUTE(SUBSTITUTE(SUBSTITUTE(SUBSTITUTE(SUBSTITUTE(SUBSTITUTE(SUBSTITUTE(SUBSTITUTE(NOTA[NAMA BARANG]," ",),".",""),"-",""),"(",""),")",""),",",""),"/",""),"""",""),"+",""))</f>
        <v/>
      </c>
      <c r="AM10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39" t="str">
        <f>IF(NOTA[[#This Row],[CONCAT4]]="","",_xlfn.IFNA(MATCH(NOTA[[#This Row],[CONCAT4]],[2]!RAW[CONCAT_H],0),FALSE))</f>
        <v/>
      </c>
      <c r="AQ1051" s="39" t="str">
        <f>IF(NOTA[[#This Row],[CONCAT1]]="","",MATCH(NOTA[[#This Row],[CONCAT1]],[3]!db[NB NOTA_C],0))</f>
        <v/>
      </c>
      <c r="AR1051" s="39" t="str">
        <f>IF(NOTA[[#This Row],[QTY/ CTN]]="","",TRUE)</f>
        <v/>
      </c>
      <c r="AS1051" s="39" t="str">
        <f ca="1">IF(NOTA[[#This Row],[ID_H]]="","",IF(NOTA[[#This Row],[Column3]]=TRUE,NOTA[[#This Row],[QTY/ CTN]],INDEX([3]!db[QTY/ CTN],NOTA[[#This Row],[//DB]])))</f>
        <v/>
      </c>
      <c r="AT10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1" s="39" t="str">
        <f ca="1">IF(NOTA[[#This Row],[ID_H]]="","",MATCH(NOTA[[#This Row],[NB NOTA_C_QTY]],[4]!db[NB NOTA_C_QTY+F],0))</f>
        <v/>
      </c>
      <c r="AV1051" s="55" t="str">
        <f ca="1">IF(NOTA[[#This Row],[NB NOTA_C_QTY]]="","",ROW()-2)</f>
        <v/>
      </c>
    </row>
    <row r="1052" spans="1:48" ht="20.100000000000001" customHeight="1" x14ac:dyDescent="0.25">
      <c r="A10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39" t="str">
        <f>IF(NOTA[[#This Row],[ID_P]]="","",MATCH(NOTA[[#This Row],[ID_P]],[1]!B_MSK[N_ID],0))</f>
        <v/>
      </c>
      <c r="D1052" s="39" t="str">
        <f ca="1">IF(NOTA[[#This Row],[NAMA BARANG]]="","",INDEX(NOTA[ID],MATCH(,INDIRECT(ADDRESS(ROW(NOTA[ID]),COLUMN(NOTA[ID]))&amp;":"&amp;ADDRESS(ROW(),COLUMN(NOTA[ID]))),-1)))</f>
        <v/>
      </c>
      <c r="E1052" s="47"/>
      <c r="H1052" s="48"/>
      <c r="N1052" s="39"/>
      <c r="Q1052" s="43"/>
      <c r="R1052" s="49"/>
      <c r="S1052" s="50"/>
      <c r="U1052" s="51"/>
      <c r="V1052" s="46"/>
      <c r="W1052" s="51" t="str">
        <f>IF(NOTA[[#This Row],[HARGA/ CTN]]="",NOTA[[#This Row],[JUMLAH_H]],NOTA[[#This Row],[HARGA/ CTN]]*IF(NOTA[[#This Row],[C]]="",0,NOTA[[#This Row],[C]]))</f>
        <v/>
      </c>
      <c r="X1052" s="51" t="str">
        <f>IF(NOTA[[#This Row],[JUMLAH]]="","",NOTA[[#This Row],[JUMLAH]]*NOTA[[#This Row],[DISC 1]])</f>
        <v/>
      </c>
      <c r="Y1052" s="51" t="str">
        <f>IF(NOTA[[#This Row],[JUMLAH]]="","",(NOTA[[#This Row],[JUMLAH]]-NOTA[[#This Row],[DISC 1-]])*NOTA[[#This Row],[DISC 2]])</f>
        <v/>
      </c>
      <c r="Z1052" s="51" t="str">
        <f>IF(NOTA[[#This Row],[JUMLAH]]="","",NOTA[[#This Row],[DISC 1-]]+NOTA[[#This Row],[DISC 2-]])</f>
        <v/>
      </c>
      <c r="AA1052" s="51" t="str">
        <f>IF(NOTA[[#This Row],[JUMLAH]]="","",NOTA[[#This Row],[JUMLAH]]-NOTA[[#This Row],[DISC]])</f>
        <v/>
      </c>
      <c r="AB1052" s="51"/>
      <c r="AC10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2" s="51" t="str">
        <f>IF(OR(NOTA[[#This Row],[QTY]]="",NOTA[[#This Row],[HARGA SATUAN]]="",),"",NOTA[[#This Row],[QTY]]*NOTA[[#This Row],[HARGA SATUAN]])</f>
        <v/>
      </c>
      <c r="AG1052" s="40" t="str">
        <f ca="1">IF(NOTA[ID_H]="","",INDEX(NOTA[TANGGAL],MATCH(,INDIRECT(ADDRESS(ROW(NOTA[TANGGAL]),COLUMN(NOTA[TANGGAL]))&amp;":"&amp;ADDRESS(ROW(),COLUMN(NOTA[TANGGAL]))),-1)))</f>
        <v/>
      </c>
      <c r="AH1052" s="42" t="str">
        <f ca="1">IF(NOTA[[#This Row],[NAMA BARANG]]="","",INDEX(NOTA[SUPPLIER],MATCH(,INDIRECT(ADDRESS(ROW(NOTA[ID]),COLUMN(NOTA[ID]))&amp;":"&amp;ADDRESS(ROW(),COLUMN(NOTA[ID]))),-1)))</f>
        <v/>
      </c>
      <c r="AI1052" s="42" t="str">
        <f ca="1">IF(NOTA[[#This Row],[ID_H]]="","",IF(NOTA[[#This Row],[FAKTUR]]="",INDIRECT(ADDRESS(ROW()-1,COLUMN())),NOTA[[#This Row],[FAKTUR]]))</f>
        <v/>
      </c>
      <c r="AJ1052" s="39" t="str">
        <f ca="1">IF(NOTA[[#This Row],[ID]]="","",COUNTIF(NOTA[ID_H],NOTA[[#This Row],[ID_H]]))</f>
        <v/>
      </c>
      <c r="AK1052" s="39" t="str">
        <f ca="1">IF(NOTA[[#This Row],[TGL.NOTA]]="",IF(NOTA[[#This Row],[SUPPLIER_H]]="","",AK1051),MONTH(NOTA[[#This Row],[TGL.NOTA]]))</f>
        <v/>
      </c>
      <c r="AL1052" s="39" t="str">
        <f>LOWER(SUBSTITUTE(SUBSTITUTE(SUBSTITUTE(SUBSTITUTE(SUBSTITUTE(SUBSTITUTE(SUBSTITUTE(SUBSTITUTE(SUBSTITUTE(NOTA[NAMA BARANG]," ",),".",""),"-",""),"(",""),")",""),",",""),"/",""),"""",""),"+",""))</f>
        <v/>
      </c>
      <c r="AM10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2" s="39" t="str">
        <f>IF(NOTA[[#This Row],[CONCAT4]]="","",_xlfn.IFNA(MATCH(NOTA[[#This Row],[CONCAT4]],[2]!RAW[CONCAT_H],0),FALSE))</f>
        <v/>
      </c>
      <c r="AQ1052" s="39" t="str">
        <f>IF(NOTA[[#This Row],[CONCAT1]]="","",MATCH(NOTA[[#This Row],[CONCAT1]],[3]!db[NB NOTA_C],0))</f>
        <v/>
      </c>
      <c r="AR1052" s="39" t="str">
        <f>IF(NOTA[[#This Row],[QTY/ CTN]]="","",TRUE)</f>
        <v/>
      </c>
      <c r="AS1052" s="39" t="str">
        <f ca="1">IF(NOTA[[#This Row],[ID_H]]="","",IF(NOTA[[#This Row],[Column3]]=TRUE,NOTA[[#This Row],[QTY/ CTN]],INDEX([3]!db[QTY/ CTN],NOTA[[#This Row],[//DB]])))</f>
        <v/>
      </c>
      <c r="AT10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2" s="39" t="str">
        <f ca="1">IF(NOTA[[#This Row],[ID_H]]="","",MATCH(NOTA[[#This Row],[NB NOTA_C_QTY]],[4]!db[NB NOTA_C_QTY+F],0))</f>
        <v/>
      </c>
      <c r="AV1052" s="55" t="str">
        <f ca="1">IF(NOTA[[#This Row],[NB NOTA_C_QTY]]="","",ROW()-2)</f>
        <v/>
      </c>
    </row>
    <row r="1053" spans="1:48" ht="20.100000000000001" customHeight="1" x14ac:dyDescent="0.25">
      <c r="A10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39" t="str">
        <f>IF(NOTA[[#This Row],[ID_P]]="","",MATCH(NOTA[[#This Row],[ID_P]],[1]!B_MSK[N_ID],0))</f>
        <v/>
      </c>
      <c r="D1053" s="39" t="str">
        <f ca="1">IF(NOTA[[#This Row],[NAMA BARANG]]="","",INDEX(NOTA[ID],MATCH(,INDIRECT(ADDRESS(ROW(NOTA[ID]),COLUMN(NOTA[ID]))&amp;":"&amp;ADDRESS(ROW(),COLUMN(NOTA[ID]))),-1)))</f>
        <v/>
      </c>
      <c r="E1053" s="47"/>
      <c r="H1053" s="48"/>
      <c r="N1053" s="39"/>
      <c r="Q1053" s="43"/>
      <c r="R1053" s="49"/>
      <c r="S1053" s="50"/>
      <c r="U1053" s="51"/>
      <c r="V1053" s="46"/>
      <c r="W1053" s="51" t="str">
        <f>IF(NOTA[[#This Row],[HARGA/ CTN]]="",NOTA[[#This Row],[JUMLAH_H]],NOTA[[#This Row],[HARGA/ CTN]]*IF(NOTA[[#This Row],[C]]="",0,NOTA[[#This Row],[C]]))</f>
        <v/>
      </c>
      <c r="X1053" s="51" t="str">
        <f>IF(NOTA[[#This Row],[JUMLAH]]="","",NOTA[[#This Row],[JUMLAH]]*NOTA[[#This Row],[DISC 1]])</f>
        <v/>
      </c>
      <c r="Y1053" s="51" t="str">
        <f>IF(NOTA[[#This Row],[JUMLAH]]="","",(NOTA[[#This Row],[JUMLAH]]-NOTA[[#This Row],[DISC 1-]])*NOTA[[#This Row],[DISC 2]])</f>
        <v/>
      </c>
      <c r="Z1053" s="51" t="str">
        <f>IF(NOTA[[#This Row],[JUMLAH]]="","",NOTA[[#This Row],[DISC 1-]]+NOTA[[#This Row],[DISC 2-]])</f>
        <v/>
      </c>
      <c r="AA1053" s="51" t="str">
        <f>IF(NOTA[[#This Row],[JUMLAH]]="","",NOTA[[#This Row],[JUMLAH]]-NOTA[[#This Row],[DISC]])</f>
        <v/>
      </c>
      <c r="AB1053" s="51"/>
      <c r="AC10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51" t="str">
        <f>IF(OR(NOTA[[#This Row],[QTY]]="",NOTA[[#This Row],[HARGA SATUAN]]="",),"",NOTA[[#This Row],[QTY]]*NOTA[[#This Row],[HARGA SATUAN]])</f>
        <v/>
      </c>
      <c r="AG1053" s="40" t="str">
        <f ca="1">IF(NOTA[ID_H]="","",INDEX(NOTA[TANGGAL],MATCH(,INDIRECT(ADDRESS(ROW(NOTA[TANGGAL]),COLUMN(NOTA[TANGGAL]))&amp;":"&amp;ADDRESS(ROW(),COLUMN(NOTA[TANGGAL]))),-1)))</f>
        <v/>
      </c>
      <c r="AH1053" s="42" t="str">
        <f ca="1">IF(NOTA[[#This Row],[NAMA BARANG]]="","",INDEX(NOTA[SUPPLIER],MATCH(,INDIRECT(ADDRESS(ROW(NOTA[ID]),COLUMN(NOTA[ID]))&amp;":"&amp;ADDRESS(ROW(),COLUMN(NOTA[ID]))),-1)))</f>
        <v/>
      </c>
      <c r="AI1053" s="42" t="str">
        <f ca="1">IF(NOTA[[#This Row],[ID_H]]="","",IF(NOTA[[#This Row],[FAKTUR]]="",INDIRECT(ADDRESS(ROW()-1,COLUMN())),NOTA[[#This Row],[FAKTUR]]))</f>
        <v/>
      </c>
      <c r="AJ1053" s="39" t="str">
        <f ca="1">IF(NOTA[[#This Row],[ID]]="","",COUNTIF(NOTA[ID_H],NOTA[[#This Row],[ID_H]]))</f>
        <v/>
      </c>
      <c r="AK1053" s="39" t="str">
        <f ca="1">IF(NOTA[[#This Row],[TGL.NOTA]]="",IF(NOTA[[#This Row],[SUPPLIER_H]]="","",AK1052),MONTH(NOTA[[#This Row],[TGL.NOTA]]))</f>
        <v/>
      </c>
      <c r="AL1053" s="39" t="str">
        <f>LOWER(SUBSTITUTE(SUBSTITUTE(SUBSTITUTE(SUBSTITUTE(SUBSTITUTE(SUBSTITUTE(SUBSTITUTE(SUBSTITUTE(SUBSTITUTE(NOTA[NAMA BARANG]," ",),".",""),"-",""),"(",""),")",""),",",""),"/",""),"""",""),"+",""))</f>
        <v/>
      </c>
      <c r="AM10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39" t="str">
        <f>IF(NOTA[[#This Row],[CONCAT4]]="","",_xlfn.IFNA(MATCH(NOTA[[#This Row],[CONCAT4]],[2]!RAW[CONCAT_H],0),FALSE))</f>
        <v/>
      </c>
      <c r="AQ1053" s="39" t="str">
        <f>IF(NOTA[[#This Row],[CONCAT1]]="","",MATCH(NOTA[[#This Row],[CONCAT1]],[3]!db[NB NOTA_C],0))</f>
        <v/>
      </c>
      <c r="AR1053" s="39" t="str">
        <f>IF(NOTA[[#This Row],[QTY/ CTN]]="","",TRUE)</f>
        <v/>
      </c>
      <c r="AS1053" s="39" t="str">
        <f ca="1">IF(NOTA[[#This Row],[ID_H]]="","",IF(NOTA[[#This Row],[Column3]]=TRUE,NOTA[[#This Row],[QTY/ CTN]],INDEX([3]!db[QTY/ CTN],NOTA[[#This Row],[//DB]])))</f>
        <v/>
      </c>
      <c r="AT10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3" s="39" t="str">
        <f ca="1">IF(NOTA[[#This Row],[ID_H]]="","",MATCH(NOTA[[#This Row],[NB NOTA_C_QTY]],[4]!db[NB NOTA_C_QTY+F],0))</f>
        <v/>
      </c>
      <c r="AV1053" s="55" t="str">
        <f ca="1">IF(NOTA[[#This Row],[NB NOTA_C_QTY]]="","",ROW()-2)</f>
        <v/>
      </c>
    </row>
    <row r="1054" spans="1:48" ht="20.100000000000001" customHeight="1" x14ac:dyDescent="0.25">
      <c r="A10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39" t="str">
        <f>IF(NOTA[[#This Row],[ID_P]]="","",MATCH(NOTA[[#This Row],[ID_P]],[1]!B_MSK[N_ID],0))</f>
        <v/>
      </c>
      <c r="D1054" s="39" t="str">
        <f ca="1">IF(NOTA[[#This Row],[NAMA BARANG]]="","",INDEX(NOTA[ID],MATCH(,INDIRECT(ADDRESS(ROW(NOTA[ID]),COLUMN(NOTA[ID]))&amp;":"&amp;ADDRESS(ROW(),COLUMN(NOTA[ID]))),-1)))</f>
        <v/>
      </c>
      <c r="E1054" s="47"/>
      <c r="H1054" s="48"/>
      <c r="N1054" s="39"/>
      <c r="Q1054" s="43"/>
      <c r="R1054" s="49"/>
      <c r="S1054" s="50"/>
      <c r="U1054" s="51"/>
      <c r="V1054" s="46"/>
      <c r="W1054" s="51" t="str">
        <f>IF(NOTA[[#This Row],[HARGA/ CTN]]="",NOTA[[#This Row],[JUMLAH_H]],NOTA[[#This Row],[HARGA/ CTN]]*IF(NOTA[[#This Row],[C]]="",0,NOTA[[#This Row],[C]]))</f>
        <v/>
      </c>
      <c r="X1054" s="51" t="str">
        <f>IF(NOTA[[#This Row],[JUMLAH]]="","",NOTA[[#This Row],[JUMLAH]]*NOTA[[#This Row],[DISC 1]])</f>
        <v/>
      </c>
      <c r="Y1054" s="51" t="str">
        <f>IF(NOTA[[#This Row],[JUMLAH]]="","",(NOTA[[#This Row],[JUMLAH]]-NOTA[[#This Row],[DISC 1-]])*NOTA[[#This Row],[DISC 2]])</f>
        <v/>
      </c>
      <c r="Z1054" s="51" t="str">
        <f>IF(NOTA[[#This Row],[JUMLAH]]="","",NOTA[[#This Row],[DISC 1-]]+NOTA[[#This Row],[DISC 2-]])</f>
        <v/>
      </c>
      <c r="AA1054" s="51" t="str">
        <f>IF(NOTA[[#This Row],[JUMLAH]]="","",NOTA[[#This Row],[JUMLAH]]-NOTA[[#This Row],[DISC]])</f>
        <v/>
      </c>
      <c r="AB1054" s="51"/>
      <c r="AC10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4" s="51" t="str">
        <f>IF(OR(NOTA[[#This Row],[QTY]]="",NOTA[[#This Row],[HARGA SATUAN]]="",),"",NOTA[[#This Row],[QTY]]*NOTA[[#This Row],[HARGA SATUAN]])</f>
        <v/>
      </c>
      <c r="AG1054" s="40" t="str">
        <f ca="1">IF(NOTA[ID_H]="","",INDEX(NOTA[TANGGAL],MATCH(,INDIRECT(ADDRESS(ROW(NOTA[TANGGAL]),COLUMN(NOTA[TANGGAL]))&amp;":"&amp;ADDRESS(ROW(),COLUMN(NOTA[TANGGAL]))),-1)))</f>
        <v/>
      </c>
      <c r="AH1054" s="42" t="str">
        <f ca="1">IF(NOTA[[#This Row],[NAMA BARANG]]="","",INDEX(NOTA[SUPPLIER],MATCH(,INDIRECT(ADDRESS(ROW(NOTA[ID]),COLUMN(NOTA[ID]))&amp;":"&amp;ADDRESS(ROW(),COLUMN(NOTA[ID]))),-1)))</f>
        <v/>
      </c>
      <c r="AI1054" s="42" t="str">
        <f ca="1">IF(NOTA[[#This Row],[ID_H]]="","",IF(NOTA[[#This Row],[FAKTUR]]="",INDIRECT(ADDRESS(ROW()-1,COLUMN())),NOTA[[#This Row],[FAKTUR]]))</f>
        <v/>
      </c>
      <c r="AJ1054" s="39" t="str">
        <f ca="1">IF(NOTA[[#This Row],[ID]]="","",COUNTIF(NOTA[ID_H],NOTA[[#This Row],[ID_H]]))</f>
        <v/>
      </c>
      <c r="AK1054" s="39" t="str">
        <f ca="1">IF(NOTA[[#This Row],[TGL.NOTA]]="",IF(NOTA[[#This Row],[SUPPLIER_H]]="","",AK1053),MONTH(NOTA[[#This Row],[TGL.NOTA]]))</f>
        <v/>
      </c>
      <c r="AL1054" s="39" t="str">
        <f>LOWER(SUBSTITUTE(SUBSTITUTE(SUBSTITUTE(SUBSTITUTE(SUBSTITUTE(SUBSTITUTE(SUBSTITUTE(SUBSTITUTE(SUBSTITUTE(NOTA[NAMA BARANG]," ",),".",""),"-",""),"(",""),")",""),",",""),"/",""),"""",""),"+",""))</f>
        <v/>
      </c>
      <c r="AM10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4" s="39" t="str">
        <f>IF(NOTA[[#This Row],[CONCAT4]]="","",_xlfn.IFNA(MATCH(NOTA[[#This Row],[CONCAT4]],[2]!RAW[CONCAT_H],0),FALSE))</f>
        <v/>
      </c>
      <c r="AQ1054" s="39" t="str">
        <f>IF(NOTA[[#This Row],[CONCAT1]]="","",MATCH(NOTA[[#This Row],[CONCAT1]],[3]!db[NB NOTA_C],0))</f>
        <v/>
      </c>
      <c r="AR1054" s="39" t="str">
        <f>IF(NOTA[[#This Row],[QTY/ CTN]]="","",TRUE)</f>
        <v/>
      </c>
      <c r="AS1054" s="39" t="str">
        <f ca="1">IF(NOTA[[#This Row],[ID_H]]="","",IF(NOTA[[#This Row],[Column3]]=TRUE,NOTA[[#This Row],[QTY/ CTN]],INDEX([3]!db[QTY/ CTN],NOTA[[#This Row],[//DB]])))</f>
        <v/>
      </c>
      <c r="AT10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4" s="39" t="str">
        <f ca="1">IF(NOTA[[#This Row],[ID_H]]="","",MATCH(NOTA[[#This Row],[NB NOTA_C_QTY]],[4]!db[NB NOTA_C_QTY+F],0))</f>
        <v/>
      </c>
      <c r="AV1054" s="55" t="str">
        <f ca="1">IF(NOTA[[#This Row],[NB NOTA_C_QTY]]="","",ROW()-2)</f>
        <v/>
      </c>
    </row>
    <row r="1055" spans="1:48" ht="20.100000000000001" customHeight="1" x14ac:dyDescent="0.25">
      <c r="A10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39" t="str">
        <f>IF(NOTA[[#This Row],[ID_P]]="","",MATCH(NOTA[[#This Row],[ID_P]],[1]!B_MSK[N_ID],0))</f>
        <v/>
      </c>
      <c r="D1055" s="39" t="str">
        <f ca="1">IF(NOTA[[#This Row],[NAMA BARANG]]="","",INDEX(NOTA[ID],MATCH(,INDIRECT(ADDRESS(ROW(NOTA[ID]),COLUMN(NOTA[ID]))&amp;":"&amp;ADDRESS(ROW(),COLUMN(NOTA[ID]))),-1)))</f>
        <v/>
      </c>
      <c r="E1055" s="47"/>
      <c r="H1055" s="48"/>
      <c r="N1055" s="39"/>
      <c r="Q1055" s="43"/>
      <c r="R1055" s="49"/>
      <c r="S1055" s="50"/>
      <c r="U1055" s="51"/>
      <c r="V1055" s="46"/>
      <c r="W1055" s="51" t="str">
        <f>IF(NOTA[[#This Row],[HARGA/ CTN]]="",NOTA[[#This Row],[JUMLAH_H]],NOTA[[#This Row],[HARGA/ CTN]]*IF(NOTA[[#This Row],[C]]="",0,NOTA[[#This Row],[C]]))</f>
        <v/>
      </c>
      <c r="X1055" s="51" t="str">
        <f>IF(NOTA[[#This Row],[JUMLAH]]="","",NOTA[[#This Row],[JUMLAH]]*NOTA[[#This Row],[DISC 1]])</f>
        <v/>
      </c>
      <c r="Y1055" s="51" t="str">
        <f>IF(NOTA[[#This Row],[JUMLAH]]="","",(NOTA[[#This Row],[JUMLAH]]-NOTA[[#This Row],[DISC 1-]])*NOTA[[#This Row],[DISC 2]])</f>
        <v/>
      </c>
      <c r="Z1055" s="51" t="str">
        <f>IF(NOTA[[#This Row],[JUMLAH]]="","",NOTA[[#This Row],[DISC 1-]]+NOTA[[#This Row],[DISC 2-]])</f>
        <v/>
      </c>
      <c r="AA1055" s="51" t="str">
        <f>IF(NOTA[[#This Row],[JUMLAH]]="","",NOTA[[#This Row],[JUMLAH]]-NOTA[[#This Row],[DISC]])</f>
        <v/>
      </c>
      <c r="AB1055" s="51"/>
      <c r="AC10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5" s="51" t="str">
        <f>IF(OR(NOTA[[#This Row],[QTY]]="",NOTA[[#This Row],[HARGA SATUAN]]="",),"",NOTA[[#This Row],[QTY]]*NOTA[[#This Row],[HARGA SATUAN]])</f>
        <v/>
      </c>
      <c r="AG1055" s="40" t="str">
        <f ca="1">IF(NOTA[ID_H]="","",INDEX(NOTA[TANGGAL],MATCH(,INDIRECT(ADDRESS(ROW(NOTA[TANGGAL]),COLUMN(NOTA[TANGGAL]))&amp;":"&amp;ADDRESS(ROW(),COLUMN(NOTA[TANGGAL]))),-1)))</f>
        <v/>
      </c>
      <c r="AH1055" s="42" t="str">
        <f ca="1">IF(NOTA[[#This Row],[NAMA BARANG]]="","",INDEX(NOTA[SUPPLIER],MATCH(,INDIRECT(ADDRESS(ROW(NOTA[ID]),COLUMN(NOTA[ID]))&amp;":"&amp;ADDRESS(ROW(),COLUMN(NOTA[ID]))),-1)))</f>
        <v/>
      </c>
      <c r="AI1055" s="42" t="str">
        <f ca="1">IF(NOTA[[#This Row],[ID_H]]="","",IF(NOTA[[#This Row],[FAKTUR]]="",INDIRECT(ADDRESS(ROW()-1,COLUMN())),NOTA[[#This Row],[FAKTUR]]))</f>
        <v/>
      </c>
      <c r="AJ1055" s="39" t="str">
        <f ca="1">IF(NOTA[[#This Row],[ID]]="","",COUNTIF(NOTA[ID_H],NOTA[[#This Row],[ID_H]]))</f>
        <v/>
      </c>
      <c r="AK1055" s="39" t="str">
        <f ca="1">IF(NOTA[[#This Row],[TGL.NOTA]]="",IF(NOTA[[#This Row],[SUPPLIER_H]]="","",AK1054),MONTH(NOTA[[#This Row],[TGL.NOTA]]))</f>
        <v/>
      </c>
      <c r="AL1055" s="39" t="str">
        <f>LOWER(SUBSTITUTE(SUBSTITUTE(SUBSTITUTE(SUBSTITUTE(SUBSTITUTE(SUBSTITUTE(SUBSTITUTE(SUBSTITUTE(SUBSTITUTE(NOTA[NAMA BARANG]," ",),".",""),"-",""),"(",""),")",""),",",""),"/",""),"""",""),"+",""))</f>
        <v/>
      </c>
      <c r="AM10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39" t="str">
        <f>IF(NOTA[[#This Row],[CONCAT4]]="","",_xlfn.IFNA(MATCH(NOTA[[#This Row],[CONCAT4]],[2]!RAW[CONCAT_H],0),FALSE))</f>
        <v/>
      </c>
      <c r="AQ1055" s="39" t="str">
        <f>IF(NOTA[[#This Row],[CONCAT1]]="","",MATCH(NOTA[[#This Row],[CONCAT1]],[3]!db[NB NOTA_C],0))</f>
        <v/>
      </c>
      <c r="AR1055" s="39" t="str">
        <f>IF(NOTA[[#This Row],[QTY/ CTN]]="","",TRUE)</f>
        <v/>
      </c>
      <c r="AS1055" s="39" t="str">
        <f ca="1">IF(NOTA[[#This Row],[ID_H]]="","",IF(NOTA[[#This Row],[Column3]]=TRUE,NOTA[[#This Row],[QTY/ CTN]],INDEX([3]!db[QTY/ CTN],NOTA[[#This Row],[//DB]])))</f>
        <v/>
      </c>
      <c r="AT10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5" s="39" t="str">
        <f ca="1">IF(NOTA[[#This Row],[ID_H]]="","",MATCH(NOTA[[#This Row],[NB NOTA_C_QTY]],[4]!db[NB NOTA_C_QTY+F],0))</f>
        <v/>
      </c>
      <c r="AV1055" s="55" t="str">
        <f ca="1">IF(NOTA[[#This Row],[NB NOTA_C_QTY]]="","",ROW()-2)</f>
        <v/>
      </c>
    </row>
    <row r="1056" spans="1:48" ht="20.100000000000001" customHeight="1" x14ac:dyDescent="0.25">
      <c r="A10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39" t="str">
        <f>IF(NOTA[[#This Row],[ID_P]]="","",MATCH(NOTA[[#This Row],[ID_P]],[1]!B_MSK[N_ID],0))</f>
        <v/>
      </c>
      <c r="D1056" s="39" t="str">
        <f ca="1">IF(NOTA[[#This Row],[NAMA BARANG]]="","",INDEX(NOTA[ID],MATCH(,INDIRECT(ADDRESS(ROW(NOTA[ID]),COLUMN(NOTA[ID]))&amp;":"&amp;ADDRESS(ROW(),COLUMN(NOTA[ID]))),-1)))</f>
        <v/>
      </c>
      <c r="E1056" s="47"/>
      <c r="H1056" s="48"/>
      <c r="N1056" s="39"/>
      <c r="Q1056" s="43"/>
      <c r="R1056" s="49"/>
      <c r="S1056" s="50"/>
      <c r="U1056" s="51"/>
      <c r="V1056" s="46"/>
      <c r="W1056" s="51" t="str">
        <f>IF(NOTA[[#This Row],[HARGA/ CTN]]="",NOTA[[#This Row],[JUMLAH_H]],NOTA[[#This Row],[HARGA/ CTN]]*IF(NOTA[[#This Row],[C]]="",0,NOTA[[#This Row],[C]]))</f>
        <v/>
      </c>
      <c r="X1056" s="51" t="str">
        <f>IF(NOTA[[#This Row],[JUMLAH]]="","",NOTA[[#This Row],[JUMLAH]]*NOTA[[#This Row],[DISC 1]])</f>
        <v/>
      </c>
      <c r="Y1056" s="51" t="str">
        <f>IF(NOTA[[#This Row],[JUMLAH]]="","",(NOTA[[#This Row],[JUMLAH]]-NOTA[[#This Row],[DISC 1-]])*NOTA[[#This Row],[DISC 2]])</f>
        <v/>
      </c>
      <c r="Z1056" s="51" t="str">
        <f>IF(NOTA[[#This Row],[JUMLAH]]="","",NOTA[[#This Row],[DISC 1-]]+NOTA[[#This Row],[DISC 2-]])</f>
        <v/>
      </c>
      <c r="AA1056" s="51" t="str">
        <f>IF(NOTA[[#This Row],[JUMLAH]]="","",NOTA[[#This Row],[JUMLAH]]-NOTA[[#This Row],[DISC]])</f>
        <v/>
      </c>
      <c r="AB1056" s="51"/>
      <c r="AC10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6" s="51" t="str">
        <f>IF(OR(NOTA[[#This Row],[QTY]]="",NOTA[[#This Row],[HARGA SATUAN]]="",),"",NOTA[[#This Row],[QTY]]*NOTA[[#This Row],[HARGA SATUAN]])</f>
        <v/>
      </c>
      <c r="AG1056" s="40" t="str">
        <f ca="1">IF(NOTA[ID_H]="","",INDEX(NOTA[TANGGAL],MATCH(,INDIRECT(ADDRESS(ROW(NOTA[TANGGAL]),COLUMN(NOTA[TANGGAL]))&amp;":"&amp;ADDRESS(ROW(),COLUMN(NOTA[TANGGAL]))),-1)))</f>
        <v/>
      </c>
      <c r="AH1056" s="42" t="str">
        <f ca="1">IF(NOTA[[#This Row],[NAMA BARANG]]="","",INDEX(NOTA[SUPPLIER],MATCH(,INDIRECT(ADDRESS(ROW(NOTA[ID]),COLUMN(NOTA[ID]))&amp;":"&amp;ADDRESS(ROW(),COLUMN(NOTA[ID]))),-1)))</f>
        <v/>
      </c>
      <c r="AI1056" s="42" t="str">
        <f ca="1">IF(NOTA[[#This Row],[ID_H]]="","",IF(NOTA[[#This Row],[FAKTUR]]="",INDIRECT(ADDRESS(ROW()-1,COLUMN())),NOTA[[#This Row],[FAKTUR]]))</f>
        <v/>
      </c>
      <c r="AJ1056" s="39" t="str">
        <f ca="1">IF(NOTA[[#This Row],[ID]]="","",COUNTIF(NOTA[ID_H],NOTA[[#This Row],[ID_H]]))</f>
        <v/>
      </c>
      <c r="AK1056" s="39" t="str">
        <f ca="1">IF(NOTA[[#This Row],[TGL.NOTA]]="",IF(NOTA[[#This Row],[SUPPLIER_H]]="","",AK1055),MONTH(NOTA[[#This Row],[TGL.NOTA]]))</f>
        <v/>
      </c>
      <c r="AL1056" s="39" t="str">
        <f>LOWER(SUBSTITUTE(SUBSTITUTE(SUBSTITUTE(SUBSTITUTE(SUBSTITUTE(SUBSTITUTE(SUBSTITUTE(SUBSTITUTE(SUBSTITUTE(NOTA[NAMA BARANG]," ",),".",""),"-",""),"(",""),")",""),",",""),"/",""),"""",""),"+",""))</f>
        <v/>
      </c>
      <c r="AM10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39" t="str">
        <f>IF(NOTA[[#This Row],[CONCAT4]]="","",_xlfn.IFNA(MATCH(NOTA[[#This Row],[CONCAT4]],[2]!RAW[CONCAT_H],0),FALSE))</f>
        <v/>
      </c>
      <c r="AQ1056" s="39" t="str">
        <f>IF(NOTA[[#This Row],[CONCAT1]]="","",MATCH(NOTA[[#This Row],[CONCAT1]],[3]!db[NB NOTA_C],0))</f>
        <v/>
      </c>
      <c r="AR1056" s="39" t="str">
        <f>IF(NOTA[[#This Row],[QTY/ CTN]]="","",TRUE)</f>
        <v/>
      </c>
      <c r="AS1056" s="39" t="str">
        <f ca="1">IF(NOTA[[#This Row],[ID_H]]="","",IF(NOTA[[#This Row],[Column3]]=TRUE,NOTA[[#This Row],[QTY/ CTN]],INDEX([3]!db[QTY/ CTN],NOTA[[#This Row],[//DB]])))</f>
        <v/>
      </c>
      <c r="AT10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6" s="39" t="str">
        <f ca="1">IF(NOTA[[#This Row],[ID_H]]="","",MATCH(NOTA[[#This Row],[NB NOTA_C_QTY]],[4]!db[NB NOTA_C_QTY+F],0))</f>
        <v/>
      </c>
      <c r="AV1056" s="55" t="str">
        <f ca="1">IF(NOTA[[#This Row],[NB NOTA_C_QTY]]="","",ROW()-2)</f>
        <v/>
      </c>
    </row>
    <row r="1057" spans="1:48" ht="20.100000000000001" customHeight="1" x14ac:dyDescent="0.25">
      <c r="A10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39" t="str">
        <f>IF(NOTA[[#This Row],[ID_P]]="","",MATCH(NOTA[[#This Row],[ID_P]],[1]!B_MSK[N_ID],0))</f>
        <v/>
      </c>
      <c r="D1057" s="39" t="str">
        <f ca="1">IF(NOTA[[#This Row],[NAMA BARANG]]="","",INDEX(NOTA[ID],MATCH(,INDIRECT(ADDRESS(ROW(NOTA[ID]),COLUMN(NOTA[ID]))&amp;":"&amp;ADDRESS(ROW(),COLUMN(NOTA[ID]))),-1)))</f>
        <v/>
      </c>
      <c r="E1057" s="47"/>
      <c r="H1057" s="48"/>
      <c r="N1057" s="39"/>
      <c r="Q1057" s="43"/>
      <c r="R1057" s="49"/>
      <c r="S1057" s="50"/>
      <c r="U1057" s="51"/>
      <c r="V1057" s="46"/>
      <c r="W1057" s="51" t="str">
        <f>IF(NOTA[[#This Row],[HARGA/ CTN]]="",NOTA[[#This Row],[JUMLAH_H]],NOTA[[#This Row],[HARGA/ CTN]]*IF(NOTA[[#This Row],[C]]="",0,NOTA[[#This Row],[C]]))</f>
        <v/>
      </c>
      <c r="X1057" s="51" t="str">
        <f>IF(NOTA[[#This Row],[JUMLAH]]="","",NOTA[[#This Row],[JUMLAH]]*NOTA[[#This Row],[DISC 1]])</f>
        <v/>
      </c>
      <c r="Y1057" s="51" t="str">
        <f>IF(NOTA[[#This Row],[JUMLAH]]="","",(NOTA[[#This Row],[JUMLAH]]-NOTA[[#This Row],[DISC 1-]])*NOTA[[#This Row],[DISC 2]])</f>
        <v/>
      </c>
      <c r="Z1057" s="51" t="str">
        <f>IF(NOTA[[#This Row],[JUMLAH]]="","",NOTA[[#This Row],[DISC 1-]]+NOTA[[#This Row],[DISC 2-]])</f>
        <v/>
      </c>
      <c r="AA1057" s="51" t="str">
        <f>IF(NOTA[[#This Row],[JUMLAH]]="","",NOTA[[#This Row],[JUMLAH]]-NOTA[[#This Row],[DISC]])</f>
        <v/>
      </c>
      <c r="AB1057" s="51"/>
      <c r="AC10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7" s="51" t="str">
        <f>IF(OR(NOTA[[#This Row],[QTY]]="",NOTA[[#This Row],[HARGA SATUAN]]="",),"",NOTA[[#This Row],[QTY]]*NOTA[[#This Row],[HARGA SATUAN]])</f>
        <v/>
      </c>
      <c r="AG1057" s="40" t="str">
        <f ca="1">IF(NOTA[ID_H]="","",INDEX(NOTA[TANGGAL],MATCH(,INDIRECT(ADDRESS(ROW(NOTA[TANGGAL]),COLUMN(NOTA[TANGGAL]))&amp;":"&amp;ADDRESS(ROW(),COLUMN(NOTA[TANGGAL]))),-1)))</f>
        <v/>
      </c>
      <c r="AH1057" s="42" t="str">
        <f ca="1">IF(NOTA[[#This Row],[NAMA BARANG]]="","",INDEX(NOTA[SUPPLIER],MATCH(,INDIRECT(ADDRESS(ROW(NOTA[ID]),COLUMN(NOTA[ID]))&amp;":"&amp;ADDRESS(ROW(),COLUMN(NOTA[ID]))),-1)))</f>
        <v/>
      </c>
      <c r="AI1057" s="42" t="str">
        <f ca="1">IF(NOTA[[#This Row],[ID_H]]="","",IF(NOTA[[#This Row],[FAKTUR]]="",INDIRECT(ADDRESS(ROW()-1,COLUMN())),NOTA[[#This Row],[FAKTUR]]))</f>
        <v/>
      </c>
      <c r="AJ1057" s="39" t="str">
        <f ca="1">IF(NOTA[[#This Row],[ID]]="","",COUNTIF(NOTA[ID_H],NOTA[[#This Row],[ID_H]]))</f>
        <v/>
      </c>
      <c r="AK1057" s="39" t="str">
        <f ca="1">IF(NOTA[[#This Row],[TGL.NOTA]]="",IF(NOTA[[#This Row],[SUPPLIER_H]]="","",AK1056),MONTH(NOTA[[#This Row],[TGL.NOTA]]))</f>
        <v/>
      </c>
      <c r="AL1057" s="39" t="str">
        <f>LOWER(SUBSTITUTE(SUBSTITUTE(SUBSTITUTE(SUBSTITUTE(SUBSTITUTE(SUBSTITUTE(SUBSTITUTE(SUBSTITUTE(SUBSTITUTE(NOTA[NAMA BARANG]," ",),".",""),"-",""),"(",""),")",""),",",""),"/",""),"""",""),"+",""))</f>
        <v/>
      </c>
      <c r="AM10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39" t="str">
        <f>IF(NOTA[[#This Row],[CONCAT4]]="","",_xlfn.IFNA(MATCH(NOTA[[#This Row],[CONCAT4]],[2]!RAW[CONCAT_H],0),FALSE))</f>
        <v/>
      </c>
      <c r="AQ1057" s="39" t="str">
        <f>IF(NOTA[[#This Row],[CONCAT1]]="","",MATCH(NOTA[[#This Row],[CONCAT1]],[3]!db[NB NOTA_C],0))</f>
        <v/>
      </c>
      <c r="AR1057" s="39" t="str">
        <f>IF(NOTA[[#This Row],[QTY/ CTN]]="","",TRUE)</f>
        <v/>
      </c>
      <c r="AS1057" s="39" t="str">
        <f ca="1">IF(NOTA[[#This Row],[ID_H]]="","",IF(NOTA[[#This Row],[Column3]]=TRUE,NOTA[[#This Row],[QTY/ CTN]],INDEX([3]!db[QTY/ CTN],NOTA[[#This Row],[//DB]])))</f>
        <v/>
      </c>
      <c r="AT10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7" s="39" t="str">
        <f ca="1">IF(NOTA[[#This Row],[ID_H]]="","",MATCH(NOTA[[#This Row],[NB NOTA_C_QTY]],[4]!db[NB NOTA_C_QTY+F],0))</f>
        <v/>
      </c>
      <c r="AV1057" s="55" t="str">
        <f ca="1">IF(NOTA[[#This Row],[NB NOTA_C_QTY]]="","",ROW()-2)</f>
        <v/>
      </c>
    </row>
    <row r="1058" spans="1:48" ht="20.100000000000001" customHeight="1" x14ac:dyDescent="0.25">
      <c r="A10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39" t="str">
        <f>IF(NOTA[[#This Row],[ID_P]]="","",MATCH(NOTA[[#This Row],[ID_P]],[1]!B_MSK[N_ID],0))</f>
        <v/>
      </c>
      <c r="D1058" s="39" t="str">
        <f ca="1">IF(NOTA[[#This Row],[NAMA BARANG]]="","",INDEX(NOTA[ID],MATCH(,INDIRECT(ADDRESS(ROW(NOTA[ID]),COLUMN(NOTA[ID]))&amp;":"&amp;ADDRESS(ROW(),COLUMN(NOTA[ID]))),-1)))</f>
        <v/>
      </c>
      <c r="E1058" s="47"/>
      <c r="H1058" s="48"/>
      <c r="N1058" s="39"/>
      <c r="Q1058" s="43"/>
      <c r="R1058" s="49"/>
      <c r="S1058" s="50"/>
      <c r="U1058" s="51"/>
      <c r="V1058" s="46"/>
      <c r="W1058" s="51" t="str">
        <f>IF(NOTA[[#This Row],[HARGA/ CTN]]="",NOTA[[#This Row],[JUMLAH_H]],NOTA[[#This Row],[HARGA/ CTN]]*IF(NOTA[[#This Row],[C]]="",0,NOTA[[#This Row],[C]]))</f>
        <v/>
      </c>
      <c r="X1058" s="51" t="str">
        <f>IF(NOTA[[#This Row],[JUMLAH]]="","",NOTA[[#This Row],[JUMLAH]]*NOTA[[#This Row],[DISC 1]])</f>
        <v/>
      </c>
      <c r="Y1058" s="51" t="str">
        <f>IF(NOTA[[#This Row],[JUMLAH]]="","",(NOTA[[#This Row],[JUMLAH]]-NOTA[[#This Row],[DISC 1-]])*NOTA[[#This Row],[DISC 2]])</f>
        <v/>
      </c>
      <c r="Z1058" s="51" t="str">
        <f>IF(NOTA[[#This Row],[JUMLAH]]="","",NOTA[[#This Row],[DISC 1-]]+NOTA[[#This Row],[DISC 2-]])</f>
        <v/>
      </c>
      <c r="AA1058" s="51" t="str">
        <f>IF(NOTA[[#This Row],[JUMLAH]]="","",NOTA[[#This Row],[JUMLAH]]-NOTA[[#This Row],[DISC]])</f>
        <v/>
      </c>
      <c r="AB1058" s="51"/>
      <c r="AC10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8" s="51" t="str">
        <f>IF(OR(NOTA[[#This Row],[QTY]]="",NOTA[[#This Row],[HARGA SATUAN]]="",),"",NOTA[[#This Row],[QTY]]*NOTA[[#This Row],[HARGA SATUAN]])</f>
        <v/>
      </c>
      <c r="AG1058" s="40" t="str">
        <f ca="1">IF(NOTA[ID_H]="","",INDEX(NOTA[TANGGAL],MATCH(,INDIRECT(ADDRESS(ROW(NOTA[TANGGAL]),COLUMN(NOTA[TANGGAL]))&amp;":"&amp;ADDRESS(ROW(),COLUMN(NOTA[TANGGAL]))),-1)))</f>
        <v/>
      </c>
      <c r="AH1058" s="42" t="str">
        <f ca="1">IF(NOTA[[#This Row],[NAMA BARANG]]="","",INDEX(NOTA[SUPPLIER],MATCH(,INDIRECT(ADDRESS(ROW(NOTA[ID]),COLUMN(NOTA[ID]))&amp;":"&amp;ADDRESS(ROW(),COLUMN(NOTA[ID]))),-1)))</f>
        <v/>
      </c>
      <c r="AI1058" s="42" t="str">
        <f ca="1">IF(NOTA[[#This Row],[ID_H]]="","",IF(NOTA[[#This Row],[FAKTUR]]="",INDIRECT(ADDRESS(ROW()-1,COLUMN())),NOTA[[#This Row],[FAKTUR]]))</f>
        <v/>
      </c>
      <c r="AJ1058" s="39" t="str">
        <f ca="1">IF(NOTA[[#This Row],[ID]]="","",COUNTIF(NOTA[ID_H],NOTA[[#This Row],[ID_H]]))</f>
        <v/>
      </c>
      <c r="AK1058" s="39" t="str">
        <f ca="1">IF(NOTA[[#This Row],[TGL.NOTA]]="",IF(NOTA[[#This Row],[SUPPLIER_H]]="","",AK1057),MONTH(NOTA[[#This Row],[TGL.NOTA]]))</f>
        <v/>
      </c>
      <c r="AL1058" s="39" t="str">
        <f>LOWER(SUBSTITUTE(SUBSTITUTE(SUBSTITUTE(SUBSTITUTE(SUBSTITUTE(SUBSTITUTE(SUBSTITUTE(SUBSTITUTE(SUBSTITUTE(NOTA[NAMA BARANG]," ",),".",""),"-",""),"(",""),")",""),",",""),"/",""),"""",""),"+",""))</f>
        <v/>
      </c>
      <c r="AM10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39" t="str">
        <f>IF(NOTA[[#This Row],[CONCAT4]]="","",_xlfn.IFNA(MATCH(NOTA[[#This Row],[CONCAT4]],[2]!RAW[CONCAT_H],0),FALSE))</f>
        <v/>
      </c>
      <c r="AQ1058" s="39" t="str">
        <f>IF(NOTA[[#This Row],[CONCAT1]]="","",MATCH(NOTA[[#This Row],[CONCAT1]],[3]!db[NB NOTA_C],0))</f>
        <v/>
      </c>
      <c r="AR1058" s="39" t="str">
        <f>IF(NOTA[[#This Row],[QTY/ CTN]]="","",TRUE)</f>
        <v/>
      </c>
      <c r="AS1058" s="39" t="str">
        <f ca="1">IF(NOTA[[#This Row],[ID_H]]="","",IF(NOTA[[#This Row],[Column3]]=TRUE,NOTA[[#This Row],[QTY/ CTN]],INDEX([3]!db[QTY/ CTN],NOTA[[#This Row],[//DB]])))</f>
        <v/>
      </c>
      <c r="AT10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8" s="39" t="str">
        <f ca="1">IF(NOTA[[#This Row],[ID_H]]="","",MATCH(NOTA[[#This Row],[NB NOTA_C_QTY]],[4]!db[NB NOTA_C_QTY+F],0))</f>
        <v/>
      </c>
      <c r="AV1058" s="55" t="str">
        <f ca="1">IF(NOTA[[#This Row],[NB NOTA_C_QTY]]="","",ROW()-2)</f>
        <v/>
      </c>
    </row>
    <row r="1059" spans="1:48" ht="20.100000000000001" customHeight="1" x14ac:dyDescent="0.25">
      <c r="A10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39" t="str">
        <f>IF(NOTA[[#This Row],[ID_P]]="","",MATCH(NOTA[[#This Row],[ID_P]],[1]!B_MSK[N_ID],0))</f>
        <v/>
      </c>
      <c r="D1059" s="39" t="str">
        <f ca="1">IF(NOTA[[#This Row],[NAMA BARANG]]="","",INDEX(NOTA[ID],MATCH(,INDIRECT(ADDRESS(ROW(NOTA[ID]),COLUMN(NOTA[ID]))&amp;":"&amp;ADDRESS(ROW(),COLUMN(NOTA[ID]))),-1)))</f>
        <v/>
      </c>
      <c r="E1059" s="47"/>
      <c r="H1059" s="48"/>
      <c r="N1059" s="39"/>
      <c r="Q1059" s="43"/>
      <c r="R1059" s="49"/>
      <c r="S1059" s="50"/>
      <c r="U1059" s="51"/>
      <c r="V1059" s="46"/>
      <c r="W1059" s="51" t="str">
        <f>IF(NOTA[[#This Row],[HARGA/ CTN]]="",NOTA[[#This Row],[JUMLAH_H]],NOTA[[#This Row],[HARGA/ CTN]]*IF(NOTA[[#This Row],[C]]="",0,NOTA[[#This Row],[C]]))</f>
        <v/>
      </c>
      <c r="X1059" s="51" t="str">
        <f>IF(NOTA[[#This Row],[JUMLAH]]="","",NOTA[[#This Row],[JUMLAH]]*NOTA[[#This Row],[DISC 1]])</f>
        <v/>
      </c>
      <c r="Y1059" s="51" t="str">
        <f>IF(NOTA[[#This Row],[JUMLAH]]="","",(NOTA[[#This Row],[JUMLAH]]-NOTA[[#This Row],[DISC 1-]])*NOTA[[#This Row],[DISC 2]])</f>
        <v/>
      </c>
      <c r="Z1059" s="51" t="str">
        <f>IF(NOTA[[#This Row],[JUMLAH]]="","",NOTA[[#This Row],[DISC 1-]]+NOTA[[#This Row],[DISC 2-]])</f>
        <v/>
      </c>
      <c r="AA1059" s="51" t="str">
        <f>IF(NOTA[[#This Row],[JUMLAH]]="","",NOTA[[#This Row],[JUMLAH]]-NOTA[[#This Row],[DISC]])</f>
        <v/>
      </c>
      <c r="AB1059" s="51"/>
      <c r="AC10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9" s="51" t="str">
        <f>IF(OR(NOTA[[#This Row],[QTY]]="",NOTA[[#This Row],[HARGA SATUAN]]="",),"",NOTA[[#This Row],[QTY]]*NOTA[[#This Row],[HARGA SATUAN]])</f>
        <v/>
      </c>
      <c r="AG1059" s="40" t="str">
        <f ca="1">IF(NOTA[ID_H]="","",INDEX(NOTA[TANGGAL],MATCH(,INDIRECT(ADDRESS(ROW(NOTA[TANGGAL]),COLUMN(NOTA[TANGGAL]))&amp;":"&amp;ADDRESS(ROW(),COLUMN(NOTA[TANGGAL]))),-1)))</f>
        <v/>
      </c>
      <c r="AH1059" s="42" t="str">
        <f ca="1">IF(NOTA[[#This Row],[NAMA BARANG]]="","",INDEX(NOTA[SUPPLIER],MATCH(,INDIRECT(ADDRESS(ROW(NOTA[ID]),COLUMN(NOTA[ID]))&amp;":"&amp;ADDRESS(ROW(),COLUMN(NOTA[ID]))),-1)))</f>
        <v/>
      </c>
      <c r="AI1059" s="42" t="str">
        <f ca="1">IF(NOTA[[#This Row],[ID_H]]="","",IF(NOTA[[#This Row],[FAKTUR]]="",INDIRECT(ADDRESS(ROW()-1,COLUMN())),NOTA[[#This Row],[FAKTUR]]))</f>
        <v/>
      </c>
      <c r="AJ1059" s="39" t="str">
        <f ca="1">IF(NOTA[[#This Row],[ID]]="","",COUNTIF(NOTA[ID_H],NOTA[[#This Row],[ID_H]]))</f>
        <v/>
      </c>
      <c r="AK1059" s="39" t="str">
        <f ca="1">IF(NOTA[[#This Row],[TGL.NOTA]]="",IF(NOTA[[#This Row],[SUPPLIER_H]]="","",AK1058),MONTH(NOTA[[#This Row],[TGL.NOTA]]))</f>
        <v/>
      </c>
      <c r="AL1059" s="39" t="str">
        <f>LOWER(SUBSTITUTE(SUBSTITUTE(SUBSTITUTE(SUBSTITUTE(SUBSTITUTE(SUBSTITUTE(SUBSTITUTE(SUBSTITUTE(SUBSTITUTE(NOTA[NAMA BARANG]," ",),".",""),"-",""),"(",""),")",""),",",""),"/",""),"""",""),"+",""))</f>
        <v/>
      </c>
      <c r="AM10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39" t="str">
        <f>IF(NOTA[[#This Row],[CONCAT4]]="","",_xlfn.IFNA(MATCH(NOTA[[#This Row],[CONCAT4]],[2]!RAW[CONCAT_H],0),FALSE))</f>
        <v/>
      </c>
      <c r="AQ1059" s="39" t="str">
        <f>IF(NOTA[[#This Row],[CONCAT1]]="","",MATCH(NOTA[[#This Row],[CONCAT1]],[3]!db[NB NOTA_C],0))</f>
        <v/>
      </c>
      <c r="AR1059" s="39" t="str">
        <f>IF(NOTA[[#This Row],[QTY/ CTN]]="","",TRUE)</f>
        <v/>
      </c>
      <c r="AS1059" s="39" t="str">
        <f ca="1">IF(NOTA[[#This Row],[ID_H]]="","",IF(NOTA[[#This Row],[Column3]]=TRUE,NOTA[[#This Row],[QTY/ CTN]],INDEX([3]!db[QTY/ CTN],NOTA[[#This Row],[//DB]])))</f>
        <v/>
      </c>
      <c r="AT10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9" s="39" t="str">
        <f ca="1">IF(NOTA[[#This Row],[ID_H]]="","",MATCH(NOTA[[#This Row],[NB NOTA_C_QTY]],[4]!db[NB NOTA_C_QTY+F],0))</f>
        <v/>
      </c>
      <c r="AV1059" s="55" t="str">
        <f ca="1">IF(NOTA[[#This Row],[NB NOTA_C_QTY]]="","",ROW()-2)</f>
        <v/>
      </c>
    </row>
    <row r="1060" spans="1:48" ht="20.100000000000001" customHeight="1" x14ac:dyDescent="0.25">
      <c r="A10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39" t="str">
        <f>IF(NOTA[[#This Row],[ID_P]]="","",MATCH(NOTA[[#This Row],[ID_P]],[1]!B_MSK[N_ID],0))</f>
        <v/>
      </c>
      <c r="D1060" s="39" t="str">
        <f ca="1">IF(NOTA[[#This Row],[NAMA BARANG]]="","",INDEX(NOTA[ID],MATCH(,INDIRECT(ADDRESS(ROW(NOTA[ID]),COLUMN(NOTA[ID]))&amp;":"&amp;ADDRESS(ROW(),COLUMN(NOTA[ID]))),-1)))</f>
        <v/>
      </c>
      <c r="E1060" s="47"/>
      <c r="H1060" s="48"/>
      <c r="N1060" s="39"/>
      <c r="Q1060" s="43"/>
      <c r="R1060" s="49"/>
      <c r="S1060" s="50"/>
      <c r="U1060" s="51"/>
      <c r="V1060" s="46"/>
      <c r="W1060" s="51" t="str">
        <f>IF(NOTA[[#This Row],[HARGA/ CTN]]="",NOTA[[#This Row],[JUMLAH_H]],NOTA[[#This Row],[HARGA/ CTN]]*IF(NOTA[[#This Row],[C]]="",0,NOTA[[#This Row],[C]]))</f>
        <v/>
      </c>
      <c r="X1060" s="51" t="str">
        <f>IF(NOTA[[#This Row],[JUMLAH]]="","",NOTA[[#This Row],[JUMLAH]]*NOTA[[#This Row],[DISC 1]])</f>
        <v/>
      </c>
      <c r="Y1060" s="51" t="str">
        <f>IF(NOTA[[#This Row],[JUMLAH]]="","",(NOTA[[#This Row],[JUMLAH]]-NOTA[[#This Row],[DISC 1-]])*NOTA[[#This Row],[DISC 2]])</f>
        <v/>
      </c>
      <c r="Z1060" s="51" t="str">
        <f>IF(NOTA[[#This Row],[JUMLAH]]="","",NOTA[[#This Row],[DISC 1-]]+NOTA[[#This Row],[DISC 2-]])</f>
        <v/>
      </c>
      <c r="AA1060" s="51" t="str">
        <f>IF(NOTA[[#This Row],[JUMLAH]]="","",NOTA[[#This Row],[JUMLAH]]-NOTA[[#This Row],[DISC]])</f>
        <v/>
      </c>
      <c r="AB1060" s="51"/>
      <c r="AC10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0" s="51" t="str">
        <f>IF(OR(NOTA[[#This Row],[QTY]]="",NOTA[[#This Row],[HARGA SATUAN]]="",),"",NOTA[[#This Row],[QTY]]*NOTA[[#This Row],[HARGA SATUAN]])</f>
        <v/>
      </c>
      <c r="AG1060" s="40" t="str">
        <f ca="1">IF(NOTA[ID_H]="","",INDEX(NOTA[TANGGAL],MATCH(,INDIRECT(ADDRESS(ROW(NOTA[TANGGAL]),COLUMN(NOTA[TANGGAL]))&amp;":"&amp;ADDRESS(ROW(),COLUMN(NOTA[TANGGAL]))),-1)))</f>
        <v/>
      </c>
      <c r="AH1060" s="42" t="str">
        <f ca="1">IF(NOTA[[#This Row],[NAMA BARANG]]="","",INDEX(NOTA[SUPPLIER],MATCH(,INDIRECT(ADDRESS(ROW(NOTA[ID]),COLUMN(NOTA[ID]))&amp;":"&amp;ADDRESS(ROW(),COLUMN(NOTA[ID]))),-1)))</f>
        <v/>
      </c>
      <c r="AI1060" s="42" t="str">
        <f ca="1">IF(NOTA[[#This Row],[ID_H]]="","",IF(NOTA[[#This Row],[FAKTUR]]="",INDIRECT(ADDRESS(ROW()-1,COLUMN())),NOTA[[#This Row],[FAKTUR]]))</f>
        <v/>
      </c>
      <c r="AJ1060" s="39" t="str">
        <f ca="1">IF(NOTA[[#This Row],[ID]]="","",COUNTIF(NOTA[ID_H],NOTA[[#This Row],[ID_H]]))</f>
        <v/>
      </c>
      <c r="AK1060" s="39" t="str">
        <f ca="1">IF(NOTA[[#This Row],[TGL.NOTA]]="",IF(NOTA[[#This Row],[SUPPLIER_H]]="","",AK1059),MONTH(NOTA[[#This Row],[TGL.NOTA]]))</f>
        <v/>
      </c>
      <c r="AL1060" s="39" t="str">
        <f>LOWER(SUBSTITUTE(SUBSTITUTE(SUBSTITUTE(SUBSTITUTE(SUBSTITUTE(SUBSTITUTE(SUBSTITUTE(SUBSTITUTE(SUBSTITUTE(NOTA[NAMA BARANG]," ",),".",""),"-",""),"(",""),")",""),",",""),"/",""),"""",""),"+",""))</f>
        <v/>
      </c>
      <c r="AM10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39" t="str">
        <f>IF(NOTA[[#This Row],[CONCAT4]]="","",_xlfn.IFNA(MATCH(NOTA[[#This Row],[CONCAT4]],[2]!RAW[CONCAT_H],0),FALSE))</f>
        <v/>
      </c>
      <c r="AQ1060" s="39" t="str">
        <f>IF(NOTA[[#This Row],[CONCAT1]]="","",MATCH(NOTA[[#This Row],[CONCAT1]],[3]!db[NB NOTA_C],0))</f>
        <v/>
      </c>
      <c r="AR1060" s="39" t="str">
        <f>IF(NOTA[[#This Row],[QTY/ CTN]]="","",TRUE)</f>
        <v/>
      </c>
      <c r="AS1060" s="39" t="str">
        <f ca="1">IF(NOTA[[#This Row],[ID_H]]="","",IF(NOTA[[#This Row],[Column3]]=TRUE,NOTA[[#This Row],[QTY/ CTN]],INDEX([3]!db[QTY/ CTN],NOTA[[#This Row],[//DB]])))</f>
        <v/>
      </c>
      <c r="AT10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0" s="39" t="str">
        <f ca="1">IF(NOTA[[#This Row],[ID_H]]="","",MATCH(NOTA[[#This Row],[NB NOTA_C_QTY]],[4]!db[NB NOTA_C_QTY+F],0))</f>
        <v/>
      </c>
      <c r="AV1060" s="55" t="str">
        <f ca="1">IF(NOTA[[#This Row],[NB NOTA_C_QTY]]="","",ROW()-2)</f>
        <v/>
      </c>
    </row>
    <row r="1061" spans="1:48" ht="20.100000000000001" customHeight="1" x14ac:dyDescent="0.25">
      <c r="A10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39" t="str">
        <f>IF(NOTA[[#This Row],[ID_P]]="","",MATCH(NOTA[[#This Row],[ID_P]],[1]!B_MSK[N_ID],0))</f>
        <v/>
      </c>
      <c r="D1061" s="39" t="str">
        <f ca="1">IF(NOTA[[#This Row],[NAMA BARANG]]="","",INDEX(NOTA[ID],MATCH(,INDIRECT(ADDRESS(ROW(NOTA[ID]),COLUMN(NOTA[ID]))&amp;":"&amp;ADDRESS(ROW(),COLUMN(NOTA[ID]))),-1)))</f>
        <v/>
      </c>
      <c r="E1061" s="47"/>
      <c r="H1061" s="48"/>
      <c r="N1061" s="39"/>
      <c r="Q1061" s="43"/>
      <c r="R1061" s="49"/>
      <c r="S1061" s="50"/>
      <c r="U1061" s="51"/>
      <c r="V1061" s="46"/>
      <c r="W1061" s="51" t="str">
        <f>IF(NOTA[[#This Row],[HARGA/ CTN]]="",NOTA[[#This Row],[JUMLAH_H]],NOTA[[#This Row],[HARGA/ CTN]]*IF(NOTA[[#This Row],[C]]="",0,NOTA[[#This Row],[C]]))</f>
        <v/>
      </c>
      <c r="X1061" s="51" t="str">
        <f>IF(NOTA[[#This Row],[JUMLAH]]="","",NOTA[[#This Row],[JUMLAH]]*NOTA[[#This Row],[DISC 1]])</f>
        <v/>
      </c>
      <c r="Y1061" s="51" t="str">
        <f>IF(NOTA[[#This Row],[JUMLAH]]="","",(NOTA[[#This Row],[JUMLAH]]-NOTA[[#This Row],[DISC 1-]])*NOTA[[#This Row],[DISC 2]])</f>
        <v/>
      </c>
      <c r="Z1061" s="51" t="str">
        <f>IF(NOTA[[#This Row],[JUMLAH]]="","",NOTA[[#This Row],[DISC 1-]]+NOTA[[#This Row],[DISC 2-]])</f>
        <v/>
      </c>
      <c r="AA1061" s="51" t="str">
        <f>IF(NOTA[[#This Row],[JUMLAH]]="","",NOTA[[#This Row],[JUMLAH]]-NOTA[[#This Row],[DISC]])</f>
        <v/>
      </c>
      <c r="AB1061" s="51"/>
      <c r="AC10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51" t="str">
        <f>IF(OR(NOTA[[#This Row],[QTY]]="",NOTA[[#This Row],[HARGA SATUAN]]="",),"",NOTA[[#This Row],[QTY]]*NOTA[[#This Row],[HARGA SATUAN]])</f>
        <v/>
      </c>
      <c r="AG1061" s="40" t="str">
        <f ca="1">IF(NOTA[ID_H]="","",INDEX(NOTA[TANGGAL],MATCH(,INDIRECT(ADDRESS(ROW(NOTA[TANGGAL]),COLUMN(NOTA[TANGGAL]))&amp;":"&amp;ADDRESS(ROW(),COLUMN(NOTA[TANGGAL]))),-1)))</f>
        <v/>
      </c>
      <c r="AH1061" s="42" t="str">
        <f ca="1">IF(NOTA[[#This Row],[NAMA BARANG]]="","",INDEX(NOTA[SUPPLIER],MATCH(,INDIRECT(ADDRESS(ROW(NOTA[ID]),COLUMN(NOTA[ID]))&amp;":"&amp;ADDRESS(ROW(),COLUMN(NOTA[ID]))),-1)))</f>
        <v/>
      </c>
      <c r="AI1061" s="42" t="str">
        <f ca="1">IF(NOTA[[#This Row],[ID_H]]="","",IF(NOTA[[#This Row],[FAKTUR]]="",INDIRECT(ADDRESS(ROW()-1,COLUMN())),NOTA[[#This Row],[FAKTUR]]))</f>
        <v/>
      </c>
      <c r="AJ1061" s="39" t="str">
        <f ca="1">IF(NOTA[[#This Row],[ID]]="","",COUNTIF(NOTA[ID_H],NOTA[[#This Row],[ID_H]]))</f>
        <v/>
      </c>
      <c r="AK1061" s="39" t="str">
        <f ca="1">IF(NOTA[[#This Row],[TGL.NOTA]]="",IF(NOTA[[#This Row],[SUPPLIER_H]]="","",AK1060),MONTH(NOTA[[#This Row],[TGL.NOTA]]))</f>
        <v/>
      </c>
      <c r="AL1061" s="39" t="str">
        <f>LOWER(SUBSTITUTE(SUBSTITUTE(SUBSTITUTE(SUBSTITUTE(SUBSTITUTE(SUBSTITUTE(SUBSTITUTE(SUBSTITUTE(SUBSTITUTE(NOTA[NAMA BARANG]," ",),".",""),"-",""),"(",""),")",""),",",""),"/",""),"""",""),"+",""))</f>
        <v/>
      </c>
      <c r="AM10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39" t="str">
        <f>IF(NOTA[[#This Row],[CONCAT4]]="","",_xlfn.IFNA(MATCH(NOTA[[#This Row],[CONCAT4]],[2]!RAW[CONCAT_H],0),FALSE))</f>
        <v/>
      </c>
      <c r="AQ1061" s="39" t="str">
        <f>IF(NOTA[[#This Row],[CONCAT1]]="","",MATCH(NOTA[[#This Row],[CONCAT1]],[3]!db[NB NOTA_C],0))</f>
        <v/>
      </c>
      <c r="AR1061" s="39" t="str">
        <f>IF(NOTA[[#This Row],[QTY/ CTN]]="","",TRUE)</f>
        <v/>
      </c>
      <c r="AS1061" s="39" t="str">
        <f ca="1">IF(NOTA[[#This Row],[ID_H]]="","",IF(NOTA[[#This Row],[Column3]]=TRUE,NOTA[[#This Row],[QTY/ CTN]],INDEX([3]!db[QTY/ CTN],NOTA[[#This Row],[//DB]])))</f>
        <v/>
      </c>
      <c r="AT10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1" s="39" t="str">
        <f ca="1">IF(NOTA[[#This Row],[ID_H]]="","",MATCH(NOTA[[#This Row],[NB NOTA_C_QTY]],[4]!db[NB NOTA_C_QTY+F],0))</f>
        <v/>
      </c>
      <c r="AV1061" s="55" t="str">
        <f ca="1">IF(NOTA[[#This Row],[NB NOTA_C_QTY]]="","",ROW()-2)</f>
        <v/>
      </c>
    </row>
    <row r="1062" spans="1:48" ht="20.100000000000001" customHeight="1" x14ac:dyDescent="0.25">
      <c r="A10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39" t="str">
        <f>IF(NOTA[[#This Row],[ID_P]]="","",MATCH(NOTA[[#This Row],[ID_P]],[1]!B_MSK[N_ID],0))</f>
        <v/>
      </c>
      <c r="D1062" s="39" t="str">
        <f ca="1">IF(NOTA[[#This Row],[NAMA BARANG]]="","",INDEX(NOTA[ID],MATCH(,INDIRECT(ADDRESS(ROW(NOTA[ID]),COLUMN(NOTA[ID]))&amp;":"&amp;ADDRESS(ROW(),COLUMN(NOTA[ID]))),-1)))</f>
        <v/>
      </c>
      <c r="E1062" s="47"/>
      <c r="H1062" s="48"/>
      <c r="N1062" s="39"/>
      <c r="Q1062" s="43"/>
      <c r="R1062" s="49"/>
      <c r="S1062" s="50"/>
      <c r="U1062" s="51"/>
      <c r="V1062" s="46"/>
      <c r="W1062" s="51" t="str">
        <f>IF(NOTA[[#This Row],[HARGA/ CTN]]="",NOTA[[#This Row],[JUMLAH_H]],NOTA[[#This Row],[HARGA/ CTN]]*IF(NOTA[[#This Row],[C]]="",0,NOTA[[#This Row],[C]]))</f>
        <v/>
      </c>
      <c r="X1062" s="51" t="str">
        <f>IF(NOTA[[#This Row],[JUMLAH]]="","",NOTA[[#This Row],[JUMLAH]]*NOTA[[#This Row],[DISC 1]])</f>
        <v/>
      </c>
      <c r="Y1062" s="51" t="str">
        <f>IF(NOTA[[#This Row],[JUMLAH]]="","",(NOTA[[#This Row],[JUMLAH]]-NOTA[[#This Row],[DISC 1-]])*NOTA[[#This Row],[DISC 2]])</f>
        <v/>
      </c>
      <c r="Z1062" s="51" t="str">
        <f>IF(NOTA[[#This Row],[JUMLAH]]="","",NOTA[[#This Row],[DISC 1-]]+NOTA[[#This Row],[DISC 2-]])</f>
        <v/>
      </c>
      <c r="AA1062" s="51" t="str">
        <f>IF(NOTA[[#This Row],[JUMLAH]]="","",NOTA[[#This Row],[JUMLAH]]-NOTA[[#This Row],[DISC]])</f>
        <v/>
      </c>
      <c r="AB1062" s="51"/>
      <c r="AC10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2" s="51" t="str">
        <f>IF(OR(NOTA[[#This Row],[QTY]]="",NOTA[[#This Row],[HARGA SATUAN]]="",),"",NOTA[[#This Row],[QTY]]*NOTA[[#This Row],[HARGA SATUAN]])</f>
        <v/>
      </c>
      <c r="AG1062" s="40" t="str">
        <f ca="1">IF(NOTA[ID_H]="","",INDEX(NOTA[TANGGAL],MATCH(,INDIRECT(ADDRESS(ROW(NOTA[TANGGAL]),COLUMN(NOTA[TANGGAL]))&amp;":"&amp;ADDRESS(ROW(),COLUMN(NOTA[TANGGAL]))),-1)))</f>
        <v/>
      </c>
      <c r="AH1062" s="42" t="str">
        <f ca="1">IF(NOTA[[#This Row],[NAMA BARANG]]="","",INDEX(NOTA[SUPPLIER],MATCH(,INDIRECT(ADDRESS(ROW(NOTA[ID]),COLUMN(NOTA[ID]))&amp;":"&amp;ADDRESS(ROW(),COLUMN(NOTA[ID]))),-1)))</f>
        <v/>
      </c>
      <c r="AI1062" s="42" t="str">
        <f ca="1">IF(NOTA[[#This Row],[ID_H]]="","",IF(NOTA[[#This Row],[FAKTUR]]="",INDIRECT(ADDRESS(ROW()-1,COLUMN())),NOTA[[#This Row],[FAKTUR]]))</f>
        <v/>
      </c>
      <c r="AJ1062" s="39" t="str">
        <f ca="1">IF(NOTA[[#This Row],[ID]]="","",COUNTIF(NOTA[ID_H],NOTA[[#This Row],[ID_H]]))</f>
        <v/>
      </c>
      <c r="AK1062" s="39" t="str">
        <f ca="1">IF(NOTA[[#This Row],[TGL.NOTA]]="",IF(NOTA[[#This Row],[SUPPLIER_H]]="","",AK1061),MONTH(NOTA[[#This Row],[TGL.NOTA]]))</f>
        <v/>
      </c>
      <c r="AL1062" s="39" t="str">
        <f>LOWER(SUBSTITUTE(SUBSTITUTE(SUBSTITUTE(SUBSTITUTE(SUBSTITUTE(SUBSTITUTE(SUBSTITUTE(SUBSTITUTE(SUBSTITUTE(NOTA[NAMA BARANG]," ",),".",""),"-",""),"(",""),")",""),",",""),"/",""),"""",""),"+",""))</f>
        <v/>
      </c>
      <c r="AM10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2" s="39" t="str">
        <f>IF(NOTA[[#This Row],[CONCAT4]]="","",_xlfn.IFNA(MATCH(NOTA[[#This Row],[CONCAT4]],[2]!RAW[CONCAT_H],0),FALSE))</f>
        <v/>
      </c>
      <c r="AQ1062" s="39" t="str">
        <f>IF(NOTA[[#This Row],[CONCAT1]]="","",MATCH(NOTA[[#This Row],[CONCAT1]],[3]!db[NB NOTA_C],0))</f>
        <v/>
      </c>
      <c r="AR1062" s="39" t="str">
        <f>IF(NOTA[[#This Row],[QTY/ CTN]]="","",TRUE)</f>
        <v/>
      </c>
      <c r="AS1062" s="39" t="str">
        <f ca="1">IF(NOTA[[#This Row],[ID_H]]="","",IF(NOTA[[#This Row],[Column3]]=TRUE,NOTA[[#This Row],[QTY/ CTN]],INDEX([3]!db[QTY/ CTN],NOTA[[#This Row],[//DB]])))</f>
        <v/>
      </c>
      <c r="AT10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2" s="39" t="str">
        <f ca="1">IF(NOTA[[#This Row],[ID_H]]="","",MATCH(NOTA[[#This Row],[NB NOTA_C_QTY]],[4]!db[NB NOTA_C_QTY+F],0))</f>
        <v/>
      </c>
      <c r="AV1062" s="55" t="str">
        <f ca="1">IF(NOTA[[#This Row],[NB NOTA_C_QTY]]="","",ROW()-2)</f>
        <v/>
      </c>
    </row>
    <row r="1063" spans="1:48" ht="20.100000000000001" customHeight="1" x14ac:dyDescent="0.25">
      <c r="A10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39" t="str">
        <f>IF(NOTA[[#This Row],[ID_P]]="","",MATCH(NOTA[[#This Row],[ID_P]],[1]!B_MSK[N_ID],0))</f>
        <v/>
      </c>
      <c r="D1063" s="39" t="str">
        <f ca="1">IF(NOTA[[#This Row],[NAMA BARANG]]="","",INDEX(NOTA[ID],MATCH(,INDIRECT(ADDRESS(ROW(NOTA[ID]),COLUMN(NOTA[ID]))&amp;":"&amp;ADDRESS(ROW(),COLUMN(NOTA[ID]))),-1)))</f>
        <v/>
      </c>
      <c r="E1063" s="47"/>
      <c r="H1063" s="48"/>
      <c r="N1063" s="39"/>
      <c r="Q1063" s="43"/>
      <c r="R1063" s="49"/>
      <c r="S1063" s="50"/>
      <c r="U1063" s="51"/>
      <c r="V1063" s="46"/>
      <c r="W1063" s="51" t="str">
        <f>IF(NOTA[[#This Row],[HARGA/ CTN]]="",NOTA[[#This Row],[JUMLAH_H]],NOTA[[#This Row],[HARGA/ CTN]]*IF(NOTA[[#This Row],[C]]="",0,NOTA[[#This Row],[C]]))</f>
        <v/>
      </c>
      <c r="X1063" s="51" t="str">
        <f>IF(NOTA[[#This Row],[JUMLAH]]="","",NOTA[[#This Row],[JUMLAH]]*NOTA[[#This Row],[DISC 1]])</f>
        <v/>
      </c>
      <c r="Y1063" s="51" t="str">
        <f>IF(NOTA[[#This Row],[JUMLAH]]="","",(NOTA[[#This Row],[JUMLAH]]-NOTA[[#This Row],[DISC 1-]])*NOTA[[#This Row],[DISC 2]])</f>
        <v/>
      </c>
      <c r="Z1063" s="51" t="str">
        <f>IF(NOTA[[#This Row],[JUMLAH]]="","",NOTA[[#This Row],[DISC 1-]]+NOTA[[#This Row],[DISC 2-]])</f>
        <v/>
      </c>
      <c r="AA1063" s="51" t="str">
        <f>IF(NOTA[[#This Row],[JUMLAH]]="","",NOTA[[#This Row],[JUMLAH]]-NOTA[[#This Row],[DISC]])</f>
        <v/>
      </c>
      <c r="AB1063" s="51"/>
      <c r="AC10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3" s="51" t="str">
        <f>IF(OR(NOTA[[#This Row],[QTY]]="",NOTA[[#This Row],[HARGA SATUAN]]="",),"",NOTA[[#This Row],[QTY]]*NOTA[[#This Row],[HARGA SATUAN]])</f>
        <v/>
      </c>
      <c r="AG1063" s="40" t="str">
        <f ca="1">IF(NOTA[ID_H]="","",INDEX(NOTA[TANGGAL],MATCH(,INDIRECT(ADDRESS(ROW(NOTA[TANGGAL]),COLUMN(NOTA[TANGGAL]))&amp;":"&amp;ADDRESS(ROW(),COLUMN(NOTA[TANGGAL]))),-1)))</f>
        <v/>
      </c>
      <c r="AH1063" s="42" t="str">
        <f ca="1">IF(NOTA[[#This Row],[NAMA BARANG]]="","",INDEX(NOTA[SUPPLIER],MATCH(,INDIRECT(ADDRESS(ROW(NOTA[ID]),COLUMN(NOTA[ID]))&amp;":"&amp;ADDRESS(ROW(),COLUMN(NOTA[ID]))),-1)))</f>
        <v/>
      </c>
      <c r="AI1063" s="42" t="str">
        <f ca="1">IF(NOTA[[#This Row],[ID_H]]="","",IF(NOTA[[#This Row],[FAKTUR]]="",INDIRECT(ADDRESS(ROW()-1,COLUMN())),NOTA[[#This Row],[FAKTUR]]))</f>
        <v/>
      </c>
      <c r="AJ1063" s="39" t="str">
        <f ca="1">IF(NOTA[[#This Row],[ID]]="","",COUNTIF(NOTA[ID_H],NOTA[[#This Row],[ID_H]]))</f>
        <v/>
      </c>
      <c r="AK1063" s="39" t="str">
        <f ca="1">IF(NOTA[[#This Row],[TGL.NOTA]]="",IF(NOTA[[#This Row],[SUPPLIER_H]]="","",AK1062),MONTH(NOTA[[#This Row],[TGL.NOTA]]))</f>
        <v/>
      </c>
      <c r="AL1063" s="39" t="str">
        <f>LOWER(SUBSTITUTE(SUBSTITUTE(SUBSTITUTE(SUBSTITUTE(SUBSTITUTE(SUBSTITUTE(SUBSTITUTE(SUBSTITUTE(SUBSTITUTE(NOTA[NAMA BARANG]," ",),".",""),"-",""),"(",""),")",""),",",""),"/",""),"""",""),"+",""))</f>
        <v/>
      </c>
      <c r="AM10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3" s="39" t="str">
        <f>IF(NOTA[[#This Row],[CONCAT4]]="","",_xlfn.IFNA(MATCH(NOTA[[#This Row],[CONCAT4]],[2]!RAW[CONCAT_H],0),FALSE))</f>
        <v/>
      </c>
      <c r="AQ1063" s="39" t="str">
        <f>IF(NOTA[[#This Row],[CONCAT1]]="","",MATCH(NOTA[[#This Row],[CONCAT1]],[3]!db[NB NOTA_C],0))</f>
        <v/>
      </c>
      <c r="AR1063" s="39" t="str">
        <f>IF(NOTA[[#This Row],[QTY/ CTN]]="","",TRUE)</f>
        <v/>
      </c>
      <c r="AS1063" s="39" t="str">
        <f ca="1">IF(NOTA[[#This Row],[ID_H]]="","",IF(NOTA[[#This Row],[Column3]]=TRUE,NOTA[[#This Row],[QTY/ CTN]],INDEX([3]!db[QTY/ CTN],NOTA[[#This Row],[//DB]])))</f>
        <v/>
      </c>
      <c r="AT10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3" s="39" t="str">
        <f ca="1">IF(NOTA[[#This Row],[ID_H]]="","",MATCH(NOTA[[#This Row],[NB NOTA_C_QTY]],[4]!db[NB NOTA_C_QTY+F],0))</f>
        <v/>
      </c>
      <c r="AV1063" s="55" t="str">
        <f ca="1">IF(NOTA[[#This Row],[NB NOTA_C_QTY]]="","",ROW()-2)</f>
        <v/>
      </c>
    </row>
    <row r="1064" spans="1:48" ht="20.100000000000001" customHeight="1" x14ac:dyDescent="0.25">
      <c r="A10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39" t="str">
        <f>IF(NOTA[[#This Row],[ID_P]]="","",MATCH(NOTA[[#This Row],[ID_P]],[1]!B_MSK[N_ID],0))</f>
        <v/>
      </c>
      <c r="D1064" s="39" t="str">
        <f ca="1">IF(NOTA[[#This Row],[NAMA BARANG]]="","",INDEX(NOTA[ID],MATCH(,INDIRECT(ADDRESS(ROW(NOTA[ID]),COLUMN(NOTA[ID]))&amp;":"&amp;ADDRESS(ROW(),COLUMN(NOTA[ID]))),-1)))</f>
        <v/>
      </c>
      <c r="E1064" s="47"/>
      <c r="H1064" s="48"/>
      <c r="N1064" s="39"/>
      <c r="Q1064" s="43"/>
      <c r="R1064" s="49"/>
      <c r="S1064" s="50"/>
      <c r="U1064" s="51"/>
      <c r="V1064" s="46"/>
      <c r="W1064" s="51" t="str">
        <f>IF(NOTA[[#This Row],[HARGA/ CTN]]="",NOTA[[#This Row],[JUMLAH_H]],NOTA[[#This Row],[HARGA/ CTN]]*IF(NOTA[[#This Row],[C]]="",0,NOTA[[#This Row],[C]]))</f>
        <v/>
      </c>
      <c r="X1064" s="51" t="str">
        <f>IF(NOTA[[#This Row],[JUMLAH]]="","",NOTA[[#This Row],[JUMLAH]]*NOTA[[#This Row],[DISC 1]])</f>
        <v/>
      </c>
      <c r="Y1064" s="51" t="str">
        <f>IF(NOTA[[#This Row],[JUMLAH]]="","",(NOTA[[#This Row],[JUMLAH]]-NOTA[[#This Row],[DISC 1-]])*NOTA[[#This Row],[DISC 2]])</f>
        <v/>
      </c>
      <c r="Z1064" s="51" t="str">
        <f>IF(NOTA[[#This Row],[JUMLAH]]="","",NOTA[[#This Row],[DISC 1-]]+NOTA[[#This Row],[DISC 2-]])</f>
        <v/>
      </c>
      <c r="AA1064" s="51" t="str">
        <f>IF(NOTA[[#This Row],[JUMLAH]]="","",NOTA[[#This Row],[JUMLAH]]-NOTA[[#This Row],[DISC]])</f>
        <v/>
      </c>
      <c r="AB1064" s="51"/>
      <c r="AC10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4" s="51" t="str">
        <f>IF(OR(NOTA[[#This Row],[QTY]]="",NOTA[[#This Row],[HARGA SATUAN]]="",),"",NOTA[[#This Row],[QTY]]*NOTA[[#This Row],[HARGA SATUAN]])</f>
        <v/>
      </c>
      <c r="AG1064" s="40" t="str">
        <f ca="1">IF(NOTA[ID_H]="","",INDEX(NOTA[TANGGAL],MATCH(,INDIRECT(ADDRESS(ROW(NOTA[TANGGAL]),COLUMN(NOTA[TANGGAL]))&amp;":"&amp;ADDRESS(ROW(),COLUMN(NOTA[TANGGAL]))),-1)))</f>
        <v/>
      </c>
      <c r="AH1064" s="42" t="str">
        <f ca="1">IF(NOTA[[#This Row],[NAMA BARANG]]="","",INDEX(NOTA[SUPPLIER],MATCH(,INDIRECT(ADDRESS(ROW(NOTA[ID]),COLUMN(NOTA[ID]))&amp;":"&amp;ADDRESS(ROW(),COLUMN(NOTA[ID]))),-1)))</f>
        <v/>
      </c>
      <c r="AI1064" s="42" t="str">
        <f ca="1">IF(NOTA[[#This Row],[ID_H]]="","",IF(NOTA[[#This Row],[FAKTUR]]="",INDIRECT(ADDRESS(ROW()-1,COLUMN())),NOTA[[#This Row],[FAKTUR]]))</f>
        <v/>
      </c>
      <c r="AJ1064" s="39" t="str">
        <f ca="1">IF(NOTA[[#This Row],[ID]]="","",COUNTIF(NOTA[ID_H],NOTA[[#This Row],[ID_H]]))</f>
        <v/>
      </c>
      <c r="AK1064" s="39" t="str">
        <f ca="1">IF(NOTA[[#This Row],[TGL.NOTA]]="",IF(NOTA[[#This Row],[SUPPLIER_H]]="","",AK1063),MONTH(NOTA[[#This Row],[TGL.NOTA]]))</f>
        <v/>
      </c>
      <c r="AL1064" s="39" t="str">
        <f>LOWER(SUBSTITUTE(SUBSTITUTE(SUBSTITUTE(SUBSTITUTE(SUBSTITUTE(SUBSTITUTE(SUBSTITUTE(SUBSTITUTE(SUBSTITUTE(NOTA[NAMA BARANG]," ",),".",""),"-",""),"(",""),")",""),",",""),"/",""),"""",""),"+",""))</f>
        <v/>
      </c>
      <c r="AM10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39" t="str">
        <f>IF(NOTA[[#This Row],[CONCAT4]]="","",_xlfn.IFNA(MATCH(NOTA[[#This Row],[CONCAT4]],[2]!RAW[CONCAT_H],0),FALSE))</f>
        <v/>
      </c>
      <c r="AQ1064" s="39" t="str">
        <f>IF(NOTA[[#This Row],[CONCAT1]]="","",MATCH(NOTA[[#This Row],[CONCAT1]],[3]!db[NB NOTA_C],0))</f>
        <v/>
      </c>
      <c r="AR1064" s="39" t="str">
        <f>IF(NOTA[[#This Row],[QTY/ CTN]]="","",TRUE)</f>
        <v/>
      </c>
      <c r="AS1064" s="39" t="str">
        <f ca="1">IF(NOTA[[#This Row],[ID_H]]="","",IF(NOTA[[#This Row],[Column3]]=TRUE,NOTA[[#This Row],[QTY/ CTN]],INDEX([3]!db[QTY/ CTN],NOTA[[#This Row],[//DB]])))</f>
        <v/>
      </c>
      <c r="AT10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4" s="39" t="str">
        <f ca="1">IF(NOTA[[#This Row],[ID_H]]="","",MATCH(NOTA[[#This Row],[NB NOTA_C_QTY]],[4]!db[NB NOTA_C_QTY+F],0))</f>
        <v/>
      </c>
      <c r="AV1064" s="55" t="str">
        <f ca="1">IF(NOTA[[#This Row],[NB NOTA_C_QTY]]="","",ROW()-2)</f>
        <v/>
      </c>
    </row>
    <row r="1065" spans="1:48" ht="20.100000000000001" customHeight="1" x14ac:dyDescent="0.25">
      <c r="A10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39" t="str">
        <f>IF(NOTA[[#This Row],[ID_P]]="","",MATCH(NOTA[[#This Row],[ID_P]],[1]!B_MSK[N_ID],0))</f>
        <v/>
      </c>
      <c r="D1065" s="39" t="str">
        <f ca="1">IF(NOTA[[#This Row],[NAMA BARANG]]="","",INDEX(NOTA[ID],MATCH(,INDIRECT(ADDRESS(ROW(NOTA[ID]),COLUMN(NOTA[ID]))&amp;":"&amp;ADDRESS(ROW(),COLUMN(NOTA[ID]))),-1)))</f>
        <v/>
      </c>
      <c r="E1065" s="47"/>
      <c r="H1065" s="48"/>
      <c r="N1065" s="39"/>
      <c r="Q1065" s="43"/>
      <c r="R1065" s="49"/>
      <c r="S1065" s="50"/>
      <c r="U1065" s="51"/>
      <c r="V1065" s="46"/>
      <c r="W1065" s="51" t="str">
        <f>IF(NOTA[[#This Row],[HARGA/ CTN]]="",NOTA[[#This Row],[JUMLAH_H]],NOTA[[#This Row],[HARGA/ CTN]]*IF(NOTA[[#This Row],[C]]="",0,NOTA[[#This Row],[C]]))</f>
        <v/>
      </c>
      <c r="X1065" s="51" t="str">
        <f>IF(NOTA[[#This Row],[JUMLAH]]="","",NOTA[[#This Row],[JUMLAH]]*NOTA[[#This Row],[DISC 1]])</f>
        <v/>
      </c>
      <c r="Y1065" s="51" t="str">
        <f>IF(NOTA[[#This Row],[JUMLAH]]="","",(NOTA[[#This Row],[JUMLAH]]-NOTA[[#This Row],[DISC 1-]])*NOTA[[#This Row],[DISC 2]])</f>
        <v/>
      </c>
      <c r="Z1065" s="51" t="str">
        <f>IF(NOTA[[#This Row],[JUMLAH]]="","",NOTA[[#This Row],[DISC 1-]]+NOTA[[#This Row],[DISC 2-]])</f>
        <v/>
      </c>
      <c r="AA1065" s="51" t="str">
        <f>IF(NOTA[[#This Row],[JUMLAH]]="","",NOTA[[#This Row],[JUMLAH]]-NOTA[[#This Row],[DISC]])</f>
        <v/>
      </c>
      <c r="AB1065" s="51"/>
      <c r="AC10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5" s="51" t="str">
        <f>IF(OR(NOTA[[#This Row],[QTY]]="",NOTA[[#This Row],[HARGA SATUAN]]="",),"",NOTA[[#This Row],[QTY]]*NOTA[[#This Row],[HARGA SATUAN]])</f>
        <v/>
      </c>
      <c r="AG1065" s="40" t="str">
        <f ca="1">IF(NOTA[ID_H]="","",INDEX(NOTA[TANGGAL],MATCH(,INDIRECT(ADDRESS(ROW(NOTA[TANGGAL]),COLUMN(NOTA[TANGGAL]))&amp;":"&amp;ADDRESS(ROW(),COLUMN(NOTA[TANGGAL]))),-1)))</f>
        <v/>
      </c>
      <c r="AH1065" s="42" t="str">
        <f ca="1">IF(NOTA[[#This Row],[NAMA BARANG]]="","",INDEX(NOTA[SUPPLIER],MATCH(,INDIRECT(ADDRESS(ROW(NOTA[ID]),COLUMN(NOTA[ID]))&amp;":"&amp;ADDRESS(ROW(),COLUMN(NOTA[ID]))),-1)))</f>
        <v/>
      </c>
      <c r="AI1065" s="42" t="str">
        <f ca="1">IF(NOTA[[#This Row],[ID_H]]="","",IF(NOTA[[#This Row],[FAKTUR]]="",INDIRECT(ADDRESS(ROW()-1,COLUMN())),NOTA[[#This Row],[FAKTUR]]))</f>
        <v/>
      </c>
      <c r="AJ1065" s="39" t="str">
        <f ca="1">IF(NOTA[[#This Row],[ID]]="","",COUNTIF(NOTA[ID_H],NOTA[[#This Row],[ID_H]]))</f>
        <v/>
      </c>
      <c r="AK1065" s="39" t="str">
        <f ca="1">IF(NOTA[[#This Row],[TGL.NOTA]]="",IF(NOTA[[#This Row],[SUPPLIER_H]]="","",AK1064),MONTH(NOTA[[#This Row],[TGL.NOTA]]))</f>
        <v/>
      </c>
      <c r="AL1065" s="39" t="str">
        <f>LOWER(SUBSTITUTE(SUBSTITUTE(SUBSTITUTE(SUBSTITUTE(SUBSTITUTE(SUBSTITUTE(SUBSTITUTE(SUBSTITUTE(SUBSTITUTE(NOTA[NAMA BARANG]," ",),".",""),"-",""),"(",""),")",""),",",""),"/",""),"""",""),"+",""))</f>
        <v/>
      </c>
      <c r="AM10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39" t="str">
        <f>IF(NOTA[[#This Row],[CONCAT4]]="","",_xlfn.IFNA(MATCH(NOTA[[#This Row],[CONCAT4]],[2]!RAW[CONCAT_H],0),FALSE))</f>
        <v/>
      </c>
      <c r="AQ1065" s="39" t="str">
        <f>IF(NOTA[[#This Row],[CONCAT1]]="","",MATCH(NOTA[[#This Row],[CONCAT1]],[3]!db[NB NOTA_C],0))</f>
        <v/>
      </c>
      <c r="AR1065" s="39" t="str">
        <f>IF(NOTA[[#This Row],[QTY/ CTN]]="","",TRUE)</f>
        <v/>
      </c>
      <c r="AS1065" s="39" t="str">
        <f ca="1">IF(NOTA[[#This Row],[ID_H]]="","",IF(NOTA[[#This Row],[Column3]]=TRUE,NOTA[[#This Row],[QTY/ CTN]],INDEX([3]!db[QTY/ CTN],NOTA[[#This Row],[//DB]])))</f>
        <v/>
      </c>
      <c r="AT10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5" s="39" t="str">
        <f ca="1">IF(NOTA[[#This Row],[ID_H]]="","",MATCH(NOTA[[#This Row],[NB NOTA_C_QTY]],[4]!db[NB NOTA_C_QTY+F],0))</f>
        <v/>
      </c>
      <c r="AV1065" s="55" t="str">
        <f ca="1">IF(NOTA[[#This Row],[NB NOTA_C_QTY]]="","",ROW()-2)</f>
        <v/>
      </c>
    </row>
    <row r="1066" spans="1:48" ht="20.100000000000001" customHeight="1" x14ac:dyDescent="0.25">
      <c r="A10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39" t="str">
        <f>IF(NOTA[[#This Row],[ID_P]]="","",MATCH(NOTA[[#This Row],[ID_P]],[1]!B_MSK[N_ID],0))</f>
        <v/>
      </c>
      <c r="D1066" s="39" t="str">
        <f ca="1">IF(NOTA[[#This Row],[NAMA BARANG]]="","",INDEX(NOTA[ID],MATCH(,INDIRECT(ADDRESS(ROW(NOTA[ID]),COLUMN(NOTA[ID]))&amp;":"&amp;ADDRESS(ROW(),COLUMN(NOTA[ID]))),-1)))</f>
        <v/>
      </c>
      <c r="E1066" s="47"/>
      <c r="H1066" s="48"/>
      <c r="N1066" s="39"/>
      <c r="Q1066" s="43"/>
      <c r="R1066" s="49"/>
      <c r="S1066" s="50"/>
      <c r="U1066" s="51"/>
      <c r="V1066" s="46"/>
      <c r="W1066" s="51" t="str">
        <f>IF(NOTA[[#This Row],[HARGA/ CTN]]="",NOTA[[#This Row],[JUMLAH_H]],NOTA[[#This Row],[HARGA/ CTN]]*IF(NOTA[[#This Row],[C]]="",0,NOTA[[#This Row],[C]]))</f>
        <v/>
      </c>
      <c r="X1066" s="51" t="str">
        <f>IF(NOTA[[#This Row],[JUMLAH]]="","",NOTA[[#This Row],[JUMLAH]]*NOTA[[#This Row],[DISC 1]])</f>
        <v/>
      </c>
      <c r="Y1066" s="51" t="str">
        <f>IF(NOTA[[#This Row],[JUMLAH]]="","",(NOTA[[#This Row],[JUMLAH]]-NOTA[[#This Row],[DISC 1-]])*NOTA[[#This Row],[DISC 2]])</f>
        <v/>
      </c>
      <c r="Z1066" s="51" t="str">
        <f>IF(NOTA[[#This Row],[JUMLAH]]="","",NOTA[[#This Row],[DISC 1-]]+NOTA[[#This Row],[DISC 2-]])</f>
        <v/>
      </c>
      <c r="AA1066" s="51" t="str">
        <f>IF(NOTA[[#This Row],[JUMLAH]]="","",NOTA[[#This Row],[JUMLAH]]-NOTA[[#This Row],[DISC]])</f>
        <v/>
      </c>
      <c r="AB1066" s="51"/>
      <c r="AC10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6" s="51" t="str">
        <f>IF(OR(NOTA[[#This Row],[QTY]]="",NOTA[[#This Row],[HARGA SATUAN]]="",),"",NOTA[[#This Row],[QTY]]*NOTA[[#This Row],[HARGA SATUAN]])</f>
        <v/>
      </c>
      <c r="AG1066" s="40" t="str">
        <f ca="1">IF(NOTA[ID_H]="","",INDEX(NOTA[TANGGAL],MATCH(,INDIRECT(ADDRESS(ROW(NOTA[TANGGAL]),COLUMN(NOTA[TANGGAL]))&amp;":"&amp;ADDRESS(ROW(),COLUMN(NOTA[TANGGAL]))),-1)))</f>
        <v/>
      </c>
      <c r="AH1066" s="42" t="str">
        <f ca="1">IF(NOTA[[#This Row],[NAMA BARANG]]="","",INDEX(NOTA[SUPPLIER],MATCH(,INDIRECT(ADDRESS(ROW(NOTA[ID]),COLUMN(NOTA[ID]))&amp;":"&amp;ADDRESS(ROW(),COLUMN(NOTA[ID]))),-1)))</f>
        <v/>
      </c>
      <c r="AI1066" s="42" t="str">
        <f ca="1">IF(NOTA[[#This Row],[ID_H]]="","",IF(NOTA[[#This Row],[FAKTUR]]="",INDIRECT(ADDRESS(ROW()-1,COLUMN())),NOTA[[#This Row],[FAKTUR]]))</f>
        <v/>
      </c>
      <c r="AJ1066" s="39" t="str">
        <f ca="1">IF(NOTA[[#This Row],[ID]]="","",COUNTIF(NOTA[ID_H],NOTA[[#This Row],[ID_H]]))</f>
        <v/>
      </c>
      <c r="AK1066" s="39" t="str">
        <f ca="1">IF(NOTA[[#This Row],[TGL.NOTA]]="",IF(NOTA[[#This Row],[SUPPLIER_H]]="","",AK1065),MONTH(NOTA[[#This Row],[TGL.NOTA]]))</f>
        <v/>
      </c>
      <c r="AL1066" s="39" t="str">
        <f>LOWER(SUBSTITUTE(SUBSTITUTE(SUBSTITUTE(SUBSTITUTE(SUBSTITUTE(SUBSTITUTE(SUBSTITUTE(SUBSTITUTE(SUBSTITUTE(NOTA[NAMA BARANG]," ",),".",""),"-",""),"(",""),")",""),",",""),"/",""),"""",""),"+",""))</f>
        <v/>
      </c>
      <c r="AM10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39" t="str">
        <f>IF(NOTA[[#This Row],[CONCAT4]]="","",_xlfn.IFNA(MATCH(NOTA[[#This Row],[CONCAT4]],[2]!RAW[CONCAT_H],0),FALSE))</f>
        <v/>
      </c>
      <c r="AQ1066" s="39" t="str">
        <f>IF(NOTA[[#This Row],[CONCAT1]]="","",MATCH(NOTA[[#This Row],[CONCAT1]],[3]!db[NB NOTA_C],0))</f>
        <v/>
      </c>
      <c r="AR1066" s="39" t="str">
        <f>IF(NOTA[[#This Row],[QTY/ CTN]]="","",TRUE)</f>
        <v/>
      </c>
      <c r="AS1066" s="39" t="str">
        <f ca="1">IF(NOTA[[#This Row],[ID_H]]="","",IF(NOTA[[#This Row],[Column3]]=TRUE,NOTA[[#This Row],[QTY/ CTN]],INDEX([3]!db[QTY/ CTN],NOTA[[#This Row],[//DB]])))</f>
        <v/>
      </c>
      <c r="AT10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6" s="39" t="str">
        <f ca="1">IF(NOTA[[#This Row],[ID_H]]="","",MATCH(NOTA[[#This Row],[NB NOTA_C_QTY]],[4]!db[NB NOTA_C_QTY+F],0))</f>
        <v/>
      </c>
      <c r="AV1066" s="55" t="str">
        <f ca="1">IF(NOTA[[#This Row],[NB NOTA_C_QTY]]="","",ROW()-2)</f>
        <v/>
      </c>
    </row>
    <row r="1067" spans="1:48" ht="20.100000000000001" customHeight="1" x14ac:dyDescent="0.25">
      <c r="A10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39" t="str">
        <f>IF(NOTA[[#This Row],[ID_P]]="","",MATCH(NOTA[[#This Row],[ID_P]],[1]!B_MSK[N_ID],0))</f>
        <v/>
      </c>
      <c r="D1067" s="39" t="str">
        <f ca="1">IF(NOTA[[#This Row],[NAMA BARANG]]="","",INDEX(NOTA[ID],MATCH(,INDIRECT(ADDRESS(ROW(NOTA[ID]),COLUMN(NOTA[ID]))&amp;":"&amp;ADDRESS(ROW(),COLUMN(NOTA[ID]))),-1)))</f>
        <v/>
      </c>
      <c r="E1067" s="47"/>
      <c r="H1067" s="48"/>
      <c r="N1067" s="39"/>
      <c r="Q1067" s="43"/>
      <c r="R1067" s="49"/>
      <c r="S1067" s="50"/>
      <c r="U1067" s="51"/>
      <c r="V1067" s="46"/>
      <c r="W1067" s="51" t="str">
        <f>IF(NOTA[[#This Row],[HARGA/ CTN]]="",NOTA[[#This Row],[JUMLAH_H]],NOTA[[#This Row],[HARGA/ CTN]]*IF(NOTA[[#This Row],[C]]="",0,NOTA[[#This Row],[C]]))</f>
        <v/>
      </c>
      <c r="X1067" s="51" t="str">
        <f>IF(NOTA[[#This Row],[JUMLAH]]="","",NOTA[[#This Row],[JUMLAH]]*NOTA[[#This Row],[DISC 1]])</f>
        <v/>
      </c>
      <c r="Y1067" s="51" t="str">
        <f>IF(NOTA[[#This Row],[JUMLAH]]="","",(NOTA[[#This Row],[JUMLAH]]-NOTA[[#This Row],[DISC 1-]])*NOTA[[#This Row],[DISC 2]])</f>
        <v/>
      </c>
      <c r="Z1067" s="51" t="str">
        <f>IF(NOTA[[#This Row],[JUMLAH]]="","",NOTA[[#This Row],[DISC 1-]]+NOTA[[#This Row],[DISC 2-]])</f>
        <v/>
      </c>
      <c r="AA1067" s="51" t="str">
        <f>IF(NOTA[[#This Row],[JUMLAH]]="","",NOTA[[#This Row],[JUMLAH]]-NOTA[[#This Row],[DISC]])</f>
        <v/>
      </c>
      <c r="AB1067" s="51"/>
      <c r="AC10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51" t="str">
        <f>IF(OR(NOTA[[#This Row],[QTY]]="",NOTA[[#This Row],[HARGA SATUAN]]="",),"",NOTA[[#This Row],[QTY]]*NOTA[[#This Row],[HARGA SATUAN]])</f>
        <v/>
      </c>
      <c r="AG1067" s="40" t="str">
        <f ca="1">IF(NOTA[ID_H]="","",INDEX(NOTA[TANGGAL],MATCH(,INDIRECT(ADDRESS(ROW(NOTA[TANGGAL]),COLUMN(NOTA[TANGGAL]))&amp;":"&amp;ADDRESS(ROW(),COLUMN(NOTA[TANGGAL]))),-1)))</f>
        <v/>
      </c>
      <c r="AH1067" s="42" t="str">
        <f ca="1">IF(NOTA[[#This Row],[NAMA BARANG]]="","",INDEX(NOTA[SUPPLIER],MATCH(,INDIRECT(ADDRESS(ROW(NOTA[ID]),COLUMN(NOTA[ID]))&amp;":"&amp;ADDRESS(ROW(),COLUMN(NOTA[ID]))),-1)))</f>
        <v/>
      </c>
      <c r="AI1067" s="42" t="str">
        <f ca="1">IF(NOTA[[#This Row],[ID_H]]="","",IF(NOTA[[#This Row],[FAKTUR]]="",INDIRECT(ADDRESS(ROW()-1,COLUMN())),NOTA[[#This Row],[FAKTUR]]))</f>
        <v/>
      </c>
      <c r="AJ1067" s="39" t="str">
        <f ca="1">IF(NOTA[[#This Row],[ID]]="","",COUNTIF(NOTA[ID_H],NOTA[[#This Row],[ID_H]]))</f>
        <v/>
      </c>
      <c r="AK1067" s="39" t="str">
        <f ca="1">IF(NOTA[[#This Row],[TGL.NOTA]]="",IF(NOTA[[#This Row],[SUPPLIER_H]]="","",AK1066),MONTH(NOTA[[#This Row],[TGL.NOTA]]))</f>
        <v/>
      </c>
      <c r="AL1067" s="39" t="str">
        <f>LOWER(SUBSTITUTE(SUBSTITUTE(SUBSTITUTE(SUBSTITUTE(SUBSTITUTE(SUBSTITUTE(SUBSTITUTE(SUBSTITUTE(SUBSTITUTE(NOTA[NAMA BARANG]," ",),".",""),"-",""),"(",""),")",""),",",""),"/",""),"""",""),"+",""))</f>
        <v/>
      </c>
      <c r="AM10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7" s="39" t="str">
        <f>IF(NOTA[[#This Row],[CONCAT4]]="","",_xlfn.IFNA(MATCH(NOTA[[#This Row],[CONCAT4]],[2]!RAW[CONCAT_H],0),FALSE))</f>
        <v/>
      </c>
      <c r="AQ1067" s="39" t="str">
        <f>IF(NOTA[[#This Row],[CONCAT1]]="","",MATCH(NOTA[[#This Row],[CONCAT1]],[3]!db[NB NOTA_C],0))</f>
        <v/>
      </c>
      <c r="AR1067" s="39" t="str">
        <f>IF(NOTA[[#This Row],[QTY/ CTN]]="","",TRUE)</f>
        <v/>
      </c>
      <c r="AS1067" s="39" t="str">
        <f ca="1">IF(NOTA[[#This Row],[ID_H]]="","",IF(NOTA[[#This Row],[Column3]]=TRUE,NOTA[[#This Row],[QTY/ CTN]],INDEX([3]!db[QTY/ CTN],NOTA[[#This Row],[//DB]])))</f>
        <v/>
      </c>
      <c r="AT10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7" s="39" t="str">
        <f ca="1">IF(NOTA[[#This Row],[ID_H]]="","",MATCH(NOTA[[#This Row],[NB NOTA_C_QTY]],[4]!db[NB NOTA_C_QTY+F],0))</f>
        <v/>
      </c>
      <c r="AV1067" s="55" t="str">
        <f ca="1">IF(NOTA[[#This Row],[NB NOTA_C_QTY]]="","",ROW()-2)</f>
        <v/>
      </c>
    </row>
    <row r="1068" spans="1:48" ht="20.100000000000001" customHeight="1" x14ac:dyDescent="0.25">
      <c r="A10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8" s="39" t="str">
        <f>IF(NOTA[[#This Row],[ID_P]]="","",MATCH(NOTA[[#This Row],[ID_P]],[1]!B_MSK[N_ID],0))</f>
        <v/>
      </c>
      <c r="D1068" s="39" t="str">
        <f ca="1">IF(NOTA[[#This Row],[NAMA BARANG]]="","",INDEX(NOTA[ID],MATCH(,INDIRECT(ADDRESS(ROW(NOTA[ID]),COLUMN(NOTA[ID]))&amp;":"&amp;ADDRESS(ROW(),COLUMN(NOTA[ID]))),-1)))</f>
        <v/>
      </c>
      <c r="E1068" s="47"/>
      <c r="H1068" s="48"/>
      <c r="N1068" s="39"/>
      <c r="Q1068" s="43"/>
      <c r="R1068" s="49"/>
      <c r="S1068" s="50"/>
      <c r="U1068" s="51"/>
      <c r="V1068" s="46"/>
      <c r="W1068" s="51" t="str">
        <f>IF(NOTA[[#This Row],[HARGA/ CTN]]="",NOTA[[#This Row],[JUMLAH_H]],NOTA[[#This Row],[HARGA/ CTN]]*IF(NOTA[[#This Row],[C]]="",0,NOTA[[#This Row],[C]]))</f>
        <v/>
      </c>
      <c r="X1068" s="51" t="str">
        <f>IF(NOTA[[#This Row],[JUMLAH]]="","",NOTA[[#This Row],[JUMLAH]]*NOTA[[#This Row],[DISC 1]])</f>
        <v/>
      </c>
      <c r="Y1068" s="51" t="str">
        <f>IF(NOTA[[#This Row],[JUMLAH]]="","",(NOTA[[#This Row],[JUMLAH]]-NOTA[[#This Row],[DISC 1-]])*NOTA[[#This Row],[DISC 2]])</f>
        <v/>
      </c>
      <c r="Z1068" s="51" t="str">
        <f>IF(NOTA[[#This Row],[JUMLAH]]="","",NOTA[[#This Row],[DISC 1-]]+NOTA[[#This Row],[DISC 2-]])</f>
        <v/>
      </c>
      <c r="AA1068" s="51" t="str">
        <f>IF(NOTA[[#This Row],[JUMLAH]]="","",NOTA[[#This Row],[JUMLAH]]-NOTA[[#This Row],[DISC]])</f>
        <v/>
      </c>
      <c r="AB1068" s="51"/>
      <c r="AC10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8" s="51" t="str">
        <f>IF(OR(NOTA[[#This Row],[QTY]]="",NOTA[[#This Row],[HARGA SATUAN]]="",),"",NOTA[[#This Row],[QTY]]*NOTA[[#This Row],[HARGA SATUAN]])</f>
        <v/>
      </c>
      <c r="AG1068" s="40" t="str">
        <f ca="1">IF(NOTA[ID_H]="","",INDEX(NOTA[TANGGAL],MATCH(,INDIRECT(ADDRESS(ROW(NOTA[TANGGAL]),COLUMN(NOTA[TANGGAL]))&amp;":"&amp;ADDRESS(ROW(),COLUMN(NOTA[TANGGAL]))),-1)))</f>
        <v/>
      </c>
      <c r="AH1068" s="42" t="str">
        <f ca="1">IF(NOTA[[#This Row],[NAMA BARANG]]="","",INDEX(NOTA[SUPPLIER],MATCH(,INDIRECT(ADDRESS(ROW(NOTA[ID]),COLUMN(NOTA[ID]))&amp;":"&amp;ADDRESS(ROW(),COLUMN(NOTA[ID]))),-1)))</f>
        <v/>
      </c>
      <c r="AI1068" s="42" t="str">
        <f ca="1">IF(NOTA[[#This Row],[ID_H]]="","",IF(NOTA[[#This Row],[FAKTUR]]="",INDIRECT(ADDRESS(ROW()-1,COLUMN())),NOTA[[#This Row],[FAKTUR]]))</f>
        <v/>
      </c>
      <c r="AJ1068" s="39" t="str">
        <f ca="1">IF(NOTA[[#This Row],[ID]]="","",COUNTIF(NOTA[ID_H],NOTA[[#This Row],[ID_H]]))</f>
        <v/>
      </c>
      <c r="AK1068" s="39" t="str">
        <f ca="1">IF(NOTA[[#This Row],[TGL.NOTA]]="",IF(NOTA[[#This Row],[SUPPLIER_H]]="","",AK1067),MONTH(NOTA[[#This Row],[TGL.NOTA]]))</f>
        <v/>
      </c>
      <c r="AL1068" s="39" t="str">
        <f>LOWER(SUBSTITUTE(SUBSTITUTE(SUBSTITUTE(SUBSTITUTE(SUBSTITUTE(SUBSTITUTE(SUBSTITUTE(SUBSTITUTE(SUBSTITUTE(NOTA[NAMA BARANG]," ",),".",""),"-",""),"(",""),")",""),",",""),"/",""),"""",""),"+",""))</f>
        <v/>
      </c>
      <c r="AM10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8" s="39" t="str">
        <f>IF(NOTA[[#This Row],[CONCAT4]]="","",_xlfn.IFNA(MATCH(NOTA[[#This Row],[CONCAT4]],[2]!RAW[CONCAT_H],0),FALSE))</f>
        <v/>
      </c>
      <c r="AQ1068" s="39" t="str">
        <f>IF(NOTA[[#This Row],[CONCAT1]]="","",MATCH(NOTA[[#This Row],[CONCAT1]],[3]!db[NB NOTA_C],0))</f>
        <v/>
      </c>
      <c r="AR1068" s="39" t="str">
        <f>IF(NOTA[[#This Row],[QTY/ CTN]]="","",TRUE)</f>
        <v/>
      </c>
      <c r="AS1068" s="39" t="str">
        <f ca="1">IF(NOTA[[#This Row],[ID_H]]="","",IF(NOTA[[#This Row],[Column3]]=TRUE,NOTA[[#This Row],[QTY/ CTN]],INDEX([3]!db[QTY/ CTN],NOTA[[#This Row],[//DB]])))</f>
        <v/>
      </c>
      <c r="AT10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8" s="39" t="str">
        <f ca="1">IF(NOTA[[#This Row],[ID_H]]="","",MATCH(NOTA[[#This Row],[NB NOTA_C_QTY]],[4]!db[NB NOTA_C_QTY+F],0))</f>
        <v/>
      </c>
      <c r="AV1068" s="55" t="str">
        <f ca="1">IF(NOTA[[#This Row],[NB NOTA_C_QTY]]="","",ROW()-2)</f>
        <v/>
      </c>
    </row>
    <row r="1069" spans="1:48" ht="20.100000000000001" customHeight="1" x14ac:dyDescent="0.25">
      <c r="A10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39" t="str">
        <f>IF(NOTA[[#This Row],[ID_P]]="","",MATCH(NOTA[[#This Row],[ID_P]],[1]!B_MSK[N_ID],0))</f>
        <v/>
      </c>
      <c r="D1069" s="39" t="str">
        <f ca="1">IF(NOTA[[#This Row],[NAMA BARANG]]="","",INDEX(NOTA[ID],MATCH(,INDIRECT(ADDRESS(ROW(NOTA[ID]),COLUMN(NOTA[ID]))&amp;":"&amp;ADDRESS(ROW(),COLUMN(NOTA[ID]))),-1)))</f>
        <v/>
      </c>
      <c r="E1069" s="47"/>
      <c r="H1069" s="48"/>
      <c r="N1069" s="39"/>
      <c r="Q1069" s="43"/>
      <c r="R1069" s="49"/>
      <c r="S1069" s="50"/>
      <c r="U1069" s="51"/>
      <c r="V1069" s="46"/>
      <c r="W1069" s="51" t="str">
        <f>IF(NOTA[[#This Row],[HARGA/ CTN]]="",NOTA[[#This Row],[JUMLAH_H]],NOTA[[#This Row],[HARGA/ CTN]]*IF(NOTA[[#This Row],[C]]="",0,NOTA[[#This Row],[C]]))</f>
        <v/>
      </c>
      <c r="X1069" s="51" t="str">
        <f>IF(NOTA[[#This Row],[JUMLAH]]="","",NOTA[[#This Row],[JUMLAH]]*NOTA[[#This Row],[DISC 1]])</f>
        <v/>
      </c>
      <c r="Y1069" s="51" t="str">
        <f>IF(NOTA[[#This Row],[JUMLAH]]="","",(NOTA[[#This Row],[JUMLAH]]-NOTA[[#This Row],[DISC 1-]])*NOTA[[#This Row],[DISC 2]])</f>
        <v/>
      </c>
      <c r="Z1069" s="51" t="str">
        <f>IF(NOTA[[#This Row],[JUMLAH]]="","",NOTA[[#This Row],[DISC 1-]]+NOTA[[#This Row],[DISC 2-]])</f>
        <v/>
      </c>
      <c r="AA1069" s="51" t="str">
        <f>IF(NOTA[[#This Row],[JUMLAH]]="","",NOTA[[#This Row],[JUMLAH]]-NOTA[[#This Row],[DISC]])</f>
        <v/>
      </c>
      <c r="AB1069" s="51"/>
      <c r="AC10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51" t="str">
        <f>IF(OR(NOTA[[#This Row],[QTY]]="",NOTA[[#This Row],[HARGA SATUAN]]="",),"",NOTA[[#This Row],[QTY]]*NOTA[[#This Row],[HARGA SATUAN]])</f>
        <v/>
      </c>
      <c r="AG1069" s="40" t="str">
        <f ca="1">IF(NOTA[ID_H]="","",INDEX(NOTA[TANGGAL],MATCH(,INDIRECT(ADDRESS(ROW(NOTA[TANGGAL]),COLUMN(NOTA[TANGGAL]))&amp;":"&amp;ADDRESS(ROW(),COLUMN(NOTA[TANGGAL]))),-1)))</f>
        <v/>
      </c>
      <c r="AH1069" s="42" t="str">
        <f ca="1">IF(NOTA[[#This Row],[NAMA BARANG]]="","",INDEX(NOTA[SUPPLIER],MATCH(,INDIRECT(ADDRESS(ROW(NOTA[ID]),COLUMN(NOTA[ID]))&amp;":"&amp;ADDRESS(ROW(),COLUMN(NOTA[ID]))),-1)))</f>
        <v/>
      </c>
      <c r="AI1069" s="42" t="str">
        <f ca="1">IF(NOTA[[#This Row],[ID_H]]="","",IF(NOTA[[#This Row],[FAKTUR]]="",INDIRECT(ADDRESS(ROW()-1,COLUMN())),NOTA[[#This Row],[FAKTUR]]))</f>
        <v/>
      </c>
      <c r="AJ1069" s="39" t="str">
        <f ca="1">IF(NOTA[[#This Row],[ID]]="","",COUNTIF(NOTA[ID_H],NOTA[[#This Row],[ID_H]]))</f>
        <v/>
      </c>
      <c r="AK1069" s="39" t="str">
        <f ca="1">IF(NOTA[[#This Row],[TGL.NOTA]]="",IF(NOTA[[#This Row],[SUPPLIER_H]]="","",AK1068),MONTH(NOTA[[#This Row],[TGL.NOTA]]))</f>
        <v/>
      </c>
      <c r="AL1069" s="39" t="str">
        <f>LOWER(SUBSTITUTE(SUBSTITUTE(SUBSTITUTE(SUBSTITUTE(SUBSTITUTE(SUBSTITUTE(SUBSTITUTE(SUBSTITUTE(SUBSTITUTE(NOTA[NAMA BARANG]," ",),".",""),"-",""),"(",""),")",""),",",""),"/",""),"""",""),"+",""))</f>
        <v/>
      </c>
      <c r="AM10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39" t="str">
        <f>IF(NOTA[[#This Row],[CONCAT4]]="","",_xlfn.IFNA(MATCH(NOTA[[#This Row],[CONCAT4]],[2]!RAW[CONCAT_H],0),FALSE))</f>
        <v/>
      </c>
      <c r="AQ1069" s="39" t="str">
        <f>IF(NOTA[[#This Row],[CONCAT1]]="","",MATCH(NOTA[[#This Row],[CONCAT1]],[3]!db[NB NOTA_C],0))</f>
        <v/>
      </c>
      <c r="AR1069" s="39" t="str">
        <f>IF(NOTA[[#This Row],[QTY/ CTN]]="","",TRUE)</f>
        <v/>
      </c>
      <c r="AS1069" s="39" t="str">
        <f ca="1">IF(NOTA[[#This Row],[ID_H]]="","",IF(NOTA[[#This Row],[Column3]]=TRUE,NOTA[[#This Row],[QTY/ CTN]],INDEX([3]!db[QTY/ CTN],NOTA[[#This Row],[//DB]])))</f>
        <v/>
      </c>
      <c r="AT10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9" s="39" t="str">
        <f ca="1">IF(NOTA[[#This Row],[ID_H]]="","",MATCH(NOTA[[#This Row],[NB NOTA_C_QTY]],[4]!db[NB NOTA_C_QTY+F],0))</f>
        <v/>
      </c>
      <c r="AV1069" s="55" t="str">
        <f ca="1">IF(NOTA[[#This Row],[NB NOTA_C_QTY]]="","",ROW()-2)</f>
        <v/>
      </c>
    </row>
    <row r="1070" spans="1:48" ht="20.100000000000001" customHeight="1" x14ac:dyDescent="0.25">
      <c r="A10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0" s="39" t="str">
        <f>IF(NOTA[[#This Row],[ID_P]]="","",MATCH(NOTA[[#This Row],[ID_P]],[1]!B_MSK[N_ID],0))</f>
        <v/>
      </c>
      <c r="D1070" s="39" t="str">
        <f ca="1">IF(NOTA[[#This Row],[NAMA BARANG]]="","",INDEX(NOTA[ID],MATCH(,INDIRECT(ADDRESS(ROW(NOTA[ID]),COLUMN(NOTA[ID]))&amp;":"&amp;ADDRESS(ROW(),COLUMN(NOTA[ID]))),-1)))</f>
        <v/>
      </c>
      <c r="E1070" s="47"/>
      <c r="H1070" s="48"/>
      <c r="N1070" s="39"/>
      <c r="Q1070" s="43"/>
      <c r="R1070" s="49"/>
      <c r="S1070" s="50"/>
      <c r="U1070" s="51"/>
      <c r="V1070" s="46"/>
      <c r="W1070" s="51" t="str">
        <f>IF(NOTA[[#This Row],[HARGA/ CTN]]="",NOTA[[#This Row],[JUMLAH_H]],NOTA[[#This Row],[HARGA/ CTN]]*IF(NOTA[[#This Row],[C]]="",0,NOTA[[#This Row],[C]]))</f>
        <v/>
      </c>
      <c r="X1070" s="51" t="str">
        <f>IF(NOTA[[#This Row],[JUMLAH]]="","",NOTA[[#This Row],[JUMLAH]]*NOTA[[#This Row],[DISC 1]])</f>
        <v/>
      </c>
      <c r="Y1070" s="51" t="str">
        <f>IF(NOTA[[#This Row],[JUMLAH]]="","",(NOTA[[#This Row],[JUMLAH]]-NOTA[[#This Row],[DISC 1-]])*NOTA[[#This Row],[DISC 2]])</f>
        <v/>
      </c>
      <c r="Z1070" s="51" t="str">
        <f>IF(NOTA[[#This Row],[JUMLAH]]="","",NOTA[[#This Row],[DISC 1-]]+NOTA[[#This Row],[DISC 2-]])</f>
        <v/>
      </c>
      <c r="AA1070" s="51" t="str">
        <f>IF(NOTA[[#This Row],[JUMLAH]]="","",NOTA[[#This Row],[JUMLAH]]-NOTA[[#This Row],[DISC]])</f>
        <v/>
      </c>
      <c r="AB1070" s="51"/>
      <c r="AC10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0" s="51" t="str">
        <f>IF(OR(NOTA[[#This Row],[QTY]]="",NOTA[[#This Row],[HARGA SATUAN]]="",),"",NOTA[[#This Row],[QTY]]*NOTA[[#This Row],[HARGA SATUAN]])</f>
        <v/>
      </c>
      <c r="AG1070" s="40" t="str">
        <f ca="1">IF(NOTA[ID_H]="","",INDEX(NOTA[TANGGAL],MATCH(,INDIRECT(ADDRESS(ROW(NOTA[TANGGAL]),COLUMN(NOTA[TANGGAL]))&amp;":"&amp;ADDRESS(ROW(),COLUMN(NOTA[TANGGAL]))),-1)))</f>
        <v/>
      </c>
      <c r="AH1070" s="42" t="str">
        <f ca="1">IF(NOTA[[#This Row],[NAMA BARANG]]="","",INDEX(NOTA[SUPPLIER],MATCH(,INDIRECT(ADDRESS(ROW(NOTA[ID]),COLUMN(NOTA[ID]))&amp;":"&amp;ADDRESS(ROW(),COLUMN(NOTA[ID]))),-1)))</f>
        <v/>
      </c>
      <c r="AI1070" s="42" t="str">
        <f ca="1">IF(NOTA[[#This Row],[ID_H]]="","",IF(NOTA[[#This Row],[FAKTUR]]="",INDIRECT(ADDRESS(ROW()-1,COLUMN())),NOTA[[#This Row],[FAKTUR]]))</f>
        <v/>
      </c>
      <c r="AJ1070" s="39" t="str">
        <f ca="1">IF(NOTA[[#This Row],[ID]]="","",COUNTIF(NOTA[ID_H],NOTA[[#This Row],[ID_H]]))</f>
        <v/>
      </c>
      <c r="AK1070" s="39" t="str">
        <f ca="1">IF(NOTA[[#This Row],[TGL.NOTA]]="",IF(NOTA[[#This Row],[SUPPLIER_H]]="","",AK1069),MONTH(NOTA[[#This Row],[TGL.NOTA]]))</f>
        <v/>
      </c>
      <c r="AL1070" s="39" t="str">
        <f>LOWER(SUBSTITUTE(SUBSTITUTE(SUBSTITUTE(SUBSTITUTE(SUBSTITUTE(SUBSTITUTE(SUBSTITUTE(SUBSTITUTE(SUBSTITUTE(NOTA[NAMA BARANG]," ",),".",""),"-",""),"(",""),")",""),",",""),"/",""),"""",""),"+",""))</f>
        <v/>
      </c>
      <c r="AM10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0" s="39" t="str">
        <f>IF(NOTA[[#This Row],[CONCAT4]]="","",_xlfn.IFNA(MATCH(NOTA[[#This Row],[CONCAT4]],[2]!RAW[CONCAT_H],0),FALSE))</f>
        <v/>
      </c>
      <c r="AQ1070" s="39" t="str">
        <f>IF(NOTA[[#This Row],[CONCAT1]]="","",MATCH(NOTA[[#This Row],[CONCAT1]],[3]!db[NB NOTA_C],0))</f>
        <v/>
      </c>
      <c r="AR1070" s="39" t="str">
        <f>IF(NOTA[[#This Row],[QTY/ CTN]]="","",TRUE)</f>
        <v/>
      </c>
      <c r="AS1070" s="39" t="str">
        <f ca="1">IF(NOTA[[#This Row],[ID_H]]="","",IF(NOTA[[#This Row],[Column3]]=TRUE,NOTA[[#This Row],[QTY/ CTN]],INDEX([3]!db[QTY/ CTN],NOTA[[#This Row],[//DB]])))</f>
        <v/>
      </c>
      <c r="AT10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0" s="39" t="str">
        <f ca="1">IF(NOTA[[#This Row],[ID_H]]="","",MATCH(NOTA[[#This Row],[NB NOTA_C_QTY]],[4]!db[NB NOTA_C_QTY+F],0))</f>
        <v/>
      </c>
      <c r="AV1070" s="55" t="str">
        <f ca="1">IF(NOTA[[#This Row],[NB NOTA_C_QTY]]="","",ROW()-2)</f>
        <v/>
      </c>
    </row>
    <row r="1071" spans="1:48" ht="20.100000000000001" customHeight="1" x14ac:dyDescent="0.25">
      <c r="A10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39" t="str">
        <f>IF(NOTA[[#This Row],[ID_P]]="","",MATCH(NOTA[[#This Row],[ID_P]],[1]!B_MSK[N_ID],0))</f>
        <v/>
      </c>
      <c r="D1071" s="39" t="str">
        <f ca="1">IF(NOTA[[#This Row],[NAMA BARANG]]="","",INDEX(NOTA[ID],MATCH(,INDIRECT(ADDRESS(ROW(NOTA[ID]),COLUMN(NOTA[ID]))&amp;":"&amp;ADDRESS(ROW(),COLUMN(NOTA[ID]))),-1)))</f>
        <v/>
      </c>
      <c r="E1071" s="47"/>
      <c r="H1071" s="48"/>
      <c r="N1071" s="39"/>
      <c r="Q1071" s="43"/>
      <c r="R1071" s="49"/>
      <c r="S1071" s="50"/>
      <c r="U1071" s="51"/>
      <c r="V1071" s="46"/>
      <c r="W1071" s="51" t="str">
        <f>IF(NOTA[[#This Row],[HARGA/ CTN]]="",NOTA[[#This Row],[JUMLAH_H]],NOTA[[#This Row],[HARGA/ CTN]]*IF(NOTA[[#This Row],[C]]="",0,NOTA[[#This Row],[C]]))</f>
        <v/>
      </c>
      <c r="X1071" s="51" t="str">
        <f>IF(NOTA[[#This Row],[JUMLAH]]="","",NOTA[[#This Row],[JUMLAH]]*NOTA[[#This Row],[DISC 1]])</f>
        <v/>
      </c>
      <c r="Y1071" s="51" t="str">
        <f>IF(NOTA[[#This Row],[JUMLAH]]="","",(NOTA[[#This Row],[JUMLAH]]-NOTA[[#This Row],[DISC 1-]])*NOTA[[#This Row],[DISC 2]])</f>
        <v/>
      </c>
      <c r="Z1071" s="51" t="str">
        <f>IF(NOTA[[#This Row],[JUMLAH]]="","",NOTA[[#This Row],[DISC 1-]]+NOTA[[#This Row],[DISC 2-]])</f>
        <v/>
      </c>
      <c r="AA1071" s="51" t="str">
        <f>IF(NOTA[[#This Row],[JUMLAH]]="","",NOTA[[#This Row],[JUMLAH]]-NOTA[[#This Row],[DISC]])</f>
        <v/>
      </c>
      <c r="AB1071" s="51"/>
      <c r="AC10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1" s="51" t="str">
        <f>IF(OR(NOTA[[#This Row],[QTY]]="",NOTA[[#This Row],[HARGA SATUAN]]="",),"",NOTA[[#This Row],[QTY]]*NOTA[[#This Row],[HARGA SATUAN]])</f>
        <v/>
      </c>
      <c r="AG1071" s="40" t="str">
        <f ca="1">IF(NOTA[ID_H]="","",INDEX(NOTA[TANGGAL],MATCH(,INDIRECT(ADDRESS(ROW(NOTA[TANGGAL]),COLUMN(NOTA[TANGGAL]))&amp;":"&amp;ADDRESS(ROW(),COLUMN(NOTA[TANGGAL]))),-1)))</f>
        <v/>
      </c>
      <c r="AH1071" s="42" t="str">
        <f ca="1">IF(NOTA[[#This Row],[NAMA BARANG]]="","",INDEX(NOTA[SUPPLIER],MATCH(,INDIRECT(ADDRESS(ROW(NOTA[ID]),COLUMN(NOTA[ID]))&amp;":"&amp;ADDRESS(ROW(),COLUMN(NOTA[ID]))),-1)))</f>
        <v/>
      </c>
      <c r="AI1071" s="42" t="str">
        <f ca="1">IF(NOTA[[#This Row],[ID_H]]="","",IF(NOTA[[#This Row],[FAKTUR]]="",INDIRECT(ADDRESS(ROW()-1,COLUMN())),NOTA[[#This Row],[FAKTUR]]))</f>
        <v/>
      </c>
      <c r="AJ1071" s="39" t="str">
        <f ca="1">IF(NOTA[[#This Row],[ID]]="","",COUNTIF(NOTA[ID_H],NOTA[[#This Row],[ID_H]]))</f>
        <v/>
      </c>
      <c r="AK1071" s="39" t="str">
        <f ca="1">IF(NOTA[[#This Row],[TGL.NOTA]]="",IF(NOTA[[#This Row],[SUPPLIER_H]]="","",AK1070),MONTH(NOTA[[#This Row],[TGL.NOTA]]))</f>
        <v/>
      </c>
      <c r="AL1071" s="39" t="str">
        <f>LOWER(SUBSTITUTE(SUBSTITUTE(SUBSTITUTE(SUBSTITUTE(SUBSTITUTE(SUBSTITUTE(SUBSTITUTE(SUBSTITUTE(SUBSTITUTE(NOTA[NAMA BARANG]," ",),".",""),"-",""),"(",""),")",""),",",""),"/",""),"""",""),"+",""))</f>
        <v/>
      </c>
      <c r="AM10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39" t="str">
        <f>IF(NOTA[[#This Row],[CONCAT4]]="","",_xlfn.IFNA(MATCH(NOTA[[#This Row],[CONCAT4]],[2]!RAW[CONCAT_H],0),FALSE))</f>
        <v/>
      </c>
      <c r="AQ1071" s="39" t="str">
        <f>IF(NOTA[[#This Row],[CONCAT1]]="","",MATCH(NOTA[[#This Row],[CONCAT1]],[3]!db[NB NOTA_C],0))</f>
        <v/>
      </c>
      <c r="AR1071" s="39" t="str">
        <f>IF(NOTA[[#This Row],[QTY/ CTN]]="","",TRUE)</f>
        <v/>
      </c>
      <c r="AS1071" s="39" t="str">
        <f ca="1">IF(NOTA[[#This Row],[ID_H]]="","",IF(NOTA[[#This Row],[Column3]]=TRUE,NOTA[[#This Row],[QTY/ CTN]],INDEX([3]!db[QTY/ CTN],NOTA[[#This Row],[//DB]])))</f>
        <v/>
      </c>
      <c r="AT10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1" s="39" t="str">
        <f ca="1">IF(NOTA[[#This Row],[ID_H]]="","",MATCH(NOTA[[#This Row],[NB NOTA_C_QTY]],[4]!db[NB NOTA_C_QTY+F],0))</f>
        <v/>
      </c>
      <c r="AV1071" s="55" t="str">
        <f ca="1">IF(NOTA[[#This Row],[NB NOTA_C_QTY]]="","",ROW()-2)</f>
        <v/>
      </c>
    </row>
    <row r="1072" spans="1:48" ht="20.100000000000001" customHeight="1" x14ac:dyDescent="0.25">
      <c r="A10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39" t="str">
        <f>IF(NOTA[[#This Row],[ID_P]]="","",MATCH(NOTA[[#This Row],[ID_P]],[1]!B_MSK[N_ID],0))</f>
        <v/>
      </c>
      <c r="D1072" s="39" t="str">
        <f ca="1">IF(NOTA[[#This Row],[NAMA BARANG]]="","",INDEX(NOTA[ID],MATCH(,INDIRECT(ADDRESS(ROW(NOTA[ID]),COLUMN(NOTA[ID]))&amp;":"&amp;ADDRESS(ROW(),COLUMN(NOTA[ID]))),-1)))</f>
        <v/>
      </c>
      <c r="E1072" s="47"/>
      <c r="H1072" s="48"/>
      <c r="N1072" s="39"/>
      <c r="Q1072" s="43"/>
      <c r="R1072" s="49"/>
      <c r="S1072" s="50"/>
      <c r="U1072" s="51"/>
      <c r="V1072" s="46"/>
      <c r="W1072" s="51" t="str">
        <f>IF(NOTA[[#This Row],[HARGA/ CTN]]="",NOTA[[#This Row],[JUMLAH_H]],NOTA[[#This Row],[HARGA/ CTN]]*IF(NOTA[[#This Row],[C]]="",0,NOTA[[#This Row],[C]]))</f>
        <v/>
      </c>
      <c r="X1072" s="51" t="str">
        <f>IF(NOTA[[#This Row],[JUMLAH]]="","",NOTA[[#This Row],[JUMLAH]]*NOTA[[#This Row],[DISC 1]])</f>
        <v/>
      </c>
      <c r="Y1072" s="51" t="str">
        <f>IF(NOTA[[#This Row],[JUMLAH]]="","",(NOTA[[#This Row],[JUMLAH]]-NOTA[[#This Row],[DISC 1-]])*NOTA[[#This Row],[DISC 2]])</f>
        <v/>
      </c>
      <c r="Z1072" s="51" t="str">
        <f>IF(NOTA[[#This Row],[JUMLAH]]="","",NOTA[[#This Row],[DISC 1-]]+NOTA[[#This Row],[DISC 2-]])</f>
        <v/>
      </c>
      <c r="AA1072" s="51" t="str">
        <f>IF(NOTA[[#This Row],[JUMLAH]]="","",NOTA[[#This Row],[JUMLAH]]-NOTA[[#This Row],[DISC]])</f>
        <v/>
      </c>
      <c r="AB1072" s="51"/>
      <c r="AC10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51" t="str">
        <f>IF(OR(NOTA[[#This Row],[QTY]]="",NOTA[[#This Row],[HARGA SATUAN]]="",),"",NOTA[[#This Row],[QTY]]*NOTA[[#This Row],[HARGA SATUAN]])</f>
        <v/>
      </c>
      <c r="AG1072" s="40" t="str">
        <f ca="1">IF(NOTA[ID_H]="","",INDEX(NOTA[TANGGAL],MATCH(,INDIRECT(ADDRESS(ROW(NOTA[TANGGAL]),COLUMN(NOTA[TANGGAL]))&amp;":"&amp;ADDRESS(ROW(),COLUMN(NOTA[TANGGAL]))),-1)))</f>
        <v/>
      </c>
      <c r="AH1072" s="42" t="str">
        <f ca="1">IF(NOTA[[#This Row],[NAMA BARANG]]="","",INDEX(NOTA[SUPPLIER],MATCH(,INDIRECT(ADDRESS(ROW(NOTA[ID]),COLUMN(NOTA[ID]))&amp;":"&amp;ADDRESS(ROW(),COLUMN(NOTA[ID]))),-1)))</f>
        <v/>
      </c>
      <c r="AI1072" s="42" t="str">
        <f ca="1">IF(NOTA[[#This Row],[ID_H]]="","",IF(NOTA[[#This Row],[FAKTUR]]="",INDIRECT(ADDRESS(ROW()-1,COLUMN())),NOTA[[#This Row],[FAKTUR]]))</f>
        <v/>
      </c>
      <c r="AJ1072" s="39" t="str">
        <f ca="1">IF(NOTA[[#This Row],[ID]]="","",COUNTIF(NOTA[ID_H],NOTA[[#This Row],[ID_H]]))</f>
        <v/>
      </c>
      <c r="AK1072" s="39" t="str">
        <f ca="1">IF(NOTA[[#This Row],[TGL.NOTA]]="",IF(NOTA[[#This Row],[SUPPLIER_H]]="","",AK1071),MONTH(NOTA[[#This Row],[TGL.NOTA]]))</f>
        <v/>
      </c>
      <c r="AL1072" s="39" t="str">
        <f>LOWER(SUBSTITUTE(SUBSTITUTE(SUBSTITUTE(SUBSTITUTE(SUBSTITUTE(SUBSTITUTE(SUBSTITUTE(SUBSTITUTE(SUBSTITUTE(NOTA[NAMA BARANG]," ",),".",""),"-",""),"(",""),")",""),",",""),"/",""),"""",""),"+",""))</f>
        <v/>
      </c>
      <c r="AM10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39" t="str">
        <f>IF(NOTA[[#This Row],[CONCAT4]]="","",_xlfn.IFNA(MATCH(NOTA[[#This Row],[CONCAT4]],[2]!RAW[CONCAT_H],0),FALSE))</f>
        <v/>
      </c>
      <c r="AQ1072" s="39" t="str">
        <f>IF(NOTA[[#This Row],[CONCAT1]]="","",MATCH(NOTA[[#This Row],[CONCAT1]],[3]!db[NB NOTA_C],0))</f>
        <v/>
      </c>
      <c r="AR1072" s="39" t="str">
        <f>IF(NOTA[[#This Row],[QTY/ CTN]]="","",TRUE)</f>
        <v/>
      </c>
      <c r="AS1072" s="39" t="str">
        <f ca="1">IF(NOTA[[#This Row],[ID_H]]="","",IF(NOTA[[#This Row],[Column3]]=TRUE,NOTA[[#This Row],[QTY/ CTN]],INDEX([3]!db[QTY/ CTN],NOTA[[#This Row],[//DB]])))</f>
        <v/>
      </c>
      <c r="AT10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2" s="39" t="str">
        <f ca="1">IF(NOTA[[#This Row],[ID_H]]="","",MATCH(NOTA[[#This Row],[NB NOTA_C_QTY]],[4]!db[NB NOTA_C_QTY+F],0))</f>
        <v/>
      </c>
      <c r="AV1072" s="55" t="str">
        <f ca="1">IF(NOTA[[#This Row],[NB NOTA_C_QTY]]="","",ROW()-2)</f>
        <v/>
      </c>
    </row>
    <row r="1073" spans="1:48" ht="20.100000000000001" customHeight="1" x14ac:dyDescent="0.25">
      <c r="A10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3" s="39" t="str">
        <f>IF(NOTA[[#This Row],[ID_P]]="","",MATCH(NOTA[[#This Row],[ID_P]],[1]!B_MSK[N_ID],0))</f>
        <v/>
      </c>
      <c r="D1073" s="39" t="str">
        <f ca="1">IF(NOTA[[#This Row],[NAMA BARANG]]="","",INDEX(NOTA[ID],MATCH(,INDIRECT(ADDRESS(ROW(NOTA[ID]),COLUMN(NOTA[ID]))&amp;":"&amp;ADDRESS(ROW(),COLUMN(NOTA[ID]))),-1)))</f>
        <v/>
      </c>
      <c r="E1073" s="47"/>
      <c r="H1073" s="48"/>
      <c r="N1073" s="39"/>
      <c r="Q1073" s="43"/>
      <c r="R1073" s="49"/>
      <c r="S1073" s="50"/>
      <c r="U1073" s="51"/>
      <c r="V1073" s="46"/>
      <c r="W1073" s="51" t="str">
        <f>IF(NOTA[[#This Row],[HARGA/ CTN]]="",NOTA[[#This Row],[JUMLAH_H]],NOTA[[#This Row],[HARGA/ CTN]]*IF(NOTA[[#This Row],[C]]="",0,NOTA[[#This Row],[C]]))</f>
        <v/>
      </c>
      <c r="X1073" s="51" t="str">
        <f>IF(NOTA[[#This Row],[JUMLAH]]="","",NOTA[[#This Row],[JUMLAH]]*NOTA[[#This Row],[DISC 1]])</f>
        <v/>
      </c>
      <c r="Y1073" s="51" t="str">
        <f>IF(NOTA[[#This Row],[JUMLAH]]="","",(NOTA[[#This Row],[JUMLAH]]-NOTA[[#This Row],[DISC 1-]])*NOTA[[#This Row],[DISC 2]])</f>
        <v/>
      </c>
      <c r="Z1073" s="51" t="str">
        <f>IF(NOTA[[#This Row],[JUMLAH]]="","",NOTA[[#This Row],[DISC 1-]]+NOTA[[#This Row],[DISC 2-]])</f>
        <v/>
      </c>
      <c r="AA1073" s="51" t="str">
        <f>IF(NOTA[[#This Row],[JUMLAH]]="","",NOTA[[#This Row],[JUMLAH]]-NOTA[[#This Row],[DISC]])</f>
        <v/>
      </c>
      <c r="AB1073" s="51"/>
      <c r="AC10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3" s="51" t="str">
        <f>IF(OR(NOTA[[#This Row],[QTY]]="",NOTA[[#This Row],[HARGA SATUAN]]="",),"",NOTA[[#This Row],[QTY]]*NOTA[[#This Row],[HARGA SATUAN]])</f>
        <v/>
      </c>
      <c r="AG1073" s="40" t="str">
        <f ca="1">IF(NOTA[ID_H]="","",INDEX(NOTA[TANGGAL],MATCH(,INDIRECT(ADDRESS(ROW(NOTA[TANGGAL]),COLUMN(NOTA[TANGGAL]))&amp;":"&amp;ADDRESS(ROW(),COLUMN(NOTA[TANGGAL]))),-1)))</f>
        <v/>
      </c>
      <c r="AH1073" s="42" t="str">
        <f ca="1">IF(NOTA[[#This Row],[NAMA BARANG]]="","",INDEX(NOTA[SUPPLIER],MATCH(,INDIRECT(ADDRESS(ROW(NOTA[ID]),COLUMN(NOTA[ID]))&amp;":"&amp;ADDRESS(ROW(),COLUMN(NOTA[ID]))),-1)))</f>
        <v/>
      </c>
      <c r="AI1073" s="42" t="str">
        <f ca="1">IF(NOTA[[#This Row],[ID_H]]="","",IF(NOTA[[#This Row],[FAKTUR]]="",INDIRECT(ADDRESS(ROW()-1,COLUMN())),NOTA[[#This Row],[FAKTUR]]))</f>
        <v/>
      </c>
      <c r="AJ1073" s="39" t="str">
        <f ca="1">IF(NOTA[[#This Row],[ID]]="","",COUNTIF(NOTA[ID_H],NOTA[[#This Row],[ID_H]]))</f>
        <v/>
      </c>
      <c r="AK1073" s="39" t="str">
        <f ca="1">IF(NOTA[[#This Row],[TGL.NOTA]]="",IF(NOTA[[#This Row],[SUPPLIER_H]]="","",AK1072),MONTH(NOTA[[#This Row],[TGL.NOTA]]))</f>
        <v/>
      </c>
      <c r="AL1073" s="39" t="str">
        <f>LOWER(SUBSTITUTE(SUBSTITUTE(SUBSTITUTE(SUBSTITUTE(SUBSTITUTE(SUBSTITUTE(SUBSTITUTE(SUBSTITUTE(SUBSTITUTE(NOTA[NAMA BARANG]," ",),".",""),"-",""),"(",""),")",""),",",""),"/",""),"""",""),"+",""))</f>
        <v/>
      </c>
      <c r="AM10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3" s="39" t="str">
        <f>IF(NOTA[[#This Row],[CONCAT4]]="","",_xlfn.IFNA(MATCH(NOTA[[#This Row],[CONCAT4]],[2]!RAW[CONCAT_H],0),FALSE))</f>
        <v/>
      </c>
      <c r="AQ1073" s="39" t="str">
        <f>IF(NOTA[[#This Row],[CONCAT1]]="","",MATCH(NOTA[[#This Row],[CONCAT1]],[3]!db[NB NOTA_C],0))</f>
        <v/>
      </c>
      <c r="AR1073" s="39" t="str">
        <f>IF(NOTA[[#This Row],[QTY/ CTN]]="","",TRUE)</f>
        <v/>
      </c>
      <c r="AS1073" s="39" t="str">
        <f ca="1">IF(NOTA[[#This Row],[ID_H]]="","",IF(NOTA[[#This Row],[Column3]]=TRUE,NOTA[[#This Row],[QTY/ CTN]],INDEX([3]!db[QTY/ CTN],NOTA[[#This Row],[//DB]])))</f>
        <v/>
      </c>
      <c r="AT10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3" s="39" t="str">
        <f ca="1">IF(NOTA[[#This Row],[ID_H]]="","",MATCH(NOTA[[#This Row],[NB NOTA_C_QTY]],[4]!db[NB NOTA_C_QTY+F],0))</f>
        <v/>
      </c>
      <c r="AV1073" s="55" t="str">
        <f ca="1">IF(NOTA[[#This Row],[NB NOTA_C_QTY]]="","",ROW()-2)</f>
        <v/>
      </c>
    </row>
    <row r="1074" spans="1:48" ht="20.100000000000001" customHeight="1" x14ac:dyDescent="0.25">
      <c r="A10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39" t="str">
        <f>IF(NOTA[[#This Row],[ID_P]]="","",MATCH(NOTA[[#This Row],[ID_P]],[1]!B_MSK[N_ID],0))</f>
        <v/>
      </c>
      <c r="D1074" s="39" t="str">
        <f ca="1">IF(NOTA[[#This Row],[NAMA BARANG]]="","",INDEX(NOTA[ID],MATCH(,INDIRECT(ADDRESS(ROW(NOTA[ID]),COLUMN(NOTA[ID]))&amp;":"&amp;ADDRESS(ROW(),COLUMN(NOTA[ID]))),-1)))</f>
        <v/>
      </c>
      <c r="E1074" s="47"/>
      <c r="H1074" s="48"/>
      <c r="N1074" s="39"/>
      <c r="Q1074" s="43"/>
      <c r="R1074" s="49"/>
      <c r="S1074" s="50"/>
      <c r="U1074" s="51"/>
      <c r="V1074" s="46"/>
      <c r="W1074" s="51" t="str">
        <f>IF(NOTA[[#This Row],[HARGA/ CTN]]="",NOTA[[#This Row],[JUMLAH_H]],NOTA[[#This Row],[HARGA/ CTN]]*IF(NOTA[[#This Row],[C]]="",0,NOTA[[#This Row],[C]]))</f>
        <v/>
      </c>
      <c r="X1074" s="51" t="str">
        <f>IF(NOTA[[#This Row],[JUMLAH]]="","",NOTA[[#This Row],[JUMLAH]]*NOTA[[#This Row],[DISC 1]])</f>
        <v/>
      </c>
      <c r="Y1074" s="51" t="str">
        <f>IF(NOTA[[#This Row],[JUMLAH]]="","",(NOTA[[#This Row],[JUMLAH]]-NOTA[[#This Row],[DISC 1-]])*NOTA[[#This Row],[DISC 2]])</f>
        <v/>
      </c>
      <c r="Z1074" s="51" t="str">
        <f>IF(NOTA[[#This Row],[JUMLAH]]="","",NOTA[[#This Row],[DISC 1-]]+NOTA[[#This Row],[DISC 2-]])</f>
        <v/>
      </c>
      <c r="AA1074" s="51" t="str">
        <f>IF(NOTA[[#This Row],[JUMLAH]]="","",NOTA[[#This Row],[JUMLAH]]-NOTA[[#This Row],[DISC]])</f>
        <v/>
      </c>
      <c r="AB1074" s="51"/>
      <c r="AC10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4" s="51" t="str">
        <f>IF(OR(NOTA[[#This Row],[QTY]]="",NOTA[[#This Row],[HARGA SATUAN]]="",),"",NOTA[[#This Row],[QTY]]*NOTA[[#This Row],[HARGA SATUAN]])</f>
        <v/>
      </c>
      <c r="AG1074" s="40" t="str">
        <f ca="1">IF(NOTA[ID_H]="","",INDEX(NOTA[TANGGAL],MATCH(,INDIRECT(ADDRESS(ROW(NOTA[TANGGAL]),COLUMN(NOTA[TANGGAL]))&amp;":"&amp;ADDRESS(ROW(),COLUMN(NOTA[TANGGAL]))),-1)))</f>
        <v/>
      </c>
      <c r="AH1074" s="42" t="str">
        <f ca="1">IF(NOTA[[#This Row],[NAMA BARANG]]="","",INDEX(NOTA[SUPPLIER],MATCH(,INDIRECT(ADDRESS(ROW(NOTA[ID]),COLUMN(NOTA[ID]))&amp;":"&amp;ADDRESS(ROW(),COLUMN(NOTA[ID]))),-1)))</f>
        <v/>
      </c>
      <c r="AI1074" s="42" t="str">
        <f ca="1">IF(NOTA[[#This Row],[ID_H]]="","",IF(NOTA[[#This Row],[FAKTUR]]="",INDIRECT(ADDRESS(ROW()-1,COLUMN())),NOTA[[#This Row],[FAKTUR]]))</f>
        <v/>
      </c>
      <c r="AJ1074" s="39" t="str">
        <f ca="1">IF(NOTA[[#This Row],[ID]]="","",COUNTIF(NOTA[ID_H],NOTA[[#This Row],[ID_H]]))</f>
        <v/>
      </c>
      <c r="AK1074" s="39" t="str">
        <f ca="1">IF(NOTA[[#This Row],[TGL.NOTA]]="",IF(NOTA[[#This Row],[SUPPLIER_H]]="","",AK1073),MONTH(NOTA[[#This Row],[TGL.NOTA]]))</f>
        <v/>
      </c>
      <c r="AL1074" s="39" t="str">
        <f>LOWER(SUBSTITUTE(SUBSTITUTE(SUBSTITUTE(SUBSTITUTE(SUBSTITUTE(SUBSTITUTE(SUBSTITUTE(SUBSTITUTE(SUBSTITUTE(NOTA[NAMA BARANG]," ",),".",""),"-",""),"(",""),")",""),",",""),"/",""),"""",""),"+",""))</f>
        <v/>
      </c>
      <c r="AM10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39" t="str">
        <f>IF(NOTA[[#This Row],[CONCAT4]]="","",_xlfn.IFNA(MATCH(NOTA[[#This Row],[CONCAT4]],[2]!RAW[CONCAT_H],0),FALSE))</f>
        <v/>
      </c>
      <c r="AQ1074" s="39" t="str">
        <f>IF(NOTA[[#This Row],[CONCAT1]]="","",MATCH(NOTA[[#This Row],[CONCAT1]],[3]!db[NB NOTA_C],0))</f>
        <v/>
      </c>
      <c r="AR1074" s="39" t="str">
        <f>IF(NOTA[[#This Row],[QTY/ CTN]]="","",TRUE)</f>
        <v/>
      </c>
      <c r="AS1074" s="39" t="str">
        <f ca="1">IF(NOTA[[#This Row],[ID_H]]="","",IF(NOTA[[#This Row],[Column3]]=TRUE,NOTA[[#This Row],[QTY/ CTN]],INDEX([3]!db[QTY/ CTN],NOTA[[#This Row],[//DB]])))</f>
        <v/>
      </c>
      <c r="AT10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4" s="39" t="str">
        <f ca="1">IF(NOTA[[#This Row],[ID_H]]="","",MATCH(NOTA[[#This Row],[NB NOTA_C_QTY]],[4]!db[NB NOTA_C_QTY+F],0))</f>
        <v/>
      </c>
      <c r="AV1074" s="55" t="str">
        <f ca="1">IF(NOTA[[#This Row],[NB NOTA_C_QTY]]="","",ROW()-2)</f>
        <v/>
      </c>
    </row>
    <row r="1075" spans="1:48" ht="20.100000000000001" customHeight="1" x14ac:dyDescent="0.25">
      <c r="A10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39" t="str">
        <f>IF(NOTA[[#This Row],[ID_P]]="","",MATCH(NOTA[[#This Row],[ID_P]],[1]!B_MSK[N_ID],0))</f>
        <v/>
      </c>
      <c r="D1075" s="39" t="str">
        <f ca="1">IF(NOTA[[#This Row],[NAMA BARANG]]="","",INDEX(NOTA[ID],MATCH(,INDIRECT(ADDRESS(ROW(NOTA[ID]),COLUMN(NOTA[ID]))&amp;":"&amp;ADDRESS(ROW(),COLUMN(NOTA[ID]))),-1)))</f>
        <v/>
      </c>
      <c r="E1075" s="47"/>
      <c r="H1075" s="48"/>
      <c r="N1075" s="39"/>
      <c r="Q1075" s="43"/>
      <c r="R1075" s="49"/>
      <c r="S1075" s="50"/>
      <c r="U1075" s="51"/>
      <c r="V1075" s="46"/>
      <c r="W1075" s="51" t="str">
        <f>IF(NOTA[[#This Row],[HARGA/ CTN]]="",NOTA[[#This Row],[JUMLAH_H]],NOTA[[#This Row],[HARGA/ CTN]]*IF(NOTA[[#This Row],[C]]="",0,NOTA[[#This Row],[C]]))</f>
        <v/>
      </c>
      <c r="X1075" s="51" t="str">
        <f>IF(NOTA[[#This Row],[JUMLAH]]="","",NOTA[[#This Row],[JUMLAH]]*NOTA[[#This Row],[DISC 1]])</f>
        <v/>
      </c>
      <c r="Y1075" s="51" t="str">
        <f>IF(NOTA[[#This Row],[JUMLAH]]="","",(NOTA[[#This Row],[JUMLAH]]-NOTA[[#This Row],[DISC 1-]])*NOTA[[#This Row],[DISC 2]])</f>
        <v/>
      </c>
      <c r="Z1075" s="51" t="str">
        <f>IF(NOTA[[#This Row],[JUMLAH]]="","",NOTA[[#This Row],[DISC 1-]]+NOTA[[#This Row],[DISC 2-]])</f>
        <v/>
      </c>
      <c r="AA1075" s="51" t="str">
        <f>IF(NOTA[[#This Row],[JUMLAH]]="","",NOTA[[#This Row],[JUMLAH]]-NOTA[[#This Row],[DISC]])</f>
        <v/>
      </c>
      <c r="AB1075" s="51"/>
      <c r="AC10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5" s="51" t="str">
        <f>IF(OR(NOTA[[#This Row],[QTY]]="",NOTA[[#This Row],[HARGA SATUAN]]="",),"",NOTA[[#This Row],[QTY]]*NOTA[[#This Row],[HARGA SATUAN]])</f>
        <v/>
      </c>
      <c r="AG1075" s="40" t="str">
        <f ca="1">IF(NOTA[ID_H]="","",INDEX(NOTA[TANGGAL],MATCH(,INDIRECT(ADDRESS(ROW(NOTA[TANGGAL]),COLUMN(NOTA[TANGGAL]))&amp;":"&amp;ADDRESS(ROW(),COLUMN(NOTA[TANGGAL]))),-1)))</f>
        <v/>
      </c>
      <c r="AH1075" s="42" t="str">
        <f ca="1">IF(NOTA[[#This Row],[NAMA BARANG]]="","",INDEX(NOTA[SUPPLIER],MATCH(,INDIRECT(ADDRESS(ROW(NOTA[ID]),COLUMN(NOTA[ID]))&amp;":"&amp;ADDRESS(ROW(),COLUMN(NOTA[ID]))),-1)))</f>
        <v/>
      </c>
      <c r="AI1075" s="42" t="str">
        <f ca="1">IF(NOTA[[#This Row],[ID_H]]="","",IF(NOTA[[#This Row],[FAKTUR]]="",INDIRECT(ADDRESS(ROW()-1,COLUMN())),NOTA[[#This Row],[FAKTUR]]))</f>
        <v/>
      </c>
      <c r="AJ1075" s="39" t="str">
        <f ca="1">IF(NOTA[[#This Row],[ID]]="","",COUNTIF(NOTA[ID_H],NOTA[[#This Row],[ID_H]]))</f>
        <v/>
      </c>
      <c r="AK1075" s="39" t="str">
        <f ca="1">IF(NOTA[[#This Row],[TGL.NOTA]]="",IF(NOTA[[#This Row],[SUPPLIER_H]]="","",AK1074),MONTH(NOTA[[#This Row],[TGL.NOTA]]))</f>
        <v/>
      </c>
      <c r="AL1075" s="39" t="str">
        <f>LOWER(SUBSTITUTE(SUBSTITUTE(SUBSTITUTE(SUBSTITUTE(SUBSTITUTE(SUBSTITUTE(SUBSTITUTE(SUBSTITUTE(SUBSTITUTE(NOTA[NAMA BARANG]," ",),".",""),"-",""),"(",""),")",""),",",""),"/",""),"""",""),"+",""))</f>
        <v/>
      </c>
      <c r="AM10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39" t="str">
        <f>IF(NOTA[[#This Row],[CONCAT4]]="","",_xlfn.IFNA(MATCH(NOTA[[#This Row],[CONCAT4]],[2]!RAW[CONCAT_H],0),FALSE))</f>
        <v/>
      </c>
      <c r="AQ1075" s="39" t="str">
        <f>IF(NOTA[[#This Row],[CONCAT1]]="","",MATCH(NOTA[[#This Row],[CONCAT1]],[3]!db[NB NOTA_C],0))</f>
        <v/>
      </c>
      <c r="AR1075" s="39" t="str">
        <f>IF(NOTA[[#This Row],[QTY/ CTN]]="","",TRUE)</f>
        <v/>
      </c>
      <c r="AS1075" s="39" t="str">
        <f ca="1">IF(NOTA[[#This Row],[ID_H]]="","",IF(NOTA[[#This Row],[Column3]]=TRUE,NOTA[[#This Row],[QTY/ CTN]],INDEX([3]!db[QTY/ CTN],NOTA[[#This Row],[//DB]])))</f>
        <v/>
      </c>
      <c r="AT10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5" s="39" t="str">
        <f ca="1">IF(NOTA[[#This Row],[ID_H]]="","",MATCH(NOTA[[#This Row],[NB NOTA_C_QTY]],[4]!db[NB NOTA_C_QTY+F],0))</f>
        <v/>
      </c>
      <c r="AV1075" s="55" t="str">
        <f ca="1">IF(NOTA[[#This Row],[NB NOTA_C_QTY]]="","",ROW()-2)</f>
        <v/>
      </c>
    </row>
    <row r="1076" spans="1:48" ht="20.100000000000001" customHeight="1" x14ac:dyDescent="0.25">
      <c r="A10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39" t="str">
        <f>IF(NOTA[[#This Row],[ID_P]]="","",MATCH(NOTA[[#This Row],[ID_P]],[1]!B_MSK[N_ID],0))</f>
        <v/>
      </c>
      <c r="D1076" s="39" t="str">
        <f ca="1">IF(NOTA[[#This Row],[NAMA BARANG]]="","",INDEX(NOTA[ID],MATCH(,INDIRECT(ADDRESS(ROW(NOTA[ID]),COLUMN(NOTA[ID]))&amp;":"&amp;ADDRESS(ROW(),COLUMN(NOTA[ID]))),-1)))</f>
        <v/>
      </c>
      <c r="E1076" s="47"/>
      <c r="H1076" s="48"/>
      <c r="N1076" s="39"/>
      <c r="Q1076" s="43"/>
      <c r="R1076" s="49"/>
      <c r="S1076" s="50"/>
      <c r="U1076" s="51"/>
      <c r="V1076" s="46"/>
      <c r="W1076" s="51" t="str">
        <f>IF(NOTA[[#This Row],[HARGA/ CTN]]="",NOTA[[#This Row],[JUMLAH_H]],NOTA[[#This Row],[HARGA/ CTN]]*IF(NOTA[[#This Row],[C]]="",0,NOTA[[#This Row],[C]]))</f>
        <v/>
      </c>
      <c r="X1076" s="51" t="str">
        <f>IF(NOTA[[#This Row],[JUMLAH]]="","",NOTA[[#This Row],[JUMLAH]]*NOTA[[#This Row],[DISC 1]])</f>
        <v/>
      </c>
      <c r="Y1076" s="51" t="str">
        <f>IF(NOTA[[#This Row],[JUMLAH]]="","",(NOTA[[#This Row],[JUMLAH]]-NOTA[[#This Row],[DISC 1-]])*NOTA[[#This Row],[DISC 2]])</f>
        <v/>
      </c>
      <c r="Z1076" s="51" t="str">
        <f>IF(NOTA[[#This Row],[JUMLAH]]="","",NOTA[[#This Row],[DISC 1-]]+NOTA[[#This Row],[DISC 2-]])</f>
        <v/>
      </c>
      <c r="AA1076" s="51" t="str">
        <f>IF(NOTA[[#This Row],[JUMLAH]]="","",NOTA[[#This Row],[JUMLAH]]-NOTA[[#This Row],[DISC]])</f>
        <v/>
      </c>
      <c r="AB1076" s="51"/>
      <c r="AC10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6" s="51" t="str">
        <f>IF(OR(NOTA[[#This Row],[QTY]]="",NOTA[[#This Row],[HARGA SATUAN]]="",),"",NOTA[[#This Row],[QTY]]*NOTA[[#This Row],[HARGA SATUAN]])</f>
        <v/>
      </c>
      <c r="AG1076" s="40" t="str">
        <f ca="1">IF(NOTA[ID_H]="","",INDEX(NOTA[TANGGAL],MATCH(,INDIRECT(ADDRESS(ROW(NOTA[TANGGAL]),COLUMN(NOTA[TANGGAL]))&amp;":"&amp;ADDRESS(ROW(),COLUMN(NOTA[TANGGAL]))),-1)))</f>
        <v/>
      </c>
      <c r="AH1076" s="42" t="str">
        <f ca="1">IF(NOTA[[#This Row],[NAMA BARANG]]="","",INDEX(NOTA[SUPPLIER],MATCH(,INDIRECT(ADDRESS(ROW(NOTA[ID]),COLUMN(NOTA[ID]))&amp;":"&amp;ADDRESS(ROW(),COLUMN(NOTA[ID]))),-1)))</f>
        <v/>
      </c>
      <c r="AI1076" s="42" t="str">
        <f ca="1">IF(NOTA[[#This Row],[ID_H]]="","",IF(NOTA[[#This Row],[FAKTUR]]="",INDIRECT(ADDRESS(ROW()-1,COLUMN())),NOTA[[#This Row],[FAKTUR]]))</f>
        <v/>
      </c>
      <c r="AJ1076" s="39" t="str">
        <f ca="1">IF(NOTA[[#This Row],[ID]]="","",COUNTIF(NOTA[ID_H],NOTA[[#This Row],[ID_H]]))</f>
        <v/>
      </c>
      <c r="AK1076" s="39" t="str">
        <f ca="1">IF(NOTA[[#This Row],[TGL.NOTA]]="",IF(NOTA[[#This Row],[SUPPLIER_H]]="","",AK1075),MONTH(NOTA[[#This Row],[TGL.NOTA]]))</f>
        <v/>
      </c>
      <c r="AL1076" s="39" t="str">
        <f>LOWER(SUBSTITUTE(SUBSTITUTE(SUBSTITUTE(SUBSTITUTE(SUBSTITUTE(SUBSTITUTE(SUBSTITUTE(SUBSTITUTE(SUBSTITUTE(NOTA[NAMA BARANG]," ",),".",""),"-",""),"(",""),")",""),",",""),"/",""),"""",""),"+",""))</f>
        <v/>
      </c>
      <c r="AM10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39" t="str">
        <f>IF(NOTA[[#This Row],[CONCAT4]]="","",_xlfn.IFNA(MATCH(NOTA[[#This Row],[CONCAT4]],[2]!RAW[CONCAT_H],0),FALSE))</f>
        <v/>
      </c>
      <c r="AQ1076" s="39" t="str">
        <f>IF(NOTA[[#This Row],[CONCAT1]]="","",MATCH(NOTA[[#This Row],[CONCAT1]],[3]!db[NB NOTA_C],0))</f>
        <v/>
      </c>
      <c r="AR1076" s="39" t="str">
        <f>IF(NOTA[[#This Row],[QTY/ CTN]]="","",TRUE)</f>
        <v/>
      </c>
      <c r="AS1076" s="39" t="str">
        <f ca="1">IF(NOTA[[#This Row],[ID_H]]="","",IF(NOTA[[#This Row],[Column3]]=TRUE,NOTA[[#This Row],[QTY/ CTN]],INDEX([3]!db[QTY/ CTN],NOTA[[#This Row],[//DB]])))</f>
        <v/>
      </c>
      <c r="AT10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6" s="39" t="str">
        <f ca="1">IF(NOTA[[#This Row],[ID_H]]="","",MATCH(NOTA[[#This Row],[NB NOTA_C_QTY]],[4]!db[NB NOTA_C_QTY+F],0))</f>
        <v/>
      </c>
      <c r="AV1076" s="55" t="str">
        <f ca="1">IF(NOTA[[#This Row],[NB NOTA_C_QTY]]="","",ROW()-2)</f>
        <v/>
      </c>
    </row>
    <row r="1077" spans="1:48" ht="20.100000000000001" customHeight="1" x14ac:dyDescent="0.25">
      <c r="A10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39" t="str">
        <f>IF(NOTA[[#This Row],[ID_P]]="","",MATCH(NOTA[[#This Row],[ID_P]],[1]!B_MSK[N_ID],0))</f>
        <v/>
      </c>
      <c r="D1077" s="39" t="str">
        <f ca="1">IF(NOTA[[#This Row],[NAMA BARANG]]="","",INDEX(NOTA[ID],MATCH(,INDIRECT(ADDRESS(ROW(NOTA[ID]),COLUMN(NOTA[ID]))&amp;":"&amp;ADDRESS(ROW(),COLUMN(NOTA[ID]))),-1)))</f>
        <v/>
      </c>
      <c r="E1077" s="47"/>
      <c r="H1077" s="48"/>
      <c r="N1077" s="39"/>
      <c r="Q1077" s="43"/>
      <c r="R1077" s="49"/>
      <c r="S1077" s="50"/>
      <c r="U1077" s="51"/>
      <c r="V1077" s="46"/>
      <c r="W1077" s="51" t="str">
        <f>IF(NOTA[[#This Row],[HARGA/ CTN]]="",NOTA[[#This Row],[JUMLAH_H]],NOTA[[#This Row],[HARGA/ CTN]]*IF(NOTA[[#This Row],[C]]="",0,NOTA[[#This Row],[C]]))</f>
        <v/>
      </c>
      <c r="X1077" s="51" t="str">
        <f>IF(NOTA[[#This Row],[JUMLAH]]="","",NOTA[[#This Row],[JUMLAH]]*NOTA[[#This Row],[DISC 1]])</f>
        <v/>
      </c>
      <c r="Y1077" s="51" t="str">
        <f>IF(NOTA[[#This Row],[JUMLAH]]="","",(NOTA[[#This Row],[JUMLAH]]-NOTA[[#This Row],[DISC 1-]])*NOTA[[#This Row],[DISC 2]])</f>
        <v/>
      </c>
      <c r="Z1077" s="51" t="str">
        <f>IF(NOTA[[#This Row],[JUMLAH]]="","",NOTA[[#This Row],[DISC 1-]]+NOTA[[#This Row],[DISC 2-]])</f>
        <v/>
      </c>
      <c r="AA1077" s="51" t="str">
        <f>IF(NOTA[[#This Row],[JUMLAH]]="","",NOTA[[#This Row],[JUMLAH]]-NOTA[[#This Row],[DISC]])</f>
        <v/>
      </c>
      <c r="AB1077" s="51"/>
      <c r="AC10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7" s="51" t="str">
        <f>IF(OR(NOTA[[#This Row],[QTY]]="",NOTA[[#This Row],[HARGA SATUAN]]="",),"",NOTA[[#This Row],[QTY]]*NOTA[[#This Row],[HARGA SATUAN]])</f>
        <v/>
      </c>
      <c r="AG1077" s="40" t="str">
        <f ca="1">IF(NOTA[ID_H]="","",INDEX(NOTA[TANGGAL],MATCH(,INDIRECT(ADDRESS(ROW(NOTA[TANGGAL]),COLUMN(NOTA[TANGGAL]))&amp;":"&amp;ADDRESS(ROW(),COLUMN(NOTA[TANGGAL]))),-1)))</f>
        <v/>
      </c>
      <c r="AH1077" s="42" t="str">
        <f ca="1">IF(NOTA[[#This Row],[NAMA BARANG]]="","",INDEX(NOTA[SUPPLIER],MATCH(,INDIRECT(ADDRESS(ROW(NOTA[ID]),COLUMN(NOTA[ID]))&amp;":"&amp;ADDRESS(ROW(),COLUMN(NOTA[ID]))),-1)))</f>
        <v/>
      </c>
      <c r="AI1077" s="42" t="str">
        <f ca="1">IF(NOTA[[#This Row],[ID_H]]="","",IF(NOTA[[#This Row],[FAKTUR]]="",INDIRECT(ADDRESS(ROW()-1,COLUMN())),NOTA[[#This Row],[FAKTUR]]))</f>
        <v/>
      </c>
      <c r="AJ1077" s="39" t="str">
        <f ca="1">IF(NOTA[[#This Row],[ID]]="","",COUNTIF(NOTA[ID_H],NOTA[[#This Row],[ID_H]]))</f>
        <v/>
      </c>
      <c r="AK1077" s="39" t="str">
        <f ca="1">IF(NOTA[[#This Row],[TGL.NOTA]]="",IF(NOTA[[#This Row],[SUPPLIER_H]]="","",AK1076),MONTH(NOTA[[#This Row],[TGL.NOTA]]))</f>
        <v/>
      </c>
      <c r="AL1077" s="39" t="str">
        <f>LOWER(SUBSTITUTE(SUBSTITUTE(SUBSTITUTE(SUBSTITUTE(SUBSTITUTE(SUBSTITUTE(SUBSTITUTE(SUBSTITUTE(SUBSTITUTE(NOTA[NAMA BARANG]," ",),".",""),"-",""),"(",""),")",""),",",""),"/",""),"""",""),"+",""))</f>
        <v/>
      </c>
      <c r="AM10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39" t="str">
        <f>IF(NOTA[[#This Row],[CONCAT4]]="","",_xlfn.IFNA(MATCH(NOTA[[#This Row],[CONCAT4]],[2]!RAW[CONCAT_H],0),FALSE))</f>
        <v/>
      </c>
      <c r="AQ1077" s="39" t="str">
        <f>IF(NOTA[[#This Row],[CONCAT1]]="","",MATCH(NOTA[[#This Row],[CONCAT1]],[3]!db[NB NOTA_C],0))</f>
        <v/>
      </c>
      <c r="AR1077" s="39" t="str">
        <f>IF(NOTA[[#This Row],[QTY/ CTN]]="","",TRUE)</f>
        <v/>
      </c>
      <c r="AS1077" s="39" t="str">
        <f ca="1">IF(NOTA[[#This Row],[ID_H]]="","",IF(NOTA[[#This Row],[Column3]]=TRUE,NOTA[[#This Row],[QTY/ CTN]],INDEX([3]!db[QTY/ CTN],NOTA[[#This Row],[//DB]])))</f>
        <v/>
      </c>
      <c r="AT10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7" s="39" t="str">
        <f ca="1">IF(NOTA[[#This Row],[ID_H]]="","",MATCH(NOTA[[#This Row],[NB NOTA_C_QTY]],[4]!db[NB NOTA_C_QTY+F],0))</f>
        <v/>
      </c>
      <c r="AV1077" s="55" t="str">
        <f ca="1">IF(NOTA[[#This Row],[NB NOTA_C_QTY]]="","",ROW()-2)</f>
        <v/>
      </c>
    </row>
    <row r="1078" spans="1:48" ht="20.100000000000001" customHeight="1" x14ac:dyDescent="0.25">
      <c r="A10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39" t="str">
        <f>IF(NOTA[[#This Row],[ID_P]]="","",MATCH(NOTA[[#This Row],[ID_P]],[1]!B_MSK[N_ID],0))</f>
        <v/>
      </c>
      <c r="D1078" s="39" t="str">
        <f ca="1">IF(NOTA[[#This Row],[NAMA BARANG]]="","",INDEX(NOTA[ID],MATCH(,INDIRECT(ADDRESS(ROW(NOTA[ID]),COLUMN(NOTA[ID]))&amp;":"&amp;ADDRESS(ROW(),COLUMN(NOTA[ID]))),-1)))</f>
        <v/>
      </c>
      <c r="E1078" s="47"/>
      <c r="H1078" s="48"/>
      <c r="N1078" s="39"/>
      <c r="Q1078" s="43"/>
      <c r="R1078" s="49"/>
      <c r="S1078" s="50"/>
      <c r="U1078" s="51"/>
      <c r="V1078" s="46"/>
      <c r="W1078" s="51" t="str">
        <f>IF(NOTA[[#This Row],[HARGA/ CTN]]="",NOTA[[#This Row],[JUMLAH_H]],NOTA[[#This Row],[HARGA/ CTN]]*IF(NOTA[[#This Row],[C]]="",0,NOTA[[#This Row],[C]]))</f>
        <v/>
      </c>
      <c r="X1078" s="51" t="str">
        <f>IF(NOTA[[#This Row],[JUMLAH]]="","",NOTA[[#This Row],[JUMLAH]]*NOTA[[#This Row],[DISC 1]])</f>
        <v/>
      </c>
      <c r="Y1078" s="51" t="str">
        <f>IF(NOTA[[#This Row],[JUMLAH]]="","",(NOTA[[#This Row],[JUMLAH]]-NOTA[[#This Row],[DISC 1-]])*NOTA[[#This Row],[DISC 2]])</f>
        <v/>
      </c>
      <c r="Z1078" s="51" t="str">
        <f>IF(NOTA[[#This Row],[JUMLAH]]="","",NOTA[[#This Row],[DISC 1-]]+NOTA[[#This Row],[DISC 2-]])</f>
        <v/>
      </c>
      <c r="AA1078" s="51" t="str">
        <f>IF(NOTA[[#This Row],[JUMLAH]]="","",NOTA[[#This Row],[JUMLAH]]-NOTA[[#This Row],[DISC]])</f>
        <v/>
      </c>
      <c r="AB1078" s="51"/>
      <c r="AC10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8" s="51" t="str">
        <f>IF(OR(NOTA[[#This Row],[QTY]]="",NOTA[[#This Row],[HARGA SATUAN]]="",),"",NOTA[[#This Row],[QTY]]*NOTA[[#This Row],[HARGA SATUAN]])</f>
        <v/>
      </c>
      <c r="AG1078" s="40" t="str">
        <f ca="1">IF(NOTA[ID_H]="","",INDEX(NOTA[TANGGAL],MATCH(,INDIRECT(ADDRESS(ROW(NOTA[TANGGAL]),COLUMN(NOTA[TANGGAL]))&amp;":"&amp;ADDRESS(ROW(),COLUMN(NOTA[TANGGAL]))),-1)))</f>
        <v/>
      </c>
      <c r="AH1078" s="42" t="str">
        <f ca="1">IF(NOTA[[#This Row],[NAMA BARANG]]="","",INDEX(NOTA[SUPPLIER],MATCH(,INDIRECT(ADDRESS(ROW(NOTA[ID]),COLUMN(NOTA[ID]))&amp;":"&amp;ADDRESS(ROW(),COLUMN(NOTA[ID]))),-1)))</f>
        <v/>
      </c>
      <c r="AI1078" s="42" t="str">
        <f ca="1">IF(NOTA[[#This Row],[ID_H]]="","",IF(NOTA[[#This Row],[FAKTUR]]="",INDIRECT(ADDRESS(ROW()-1,COLUMN())),NOTA[[#This Row],[FAKTUR]]))</f>
        <v/>
      </c>
      <c r="AJ1078" s="39" t="str">
        <f ca="1">IF(NOTA[[#This Row],[ID]]="","",COUNTIF(NOTA[ID_H],NOTA[[#This Row],[ID_H]]))</f>
        <v/>
      </c>
      <c r="AK1078" s="39" t="str">
        <f ca="1">IF(NOTA[[#This Row],[TGL.NOTA]]="",IF(NOTA[[#This Row],[SUPPLIER_H]]="","",AK1077),MONTH(NOTA[[#This Row],[TGL.NOTA]]))</f>
        <v/>
      </c>
      <c r="AL1078" s="39" t="str">
        <f>LOWER(SUBSTITUTE(SUBSTITUTE(SUBSTITUTE(SUBSTITUTE(SUBSTITUTE(SUBSTITUTE(SUBSTITUTE(SUBSTITUTE(SUBSTITUTE(NOTA[NAMA BARANG]," ",),".",""),"-",""),"(",""),")",""),",",""),"/",""),"""",""),"+",""))</f>
        <v/>
      </c>
      <c r="AM10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39" t="str">
        <f>IF(NOTA[[#This Row],[CONCAT4]]="","",_xlfn.IFNA(MATCH(NOTA[[#This Row],[CONCAT4]],[2]!RAW[CONCAT_H],0),FALSE))</f>
        <v/>
      </c>
      <c r="AQ1078" s="39" t="str">
        <f>IF(NOTA[[#This Row],[CONCAT1]]="","",MATCH(NOTA[[#This Row],[CONCAT1]],[3]!db[NB NOTA_C],0))</f>
        <v/>
      </c>
      <c r="AR1078" s="39" t="str">
        <f>IF(NOTA[[#This Row],[QTY/ CTN]]="","",TRUE)</f>
        <v/>
      </c>
      <c r="AS1078" s="39" t="str">
        <f ca="1">IF(NOTA[[#This Row],[ID_H]]="","",IF(NOTA[[#This Row],[Column3]]=TRUE,NOTA[[#This Row],[QTY/ CTN]],INDEX([3]!db[QTY/ CTN],NOTA[[#This Row],[//DB]])))</f>
        <v/>
      </c>
      <c r="AT10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8" s="39" t="str">
        <f ca="1">IF(NOTA[[#This Row],[ID_H]]="","",MATCH(NOTA[[#This Row],[NB NOTA_C_QTY]],[4]!db[NB NOTA_C_QTY+F],0))</f>
        <v/>
      </c>
      <c r="AV1078" s="55" t="str">
        <f ca="1">IF(NOTA[[#This Row],[NB NOTA_C_QTY]]="","",ROW()-2)</f>
        <v/>
      </c>
    </row>
    <row r="1079" spans="1:48" ht="20.100000000000001" customHeight="1" x14ac:dyDescent="0.25">
      <c r="A10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39" t="str">
        <f>IF(NOTA[[#This Row],[ID_P]]="","",MATCH(NOTA[[#This Row],[ID_P]],[1]!B_MSK[N_ID],0))</f>
        <v/>
      </c>
      <c r="D1079" s="39" t="str">
        <f ca="1">IF(NOTA[[#This Row],[NAMA BARANG]]="","",INDEX(NOTA[ID],MATCH(,INDIRECT(ADDRESS(ROW(NOTA[ID]),COLUMN(NOTA[ID]))&amp;":"&amp;ADDRESS(ROW(),COLUMN(NOTA[ID]))),-1)))</f>
        <v/>
      </c>
      <c r="E1079" s="47"/>
      <c r="H1079" s="48"/>
      <c r="N1079" s="39"/>
      <c r="Q1079" s="43"/>
      <c r="R1079" s="49"/>
      <c r="S1079" s="50"/>
      <c r="U1079" s="51"/>
      <c r="V1079" s="46"/>
      <c r="W1079" s="51" t="str">
        <f>IF(NOTA[[#This Row],[HARGA/ CTN]]="",NOTA[[#This Row],[JUMLAH_H]],NOTA[[#This Row],[HARGA/ CTN]]*IF(NOTA[[#This Row],[C]]="",0,NOTA[[#This Row],[C]]))</f>
        <v/>
      </c>
      <c r="X1079" s="51" t="str">
        <f>IF(NOTA[[#This Row],[JUMLAH]]="","",NOTA[[#This Row],[JUMLAH]]*NOTA[[#This Row],[DISC 1]])</f>
        <v/>
      </c>
      <c r="Y1079" s="51" t="str">
        <f>IF(NOTA[[#This Row],[JUMLAH]]="","",(NOTA[[#This Row],[JUMLAH]]-NOTA[[#This Row],[DISC 1-]])*NOTA[[#This Row],[DISC 2]])</f>
        <v/>
      </c>
      <c r="Z1079" s="51" t="str">
        <f>IF(NOTA[[#This Row],[JUMLAH]]="","",NOTA[[#This Row],[DISC 1-]]+NOTA[[#This Row],[DISC 2-]])</f>
        <v/>
      </c>
      <c r="AA1079" s="51" t="str">
        <f>IF(NOTA[[#This Row],[JUMLAH]]="","",NOTA[[#This Row],[JUMLAH]]-NOTA[[#This Row],[DISC]])</f>
        <v/>
      </c>
      <c r="AB1079" s="51"/>
      <c r="AC10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9" s="51" t="str">
        <f>IF(OR(NOTA[[#This Row],[QTY]]="",NOTA[[#This Row],[HARGA SATUAN]]="",),"",NOTA[[#This Row],[QTY]]*NOTA[[#This Row],[HARGA SATUAN]])</f>
        <v/>
      </c>
      <c r="AG1079" s="40" t="str">
        <f ca="1">IF(NOTA[ID_H]="","",INDEX(NOTA[TANGGAL],MATCH(,INDIRECT(ADDRESS(ROW(NOTA[TANGGAL]),COLUMN(NOTA[TANGGAL]))&amp;":"&amp;ADDRESS(ROW(),COLUMN(NOTA[TANGGAL]))),-1)))</f>
        <v/>
      </c>
      <c r="AH1079" s="42" t="str">
        <f ca="1">IF(NOTA[[#This Row],[NAMA BARANG]]="","",INDEX(NOTA[SUPPLIER],MATCH(,INDIRECT(ADDRESS(ROW(NOTA[ID]),COLUMN(NOTA[ID]))&amp;":"&amp;ADDRESS(ROW(),COLUMN(NOTA[ID]))),-1)))</f>
        <v/>
      </c>
      <c r="AI1079" s="42" t="str">
        <f ca="1">IF(NOTA[[#This Row],[ID_H]]="","",IF(NOTA[[#This Row],[FAKTUR]]="",INDIRECT(ADDRESS(ROW()-1,COLUMN())),NOTA[[#This Row],[FAKTUR]]))</f>
        <v/>
      </c>
      <c r="AJ1079" s="39" t="str">
        <f ca="1">IF(NOTA[[#This Row],[ID]]="","",COUNTIF(NOTA[ID_H],NOTA[[#This Row],[ID_H]]))</f>
        <v/>
      </c>
      <c r="AK1079" s="39" t="str">
        <f ca="1">IF(NOTA[[#This Row],[TGL.NOTA]]="",IF(NOTA[[#This Row],[SUPPLIER_H]]="","",AK1078),MONTH(NOTA[[#This Row],[TGL.NOTA]]))</f>
        <v/>
      </c>
      <c r="AL1079" s="39" t="str">
        <f>LOWER(SUBSTITUTE(SUBSTITUTE(SUBSTITUTE(SUBSTITUTE(SUBSTITUTE(SUBSTITUTE(SUBSTITUTE(SUBSTITUTE(SUBSTITUTE(NOTA[NAMA BARANG]," ",),".",""),"-",""),"(",""),")",""),",",""),"/",""),"""",""),"+",""))</f>
        <v/>
      </c>
      <c r="AM10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39" t="str">
        <f>IF(NOTA[[#This Row],[CONCAT4]]="","",_xlfn.IFNA(MATCH(NOTA[[#This Row],[CONCAT4]],[2]!RAW[CONCAT_H],0),FALSE))</f>
        <v/>
      </c>
      <c r="AQ1079" s="39" t="str">
        <f>IF(NOTA[[#This Row],[CONCAT1]]="","",MATCH(NOTA[[#This Row],[CONCAT1]],[3]!db[NB NOTA_C],0))</f>
        <v/>
      </c>
      <c r="AR1079" s="39" t="str">
        <f>IF(NOTA[[#This Row],[QTY/ CTN]]="","",TRUE)</f>
        <v/>
      </c>
      <c r="AS1079" s="39" t="str">
        <f ca="1">IF(NOTA[[#This Row],[ID_H]]="","",IF(NOTA[[#This Row],[Column3]]=TRUE,NOTA[[#This Row],[QTY/ CTN]],INDEX([3]!db[QTY/ CTN],NOTA[[#This Row],[//DB]])))</f>
        <v/>
      </c>
      <c r="AT10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9" s="39" t="str">
        <f ca="1">IF(NOTA[[#This Row],[ID_H]]="","",MATCH(NOTA[[#This Row],[NB NOTA_C_QTY]],[4]!db[NB NOTA_C_QTY+F],0))</f>
        <v/>
      </c>
      <c r="AV1079" s="55" t="str">
        <f ca="1">IF(NOTA[[#This Row],[NB NOTA_C_QTY]]="","",ROW()-2)</f>
        <v/>
      </c>
    </row>
    <row r="1080" spans="1:48" ht="20.100000000000001" customHeight="1" x14ac:dyDescent="0.25">
      <c r="A10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39" t="str">
        <f>IF(NOTA[[#This Row],[ID_P]]="","",MATCH(NOTA[[#This Row],[ID_P]],[1]!B_MSK[N_ID],0))</f>
        <v/>
      </c>
      <c r="D1080" s="39" t="str">
        <f ca="1">IF(NOTA[[#This Row],[NAMA BARANG]]="","",INDEX(NOTA[ID],MATCH(,INDIRECT(ADDRESS(ROW(NOTA[ID]),COLUMN(NOTA[ID]))&amp;":"&amp;ADDRESS(ROW(),COLUMN(NOTA[ID]))),-1)))</f>
        <v/>
      </c>
      <c r="E1080" s="47"/>
      <c r="H1080" s="48"/>
      <c r="N1080" s="39"/>
      <c r="Q1080" s="43"/>
      <c r="R1080" s="49"/>
      <c r="S1080" s="50"/>
      <c r="U1080" s="51"/>
      <c r="V1080" s="46"/>
      <c r="W1080" s="51" t="str">
        <f>IF(NOTA[[#This Row],[HARGA/ CTN]]="",NOTA[[#This Row],[JUMLAH_H]],NOTA[[#This Row],[HARGA/ CTN]]*IF(NOTA[[#This Row],[C]]="",0,NOTA[[#This Row],[C]]))</f>
        <v/>
      </c>
      <c r="X1080" s="51" t="str">
        <f>IF(NOTA[[#This Row],[JUMLAH]]="","",NOTA[[#This Row],[JUMLAH]]*NOTA[[#This Row],[DISC 1]])</f>
        <v/>
      </c>
      <c r="Y1080" s="51" t="str">
        <f>IF(NOTA[[#This Row],[JUMLAH]]="","",(NOTA[[#This Row],[JUMLAH]]-NOTA[[#This Row],[DISC 1-]])*NOTA[[#This Row],[DISC 2]])</f>
        <v/>
      </c>
      <c r="Z1080" s="51" t="str">
        <f>IF(NOTA[[#This Row],[JUMLAH]]="","",NOTA[[#This Row],[DISC 1-]]+NOTA[[#This Row],[DISC 2-]])</f>
        <v/>
      </c>
      <c r="AA1080" s="51" t="str">
        <f>IF(NOTA[[#This Row],[JUMLAH]]="","",NOTA[[#This Row],[JUMLAH]]-NOTA[[#This Row],[DISC]])</f>
        <v/>
      </c>
      <c r="AB1080" s="51"/>
      <c r="AC10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0" s="51" t="str">
        <f>IF(OR(NOTA[[#This Row],[QTY]]="",NOTA[[#This Row],[HARGA SATUAN]]="",),"",NOTA[[#This Row],[QTY]]*NOTA[[#This Row],[HARGA SATUAN]])</f>
        <v/>
      </c>
      <c r="AG1080" s="40" t="str">
        <f ca="1">IF(NOTA[ID_H]="","",INDEX(NOTA[TANGGAL],MATCH(,INDIRECT(ADDRESS(ROW(NOTA[TANGGAL]),COLUMN(NOTA[TANGGAL]))&amp;":"&amp;ADDRESS(ROW(),COLUMN(NOTA[TANGGAL]))),-1)))</f>
        <v/>
      </c>
      <c r="AH1080" s="42" t="str">
        <f ca="1">IF(NOTA[[#This Row],[NAMA BARANG]]="","",INDEX(NOTA[SUPPLIER],MATCH(,INDIRECT(ADDRESS(ROW(NOTA[ID]),COLUMN(NOTA[ID]))&amp;":"&amp;ADDRESS(ROW(),COLUMN(NOTA[ID]))),-1)))</f>
        <v/>
      </c>
      <c r="AI1080" s="42" t="str">
        <f ca="1">IF(NOTA[[#This Row],[ID_H]]="","",IF(NOTA[[#This Row],[FAKTUR]]="",INDIRECT(ADDRESS(ROW()-1,COLUMN())),NOTA[[#This Row],[FAKTUR]]))</f>
        <v/>
      </c>
      <c r="AJ1080" s="39" t="str">
        <f ca="1">IF(NOTA[[#This Row],[ID]]="","",COUNTIF(NOTA[ID_H],NOTA[[#This Row],[ID_H]]))</f>
        <v/>
      </c>
      <c r="AK1080" s="39" t="str">
        <f ca="1">IF(NOTA[[#This Row],[TGL.NOTA]]="",IF(NOTA[[#This Row],[SUPPLIER_H]]="","",AK1079),MONTH(NOTA[[#This Row],[TGL.NOTA]]))</f>
        <v/>
      </c>
      <c r="AL1080" s="39" t="str">
        <f>LOWER(SUBSTITUTE(SUBSTITUTE(SUBSTITUTE(SUBSTITUTE(SUBSTITUTE(SUBSTITUTE(SUBSTITUTE(SUBSTITUTE(SUBSTITUTE(NOTA[NAMA BARANG]," ",),".",""),"-",""),"(",""),")",""),",",""),"/",""),"""",""),"+",""))</f>
        <v/>
      </c>
      <c r="AM10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39" t="str">
        <f>IF(NOTA[[#This Row],[CONCAT4]]="","",_xlfn.IFNA(MATCH(NOTA[[#This Row],[CONCAT4]],[2]!RAW[CONCAT_H],0),FALSE))</f>
        <v/>
      </c>
      <c r="AQ1080" s="39" t="str">
        <f>IF(NOTA[[#This Row],[CONCAT1]]="","",MATCH(NOTA[[#This Row],[CONCAT1]],[3]!db[NB NOTA_C],0))</f>
        <v/>
      </c>
      <c r="AR1080" s="39" t="str">
        <f>IF(NOTA[[#This Row],[QTY/ CTN]]="","",TRUE)</f>
        <v/>
      </c>
      <c r="AS1080" s="39" t="str">
        <f ca="1">IF(NOTA[[#This Row],[ID_H]]="","",IF(NOTA[[#This Row],[Column3]]=TRUE,NOTA[[#This Row],[QTY/ CTN]],INDEX([3]!db[QTY/ CTN],NOTA[[#This Row],[//DB]])))</f>
        <v/>
      </c>
      <c r="AT10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0" s="39" t="str">
        <f ca="1">IF(NOTA[[#This Row],[ID_H]]="","",MATCH(NOTA[[#This Row],[NB NOTA_C_QTY]],[4]!db[NB NOTA_C_QTY+F],0))</f>
        <v/>
      </c>
      <c r="AV1080" s="55" t="str">
        <f ca="1">IF(NOTA[[#This Row],[NB NOTA_C_QTY]]="","",ROW()-2)</f>
        <v/>
      </c>
    </row>
    <row r="1081" spans="1:48" ht="20.100000000000001" customHeight="1" x14ac:dyDescent="0.25">
      <c r="A10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39" t="str">
        <f>IF(NOTA[[#This Row],[ID_P]]="","",MATCH(NOTA[[#This Row],[ID_P]],[1]!B_MSK[N_ID],0))</f>
        <v/>
      </c>
      <c r="D1081" s="39" t="str">
        <f ca="1">IF(NOTA[[#This Row],[NAMA BARANG]]="","",INDEX(NOTA[ID],MATCH(,INDIRECT(ADDRESS(ROW(NOTA[ID]),COLUMN(NOTA[ID]))&amp;":"&amp;ADDRESS(ROW(),COLUMN(NOTA[ID]))),-1)))</f>
        <v/>
      </c>
      <c r="E1081" s="47"/>
      <c r="H1081" s="48"/>
      <c r="N1081" s="39"/>
      <c r="Q1081" s="43"/>
      <c r="R1081" s="49"/>
      <c r="S1081" s="50"/>
      <c r="U1081" s="51"/>
      <c r="V1081" s="46"/>
      <c r="W1081" s="51" t="str">
        <f>IF(NOTA[[#This Row],[HARGA/ CTN]]="",NOTA[[#This Row],[JUMLAH_H]],NOTA[[#This Row],[HARGA/ CTN]]*IF(NOTA[[#This Row],[C]]="",0,NOTA[[#This Row],[C]]))</f>
        <v/>
      </c>
      <c r="X1081" s="51" t="str">
        <f>IF(NOTA[[#This Row],[JUMLAH]]="","",NOTA[[#This Row],[JUMLAH]]*NOTA[[#This Row],[DISC 1]])</f>
        <v/>
      </c>
      <c r="Y1081" s="51" t="str">
        <f>IF(NOTA[[#This Row],[JUMLAH]]="","",(NOTA[[#This Row],[JUMLAH]]-NOTA[[#This Row],[DISC 1-]])*NOTA[[#This Row],[DISC 2]])</f>
        <v/>
      </c>
      <c r="Z1081" s="51" t="str">
        <f>IF(NOTA[[#This Row],[JUMLAH]]="","",NOTA[[#This Row],[DISC 1-]]+NOTA[[#This Row],[DISC 2-]])</f>
        <v/>
      </c>
      <c r="AA1081" s="51" t="str">
        <f>IF(NOTA[[#This Row],[JUMLAH]]="","",NOTA[[#This Row],[JUMLAH]]-NOTA[[#This Row],[DISC]])</f>
        <v/>
      </c>
      <c r="AB1081" s="51"/>
      <c r="AC10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1" s="51" t="str">
        <f>IF(OR(NOTA[[#This Row],[QTY]]="",NOTA[[#This Row],[HARGA SATUAN]]="",),"",NOTA[[#This Row],[QTY]]*NOTA[[#This Row],[HARGA SATUAN]])</f>
        <v/>
      </c>
      <c r="AG1081" s="40" t="str">
        <f ca="1">IF(NOTA[ID_H]="","",INDEX(NOTA[TANGGAL],MATCH(,INDIRECT(ADDRESS(ROW(NOTA[TANGGAL]),COLUMN(NOTA[TANGGAL]))&amp;":"&amp;ADDRESS(ROW(),COLUMN(NOTA[TANGGAL]))),-1)))</f>
        <v/>
      </c>
      <c r="AH1081" s="42" t="str">
        <f ca="1">IF(NOTA[[#This Row],[NAMA BARANG]]="","",INDEX(NOTA[SUPPLIER],MATCH(,INDIRECT(ADDRESS(ROW(NOTA[ID]),COLUMN(NOTA[ID]))&amp;":"&amp;ADDRESS(ROW(),COLUMN(NOTA[ID]))),-1)))</f>
        <v/>
      </c>
      <c r="AI1081" s="42" t="str">
        <f ca="1">IF(NOTA[[#This Row],[ID_H]]="","",IF(NOTA[[#This Row],[FAKTUR]]="",INDIRECT(ADDRESS(ROW()-1,COLUMN())),NOTA[[#This Row],[FAKTUR]]))</f>
        <v/>
      </c>
      <c r="AJ1081" s="39" t="str">
        <f ca="1">IF(NOTA[[#This Row],[ID]]="","",COUNTIF(NOTA[ID_H],NOTA[[#This Row],[ID_H]]))</f>
        <v/>
      </c>
      <c r="AK1081" s="39" t="str">
        <f ca="1">IF(NOTA[[#This Row],[TGL.NOTA]]="",IF(NOTA[[#This Row],[SUPPLIER_H]]="","",AK1080),MONTH(NOTA[[#This Row],[TGL.NOTA]]))</f>
        <v/>
      </c>
      <c r="AL1081" s="39" t="str">
        <f>LOWER(SUBSTITUTE(SUBSTITUTE(SUBSTITUTE(SUBSTITUTE(SUBSTITUTE(SUBSTITUTE(SUBSTITUTE(SUBSTITUTE(SUBSTITUTE(NOTA[NAMA BARANG]," ",),".",""),"-",""),"(",""),")",""),",",""),"/",""),"""",""),"+",""))</f>
        <v/>
      </c>
      <c r="AM10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39" t="str">
        <f>IF(NOTA[[#This Row],[CONCAT4]]="","",_xlfn.IFNA(MATCH(NOTA[[#This Row],[CONCAT4]],[2]!RAW[CONCAT_H],0),FALSE))</f>
        <v/>
      </c>
      <c r="AQ1081" s="39" t="str">
        <f>IF(NOTA[[#This Row],[CONCAT1]]="","",MATCH(NOTA[[#This Row],[CONCAT1]],[3]!db[NB NOTA_C],0))</f>
        <v/>
      </c>
      <c r="AR1081" s="39" t="str">
        <f>IF(NOTA[[#This Row],[QTY/ CTN]]="","",TRUE)</f>
        <v/>
      </c>
      <c r="AS1081" s="39" t="str">
        <f ca="1">IF(NOTA[[#This Row],[ID_H]]="","",IF(NOTA[[#This Row],[Column3]]=TRUE,NOTA[[#This Row],[QTY/ CTN]],INDEX([3]!db[QTY/ CTN],NOTA[[#This Row],[//DB]])))</f>
        <v/>
      </c>
      <c r="AT10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1" s="39" t="str">
        <f ca="1">IF(NOTA[[#This Row],[ID_H]]="","",MATCH(NOTA[[#This Row],[NB NOTA_C_QTY]],[4]!db[NB NOTA_C_QTY+F],0))</f>
        <v/>
      </c>
      <c r="AV1081" s="55" t="str">
        <f ca="1">IF(NOTA[[#This Row],[NB NOTA_C_QTY]]="","",ROW()-2)</f>
        <v/>
      </c>
    </row>
    <row r="1082" spans="1:48" ht="20.100000000000001" customHeight="1" x14ac:dyDescent="0.25">
      <c r="A10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39" t="str">
        <f>IF(NOTA[[#This Row],[ID_P]]="","",MATCH(NOTA[[#This Row],[ID_P]],[1]!B_MSK[N_ID],0))</f>
        <v/>
      </c>
      <c r="D1082" s="39" t="str">
        <f ca="1">IF(NOTA[[#This Row],[NAMA BARANG]]="","",INDEX(NOTA[ID],MATCH(,INDIRECT(ADDRESS(ROW(NOTA[ID]),COLUMN(NOTA[ID]))&amp;":"&amp;ADDRESS(ROW(),COLUMN(NOTA[ID]))),-1)))</f>
        <v/>
      </c>
      <c r="E1082" s="47"/>
      <c r="H1082" s="48"/>
      <c r="N1082" s="39"/>
      <c r="Q1082" s="43"/>
      <c r="R1082" s="49"/>
      <c r="S1082" s="50"/>
      <c r="U1082" s="51"/>
      <c r="V1082" s="46"/>
      <c r="W1082" s="51" t="str">
        <f>IF(NOTA[[#This Row],[HARGA/ CTN]]="",NOTA[[#This Row],[JUMLAH_H]],NOTA[[#This Row],[HARGA/ CTN]]*IF(NOTA[[#This Row],[C]]="",0,NOTA[[#This Row],[C]]))</f>
        <v/>
      </c>
      <c r="X1082" s="51" t="str">
        <f>IF(NOTA[[#This Row],[JUMLAH]]="","",NOTA[[#This Row],[JUMLAH]]*NOTA[[#This Row],[DISC 1]])</f>
        <v/>
      </c>
      <c r="Y1082" s="51" t="str">
        <f>IF(NOTA[[#This Row],[JUMLAH]]="","",(NOTA[[#This Row],[JUMLAH]]-NOTA[[#This Row],[DISC 1-]])*NOTA[[#This Row],[DISC 2]])</f>
        <v/>
      </c>
      <c r="Z1082" s="51" t="str">
        <f>IF(NOTA[[#This Row],[JUMLAH]]="","",NOTA[[#This Row],[DISC 1-]]+NOTA[[#This Row],[DISC 2-]])</f>
        <v/>
      </c>
      <c r="AA1082" s="51" t="str">
        <f>IF(NOTA[[#This Row],[JUMLAH]]="","",NOTA[[#This Row],[JUMLAH]]-NOTA[[#This Row],[DISC]])</f>
        <v/>
      </c>
      <c r="AB1082" s="51"/>
      <c r="AC10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51" t="str">
        <f>IF(OR(NOTA[[#This Row],[QTY]]="",NOTA[[#This Row],[HARGA SATUAN]]="",),"",NOTA[[#This Row],[QTY]]*NOTA[[#This Row],[HARGA SATUAN]])</f>
        <v/>
      </c>
      <c r="AG1082" s="40" t="str">
        <f ca="1">IF(NOTA[ID_H]="","",INDEX(NOTA[TANGGAL],MATCH(,INDIRECT(ADDRESS(ROW(NOTA[TANGGAL]),COLUMN(NOTA[TANGGAL]))&amp;":"&amp;ADDRESS(ROW(),COLUMN(NOTA[TANGGAL]))),-1)))</f>
        <v/>
      </c>
      <c r="AH1082" s="42" t="str">
        <f ca="1">IF(NOTA[[#This Row],[NAMA BARANG]]="","",INDEX(NOTA[SUPPLIER],MATCH(,INDIRECT(ADDRESS(ROW(NOTA[ID]),COLUMN(NOTA[ID]))&amp;":"&amp;ADDRESS(ROW(),COLUMN(NOTA[ID]))),-1)))</f>
        <v/>
      </c>
      <c r="AI1082" s="42" t="str">
        <f ca="1">IF(NOTA[[#This Row],[ID_H]]="","",IF(NOTA[[#This Row],[FAKTUR]]="",INDIRECT(ADDRESS(ROW()-1,COLUMN())),NOTA[[#This Row],[FAKTUR]]))</f>
        <v/>
      </c>
      <c r="AJ1082" s="39" t="str">
        <f ca="1">IF(NOTA[[#This Row],[ID]]="","",COUNTIF(NOTA[ID_H],NOTA[[#This Row],[ID_H]]))</f>
        <v/>
      </c>
      <c r="AK1082" s="39" t="str">
        <f ca="1">IF(NOTA[[#This Row],[TGL.NOTA]]="",IF(NOTA[[#This Row],[SUPPLIER_H]]="","",AK1081),MONTH(NOTA[[#This Row],[TGL.NOTA]]))</f>
        <v/>
      </c>
      <c r="AL1082" s="39" t="str">
        <f>LOWER(SUBSTITUTE(SUBSTITUTE(SUBSTITUTE(SUBSTITUTE(SUBSTITUTE(SUBSTITUTE(SUBSTITUTE(SUBSTITUTE(SUBSTITUTE(NOTA[NAMA BARANG]," ",),".",""),"-",""),"(",""),")",""),",",""),"/",""),"""",""),"+",""))</f>
        <v/>
      </c>
      <c r="AM10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39" t="str">
        <f>IF(NOTA[[#This Row],[CONCAT4]]="","",_xlfn.IFNA(MATCH(NOTA[[#This Row],[CONCAT4]],[2]!RAW[CONCAT_H],0),FALSE))</f>
        <v/>
      </c>
      <c r="AQ1082" s="39" t="str">
        <f>IF(NOTA[[#This Row],[CONCAT1]]="","",MATCH(NOTA[[#This Row],[CONCAT1]],[3]!db[NB NOTA_C],0))</f>
        <v/>
      </c>
      <c r="AR1082" s="39" t="str">
        <f>IF(NOTA[[#This Row],[QTY/ CTN]]="","",TRUE)</f>
        <v/>
      </c>
      <c r="AS1082" s="39" t="str">
        <f ca="1">IF(NOTA[[#This Row],[ID_H]]="","",IF(NOTA[[#This Row],[Column3]]=TRUE,NOTA[[#This Row],[QTY/ CTN]],INDEX([3]!db[QTY/ CTN],NOTA[[#This Row],[//DB]])))</f>
        <v/>
      </c>
      <c r="AT10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2" s="39" t="str">
        <f ca="1">IF(NOTA[[#This Row],[ID_H]]="","",MATCH(NOTA[[#This Row],[NB NOTA_C_QTY]],[4]!db[NB NOTA_C_QTY+F],0))</f>
        <v/>
      </c>
      <c r="AV1082" s="55" t="str">
        <f ca="1">IF(NOTA[[#This Row],[NB NOTA_C_QTY]]="","",ROW()-2)</f>
        <v/>
      </c>
    </row>
    <row r="1083" spans="1:48" ht="20.100000000000001" customHeight="1" x14ac:dyDescent="0.25">
      <c r="A10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3" s="39" t="str">
        <f>IF(NOTA[[#This Row],[ID_P]]="","",MATCH(NOTA[[#This Row],[ID_P]],[1]!B_MSK[N_ID],0))</f>
        <v/>
      </c>
      <c r="D1083" s="39" t="str">
        <f ca="1">IF(NOTA[[#This Row],[NAMA BARANG]]="","",INDEX(NOTA[ID],MATCH(,INDIRECT(ADDRESS(ROW(NOTA[ID]),COLUMN(NOTA[ID]))&amp;":"&amp;ADDRESS(ROW(),COLUMN(NOTA[ID]))),-1)))</f>
        <v/>
      </c>
      <c r="E1083" s="47"/>
      <c r="H1083" s="48"/>
      <c r="N1083" s="39"/>
      <c r="Q1083" s="43"/>
      <c r="R1083" s="49"/>
      <c r="S1083" s="50"/>
      <c r="U1083" s="51"/>
      <c r="V1083" s="46"/>
      <c r="W1083" s="51" t="str">
        <f>IF(NOTA[[#This Row],[HARGA/ CTN]]="",NOTA[[#This Row],[JUMLAH_H]],NOTA[[#This Row],[HARGA/ CTN]]*IF(NOTA[[#This Row],[C]]="",0,NOTA[[#This Row],[C]]))</f>
        <v/>
      </c>
      <c r="X1083" s="51" t="str">
        <f>IF(NOTA[[#This Row],[JUMLAH]]="","",NOTA[[#This Row],[JUMLAH]]*NOTA[[#This Row],[DISC 1]])</f>
        <v/>
      </c>
      <c r="Y1083" s="51" t="str">
        <f>IF(NOTA[[#This Row],[JUMLAH]]="","",(NOTA[[#This Row],[JUMLAH]]-NOTA[[#This Row],[DISC 1-]])*NOTA[[#This Row],[DISC 2]])</f>
        <v/>
      </c>
      <c r="Z1083" s="51" t="str">
        <f>IF(NOTA[[#This Row],[JUMLAH]]="","",NOTA[[#This Row],[DISC 1-]]+NOTA[[#This Row],[DISC 2-]])</f>
        <v/>
      </c>
      <c r="AA1083" s="51" t="str">
        <f>IF(NOTA[[#This Row],[JUMLAH]]="","",NOTA[[#This Row],[JUMLAH]]-NOTA[[#This Row],[DISC]])</f>
        <v/>
      </c>
      <c r="AB1083" s="51"/>
      <c r="AC10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3" s="51" t="str">
        <f>IF(OR(NOTA[[#This Row],[QTY]]="",NOTA[[#This Row],[HARGA SATUAN]]="",),"",NOTA[[#This Row],[QTY]]*NOTA[[#This Row],[HARGA SATUAN]])</f>
        <v/>
      </c>
      <c r="AG1083" s="40" t="str">
        <f ca="1">IF(NOTA[ID_H]="","",INDEX(NOTA[TANGGAL],MATCH(,INDIRECT(ADDRESS(ROW(NOTA[TANGGAL]),COLUMN(NOTA[TANGGAL]))&amp;":"&amp;ADDRESS(ROW(),COLUMN(NOTA[TANGGAL]))),-1)))</f>
        <v/>
      </c>
      <c r="AH1083" s="42" t="str">
        <f ca="1">IF(NOTA[[#This Row],[NAMA BARANG]]="","",INDEX(NOTA[SUPPLIER],MATCH(,INDIRECT(ADDRESS(ROW(NOTA[ID]),COLUMN(NOTA[ID]))&amp;":"&amp;ADDRESS(ROW(),COLUMN(NOTA[ID]))),-1)))</f>
        <v/>
      </c>
      <c r="AI1083" s="42" t="str">
        <f ca="1">IF(NOTA[[#This Row],[ID_H]]="","",IF(NOTA[[#This Row],[FAKTUR]]="",INDIRECT(ADDRESS(ROW()-1,COLUMN())),NOTA[[#This Row],[FAKTUR]]))</f>
        <v/>
      </c>
      <c r="AJ1083" s="39" t="str">
        <f ca="1">IF(NOTA[[#This Row],[ID]]="","",COUNTIF(NOTA[ID_H],NOTA[[#This Row],[ID_H]]))</f>
        <v/>
      </c>
      <c r="AK1083" s="39" t="str">
        <f ca="1">IF(NOTA[[#This Row],[TGL.NOTA]]="",IF(NOTA[[#This Row],[SUPPLIER_H]]="","",AK1082),MONTH(NOTA[[#This Row],[TGL.NOTA]]))</f>
        <v/>
      </c>
      <c r="AL1083" s="39" t="str">
        <f>LOWER(SUBSTITUTE(SUBSTITUTE(SUBSTITUTE(SUBSTITUTE(SUBSTITUTE(SUBSTITUTE(SUBSTITUTE(SUBSTITUTE(SUBSTITUTE(NOTA[NAMA BARANG]," ",),".",""),"-",""),"(",""),")",""),",",""),"/",""),"""",""),"+",""))</f>
        <v/>
      </c>
      <c r="AM10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3" s="39" t="str">
        <f>IF(NOTA[[#This Row],[CONCAT4]]="","",_xlfn.IFNA(MATCH(NOTA[[#This Row],[CONCAT4]],[2]!RAW[CONCAT_H],0),FALSE))</f>
        <v/>
      </c>
      <c r="AQ1083" s="39" t="str">
        <f>IF(NOTA[[#This Row],[CONCAT1]]="","",MATCH(NOTA[[#This Row],[CONCAT1]],[3]!db[NB NOTA_C],0))</f>
        <v/>
      </c>
      <c r="AR1083" s="39" t="str">
        <f>IF(NOTA[[#This Row],[QTY/ CTN]]="","",TRUE)</f>
        <v/>
      </c>
      <c r="AS1083" s="39" t="str">
        <f ca="1">IF(NOTA[[#This Row],[ID_H]]="","",IF(NOTA[[#This Row],[Column3]]=TRUE,NOTA[[#This Row],[QTY/ CTN]],INDEX([3]!db[QTY/ CTN],NOTA[[#This Row],[//DB]])))</f>
        <v/>
      </c>
      <c r="AT10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3" s="39" t="str">
        <f ca="1">IF(NOTA[[#This Row],[ID_H]]="","",MATCH(NOTA[[#This Row],[NB NOTA_C_QTY]],[4]!db[NB NOTA_C_QTY+F],0))</f>
        <v/>
      </c>
      <c r="AV1083" s="55" t="str">
        <f ca="1">IF(NOTA[[#This Row],[NB NOTA_C_QTY]]="","",ROW()-2)</f>
        <v/>
      </c>
    </row>
    <row r="1084" spans="1:48" ht="20.100000000000001" customHeight="1" x14ac:dyDescent="0.25">
      <c r="A10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39" t="str">
        <f>IF(NOTA[[#This Row],[ID_P]]="","",MATCH(NOTA[[#This Row],[ID_P]],[1]!B_MSK[N_ID],0))</f>
        <v/>
      </c>
      <c r="D1084" s="39" t="str">
        <f ca="1">IF(NOTA[[#This Row],[NAMA BARANG]]="","",INDEX(NOTA[ID],MATCH(,INDIRECT(ADDRESS(ROW(NOTA[ID]),COLUMN(NOTA[ID]))&amp;":"&amp;ADDRESS(ROW(),COLUMN(NOTA[ID]))),-1)))</f>
        <v/>
      </c>
      <c r="E1084" s="47"/>
      <c r="H1084" s="48"/>
      <c r="N1084" s="39"/>
      <c r="Q1084" s="43"/>
      <c r="R1084" s="49"/>
      <c r="S1084" s="50"/>
      <c r="U1084" s="51"/>
      <c r="V1084" s="46"/>
      <c r="W1084" s="51" t="str">
        <f>IF(NOTA[[#This Row],[HARGA/ CTN]]="",NOTA[[#This Row],[JUMLAH_H]],NOTA[[#This Row],[HARGA/ CTN]]*IF(NOTA[[#This Row],[C]]="",0,NOTA[[#This Row],[C]]))</f>
        <v/>
      </c>
      <c r="X1084" s="51" t="str">
        <f>IF(NOTA[[#This Row],[JUMLAH]]="","",NOTA[[#This Row],[JUMLAH]]*NOTA[[#This Row],[DISC 1]])</f>
        <v/>
      </c>
      <c r="Y1084" s="51" t="str">
        <f>IF(NOTA[[#This Row],[JUMLAH]]="","",(NOTA[[#This Row],[JUMLAH]]-NOTA[[#This Row],[DISC 1-]])*NOTA[[#This Row],[DISC 2]])</f>
        <v/>
      </c>
      <c r="Z1084" s="51" t="str">
        <f>IF(NOTA[[#This Row],[JUMLAH]]="","",NOTA[[#This Row],[DISC 1-]]+NOTA[[#This Row],[DISC 2-]])</f>
        <v/>
      </c>
      <c r="AA1084" s="51" t="str">
        <f>IF(NOTA[[#This Row],[JUMLAH]]="","",NOTA[[#This Row],[JUMLAH]]-NOTA[[#This Row],[DISC]])</f>
        <v/>
      </c>
      <c r="AB1084" s="51"/>
      <c r="AC10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4" s="51" t="str">
        <f>IF(OR(NOTA[[#This Row],[QTY]]="",NOTA[[#This Row],[HARGA SATUAN]]="",),"",NOTA[[#This Row],[QTY]]*NOTA[[#This Row],[HARGA SATUAN]])</f>
        <v/>
      </c>
      <c r="AG1084" s="40" t="str">
        <f ca="1">IF(NOTA[ID_H]="","",INDEX(NOTA[TANGGAL],MATCH(,INDIRECT(ADDRESS(ROW(NOTA[TANGGAL]),COLUMN(NOTA[TANGGAL]))&amp;":"&amp;ADDRESS(ROW(),COLUMN(NOTA[TANGGAL]))),-1)))</f>
        <v/>
      </c>
      <c r="AH1084" s="42" t="str">
        <f ca="1">IF(NOTA[[#This Row],[NAMA BARANG]]="","",INDEX(NOTA[SUPPLIER],MATCH(,INDIRECT(ADDRESS(ROW(NOTA[ID]),COLUMN(NOTA[ID]))&amp;":"&amp;ADDRESS(ROW(),COLUMN(NOTA[ID]))),-1)))</f>
        <v/>
      </c>
      <c r="AI1084" s="42" t="str">
        <f ca="1">IF(NOTA[[#This Row],[ID_H]]="","",IF(NOTA[[#This Row],[FAKTUR]]="",INDIRECT(ADDRESS(ROW()-1,COLUMN())),NOTA[[#This Row],[FAKTUR]]))</f>
        <v/>
      </c>
      <c r="AJ1084" s="39" t="str">
        <f ca="1">IF(NOTA[[#This Row],[ID]]="","",COUNTIF(NOTA[ID_H],NOTA[[#This Row],[ID_H]]))</f>
        <v/>
      </c>
      <c r="AK1084" s="39" t="str">
        <f ca="1">IF(NOTA[[#This Row],[TGL.NOTA]]="",IF(NOTA[[#This Row],[SUPPLIER_H]]="","",AK1083),MONTH(NOTA[[#This Row],[TGL.NOTA]]))</f>
        <v/>
      </c>
      <c r="AL1084" s="39" t="str">
        <f>LOWER(SUBSTITUTE(SUBSTITUTE(SUBSTITUTE(SUBSTITUTE(SUBSTITUTE(SUBSTITUTE(SUBSTITUTE(SUBSTITUTE(SUBSTITUTE(NOTA[NAMA BARANG]," ",),".",""),"-",""),"(",""),")",""),",",""),"/",""),"""",""),"+",""))</f>
        <v/>
      </c>
      <c r="AM10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39" t="str">
        <f>IF(NOTA[[#This Row],[CONCAT4]]="","",_xlfn.IFNA(MATCH(NOTA[[#This Row],[CONCAT4]],[2]!RAW[CONCAT_H],0),FALSE))</f>
        <v/>
      </c>
      <c r="AQ1084" s="39" t="str">
        <f>IF(NOTA[[#This Row],[CONCAT1]]="","",MATCH(NOTA[[#This Row],[CONCAT1]],[3]!db[NB NOTA_C],0))</f>
        <v/>
      </c>
      <c r="AR1084" s="39" t="str">
        <f>IF(NOTA[[#This Row],[QTY/ CTN]]="","",TRUE)</f>
        <v/>
      </c>
      <c r="AS1084" s="39" t="str">
        <f ca="1">IF(NOTA[[#This Row],[ID_H]]="","",IF(NOTA[[#This Row],[Column3]]=TRUE,NOTA[[#This Row],[QTY/ CTN]],INDEX([3]!db[QTY/ CTN],NOTA[[#This Row],[//DB]])))</f>
        <v/>
      </c>
      <c r="AT10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4" s="39" t="str">
        <f ca="1">IF(NOTA[[#This Row],[ID_H]]="","",MATCH(NOTA[[#This Row],[NB NOTA_C_QTY]],[4]!db[NB NOTA_C_QTY+F],0))</f>
        <v/>
      </c>
      <c r="AV1084" s="55" t="str">
        <f ca="1">IF(NOTA[[#This Row],[NB NOTA_C_QTY]]="","",ROW()-2)</f>
        <v/>
      </c>
    </row>
    <row r="1085" spans="1:48" ht="20.100000000000001" customHeight="1" x14ac:dyDescent="0.25">
      <c r="A10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39" t="str">
        <f>IF(NOTA[[#This Row],[ID_P]]="","",MATCH(NOTA[[#This Row],[ID_P]],[1]!B_MSK[N_ID],0))</f>
        <v/>
      </c>
      <c r="D1085" s="39" t="str">
        <f ca="1">IF(NOTA[[#This Row],[NAMA BARANG]]="","",INDEX(NOTA[ID],MATCH(,INDIRECT(ADDRESS(ROW(NOTA[ID]),COLUMN(NOTA[ID]))&amp;":"&amp;ADDRESS(ROW(),COLUMN(NOTA[ID]))),-1)))</f>
        <v/>
      </c>
      <c r="E1085" s="47"/>
      <c r="H1085" s="48"/>
      <c r="N1085" s="39"/>
      <c r="Q1085" s="43"/>
      <c r="R1085" s="49"/>
      <c r="S1085" s="50"/>
      <c r="U1085" s="51"/>
      <c r="V1085" s="46"/>
      <c r="W1085" s="51" t="str">
        <f>IF(NOTA[[#This Row],[HARGA/ CTN]]="",NOTA[[#This Row],[JUMLAH_H]],NOTA[[#This Row],[HARGA/ CTN]]*IF(NOTA[[#This Row],[C]]="",0,NOTA[[#This Row],[C]]))</f>
        <v/>
      </c>
      <c r="X1085" s="51" t="str">
        <f>IF(NOTA[[#This Row],[JUMLAH]]="","",NOTA[[#This Row],[JUMLAH]]*NOTA[[#This Row],[DISC 1]])</f>
        <v/>
      </c>
      <c r="Y1085" s="51" t="str">
        <f>IF(NOTA[[#This Row],[JUMLAH]]="","",(NOTA[[#This Row],[JUMLAH]]-NOTA[[#This Row],[DISC 1-]])*NOTA[[#This Row],[DISC 2]])</f>
        <v/>
      </c>
      <c r="Z1085" s="51" t="str">
        <f>IF(NOTA[[#This Row],[JUMLAH]]="","",NOTA[[#This Row],[DISC 1-]]+NOTA[[#This Row],[DISC 2-]])</f>
        <v/>
      </c>
      <c r="AA1085" s="51" t="str">
        <f>IF(NOTA[[#This Row],[JUMLAH]]="","",NOTA[[#This Row],[JUMLAH]]-NOTA[[#This Row],[DISC]])</f>
        <v/>
      </c>
      <c r="AB1085" s="51"/>
      <c r="AC10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5" s="51" t="str">
        <f>IF(OR(NOTA[[#This Row],[QTY]]="",NOTA[[#This Row],[HARGA SATUAN]]="",),"",NOTA[[#This Row],[QTY]]*NOTA[[#This Row],[HARGA SATUAN]])</f>
        <v/>
      </c>
      <c r="AG1085" s="40" t="str">
        <f ca="1">IF(NOTA[ID_H]="","",INDEX(NOTA[TANGGAL],MATCH(,INDIRECT(ADDRESS(ROW(NOTA[TANGGAL]),COLUMN(NOTA[TANGGAL]))&amp;":"&amp;ADDRESS(ROW(),COLUMN(NOTA[TANGGAL]))),-1)))</f>
        <v/>
      </c>
      <c r="AH1085" s="42" t="str">
        <f ca="1">IF(NOTA[[#This Row],[NAMA BARANG]]="","",INDEX(NOTA[SUPPLIER],MATCH(,INDIRECT(ADDRESS(ROW(NOTA[ID]),COLUMN(NOTA[ID]))&amp;":"&amp;ADDRESS(ROW(),COLUMN(NOTA[ID]))),-1)))</f>
        <v/>
      </c>
      <c r="AI1085" s="42" t="str">
        <f ca="1">IF(NOTA[[#This Row],[ID_H]]="","",IF(NOTA[[#This Row],[FAKTUR]]="",INDIRECT(ADDRESS(ROW()-1,COLUMN())),NOTA[[#This Row],[FAKTUR]]))</f>
        <v/>
      </c>
      <c r="AJ1085" s="39" t="str">
        <f ca="1">IF(NOTA[[#This Row],[ID]]="","",COUNTIF(NOTA[ID_H],NOTA[[#This Row],[ID_H]]))</f>
        <v/>
      </c>
      <c r="AK1085" s="39" t="str">
        <f ca="1">IF(NOTA[[#This Row],[TGL.NOTA]]="",IF(NOTA[[#This Row],[SUPPLIER_H]]="","",AK1084),MONTH(NOTA[[#This Row],[TGL.NOTA]]))</f>
        <v/>
      </c>
      <c r="AL1085" s="39" t="str">
        <f>LOWER(SUBSTITUTE(SUBSTITUTE(SUBSTITUTE(SUBSTITUTE(SUBSTITUTE(SUBSTITUTE(SUBSTITUTE(SUBSTITUTE(SUBSTITUTE(NOTA[NAMA BARANG]," ",),".",""),"-",""),"(",""),")",""),",",""),"/",""),"""",""),"+",""))</f>
        <v/>
      </c>
      <c r="AM10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39" t="str">
        <f>IF(NOTA[[#This Row],[CONCAT4]]="","",_xlfn.IFNA(MATCH(NOTA[[#This Row],[CONCAT4]],[2]!RAW[CONCAT_H],0),FALSE))</f>
        <v/>
      </c>
      <c r="AQ1085" s="39" t="str">
        <f>IF(NOTA[[#This Row],[CONCAT1]]="","",MATCH(NOTA[[#This Row],[CONCAT1]],[3]!db[NB NOTA_C],0))</f>
        <v/>
      </c>
      <c r="AR1085" s="39" t="str">
        <f>IF(NOTA[[#This Row],[QTY/ CTN]]="","",TRUE)</f>
        <v/>
      </c>
      <c r="AS1085" s="39" t="str">
        <f ca="1">IF(NOTA[[#This Row],[ID_H]]="","",IF(NOTA[[#This Row],[Column3]]=TRUE,NOTA[[#This Row],[QTY/ CTN]],INDEX([3]!db[QTY/ CTN],NOTA[[#This Row],[//DB]])))</f>
        <v/>
      </c>
      <c r="AT10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5" s="39" t="str">
        <f ca="1">IF(NOTA[[#This Row],[ID_H]]="","",MATCH(NOTA[[#This Row],[NB NOTA_C_QTY]],[4]!db[NB NOTA_C_QTY+F],0))</f>
        <v/>
      </c>
      <c r="AV1085" s="55" t="str">
        <f ca="1">IF(NOTA[[#This Row],[NB NOTA_C_QTY]]="","",ROW()-2)</f>
        <v/>
      </c>
    </row>
    <row r="1086" spans="1:48" ht="20.100000000000001" customHeight="1" x14ac:dyDescent="0.25">
      <c r="A10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39" t="str">
        <f>IF(NOTA[[#This Row],[ID_P]]="","",MATCH(NOTA[[#This Row],[ID_P]],[1]!B_MSK[N_ID],0))</f>
        <v/>
      </c>
      <c r="D1086" s="39" t="str">
        <f ca="1">IF(NOTA[[#This Row],[NAMA BARANG]]="","",INDEX(NOTA[ID],MATCH(,INDIRECT(ADDRESS(ROW(NOTA[ID]),COLUMN(NOTA[ID]))&amp;":"&amp;ADDRESS(ROW(),COLUMN(NOTA[ID]))),-1)))</f>
        <v/>
      </c>
      <c r="E1086" s="47"/>
      <c r="H1086" s="48"/>
      <c r="N1086" s="39"/>
      <c r="Q1086" s="43"/>
      <c r="R1086" s="49"/>
      <c r="S1086" s="50"/>
      <c r="U1086" s="51"/>
      <c r="V1086" s="46"/>
      <c r="W1086" s="51" t="str">
        <f>IF(NOTA[[#This Row],[HARGA/ CTN]]="",NOTA[[#This Row],[JUMLAH_H]],NOTA[[#This Row],[HARGA/ CTN]]*IF(NOTA[[#This Row],[C]]="",0,NOTA[[#This Row],[C]]))</f>
        <v/>
      </c>
      <c r="X1086" s="51" t="str">
        <f>IF(NOTA[[#This Row],[JUMLAH]]="","",NOTA[[#This Row],[JUMLAH]]*NOTA[[#This Row],[DISC 1]])</f>
        <v/>
      </c>
      <c r="Y1086" s="51" t="str">
        <f>IF(NOTA[[#This Row],[JUMLAH]]="","",(NOTA[[#This Row],[JUMLAH]]-NOTA[[#This Row],[DISC 1-]])*NOTA[[#This Row],[DISC 2]])</f>
        <v/>
      </c>
      <c r="Z1086" s="51" t="str">
        <f>IF(NOTA[[#This Row],[JUMLAH]]="","",NOTA[[#This Row],[DISC 1-]]+NOTA[[#This Row],[DISC 2-]])</f>
        <v/>
      </c>
      <c r="AA1086" s="51" t="str">
        <f>IF(NOTA[[#This Row],[JUMLAH]]="","",NOTA[[#This Row],[JUMLAH]]-NOTA[[#This Row],[DISC]])</f>
        <v/>
      </c>
      <c r="AB1086" s="51"/>
      <c r="AC10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6" s="51" t="str">
        <f>IF(OR(NOTA[[#This Row],[QTY]]="",NOTA[[#This Row],[HARGA SATUAN]]="",),"",NOTA[[#This Row],[QTY]]*NOTA[[#This Row],[HARGA SATUAN]])</f>
        <v/>
      </c>
      <c r="AG1086" s="40" t="str">
        <f ca="1">IF(NOTA[ID_H]="","",INDEX(NOTA[TANGGAL],MATCH(,INDIRECT(ADDRESS(ROW(NOTA[TANGGAL]),COLUMN(NOTA[TANGGAL]))&amp;":"&amp;ADDRESS(ROW(),COLUMN(NOTA[TANGGAL]))),-1)))</f>
        <v/>
      </c>
      <c r="AH1086" s="42" t="str">
        <f ca="1">IF(NOTA[[#This Row],[NAMA BARANG]]="","",INDEX(NOTA[SUPPLIER],MATCH(,INDIRECT(ADDRESS(ROW(NOTA[ID]),COLUMN(NOTA[ID]))&amp;":"&amp;ADDRESS(ROW(),COLUMN(NOTA[ID]))),-1)))</f>
        <v/>
      </c>
      <c r="AI1086" s="42" t="str">
        <f ca="1">IF(NOTA[[#This Row],[ID_H]]="","",IF(NOTA[[#This Row],[FAKTUR]]="",INDIRECT(ADDRESS(ROW()-1,COLUMN())),NOTA[[#This Row],[FAKTUR]]))</f>
        <v/>
      </c>
      <c r="AJ1086" s="39" t="str">
        <f ca="1">IF(NOTA[[#This Row],[ID]]="","",COUNTIF(NOTA[ID_H],NOTA[[#This Row],[ID_H]]))</f>
        <v/>
      </c>
      <c r="AK1086" s="39" t="str">
        <f ca="1">IF(NOTA[[#This Row],[TGL.NOTA]]="",IF(NOTA[[#This Row],[SUPPLIER_H]]="","",AK1085),MONTH(NOTA[[#This Row],[TGL.NOTA]]))</f>
        <v/>
      </c>
      <c r="AL1086" s="39" t="str">
        <f>LOWER(SUBSTITUTE(SUBSTITUTE(SUBSTITUTE(SUBSTITUTE(SUBSTITUTE(SUBSTITUTE(SUBSTITUTE(SUBSTITUTE(SUBSTITUTE(NOTA[NAMA BARANG]," ",),".",""),"-",""),"(",""),")",""),",",""),"/",""),"""",""),"+",""))</f>
        <v/>
      </c>
      <c r="AM10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39" t="str">
        <f>IF(NOTA[[#This Row],[CONCAT4]]="","",_xlfn.IFNA(MATCH(NOTA[[#This Row],[CONCAT4]],[2]!RAW[CONCAT_H],0),FALSE))</f>
        <v/>
      </c>
      <c r="AQ1086" s="39" t="str">
        <f>IF(NOTA[[#This Row],[CONCAT1]]="","",MATCH(NOTA[[#This Row],[CONCAT1]],[3]!db[NB NOTA_C],0))</f>
        <v/>
      </c>
      <c r="AR1086" s="39" t="str">
        <f>IF(NOTA[[#This Row],[QTY/ CTN]]="","",TRUE)</f>
        <v/>
      </c>
      <c r="AS1086" s="39" t="str">
        <f ca="1">IF(NOTA[[#This Row],[ID_H]]="","",IF(NOTA[[#This Row],[Column3]]=TRUE,NOTA[[#This Row],[QTY/ CTN]],INDEX([3]!db[QTY/ CTN],NOTA[[#This Row],[//DB]])))</f>
        <v/>
      </c>
      <c r="AT10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6" s="39" t="str">
        <f ca="1">IF(NOTA[[#This Row],[ID_H]]="","",MATCH(NOTA[[#This Row],[NB NOTA_C_QTY]],[4]!db[NB NOTA_C_QTY+F],0))</f>
        <v/>
      </c>
      <c r="AV1086" s="55" t="str">
        <f ca="1">IF(NOTA[[#This Row],[NB NOTA_C_QTY]]="","",ROW()-2)</f>
        <v/>
      </c>
    </row>
    <row r="1087" spans="1:48" ht="20.100000000000001" customHeight="1" x14ac:dyDescent="0.25">
      <c r="A10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39" t="str">
        <f>IF(NOTA[[#This Row],[ID_P]]="","",MATCH(NOTA[[#This Row],[ID_P]],[1]!B_MSK[N_ID],0))</f>
        <v/>
      </c>
      <c r="D1087" s="39" t="str">
        <f ca="1">IF(NOTA[[#This Row],[NAMA BARANG]]="","",INDEX(NOTA[ID],MATCH(,INDIRECT(ADDRESS(ROW(NOTA[ID]),COLUMN(NOTA[ID]))&amp;":"&amp;ADDRESS(ROW(),COLUMN(NOTA[ID]))),-1)))</f>
        <v/>
      </c>
      <c r="E1087" s="47"/>
      <c r="H1087" s="48"/>
      <c r="N1087" s="39"/>
      <c r="Q1087" s="43"/>
      <c r="R1087" s="49"/>
      <c r="S1087" s="50"/>
      <c r="U1087" s="51"/>
      <c r="V1087" s="46"/>
      <c r="W1087" s="51" t="str">
        <f>IF(NOTA[[#This Row],[HARGA/ CTN]]="",NOTA[[#This Row],[JUMLAH_H]],NOTA[[#This Row],[HARGA/ CTN]]*IF(NOTA[[#This Row],[C]]="",0,NOTA[[#This Row],[C]]))</f>
        <v/>
      </c>
      <c r="X1087" s="51" t="str">
        <f>IF(NOTA[[#This Row],[JUMLAH]]="","",NOTA[[#This Row],[JUMLAH]]*NOTA[[#This Row],[DISC 1]])</f>
        <v/>
      </c>
      <c r="Y1087" s="51" t="str">
        <f>IF(NOTA[[#This Row],[JUMLAH]]="","",(NOTA[[#This Row],[JUMLAH]]-NOTA[[#This Row],[DISC 1-]])*NOTA[[#This Row],[DISC 2]])</f>
        <v/>
      </c>
      <c r="Z1087" s="51" t="str">
        <f>IF(NOTA[[#This Row],[JUMLAH]]="","",NOTA[[#This Row],[DISC 1-]]+NOTA[[#This Row],[DISC 2-]])</f>
        <v/>
      </c>
      <c r="AA1087" s="51" t="str">
        <f>IF(NOTA[[#This Row],[JUMLAH]]="","",NOTA[[#This Row],[JUMLAH]]-NOTA[[#This Row],[DISC]])</f>
        <v/>
      </c>
      <c r="AB1087" s="51"/>
      <c r="AC10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7" s="51" t="str">
        <f>IF(OR(NOTA[[#This Row],[QTY]]="",NOTA[[#This Row],[HARGA SATUAN]]="",),"",NOTA[[#This Row],[QTY]]*NOTA[[#This Row],[HARGA SATUAN]])</f>
        <v/>
      </c>
      <c r="AG1087" s="40" t="str">
        <f ca="1">IF(NOTA[ID_H]="","",INDEX(NOTA[TANGGAL],MATCH(,INDIRECT(ADDRESS(ROW(NOTA[TANGGAL]),COLUMN(NOTA[TANGGAL]))&amp;":"&amp;ADDRESS(ROW(),COLUMN(NOTA[TANGGAL]))),-1)))</f>
        <v/>
      </c>
      <c r="AH1087" s="42" t="str">
        <f ca="1">IF(NOTA[[#This Row],[NAMA BARANG]]="","",INDEX(NOTA[SUPPLIER],MATCH(,INDIRECT(ADDRESS(ROW(NOTA[ID]),COLUMN(NOTA[ID]))&amp;":"&amp;ADDRESS(ROW(),COLUMN(NOTA[ID]))),-1)))</f>
        <v/>
      </c>
      <c r="AI1087" s="42" t="str">
        <f ca="1">IF(NOTA[[#This Row],[ID_H]]="","",IF(NOTA[[#This Row],[FAKTUR]]="",INDIRECT(ADDRESS(ROW()-1,COLUMN())),NOTA[[#This Row],[FAKTUR]]))</f>
        <v/>
      </c>
      <c r="AJ1087" s="39" t="str">
        <f ca="1">IF(NOTA[[#This Row],[ID]]="","",COUNTIF(NOTA[ID_H],NOTA[[#This Row],[ID_H]]))</f>
        <v/>
      </c>
      <c r="AK1087" s="39" t="str">
        <f ca="1">IF(NOTA[[#This Row],[TGL.NOTA]]="",IF(NOTA[[#This Row],[SUPPLIER_H]]="","",AK1086),MONTH(NOTA[[#This Row],[TGL.NOTA]]))</f>
        <v/>
      </c>
      <c r="AL1087" s="39" t="str">
        <f>LOWER(SUBSTITUTE(SUBSTITUTE(SUBSTITUTE(SUBSTITUTE(SUBSTITUTE(SUBSTITUTE(SUBSTITUTE(SUBSTITUTE(SUBSTITUTE(NOTA[NAMA BARANG]," ",),".",""),"-",""),"(",""),")",""),",",""),"/",""),"""",""),"+",""))</f>
        <v/>
      </c>
      <c r="AM10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39" t="str">
        <f>IF(NOTA[[#This Row],[CONCAT4]]="","",_xlfn.IFNA(MATCH(NOTA[[#This Row],[CONCAT4]],[2]!RAW[CONCAT_H],0),FALSE))</f>
        <v/>
      </c>
      <c r="AQ1087" s="39" t="str">
        <f>IF(NOTA[[#This Row],[CONCAT1]]="","",MATCH(NOTA[[#This Row],[CONCAT1]],[3]!db[NB NOTA_C],0))</f>
        <v/>
      </c>
      <c r="AR1087" s="39" t="str">
        <f>IF(NOTA[[#This Row],[QTY/ CTN]]="","",TRUE)</f>
        <v/>
      </c>
      <c r="AS1087" s="39" t="str">
        <f ca="1">IF(NOTA[[#This Row],[ID_H]]="","",IF(NOTA[[#This Row],[Column3]]=TRUE,NOTA[[#This Row],[QTY/ CTN]],INDEX([3]!db[QTY/ CTN],NOTA[[#This Row],[//DB]])))</f>
        <v/>
      </c>
      <c r="AT10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7" s="39" t="str">
        <f ca="1">IF(NOTA[[#This Row],[ID_H]]="","",MATCH(NOTA[[#This Row],[NB NOTA_C_QTY]],[4]!db[NB NOTA_C_QTY+F],0))</f>
        <v/>
      </c>
      <c r="AV1087" s="55" t="str">
        <f ca="1">IF(NOTA[[#This Row],[NB NOTA_C_QTY]]="","",ROW()-2)</f>
        <v/>
      </c>
    </row>
    <row r="1088" spans="1:48" ht="20.100000000000001" customHeight="1" x14ac:dyDescent="0.25">
      <c r="A10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39" t="str">
        <f>IF(NOTA[[#This Row],[ID_P]]="","",MATCH(NOTA[[#This Row],[ID_P]],[1]!B_MSK[N_ID],0))</f>
        <v/>
      </c>
      <c r="D1088" s="39" t="str">
        <f ca="1">IF(NOTA[[#This Row],[NAMA BARANG]]="","",INDEX(NOTA[ID],MATCH(,INDIRECT(ADDRESS(ROW(NOTA[ID]),COLUMN(NOTA[ID]))&amp;":"&amp;ADDRESS(ROW(),COLUMN(NOTA[ID]))),-1)))</f>
        <v/>
      </c>
      <c r="E1088" s="47"/>
      <c r="H1088" s="48"/>
      <c r="N1088" s="39"/>
      <c r="Q1088" s="43"/>
      <c r="R1088" s="49"/>
      <c r="S1088" s="50"/>
      <c r="U1088" s="51"/>
      <c r="V1088" s="46"/>
      <c r="W1088" s="51" t="str">
        <f>IF(NOTA[[#This Row],[HARGA/ CTN]]="",NOTA[[#This Row],[JUMLAH_H]],NOTA[[#This Row],[HARGA/ CTN]]*IF(NOTA[[#This Row],[C]]="",0,NOTA[[#This Row],[C]]))</f>
        <v/>
      </c>
      <c r="X1088" s="51" t="str">
        <f>IF(NOTA[[#This Row],[JUMLAH]]="","",NOTA[[#This Row],[JUMLAH]]*NOTA[[#This Row],[DISC 1]])</f>
        <v/>
      </c>
      <c r="Y1088" s="51" t="str">
        <f>IF(NOTA[[#This Row],[JUMLAH]]="","",(NOTA[[#This Row],[JUMLAH]]-NOTA[[#This Row],[DISC 1-]])*NOTA[[#This Row],[DISC 2]])</f>
        <v/>
      </c>
      <c r="Z1088" s="51" t="str">
        <f>IF(NOTA[[#This Row],[JUMLAH]]="","",NOTA[[#This Row],[DISC 1-]]+NOTA[[#This Row],[DISC 2-]])</f>
        <v/>
      </c>
      <c r="AA1088" s="51" t="str">
        <f>IF(NOTA[[#This Row],[JUMLAH]]="","",NOTA[[#This Row],[JUMLAH]]-NOTA[[#This Row],[DISC]])</f>
        <v/>
      </c>
      <c r="AB1088" s="51"/>
      <c r="AC10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8" s="51" t="str">
        <f>IF(OR(NOTA[[#This Row],[QTY]]="",NOTA[[#This Row],[HARGA SATUAN]]="",),"",NOTA[[#This Row],[QTY]]*NOTA[[#This Row],[HARGA SATUAN]])</f>
        <v/>
      </c>
      <c r="AG1088" s="40" t="str">
        <f ca="1">IF(NOTA[ID_H]="","",INDEX(NOTA[TANGGAL],MATCH(,INDIRECT(ADDRESS(ROW(NOTA[TANGGAL]),COLUMN(NOTA[TANGGAL]))&amp;":"&amp;ADDRESS(ROW(),COLUMN(NOTA[TANGGAL]))),-1)))</f>
        <v/>
      </c>
      <c r="AH1088" s="42" t="str">
        <f ca="1">IF(NOTA[[#This Row],[NAMA BARANG]]="","",INDEX(NOTA[SUPPLIER],MATCH(,INDIRECT(ADDRESS(ROW(NOTA[ID]),COLUMN(NOTA[ID]))&amp;":"&amp;ADDRESS(ROW(),COLUMN(NOTA[ID]))),-1)))</f>
        <v/>
      </c>
      <c r="AI1088" s="42" t="str">
        <f ca="1">IF(NOTA[[#This Row],[ID_H]]="","",IF(NOTA[[#This Row],[FAKTUR]]="",INDIRECT(ADDRESS(ROW()-1,COLUMN())),NOTA[[#This Row],[FAKTUR]]))</f>
        <v/>
      </c>
      <c r="AJ1088" s="39" t="str">
        <f ca="1">IF(NOTA[[#This Row],[ID]]="","",COUNTIF(NOTA[ID_H],NOTA[[#This Row],[ID_H]]))</f>
        <v/>
      </c>
      <c r="AK1088" s="39" t="str">
        <f ca="1">IF(NOTA[[#This Row],[TGL.NOTA]]="",IF(NOTA[[#This Row],[SUPPLIER_H]]="","",AK1087),MONTH(NOTA[[#This Row],[TGL.NOTA]]))</f>
        <v/>
      </c>
      <c r="AL1088" s="39" t="str">
        <f>LOWER(SUBSTITUTE(SUBSTITUTE(SUBSTITUTE(SUBSTITUTE(SUBSTITUTE(SUBSTITUTE(SUBSTITUTE(SUBSTITUTE(SUBSTITUTE(NOTA[NAMA BARANG]," ",),".",""),"-",""),"(",""),")",""),",",""),"/",""),"""",""),"+",""))</f>
        <v/>
      </c>
      <c r="AM10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39" t="str">
        <f>IF(NOTA[[#This Row],[CONCAT4]]="","",_xlfn.IFNA(MATCH(NOTA[[#This Row],[CONCAT4]],[2]!RAW[CONCAT_H],0),FALSE))</f>
        <v/>
      </c>
      <c r="AQ1088" s="39" t="str">
        <f>IF(NOTA[[#This Row],[CONCAT1]]="","",MATCH(NOTA[[#This Row],[CONCAT1]],[3]!db[NB NOTA_C],0))</f>
        <v/>
      </c>
      <c r="AR1088" s="39" t="str">
        <f>IF(NOTA[[#This Row],[QTY/ CTN]]="","",TRUE)</f>
        <v/>
      </c>
      <c r="AS1088" s="39" t="str">
        <f ca="1">IF(NOTA[[#This Row],[ID_H]]="","",IF(NOTA[[#This Row],[Column3]]=TRUE,NOTA[[#This Row],[QTY/ CTN]],INDEX([3]!db[QTY/ CTN],NOTA[[#This Row],[//DB]])))</f>
        <v/>
      </c>
      <c r="AT10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8" s="39" t="str">
        <f ca="1">IF(NOTA[[#This Row],[ID_H]]="","",MATCH(NOTA[[#This Row],[NB NOTA_C_QTY]],[4]!db[NB NOTA_C_QTY+F],0))</f>
        <v/>
      </c>
      <c r="AV1088" s="55" t="str">
        <f ca="1">IF(NOTA[[#This Row],[NB NOTA_C_QTY]]="","",ROW()-2)</f>
        <v/>
      </c>
    </row>
    <row r="1089" spans="1:48" ht="20.100000000000001" customHeight="1" x14ac:dyDescent="0.25">
      <c r="A10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39" t="str">
        <f>IF(NOTA[[#This Row],[ID_P]]="","",MATCH(NOTA[[#This Row],[ID_P]],[1]!B_MSK[N_ID],0))</f>
        <v/>
      </c>
      <c r="D1089" s="39" t="str">
        <f ca="1">IF(NOTA[[#This Row],[NAMA BARANG]]="","",INDEX(NOTA[ID],MATCH(,INDIRECT(ADDRESS(ROW(NOTA[ID]),COLUMN(NOTA[ID]))&amp;":"&amp;ADDRESS(ROW(),COLUMN(NOTA[ID]))),-1)))</f>
        <v/>
      </c>
      <c r="E1089" s="47"/>
      <c r="H1089" s="48"/>
      <c r="N1089" s="39"/>
      <c r="Q1089" s="43"/>
      <c r="R1089" s="49"/>
      <c r="S1089" s="50"/>
      <c r="U1089" s="51"/>
      <c r="V1089" s="46"/>
      <c r="W1089" s="51" t="str">
        <f>IF(NOTA[[#This Row],[HARGA/ CTN]]="",NOTA[[#This Row],[JUMLAH_H]],NOTA[[#This Row],[HARGA/ CTN]]*IF(NOTA[[#This Row],[C]]="",0,NOTA[[#This Row],[C]]))</f>
        <v/>
      </c>
      <c r="X1089" s="51" t="str">
        <f>IF(NOTA[[#This Row],[JUMLAH]]="","",NOTA[[#This Row],[JUMLAH]]*NOTA[[#This Row],[DISC 1]])</f>
        <v/>
      </c>
      <c r="Y1089" s="51" t="str">
        <f>IF(NOTA[[#This Row],[JUMLAH]]="","",(NOTA[[#This Row],[JUMLAH]]-NOTA[[#This Row],[DISC 1-]])*NOTA[[#This Row],[DISC 2]])</f>
        <v/>
      </c>
      <c r="Z1089" s="51" t="str">
        <f>IF(NOTA[[#This Row],[JUMLAH]]="","",NOTA[[#This Row],[DISC 1-]]+NOTA[[#This Row],[DISC 2-]])</f>
        <v/>
      </c>
      <c r="AA1089" s="51" t="str">
        <f>IF(NOTA[[#This Row],[JUMLAH]]="","",NOTA[[#This Row],[JUMLAH]]-NOTA[[#This Row],[DISC]])</f>
        <v/>
      </c>
      <c r="AB1089" s="51"/>
      <c r="AC10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9" s="51" t="str">
        <f>IF(OR(NOTA[[#This Row],[QTY]]="",NOTA[[#This Row],[HARGA SATUAN]]="",),"",NOTA[[#This Row],[QTY]]*NOTA[[#This Row],[HARGA SATUAN]])</f>
        <v/>
      </c>
      <c r="AG1089" s="40" t="str">
        <f ca="1">IF(NOTA[ID_H]="","",INDEX(NOTA[TANGGAL],MATCH(,INDIRECT(ADDRESS(ROW(NOTA[TANGGAL]),COLUMN(NOTA[TANGGAL]))&amp;":"&amp;ADDRESS(ROW(),COLUMN(NOTA[TANGGAL]))),-1)))</f>
        <v/>
      </c>
      <c r="AH1089" s="42" t="str">
        <f ca="1">IF(NOTA[[#This Row],[NAMA BARANG]]="","",INDEX(NOTA[SUPPLIER],MATCH(,INDIRECT(ADDRESS(ROW(NOTA[ID]),COLUMN(NOTA[ID]))&amp;":"&amp;ADDRESS(ROW(),COLUMN(NOTA[ID]))),-1)))</f>
        <v/>
      </c>
      <c r="AI1089" s="42" t="str">
        <f ca="1">IF(NOTA[[#This Row],[ID_H]]="","",IF(NOTA[[#This Row],[FAKTUR]]="",INDIRECT(ADDRESS(ROW()-1,COLUMN())),NOTA[[#This Row],[FAKTUR]]))</f>
        <v/>
      </c>
      <c r="AJ1089" s="39" t="str">
        <f ca="1">IF(NOTA[[#This Row],[ID]]="","",COUNTIF(NOTA[ID_H],NOTA[[#This Row],[ID_H]]))</f>
        <v/>
      </c>
      <c r="AK1089" s="39" t="str">
        <f ca="1">IF(NOTA[[#This Row],[TGL.NOTA]]="",IF(NOTA[[#This Row],[SUPPLIER_H]]="","",AK1088),MONTH(NOTA[[#This Row],[TGL.NOTA]]))</f>
        <v/>
      </c>
      <c r="AL1089" s="39" t="str">
        <f>LOWER(SUBSTITUTE(SUBSTITUTE(SUBSTITUTE(SUBSTITUTE(SUBSTITUTE(SUBSTITUTE(SUBSTITUTE(SUBSTITUTE(SUBSTITUTE(NOTA[NAMA BARANG]," ",),".",""),"-",""),"(",""),")",""),",",""),"/",""),"""",""),"+",""))</f>
        <v/>
      </c>
      <c r="AM10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39" t="str">
        <f>IF(NOTA[[#This Row],[CONCAT4]]="","",_xlfn.IFNA(MATCH(NOTA[[#This Row],[CONCAT4]],[2]!RAW[CONCAT_H],0),FALSE))</f>
        <v/>
      </c>
      <c r="AQ1089" s="39" t="str">
        <f>IF(NOTA[[#This Row],[CONCAT1]]="","",MATCH(NOTA[[#This Row],[CONCAT1]],[3]!db[NB NOTA_C],0))</f>
        <v/>
      </c>
      <c r="AR1089" s="39" t="str">
        <f>IF(NOTA[[#This Row],[QTY/ CTN]]="","",TRUE)</f>
        <v/>
      </c>
      <c r="AS1089" s="39" t="str">
        <f ca="1">IF(NOTA[[#This Row],[ID_H]]="","",IF(NOTA[[#This Row],[Column3]]=TRUE,NOTA[[#This Row],[QTY/ CTN]],INDEX([3]!db[QTY/ CTN],NOTA[[#This Row],[//DB]])))</f>
        <v/>
      </c>
      <c r="AT10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9" s="39" t="str">
        <f ca="1">IF(NOTA[[#This Row],[ID_H]]="","",MATCH(NOTA[[#This Row],[NB NOTA_C_QTY]],[4]!db[NB NOTA_C_QTY+F],0))</f>
        <v/>
      </c>
      <c r="AV1089" s="55" t="str">
        <f ca="1">IF(NOTA[[#This Row],[NB NOTA_C_QTY]]="","",ROW()-2)</f>
        <v/>
      </c>
    </row>
    <row r="1090" spans="1:48" ht="20.100000000000001" customHeight="1" x14ac:dyDescent="0.25">
      <c r="A10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39" t="str">
        <f>IF(NOTA[[#This Row],[ID_P]]="","",MATCH(NOTA[[#This Row],[ID_P]],[1]!B_MSK[N_ID],0))</f>
        <v/>
      </c>
      <c r="D1090" s="39" t="str">
        <f ca="1">IF(NOTA[[#This Row],[NAMA BARANG]]="","",INDEX(NOTA[ID],MATCH(,INDIRECT(ADDRESS(ROW(NOTA[ID]),COLUMN(NOTA[ID]))&amp;":"&amp;ADDRESS(ROW(),COLUMN(NOTA[ID]))),-1)))</f>
        <v/>
      </c>
      <c r="E1090" s="47"/>
      <c r="H1090" s="48"/>
      <c r="N1090" s="39"/>
      <c r="Q1090" s="43"/>
      <c r="R1090" s="49"/>
      <c r="S1090" s="50"/>
      <c r="U1090" s="51"/>
      <c r="V1090" s="46"/>
      <c r="W1090" s="51" t="str">
        <f>IF(NOTA[[#This Row],[HARGA/ CTN]]="",NOTA[[#This Row],[JUMLAH_H]],NOTA[[#This Row],[HARGA/ CTN]]*IF(NOTA[[#This Row],[C]]="",0,NOTA[[#This Row],[C]]))</f>
        <v/>
      </c>
      <c r="X1090" s="51" t="str">
        <f>IF(NOTA[[#This Row],[JUMLAH]]="","",NOTA[[#This Row],[JUMLAH]]*NOTA[[#This Row],[DISC 1]])</f>
        <v/>
      </c>
      <c r="Y1090" s="51" t="str">
        <f>IF(NOTA[[#This Row],[JUMLAH]]="","",(NOTA[[#This Row],[JUMLAH]]-NOTA[[#This Row],[DISC 1-]])*NOTA[[#This Row],[DISC 2]])</f>
        <v/>
      </c>
      <c r="Z1090" s="51" t="str">
        <f>IF(NOTA[[#This Row],[JUMLAH]]="","",NOTA[[#This Row],[DISC 1-]]+NOTA[[#This Row],[DISC 2-]])</f>
        <v/>
      </c>
      <c r="AA1090" s="51" t="str">
        <f>IF(NOTA[[#This Row],[JUMLAH]]="","",NOTA[[#This Row],[JUMLAH]]-NOTA[[#This Row],[DISC]])</f>
        <v/>
      </c>
      <c r="AB1090" s="51"/>
      <c r="AC10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51" t="str">
        <f>IF(OR(NOTA[[#This Row],[QTY]]="",NOTA[[#This Row],[HARGA SATUAN]]="",),"",NOTA[[#This Row],[QTY]]*NOTA[[#This Row],[HARGA SATUAN]])</f>
        <v/>
      </c>
      <c r="AG1090" s="40" t="str">
        <f ca="1">IF(NOTA[ID_H]="","",INDEX(NOTA[TANGGAL],MATCH(,INDIRECT(ADDRESS(ROW(NOTA[TANGGAL]),COLUMN(NOTA[TANGGAL]))&amp;":"&amp;ADDRESS(ROW(),COLUMN(NOTA[TANGGAL]))),-1)))</f>
        <v/>
      </c>
      <c r="AH1090" s="42" t="str">
        <f ca="1">IF(NOTA[[#This Row],[NAMA BARANG]]="","",INDEX(NOTA[SUPPLIER],MATCH(,INDIRECT(ADDRESS(ROW(NOTA[ID]),COLUMN(NOTA[ID]))&amp;":"&amp;ADDRESS(ROW(),COLUMN(NOTA[ID]))),-1)))</f>
        <v/>
      </c>
      <c r="AI1090" s="42" t="str">
        <f ca="1">IF(NOTA[[#This Row],[ID_H]]="","",IF(NOTA[[#This Row],[FAKTUR]]="",INDIRECT(ADDRESS(ROW()-1,COLUMN())),NOTA[[#This Row],[FAKTUR]]))</f>
        <v/>
      </c>
      <c r="AJ1090" s="39" t="str">
        <f ca="1">IF(NOTA[[#This Row],[ID]]="","",COUNTIF(NOTA[ID_H],NOTA[[#This Row],[ID_H]]))</f>
        <v/>
      </c>
      <c r="AK1090" s="39" t="str">
        <f ca="1">IF(NOTA[[#This Row],[TGL.NOTA]]="",IF(NOTA[[#This Row],[SUPPLIER_H]]="","",AK1089),MONTH(NOTA[[#This Row],[TGL.NOTA]]))</f>
        <v/>
      </c>
      <c r="AL1090" s="39" t="str">
        <f>LOWER(SUBSTITUTE(SUBSTITUTE(SUBSTITUTE(SUBSTITUTE(SUBSTITUTE(SUBSTITUTE(SUBSTITUTE(SUBSTITUTE(SUBSTITUTE(NOTA[NAMA BARANG]," ",),".",""),"-",""),"(",""),")",""),",",""),"/",""),"""",""),"+",""))</f>
        <v/>
      </c>
      <c r="AM10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39" t="str">
        <f>IF(NOTA[[#This Row],[CONCAT4]]="","",_xlfn.IFNA(MATCH(NOTA[[#This Row],[CONCAT4]],[2]!RAW[CONCAT_H],0),FALSE))</f>
        <v/>
      </c>
      <c r="AQ1090" s="39" t="str">
        <f>IF(NOTA[[#This Row],[CONCAT1]]="","",MATCH(NOTA[[#This Row],[CONCAT1]],[3]!db[NB NOTA_C],0))</f>
        <v/>
      </c>
      <c r="AR1090" s="39" t="str">
        <f>IF(NOTA[[#This Row],[QTY/ CTN]]="","",TRUE)</f>
        <v/>
      </c>
      <c r="AS1090" s="39" t="str">
        <f ca="1">IF(NOTA[[#This Row],[ID_H]]="","",IF(NOTA[[#This Row],[Column3]]=TRUE,NOTA[[#This Row],[QTY/ CTN]],INDEX([3]!db[QTY/ CTN],NOTA[[#This Row],[//DB]])))</f>
        <v/>
      </c>
      <c r="AT10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0" s="39" t="str">
        <f ca="1">IF(NOTA[[#This Row],[ID_H]]="","",MATCH(NOTA[[#This Row],[NB NOTA_C_QTY]],[4]!db[NB NOTA_C_QTY+F],0))</f>
        <v/>
      </c>
      <c r="AV1090" s="55" t="str">
        <f ca="1">IF(NOTA[[#This Row],[NB NOTA_C_QTY]]="","",ROW()-2)</f>
        <v/>
      </c>
    </row>
    <row r="1091" spans="1:48" ht="20.100000000000001" customHeight="1" x14ac:dyDescent="0.25">
      <c r="A10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1" s="39" t="str">
        <f>IF(NOTA[[#This Row],[ID_P]]="","",MATCH(NOTA[[#This Row],[ID_P]],[1]!B_MSK[N_ID],0))</f>
        <v/>
      </c>
      <c r="D1091" s="39" t="str">
        <f ca="1">IF(NOTA[[#This Row],[NAMA BARANG]]="","",INDEX(NOTA[ID],MATCH(,INDIRECT(ADDRESS(ROW(NOTA[ID]),COLUMN(NOTA[ID]))&amp;":"&amp;ADDRESS(ROW(),COLUMN(NOTA[ID]))),-1)))</f>
        <v/>
      </c>
      <c r="E1091" s="47"/>
      <c r="H1091" s="48"/>
      <c r="N1091" s="39"/>
      <c r="Q1091" s="43"/>
      <c r="R1091" s="49"/>
      <c r="S1091" s="50"/>
      <c r="U1091" s="51"/>
      <c r="V1091" s="46"/>
      <c r="W1091" s="51" t="str">
        <f>IF(NOTA[[#This Row],[HARGA/ CTN]]="",NOTA[[#This Row],[JUMLAH_H]],NOTA[[#This Row],[HARGA/ CTN]]*IF(NOTA[[#This Row],[C]]="",0,NOTA[[#This Row],[C]]))</f>
        <v/>
      </c>
      <c r="X1091" s="51" t="str">
        <f>IF(NOTA[[#This Row],[JUMLAH]]="","",NOTA[[#This Row],[JUMLAH]]*NOTA[[#This Row],[DISC 1]])</f>
        <v/>
      </c>
      <c r="Y1091" s="51" t="str">
        <f>IF(NOTA[[#This Row],[JUMLAH]]="","",(NOTA[[#This Row],[JUMLAH]]-NOTA[[#This Row],[DISC 1-]])*NOTA[[#This Row],[DISC 2]])</f>
        <v/>
      </c>
      <c r="Z1091" s="51" t="str">
        <f>IF(NOTA[[#This Row],[JUMLAH]]="","",NOTA[[#This Row],[DISC 1-]]+NOTA[[#This Row],[DISC 2-]])</f>
        <v/>
      </c>
      <c r="AA1091" s="51" t="str">
        <f>IF(NOTA[[#This Row],[JUMLAH]]="","",NOTA[[#This Row],[JUMLAH]]-NOTA[[#This Row],[DISC]])</f>
        <v/>
      </c>
      <c r="AB1091" s="51"/>
      <c r="AC10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1" s="51" t="str">
        <f>IF(OR(NOTA[[#This Row],[QTY]]="",NOTA[[#This Row],[HARGA SATUAN]]="",),"",NOTA[[#This Row],[QTY]]*NOTA[[#This Row],[HARGA SATUAN]])</f>
        <v/>
      </c>
      <c r="AG1091" s="40" t="str">
        <f ca="1">IF(NOTA[ID_H]="","",INDEX(NOTA[TANGGAL],MATCH(,INDIRECT(ADDRESS(ROW(NOTA[TANGGAL]),COLUMN(NOTA[TANGGAL]))&amp;":"&amp;ADDRESS(ROW(),COLUMN(NOTA[TANGGAL]))),-1)))</f>
        <v/>
      </c>
      <c r="AH1091" s="42" t="str">
        <f ca="1">IF(NOTA[[#This Row],[NAMA BARANG]]="","",INDEX(NOTA[SUPPLIER],MATCH(,INDIRECT(ADDRESS(ROW(NOTA[ID]),COLUMN(NOTA[ID]))&amp;":"&amp;ADDRESS(ROW(),COLUMN(NOTA[ID]))),-1)))</f>
        <v/>
      </c>
      <c r="AI1091" s="42" t="str">
        <f ca="1">IF(NOTA[[#This Row],[ID_H]]="","",IF(NOTA[[#This Row],[FAKTUR]]="",INDIRECT(ADDRESS(ROW()-1,COLUMN())),NOTA[[#This Row],[FAKTUR]]))</f>
        <v/>
      </c>
      <c r="AJ1091" s="39" t="str">
        <f ca="1">IF(NOTA[[#This Row],[ID]]="","",COUNTIF(NOTA[ID_H],NOTA[[#This Row],[ID_H]]))</f>
        <v/>
      </c>
      <c r="AK1091" s="39" t="str">
        <f ca="1">IF(NOTA[[#This Row],[TGL.NOTA]]="",IF(NOTA[[#This Row],[SUPPLIER_H]]="","",AK1090),MONTH(NOTA[[#This Row],[TGL.NOTA]]))</f>
        <v/>
      </c>
      <c r="AL1091" s="39" t="str">
        <f>LOWER(SUBSTITUTE(SUBSTITUTE(SUBSTITUTE(SUBSTITUTE(SUBSTITUTE(SUBSTITUTE(SUBSTITUTE(SUBSTITUTE(SUBSTITUTE(NOTA[NAMA BARANG]," ",),".",""),"-",""),"(",""),")",""),",",""),"/",""),"""",""),"+",""))</f>
        <v/>
      </c>
      <c r="AM10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1" s="39" t="str">
        <f>IF(NOTA[[#This Row],[CONCAT4]]="","",_xlfn.IFNA(MATCH(NOTA[[#This Row],[CONCAT4]],[2]!RAW[CONCAT_H],0),FALSE))</f>
        <v/>
      </c>
      <c r="AQ1091" s="39" t="str">
        <f>IF(NOTA[[#This Row],[CONCAT1]]="","",MATCH(NOTA[[#This Row],[CONCAT1]],[3]!db[NB NOTA_C],0))</f>
        <v/>
      </c>
      <c r="AR1091" s="39" t="str">
        <f>IF(NOTA[[#This Row],[QTY/ CTN]]="","",TRUE)</f>
        <v/>
      </c>
      <c r="AS1091" s="39" t="str">
        <f ca="1">IF(NOTA[[#This Row],[ID_H]]="","",IF(NOTA[[#This Row],[Column3]]=TRUE,NOTA[[#This Row],[QTY/ CTN]],INDEX([3]!db[QTY/ CTN],NOTA[[#This Row],[//DB]])))</f>
        <v/>
      </c>
      <c r="AT10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1" s="39" t="str">
        <f ca="1">IF(NOTA[[#This Row],[ID_H]]="","",MATCH(NOTA[[#This Row],[NB NOTA_C_QTY]],[4]!db[NB NOTA_C_QTY+F],0))</f>
        <v/>
      </c>
      <c r="AV1091" s="55" t="str">
        <f ca="1">IF(NOTA[[#This Row],[NB NOTA_C_QTY]]="","",ROW()-2)</f>
        <v/>
      </c>
    </row>
    <row r="1092" spans="1:48" ht="20.100000000000001" customHeight="1" x14ac:dyDescent="0.25">
      <c r="A10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39" t="str">
        <f>IF(NOTA[[#This Row],[ID_P]]="","",MATCH(NOTA[[#This Row],[ID_P]],[1]!B_MSK[N_ID],0))</f>
        <v/>
      </c>
      <c r="D1092" s="39" t="str">
        <f ca="1">IF(NOTA[[#This Row],[NAMA BARANG]]="","",INDEX(NOTA[ID],MATCH(,INDIRECT(ADDRESS(ROW(NOTA[ID]),COLUMN(NOTA[ID]))&amp;":"&amp;ADDRESS(ROW(),COLUMN(NOTA[ID]))),-1)))</f>
        <v/>
      </c>
      <c r="E1092" s="47"/>
      <c r="H1092" s="48"/>
      <c r="N1092" s="39"/>
      <c r="Q1092" s="43"/>
      <c r="R1092" s="49"/>
      <c r="S1092" s="50"/>
      <c r="U1092" s="51"/>
      <c r="V1092" s="46"/>
      <c r="W1092" s="51" t="str">
        <f>IF(NOTA[[#This Row],[HARGA/ CTN]]="",NOTA[[#This Row],[JUMLAH_H]],NOTA[[#This Row],[HARGA/ CTN]]*IF(NOTA[[#This Row],[C]]="",0,NOTA[[#This Row],[C]]))</f>
        <v/>
      </c>
      <c r="X1092" s="51" t="str">
        <f>IF(NOTA[[#This Row],[JUMLAH]]="","",NOTA[[#This Row],[JUMLAH]]*NOTA[[#This Row],[DISC 1]])</f>
        <v/>
      </c>
      <c r="Y1092" s="51" t="str">
        <f>IF(NOTA[[#This Row],[JUMLAH]]="","",(NOTA[[#This Row],[JUMLAH]]-NOTA[[#This Row],[DISC 1-]])*NOTA[[#This Row],[DISC 2]])</f>
        <v/>
      </c>
      <c r="Z1092" s="51" t="str">
        <f>IF(NOTA[[#This Row],[JUMLAH]]="","",NOTA[[#This Row],[DISC 1-]]+NOTA[[#This Row],[DISC 2-]])</f>
        <v/>
      </c>
      <c r="AA1092" s="51" t="str">
        <f>IF(NOTA[[#This Row],[JUMLAH]]="","",NOTA[[#This Row],[JUMLAH]]-NOTA[[#This Row],[DISC]])</f>
        <v/>
      </c>
      <c r="AB1092" s="51"/>
      <c r="AC10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2" s="51" t="str">
        <f>IF(OR(NOTA[[#This Row],[QTY]]="",NOTA[[#This Row],[HARGA SATUAN]]="",),"",NOTA[[#This Row],[QTY]]*NOTA[[#This Row],[HARGA SATUAN]])</f>
        <v/>
      </c>
      <c r="AG1092" s="40" t="str">
        <f ca="1">IF(NOTA[ID_H]="","",INDEX(NOTA[TANGGAL],MATCH(,INDIRECT(ADDRESS(ROW(NOTA[TANGGAL]),COLUMN(NOTA[TANGGAL]))&amp;":"&amp;ADDRESS(ROW(),COLUMN(NOTA[TANGGAL]))),-1)))</f>
        <v/>
      </c>
      <c r="AH1092" s="42" t="str">
        <f ca="1">IF(NOTA[[#This Row],[NAMA BARANG]]="","",INDEX(NOTA[SUPPLIER],MATCH(,INDIRECT(ADDRESS(ROW(NOTA[ID]),COLUMN(NOTA[ID]))&amp;":"&amp;ADDRESS(ROW(),COLUMN(NOTA[ID]))),-1)))</f>
        <v/>
      </c>
      <c r="AI1092" s="42" t="str">
        <f ca="1">IF(NOTA[[#This Row],[ID_H]]="","",IF(NOTA[[#This Row],[FAKTUR]]="",INDIRECT(ADDRESS(ROW()-1,COLUMN())),NOTA[[#This Row],[FAKTUR]]))</f>
        <v/>
      </c>
      <c r="AJ1092" s="39" t="str">
        <f ca="1">IF(NOTA[[#This Row],[ID]]="","",COUNTIF(NOTA[ID_H],NOTA[[#This Row],[ID_H]]))</f>
        <v/>
      </c>
      <c r="AK1092" s="39" t="str">
        <f ca="1">IF(NOTA[[#This Row],[TGL.NOTA]]="",IF(NOTA[[#This Row],[SUPPLIER_H]]="","",AK1091),MONTH(NOTA[[#This Row],[TGL.NOTA]]))</f>
        <v/>
      </c>
      <c r="AL1092" s="39" t="str">
        <f>LOWER(SUBSTITUTE(SUBSTITUTE(SUBSTITUTE(SUBSTITUTE(SUBSTITUTE(SUBSTITUTE(SUBSTITUTE(SUBSTITUTE(SUBSTITUTE(NOTA[NAMA BARANG]," ",),".",""),"-",""),"(",""),")",""),",",""),"/",""),"""",""),"+",""))</f>
        <v/>
      </c>
      <c r="AM10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39" t="str">
        <f>IF(NOTA[[#This Row],[CONCAT4]]="","",_xlfn.IFNA(MATCH(NOTA[[#This Row],[CONCAT4]],[2]!RAW[CONCAT_H],0),FALSE))</f>
        <v/>
      </c>
      <c r="AQ1092" s="39" t="str">
        <f>IF(NOTA[[#This Row],[CONCAT1]]="","",MATCH(NOTA[[#This Row],[CONCAT1]],[3]!db[NB NOTA_C],0))</f>
        <v/>
      </c>
      <c r="AR1092" s="39" t="str">
        <f>IF(NOTA[[#This Row],[QTY/ CTN]]="","",TRUE)</f>
        <v/>
      </c>
      <c r="AS1092" s="39" t="str">
        <f ca="1">IF(NOTA[[#This Row],[ID_H]]="","",IF(NOTA[[#This Row],[Column3]]=TRUE,NOTA[[#This Row],[QTY/ CTN]],INDEX([3]!db[QTY/ CTN],NOTA[[#This Row],[//DB]])))</f>
        <v/>
      </c>
      <c r="AT10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2" s="39" t="str">
        <f ca="1">IF(NOTA[[#This Row],[ID_H]]="","",MATCH(NOTA[[#This Row],[NB NOTA_C_QTY]],[4]!db[NB NOTA_C_QTY+F],0))</f>
        <v/>
      </c>
      <c r="AV1092" s="55" t="str">
        <f ca="1">IF(NOTA[[#This Row],[NB NOTA_C_QTY]]="","",ROW()-2)</f>
        <v/>
      </c>
    </row>
    <row r="1093" spans="1:48" ht="20.100000000000001" customHeight="1" x14ac:dyDescent="0.25">
      <c r="A10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39" t="str">
        <f>IF(NOTA[[#This Row],[ID_P]]="","",MATCH(NOTA[[#This Row],[ID_P]],[1]!B_MSK[N_ID],0))</f>
        <v/>
      </c>
      <c r="D1093" s="39" t="str">
        <f ca="1">IF(NOTA[[#This Row],[NAMA BARANG]]="","",INDEX(NOTA[ID],MATCH(,INDIRECT(ADDRESS(ROW(NOTA[ID]),COLUMN(NOTA[ID]))&amp;":"&amp;ADDRESS(ROW(),COLUMN(NOTA[ID]))),-1)))</f>
        <v/>
      </c>
      <c r="E1093" s="47"/>
      <c r="H1093" s="48"/>
      <c r="N1093" s="39"/>
      <c r="Q1093" s="43"/>
      <c r="R1093" s="49"/>
      <c r="S1093" s="50"/>
      <c r="U1093" s="51"/>
      <c r="V1093" s="46"/>
      <c r="W1093" s="51" t="str">
        <f>IF(NOTA[[#This Row],[HARGA/ CTN]]="",NOTA[[#This Row],[JUMLAH_H]],NOTA[[#This Row],[HARGA/ CTN]]*IF(NOTA[[#This Row],[C]]="",0,NOTA[[#This Row],[C]]))</f>
        <v/>
      </c>
      <c r="X1093" s="51" t="str">
        <f>IF(NOTA[[#This Row],[JUMLAH]]="","",NOTA[[#This Row],[JUMLAH]]*NOTA[[#This Row],[DISC 1]])</f>
        <v/>
      </c>
      <c r="Y1093" s="51" t="str">
        <f>IF(NOTA[[#This Row],[JUMLAH]]="","",(NOTA[[#This Row],[JUMLAH]]-NOTA[[#This Row],[DISC 1-]])*NOTA[[#This Row],[DISC 2]])</f>
        <v/>
      </c>
      <c r="Z1093" s="51" t="str">
        <f>IF(NOTA[[#This Row],[JUMLAH]]="","",NOTA[[#This Row],[DISC 1-]]+NOTA[[#This Row],[DISC 2-]])</f>
        <v/>
      </c>
      <c r="AA1093" s="51" t="str">
        <f>IF(NOTA[[#This Row],[JUMLAH]]="","",NOTA[[#This Row],[JUMLAH]]-NOTA[[#This Row],[DISC]])</f>
        <v/>
      </c>
      <c r="AB1093" s="51"/>
      <c r="AC10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51" t="str">
        <f>IF(OR(NOTA[[#This Row],[QTY]]="",NOTA[[#This Row],[HARGA SATUAN]]="",),"",NOTA[[#This Row],[QTY]]*NOTA[[#This Row],[HARGA SATUAN]])</f>
        <v/>
      </c>
      <c r="AG1093" s="40" t="str">
        <f ca="1">IF(NOTA[ID_H]="","",INDEX(NOTA[TANGGAL],MATCH(,INDIRECT(ADDRESS(ROW(NOTA[TANGGAL]),COLUMN(NOTA[TANGGAL]))&amp;":"&amp;ADDRESS(ROW(),COLUMN(NOTA[TANGGAL]))),-1)))</f>
        <v/>
      </c>
      <c r="AH1093" s="42" t="str">
        <f ca="1">IF(NOTA[[#This Row],[NAMA BARANG]]="","",INDEX(NOTA[SUPPLIER],MATCH(,INDIRECT(ADDRESS(ROW(NOTA[ID]),COLUMN(NOTA[ID]))&amp;":"&amp;ADDRESS(ROW(),COLUMN(NOTA[ID]))),-1)))</f>
        <v/>
      </c>
      <c r="AI1093" s="42" t="str">
        <f ca="1">IF(NOTA[[#This Row],[ID_H]]="","",IF(NOTA[[#This Row],[FAKTUR]]="",INDIRECT(ADDRESS(ROW()-1,COLUMN())),NOTA[[#This Row],[FAKTUR]]))</f>
        <v/>
      </c>
      <c r="AJ1093" s="39" t="str">
        <f ca="1">IF(NOTA[[#This Row],[ID]]="","",COUNTIF(NOTA[ID_H],NOTA[[#This Row],[ID_H]]))</f>
        <v/>
      </c>
      <c r="AK1093" s="39" t="str">
        <f ca="1">IF(NOTA[[#This Row],[TGL.NOTA]]="",IF(NOTA[[#This Row],[SUPPLIER_H]]="","",AK1092),MONTH(NOTA[[#This Row],[TGL.NOTA]]))</f>
        <v/>
      </c>
      <c r="AL1093" s="39" t="str">
        <f>LOWER(SUBSTITUTE(SUBSTITUTE(SUBSTITUTE(SUBSTITUTE(SUBSTITUTE(SUBSTITUTE(SUBSTITUTE(SUBSTITUTE(SUBSTITUTE(NOTA[NAMA BARANG]," ",),".",""),"-",""),"(",""),")",""),",",""),"/",""),"""",""),"+",""))</f>
        <v/>
      </c>
      <c r="AM10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39" t="str">
        <f>IF(NOTA[[#This Row],[CONCAT4]]="","",_xlfn.IFNA(MATCH(NOTA[[#This Row],[CONCAT4]],[2]!RAW[CONCAT_H],0),FALSE))</f>
        <v/>
      </c>
      <c r="AQ1093" s="39" t="str">
        <f>IF(NOTA[[#This Row],[CONCAT1]]="","",MATCH(NOTA[[#This Row],[CONCAT1]],[3]!db[NB NOTA_C],0))</f>
        <v/>
      </c>
      <c r="AR1093" s="39" t="str">
        <f>IF(NOTA[[#This Row],[QTY/ CTN]]="","",TRUE)</f>
        <v/>
      </c>
      <c r="AS1093" s="39" t="str">
        <f ca="1">IF(NOTA[[#This Row],[ID_H]]="","",IF(NOTA[[#This Row],[Column3]]=TRUE,NOTA[[#This Row],[QTY/ CTN]],INDEX([3]!db[QTY/ CTN],NOTA[[#This Row],[//DB]])))</f>
        <v/>
      </c>
      <c r="AT10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3" s="39" t="str">
        <f ca="1">IF(NOTA[[#This Row],[ID_H]]="","",MATCH(NOTA[[#This Row],[NB NOTA_C_QTY]],[4]!db[NB NOTA_C_QTY+F],0))</f>
        <v/>
      </c>
      <c r="AV1093" s="55" t="str">
        <f ca="1">IF(NOTA[[#This Row],[NB NOTA_C_QTY]]="","",ROW()-2)</f>
        <v/>
      </c>
    </row>
    <row r="1094" spans="1:48" ht="20.100000000000001" customHeight="1" x14ac:dyDescent="0.25">
      <c r="A10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4" s="39" t="str">
        <f>IF(NOTA[[#This Row],[ID_P]]="","",MATCH(NOTA[[#This Row],[ID_P]],[1]!B_MSK[N_ID],0))</f>
        <v/>
      </c>
      <c r="D1094" s="39" t="str">
        <f ca="1">IF(NOTA[[#This Row],[NAMA BARANG]]="","",INDEX(NOTA[ID],MATCH(,INDIRECT(ADDRESS(ROW(NOTA[ID]),COLUMN(NOTA[ID]))&amp;":"&amp;ADDRESS(ROW(),COLUMN(NOTA[ID]))),-1)))</f>
        <v/>
      </c>
      <c r="E1094" s="47"/>
      <c r="H1094" s="48"/>
      <c r="N1094" s="39"/>
      <c r="Q1094" s="43"/>
      <c r="R1094" s="49"/>
      <c r="S1094" s="50"/>
      <c r="U1094" s="51"/>
      <c r="V1094" s="46"/>
      <c r="W1094" s="51" t="str">
        <f>IF(NOTA[[#This Row],[HARGA/ CTN]]="",NOTA[[#This Row],[JUMLAH_H]],NOTA[[#This Row],[HARGA/ CTN]]*IF(NOTA[[#This Row],[C]]="",0,NOTA[[#This Row],[C]]))</f>
        <v/>
      </c>
      <c r="X1094" s="51" t="str">
        <f>IF(NOTA[[#This Row],[JUMLAH]]="","",NOTA[[#This Row],[JUMLAH]]*NOTA[[#This Row],[DISC 1]])</f>
        <v/>
      </c>
      <c r="Y1094" s="51" t="str">
        <f>IF(NOTA[[#This Row],[JUMLAH]]="","",(NOTA[[#This Row],[JUMLAH]]-NOTA[[#This Row],[DISC 1-]])*NOTA[[#This Row],[DISC 2]])</f>
        <v/>
      </c>
      <c r="Z1094" s="51" t="str">
        <f>IF(NOTA[[#This Row],[JUMLAH]]="","",NOTA[[#This Row],[DISC 1-]]+NOTA[[#This Row],[DISC 2-]])</f>
        <v/>
      </c>
      <c r="AA1094" s="51" t="str">
        <f>IF(NOTA[[#This Row],[JUMLAH]]="","",NOTA[[#This Row],[JUMLAH]]-NOTA[[#This Row],[DISC]])</f>
        <v/>
      </c>
      <c r="AB1094" s="51"/>
      <c r="AC10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4" s="51" t="str">
        <f>IF(OR(NOTA[[#This Row],[QTY]]="",NOTA[[#This Row],[HARGA SATUAN]]="",),"",NOTA[[#This Row],[QTY]]*NOTA[[#This Row],[HARGA SATUAN]])</f>
        <v/>
      </c>
      <c r="AG1094" s="40" t="str">
        <f ca="1">IF(NOTA[ID_H]="","",INDEX(NOTA[TANGGAL],MATCH(,INDIRECT(ADDRESS(ROW(NOTA[TANGGAL]),COLUMN(NOTA[TANGGAL]))&amp;":"&amp;ADDRESS(ROW(),COLUMN(NOTA[TANGGAL]))),-1)))</f>
        <v/>
      </c>
      <c r="AH1094" s="42" t="str">
        <f ca="1">IF(NOTA[[#This Row],[NAMA BARANG]]="","",INDEX(NOTA[SUPPLIER],MATCH(,INDIRECT(ADDRESS(ROW(NOTA[ID]),COLUMN(NOTA[ID]))&amp;":"&amp;ADDRESS(ROW(),COLUMN(NOTA[ID]))),-1)))</f>
        <v/>
      </c>
      <c r="AI1094" s="42" t="str">
        <f ca="1">IF(NOTA[[#This Row],[ID_H]]="","",IF(NOTA[[#This Row],[FAKTUR]]="",INDIRECT(ADDRESS(ROW()-1,COLUMN())),NOTA[[#This Row],[FAKTUR]]))</f>
        <v/>
      </c>
      <c r="AJ1094" s="39" t="str">
        <f ca="1">IF(NOTA[[#This Row],[ID]]="","",COUNTIF(NOTA[ID_H],NOTA[[#This Row],[ID_H]]))</f>
        <v/>
      </c>
      <c r="AK1094" s="39" t="str">
        <f ca="1">IF(NOTA[[#This Row],[TGL.NOTA]]="",IF(NOTA[[#This Row],[SUPPLIER_H]]="","",AK1093),MONTH(NOTA[[#This Row],[TGL.NOTA]]))</f>
        <v/>
      </c>
      <c r="AL1094" s="39" t="str">
        <f>LOWER(SUBSTITUTE(SUBSTITUTE(SUBSTITUTE(SUBSTITUTE(SUBSTITUTE(SUBSTITUTE(SUBSTITUTE(SUBSTITUTE(SUBSTITUTE(NOTA[NAMA BARANG]," ",),".",""),"-",""),"(",""),")",""),",",""),"/",""),"""",""),"+",""))</f>
        <v/>
      </c>
      <c r="AM10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4" s="39" t="str">
        <f>IF(NOTA[[#This Row],[CONCAT4]]="","",_xlfn.IFNA(MATCH(NOTA[[#This Row],[CONCAT4]],[2]!RAW[CONCAT_H],0),FALSE))</f>
        <v/>
      </c>
      <c r="AQ1094" s="39" t="str">
        <f>IF(NOTA[[#This Row],[CONCAT1]]="","",MATCH(NOTA[[#This Row],[CONCAT1]],[3]!db[NB NOTA_C],0))</f>
        <v/>
      </c>
      <c r="AR1094" s="39" t="str">
        <f>IF(NOTA[[#This Row],[QTY/ CTN]]="","",TRUE)</f>
        <v/>
      </c>
      <c r="AS1094" s="39" t="str">
        <f ca="1">IF(NOTA[[#This Row],[ID_H]]="","",IF(NOTA[[#This Row],[Column3]]=TRUE,NOTA[[#This Row],[QTY/ CTN]],INDEX([3]!db[QTY/ CTN],NOTA[[#This Row],[//DB]])))</f>
        <v/>
      </c>
      <c r="AT10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4" s="39" t="str">
        <f ca="1">IF(NOTA[[#This Row],[ID_H]]="","",MATCH(NOTA[[#This Row],[NB NOTA_C_QTY]],[4]!db[NB NOTA_C_QTY+F],0))</f>
        <v/>
      </c>
      <c r="AV1094" s="55" t="str">
        <f ca="1">IF(NOTA[[#This Row],[NB NOTA_C_QTY]]="","",ROW()-2)</f>
        <v/>
      </c>
    </row>
    <row r="1095" spans="1:48" ht="20.100000000000001" customHeight="1" x14ac:dyDescent="0.25">
      <c r="A10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39" t="str">
        <f>IF(NOTA[[#This Row],[ID_P]]="","",MATCH(NOTA[[#This Row],[ID_P]],[1]!B_MSK[N_ID],0))</f>
        <v/>
      </c>
      <c r="D1095" s="39" t="str">
        <f ca="1">IF(NOTA[[#This Row],[NAMA BARANG]]="","",INDEX(NOTA[ID],MATCH(,INDIRECT(ADDRESS(ROW(NOTA[ID]),COLUMN(NOTA[ID]))&amp;":"&amp;ADDRESS(ROW(),COLUMN(NOTA[ID]))),-1)))</f>
        <v/>
      </c>
      <c r="E1095" s="47"/>
      <c r="H1095" s="48"/>
      <c r="N1095" s="39"/>
      <c r="Q1095" s="43"/>
      <c r="R1095" s="49"/>
      <c r="S1095" s="50"/>
      <c r="U1095" s="51"/>
      <c r="V1095" s="46"/>
      <c r="W1095" s="51" t="str">
        <f>IF(NOTA[[#This Row],[HARGA/ CTN]]="",NOTA[[#This Row],[JUMLAH_H]],NOTA[[#This Row],[HARGA/ CTN]]*IF(NOTA[[#This Row],[C]]="",0,NOTA[[#This Row],[C]]))</f>
        <v/>
      </c>
      <c r="X1095" s="51" t="str">
        <f>IF(NOTA[[#This Row],[JUMLAH]]="","",NOTA[[#This Row],[JUMLAH]]*NOTA[[#This Row],[DISC 1]])</f>
        <v/>
      </c>
      <c r="Y1095" s="51" t="str">
        <f>IF(NOTA[[#This Row],[JUMLAH]]="","",(NOTA[[#This Row],[JUMLAH]]-NOTA[[#This Row],[DISC 1-]])*NOTA[[#This Row],[DISC 2]])</f>
        <v/>
      </c>
      <c r="Z1095" s="51" t="str">
        <f>IF(NOTA[[#This Row],[JUMLAH]]="","",NOTA[[#This Row],[DISC 1-]]+NOTA[[#This Row],[DISC 2-]])</f>
        <v/>
      </c>
      <c r="AA1095" s="51" t="str">
        <f>IF(NOTA[[#This Row],[JUMLAH]]="","",NOTA[[#This Row],[JUMLAH]]-NOTA[[#This Row],[DISC]])</f>
        <v/>
      </c>
      <c r="AB1095" s="51"/>
      <c r="AC10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5" s="51" t="str">
        <f>IF(OR(NOTA[[#This Row],[QTY]]="",NOTA[[#This Row],[HARGA SATUAN]]="",),"",NOTA[[#This Row],[QTY]]*NOTA[[#This Row],[HARGA SATUAN]])</f>
        <v/>
      </c>
      <c r="AG1095" s="40" t="str">
        <f ca="1">IF(NOTA[ID_H]="","",INDEX(NOTA[TANGGAL],MATCH(,INDIRECT(ADDRESS(ROW(NOTA[TANGGAL]),COLUMN(NOTA[TANGGAL]))&amp;":"&amp;ADDRESS(ROW(),COLUMN(NOTA[TANGGAL]))),-1)))</f>
        <v/>
      </c>
      <c r="AH1095" s="42" t="str">
        <f ca="1">IF(NOTA[[#This Row],[NAMA BARANG]]="","",INDEX(NOTA[SUPPLIER],MATCH(,INDIRECT(ADDRESS(ROW(NOTA[ID]),COLUMN(NOTA[ID]))&amp;":"&amp;ADDRESS(ROW(),COLUMN(NOTA[ID]))),-1)))</f>
        <v/>
      </c>
      <c r="AI1095" s="42" t="str">
        <f ca="1">IF(NOTA[[#This Row],[ID_H]]="","",IF(NOTA[[#This Row],[FAKTUR]]="",INDIRECT(ADDRESS(ROW()-1,COLUMN())),NOTA[[#This Row],[FAKTUR]]))</f>
        <v/>
      </c>
      <c r="AJ1095" s="39" t="str">
        <f ca="1">IF(NOTA[[#This Row],[ID]]="","",COUNTIF(NOTA[ID_H],NOTA[[#This Row],[ID_H]]))</f>
        <v/>
      </c>
      <c r="AK1095" s="39" t="str">
        <f ca="1">IF(NOTA[[#This Row],[TGL.NOTA]]="",IF(NOTA[[#This Row],[SUPPLIER_H]]="","",AK1094),MONTH(NOTA[[#This Row],[TGL.NOTA]]))</f>
        <v/>
      </c>
      <c r="AL1095" s="39" t="str">
        <f>LOWER(SUBSTITUTE(SUBSTITUTE(SUBSTITUTE(SUBSTITUTE(SUBSTITUTE(SUBSTITUTE(SUBSTITUTE(SUBSTITUTE(SUBSTITUTE(NOTA[NAMA BARANG]," ",),".",""),"-",""),"(",""),")",""),",",""),"/",""),"""",""),"+",""))</f>
        <v/>
      </c>
      <c r="AM10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39" t="str">
        <f>IF(NOTA[[#This Row],[CONCAT4]]="","",_xlfn.IFNA(MATCH(NOTA[[#This Row],[CONCAT4]],[2]!RAW[CONCAT_H],0),FALSE))</f>
        <v/>
      </c>
      <c r="AQ1095" s="39" t="str">
        <f>IF(NOTA[[#This Row],[CONCAT1]]="","",MATCH(NOTA[[#This Row],[CONCAT1]],[3]!db[NB NOTA_C],0))</f>
        <v/>
      </c>
      <c r="AR1095" s="39" t="str">
        <f>IF(NOTA[[#This Row],[QTY/ CTN]]="","",TRUE)</f>
        <v/>
      </c>
      <c r="AS1095" s="39" t="str">
        <f ca="1">IF(NOTA[[#This Row],[ID_H]]="","",IF(NOTA[[#This Row],[Column3]]=TRUE,NOTA[[#This Row],[QTY/ CTN]],INDEX([3]!db[QTY/ CTN],NOTA[[#This Row],[//DB]])))</f>
        <v/>
      </c>
      <c r="AT10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5" s="39" t="str">
        <f ca="1">IF(NOTA[[#This Row],[ID_H]]="","",MATCH(NOTA[[#This Row],[NB NOTA_C_QTY]],[4]!db[NB NOTA_C_QTY+F],0))</f>
        <v/>
      </c>
      <c r="AV1095" s="55" t="str">
        <f ca="1">IF(NOTA[[#This Row],[NB NOTA_C_QTY]]="","",ROW()-2)</f>
        <v/>
      </c>
    </row>
    <row r="1096" spans="1:48" ht="20.100000000000001" customHeight="1" x14ac:dyDescent="0.25">
      <c r="A10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39" t="str">
        <f>IF(NOTA[[#This Row],[ID_P]]="","",MATCH(NOTA[[#This Row],[ID_P]],[1]!B_MSK[N_ID],0))</f>
        <v/>
      </c>
      <c r="D1096" s="39" t="str">
        <f ca="1">IF(NOTA[[#This Row],[NAMA BARANG]]="","",INDEX(NOTA[ID],MATCH(,INDIRECT(ADDRESS(ROW(NOTA[ID]),COLUMN(NOTA[ID]))&amp;":"&amp;ADDRESS(ROW(),COLUMN(NOTA[ID]))),-1)))</f>
        <v/>
      </c>
      <c r="E1096" s="47"/>
      <c r="H1096" s="48"/>
      <c r="N1096" s="39"/>
      <c r="Q1096" s="43"/>
      <c r="R1096" s="49"/>
      <c r="S1096" s="50"/>
      <c r="U1096" s="51"/>
      <c r="V1096" s="46"/>
      <c r="W1096" s="51" t="str">
        <f>IF(NOTA[[#This Row],[HARGA/ CTN]]="",NOTA[[#This Row],[JUMLAH_H]],NOTA[[#This Row],[HARGA/ CTN]]*IF(NOTA[[#This Row],[C]]="",0,NOTA[[#This Row],[C]]))</f>
        <v/>
      </c>
      <c r="X1096" s="51" t="str">
        <f>IF(NOTA[[#This Row],[JUMLAH]]="","",NOTA[[#This Row],[JUMLAH]]*NOTA[[#This Row],[DISC 1]])</f>
        <v/>
      </c>
      <c r="Y1096" s="51" t="str">
        <f>IF(NOTA[[#This Row],[JUMLAH]]="","",(NOTA[[#This Row],[JUMLAH]]-NOTA[[#This Row],[DISC 1-]])*NOTA[[#This Row],[DISC 2]])</f>
        <v/>
      </c>
      <c r="Z1096" s="51" t="str">
        <f>IF(NOTA[[#This Row],[JUMLAH]]="","",NOTA[[#This Row],[DISC 1-]]+NOTA[[#This Row],[DISC 2-]])</f>
        <v/>
      </c>
      <c r="AA1096" s="51" t="str">
        <f>IF(NOTA[[#This Row],[JUMLAH]]="","",NOTA[[#This Row],[JUMLAH]]-NOTA[[#This Row],[DISC]])</f>
        <v/>
      </c>
      <c r="AB1096" s="51"/>
      <c r="AC10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6" s="51" t="str">
        <f>IF(OR(NOTA[[#This Row],[QTY]]="",NOTA[[#This Row],[HARGA SATUAN]]="",),"",NOTA[[#This Row],[QTY]]*NOTA[[#This Row],[HARGA SATUAN]])</f>
        <v/>
      </c>
      <c r="AG1096" s="40" t="str">
        <f ca="1">IF(NOTA[ID_H]="","",INDEX(NOTA[TANGGAL],MATCH(,INDIRECT(ADDRESS(ROW(NOTA[TANGGAL]),COLUMN(NOTA[TANGGAL]))&amp;":"&amp;ADDRESS(ROW(),COLUMN(NOTA[TANGGAL]))),-1)))</f>
        <v/>
      </c>
      <c r="AH1096" s="42" t="str">
        <f ca="1">IF(NOTA[[#This Row],[NAMA BARANG]]="","",INDEX(NOTA[SUPPLIER],MATCH(,INDIRECT(ADDRESS(ROW(NOTA[ID]),COLUMN(NOTA[ID]))&amp;":"&amp;ADDRESS(ROW(),COLUMN(NOTA[ID]))),-1)))</f>
        <v/>
      </c>
      <c r="AI1096" s="42" t="str">
        <f ca="1">IF(NOTA[[#This Row],[ID_H]]="","",IF(NOTA[[#This Row],[FAKTUR]]="",INDIRECT(ADDRESS(ROW()-1,COLUMN())),NOTA[[#This Row],[FAKTUR]]))</f>
        <v/>
      </c>
      <c r="AJ1096" s="39" t="str">
        <f ca="1">IF(NOTA[[#This Row],[ID]]="","",COUNTIF(NOTA[ID_H],NOTA[[#This Row],[ID_H]]))</f>
        <v/>
      </c>
      <c r="AK1096" s="39" t="str">
        <f ca="1">IF(NOTA[[#This Row],[TGL.NOTA]]="",IF(NOTA[[#This Row],[SUPPLIER_H]]="","",AK1095),MONTH(NOTA[[#This Row],[TGL.NOTA]]))</f>
        <v/>
      </c>
      <c r="AL1096" s="39" t="str">
        <f>LOWER(SUBSTITUTE(SUBSTITUTE(SUBSTITUTE(SUBSTITUTE(SUBSTITUTE(SUBSTITUTE(SUBSTITUTE(SUBSTITUTE(SUBSTITUTE(NOTA[NAMA BARANG]," ",),".",""),"-",""),"(",""),")",""),",",""),"/",""),"""",""),"+",""))</f>
        <v/>
      </c>
      <c r="AM10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39" t="str">
        <f>IF(NOTA[[#This Row],[CONCAT4]]="","",_xlfn.IFNA(MATCH(NOTA[[#This Row],[CONCAT4]],[2]!RAW[CONCAT_H],0),FALSE))</f>
        <v/>
      </c>
      <c r="AQ1096" s="39" t="str">
        <f>IF(NOTA[[#This Row],[CONCAT1]]="","",MATCH(NOTA[[#This Row],[CONCAT1]],[3]!db[NB NOTA_C],0))</f>
        <v/>
      </c>
      <c r="AR1096" s="39" t="str">
        <f>IF(NOTA[[#This Row],[QTY/ CTN]]="","",TRUE)</f>
        <v/>
      </c>
      <c r="AS1096" s="39" t="str">
        <f ca="1">IF(NOTA[[#This Row],[ID_H]]="","",IF(NOTA[[#This Row],[Column3]]=TRUE,NOTA[[#This Row],[QTY/ CTN]],INDEX([3]!db[QTY/ CTN],NOTA[[#This Row],[//DB]])))</f>
        <v/>
      </c>
      <c r="AT10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6" s="39" t="str">
        <f ca="1">IF(NOTA[[#This Row],[ID_H]]="","",MATCH(NOTA[[#This Row],[NB NOTA_C_QTY]],[4]!db[NB NOTA_C_QTY+F],0))</f>
        <v/>
      </c>
      <c r="AV1096" s="55" t="str">
        <f ca="1">IF(NOTA[[#This Row],[NB NOTA_C_QTY]]="","",ROW()-2)</f>
        <v/>
      </c>
    </row>
    <row r="1097" spans="1:48" ht="20.100000000000001" customHeight="1" x14ac:dyDescent="0.25">
      <c r="A10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39" t="str">
        <f>IF(NOTA[[#This Row],[ID_P]]="","",MATCH(NOTA[[#This Row],[ID_P]],[1]!B_MSK[N_ID],0))</f>
        <v/>
      </c>
      <c r="D1097" s="39" t="str">
        <f ca="1">IF(NOTA[[#This Row],[NAMA BARANG]]="","",INDEX(NOTA[ID],MATCH(,INDIRECT(ADDRESS(ROW(NOTA[ID]),COLUMN(NOTA[ID]))&amp;":"&amp;ADDRESS(ROW(),COLUMN(NOTA[ID]))),-1)))</f>
        <v/>
      </c>
      <c r="E1097" s="47"/>
      <c r="H1097" s="48"/>
      <c r="N1097" s="39"/>
      <c r="Q1097" s="43"/>
      <c r="R1097" s="49"/>
      <c r="S1097" s="50"/>
      <c r="U1097" s="51"/>
      <c r="V1097" s="46"/>
      <c r="W1097" s="51" t="str">
        <f>IF(NOTA[[#This Row],[HARGA/ CTN]]="",NOTA[[#This Row],[JUMLAH_H]],NOTA[[#This Row],[HARGA/ CTN]]*IF(NOTA[[#This Row],[C]]="",0,NOTA[[#This Row],[C]]))</f>
        <v/>
      </c>
      <c r="X1097" s="51" t="str">
        <f>IF(NOTA[[#This Row],[JUMLAH]]="","",NOTA[[#This Row],[JUMLAH]]*NOTA[[#This Row],[DISC 1]])</f>
        <v/>
      </c>
      <c r="Y1097" s="51" t="str">
        <f>IF(NOTA[[#This Row],[JUMLAH]]="","",(NOTA[[#This Row],[JUMLAH]]-NOTA[[#This Row],[DISC 1-]])*NOTA[[#This Row],[DISC 2]])</f>
        <v/>
      </c>
      <c r="Z1097" s="51" t="str">
        <f>IF(NOTA[[#This Row],[JUMLAH]]="","",NOTA[[#This Row],[DISC 1-]]+NOTA[[#This Row],[DISC 2-]])</f>
        <v/>
      </c>
      <c r="AA1097" s="51" t="str">
        <f>IF(NOTA[[#This Row],[JUMLAH]]="","",NOTA[[#This Row],[JUMLAH]]-NOTA[[#This Row],[DISC]])</f>
        <v/>
      </c>
      <c r="AB1097" s="51"/>
      <c r="AC10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51" t="str">
        <f>IF(OR(NOTA[[#This Row],[QTY]]="",NOTA[[#This Row],[HARGA SATUAN]]="",),"",NOTA[[#This Row],[QTY]]*NOTA[[#This Row],[HARGA SATUAN]])</f>
        <v/>
      </c>
      <c r="AG1097" s="40" t="str">
        <f ca="1">IF(NOTA[ID_H]="","",INDEX(NOTA[TANGGAL],MATCH(,INDIRECT(ADDRESS(ROW(NOTA[TANGGAL]),COLUMN(NOTA[TANGGAL]))&amp;":"&amp;ADDRESS(ROW(),COLUMN(NOTA[TANGGAL]))),-1)))</f>
        <v/>
      </c>
      <c r="AH1097" s="42" t="str">
        <f ca="1">IF(NOTA[[#This Row],[NAMA BARANG]]="","",INDEX(NOTA[SUPPLIER],MATCH(,INDIRECT(ADDRESS(ROW(NOTA[ID]),COLUMN(NOTA[ID]))&amp;":"&amp;ADDRESS(ROW(),COLUMN(NOTA[ID]))),-1)))</f>
        <v/>
      </c>
      <c r="AI1097" s="42" t="str">
        <f ca="1">IF(NOTA[[#This Row],[ID_H]]="","",IF(NOTA[[#This Row],[FAKTUR]]="",INDIRECT(ADDRESS(ROW()-1,COLUMN())),NOTA[[#This Row],[FAKTUR]]))</f>
        <v/>
      </c>
      <c r="AJ1097" s="39" t="str">
        <f ca="1">IF(NOTA[[#This Row],[ID]]="","",COUNTIF(NOTA[ID_H],NOTA[[#This Row],[ID_H]]))</f>
        <v/>
      </c>
      <c r="AK1097" s="39" t="str">
        <f ca="1">IF(NOTA[[#This Row],[TGL.NOTA]]="",IF(NOTA[[#This Row],[SUPPLIER_H]]="","",AK1096),MONTH(NOTA[[#This Row],[TGL.NOTA]]))</f>
        <v/>
      </c>
      <c r="AL1097" s="39" t="str">
        <f>LOWER(SUBSTITUTE(SUBSTITUTE(SUBSTITUTE(SUBSTITUTE(SUBSTITUTE(SUBSTITUTE(SUBSTITUTE(SUBSTITUTE(SUBSTITUTE(NOTA[NAMA BARANG]," ",),".",""),"-",""),"(",""),")",""),",",""),"/",""),"""",""),"+",""))</f>
        <v/>
      </c>
      <c r="AM10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39" t="str">
        <f>IF(NOTA[[#This Row],[CONCAT4]]="","",_xlfn.IFNA(MATCH(NOTA[[#This Row],[CONCAT4]],[2]!RAW[CONCAT_H],0),FALSE))</f>
        <v/>
      </c>
      <c r="AQ1097" s="39" t="str">
        <f>IF(NOTA[[#This Row],[CONCAT1]]="","",MATCH(NOTA[[#This Row],[CONCAT1]],[3]!db[NB NOTA_C],0))</f>
        <v/>
      </c>
      <c r="AR1097" s="39" t="str">
        <f>IF(NOTA[[#This Row],[QTY/ CTN]]="","",TRUE)</f>
        <v/>
      </c>
      <c r="AS1097" s="39" t="str">
        <f ca="1">IF(NOTA[[#This Row],[ID_H]]="","",IF(NOTA[[#This Row],[Column3]]=TRUE,NOTA[[#This Row],[QTY/ CTN]],INDEX([3]!db[QTY/ CTN],NOTA[[#This Row],[//DB]])))</f>
        <v/>
      </c>
      <c r="AT10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7" s="39" t="str">
        <f ca="1">IF(NOTA[[#This Row],[ID_H]]="","",MATCH(NOTA[[#This Row],[NB NOTA_C_QTY]],[4]!db[NB NOTA_C_QTY+F],0))</f>
        <v/>
      </c>
      <c r="AV1097" s="55" t="str">
        <f ca="1">IF(NOTA[[#This Row],[NB NOTA_C_QTY]]="","",ROW()-2)</f>
        <v/>
      </c>
    </row>
    <row r="1098" spans="1:48" ht="20.100000000000001" customHeight="1" x14ac:dyDescent="0.25">
      <c r="A10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8" s="39" t="str">
        <f>IF(NOTA[[#This Row],[ID_P]]="","",MATCH(NOTA[[#This Row],[ID_P]],[1]!B_MSK[N_ID],0))</f>
        <v/>
      </c>
      <c r="D1098" s="39" t="str">
        <f ca="1">IF(NOTA[[#This Row],[NAMA BARANG]]="","",INDEX(NOTA[ID],MATCH(,INDIRECT(ADDRESS(ROW(NOTA[ID]),COLUMN(NOTA[ID]))&amp;":"&amp;ADDRESS(ROW(),COLUMN(NOTA[ID]))),-1)))</f>
        <v/>
      </c>
      <c r="E1098" s="47"/>
      <c r="H1098" s="48"/>
      <c r="N1098" s="39"/>
      <c r="Q1098" s="43"/>
      <c r="R1098" s="49"/>
      <c r="S1098" s="50"/>
      <c r="U1098" s="51"/>
      <c r="V1098" s="46"/>
      <c r="W1098" s="51" t="str">
        <f>IF(NOTA[[#This Row],[HARGA/ CTN]]="",NOTA[[#This Row],[JUMLAH_H]],NOTA[[#This Row],[HARGA/ CTN]]*IF(NOTA[[#This Row],[C]]="",0,NOTA[[#This Row],[C]]))</f>
        <v/>
      </c>
      <c r="X1098" s="51" t="str">
        <f>IF(NOTA[[#This Row],[JUMLAH]]="","",NOTA[[#This Row],[JUMLAH]]*NOTA[[#This Row],[DISC 1]])</f>
        <v/>
      </c>
      <c r="Y1098" s="51" t="str">
        <f>IF(NOTA[[#This Row],[JUMLAH]]="","",(NOTA[[#This Row],[JUMLAH]]-NOTA[[#This Row],[DISC 1-]])*NOTA[[#This Row],[DISC 2]])</f>
        <v/>
      </c>
      <c r="Z1098" s="51" t="str">
        <f>IF(NOTA[[#This Row],[JUMLAH]]="","",NOTA[[#This Row],[DISC 1-]]+NOTA[[#This Row],[DISC 2-]])</f>
        <v/>
      </c>
      <c r="AA1098" s="51" t="str">
        <f>IF(NOTA[[#This Row],[JUMLAH]]="","",NOTA[[#This Row],[JUMLAH]]-NOTA[[#This Row],[DISC]])</f>
        <v/>
      </c>
      <c r="AB1098" s="51"/>
      <c r="AC10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8" s="51" t="str">
        <f>IF(OR(NOTA[[#This Row],[QTY]]="",NOTA[[#This Row],[HARGA SATUAN]]="",),"",NOTA[[#This Row],[QTY]]*NOTA[[#This Row],[HARGA SATUAN]])</f>
        <v/>
      </c>
      <c r="AG1098" s="40" t="str">
        <f ca="1">IF(NOTA[ID_H]="","",INDEX(NOTA[TANGGAL],MATCH(,INDIRECT(ADDRESS(ROW(NOTA[TANGGAL]),COLUMN(NOTA[TANGGAL]))&amp;":"&amp;ADDRESS(ROW(),COLUMN(NOTA[TANGGAL]))),-1)))</f>
        <v/>
      </c>
      <c r="AH1098" s="42" t="str">
        <f ca="1">IF(NOTA[[#This Row],[NAMA BARANG]]="","",INDEX(NOTA[SUPPLIER],MATCH(,INDIRECT(ADDRESS(ROW(NOTA[ID]),COLUMN(NOTA[ID]))&amp;":"&amp;ADDRESS(ROW(),COLUMN(NOTA[ID]))),-1)))</f>
        <v/>
      </c>
      <c r="AI1098" s="42" t="str">
        <f ca="1">IF(NOTA[[#This Row],[ID_H]]="","",IF(NOTA[[#This Row],[FAKTUR]]="",INDIRECT(ADDRESS(ROW()-1,COLUMN())),NOTA[[#This Row],[FAKTUR]]))</f>
        <v/>
      </c>
      <c r="AJ1098" s="39" t="str">
        <f ca="1">IF(NOTA[[#This Row],[ID]]="","",COUNTIF(NOTA[ID_H],NOTA[[#This Row],[ID_H]]))</f>
        <v/>
      </c>
      <c r="AK1098" s="39" t="str">
        <f ca="1">IF(NOTA[[#This Row],[TGL.NOTA]]="",IF(NOTA[[#This Row],[SUPPLIER_H]]="","",AK1097),MONTH(NOTA[[#This Row],[TGL.NOTA]]))</f>
        <v/>
      </c>
      <c r="AL1098" s="39" t="str">
        <f>LOWER(SUBSTITUTE(SUBSTITUTE(SUBSTITUTE(SUBSTITUTE(SUBSTITUTE(SUBSTITUTE(SUBSTITUTE(SUBSTITUTE(SUBSTITUTE(NOTA[NAMA BARANG]," ",),".",""),"-",""),"(",""),")",""),",",""),"/",""),"""",""),"+",""))</f>
        <v/>
      </c>
      <c r="AM10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8" s="39" t="str">
        <f>IF(NOTA[[#This Row],[CONCAT4]]="","",_xlfn.IFNA(MATCH(NOTA[[#This Row],[CONCAT4]],[2]!RAW[CONCAT_H],0),FALSE))</f>
        <v/>
      </c>
      <c r="AQ1098" s="39" t="str">
        <f>IF(NOTA[[#This Row],[CONCAT1]]="","",MATCH(NOTA[[#This Row],[CONCAT1]],[3]!db[NB NOTA_C],0))</f>
        <v/>
      </c>
      <c r="AR1098" s="39" t="str">
        <f>IF(NOTA[[#This Row],[QTY/ CTN]]="","",TRUE)</f>
        <v/>
      </c>
      <c r="AS1098" s="39" t="str">
        <f ca="1">IF(NOTA[[#This Row],[ID_H]]="","",IF(NOTA[[#This Row],[Column3]]=TRUE,NOTA[[#This Row],[QTY/ CTN]],INDEX([3]!db[QTY/ CTN],NOTA[[#This Row],[//DB]])))</f>
        <v/>
      </c>
      <c r="AT10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8" s="39" t="str">
        <f ca="1">IF(NOTA[[#This Row],[ID_H]]="","",MATCH(NOTA[[#This Row],[NB NOTA_C_QTY]],[4]!db[NB NOTA_C_QTY+F],0))</f>
        <v/>
      </c>
      <c r="AV1098" s="55" t="str">
        <f ca="1">IF(NOTA[[#This Row],[NB NOTA_C_QTY]]="","",ROW()-2)</f>
        <v/>
      </c>
    </row>
    <row r="1099" spans="1:48" ht="20.100000000000001" customHeight="1" x14ac:dyDescent="0.25">
      <c r="A10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39" t="str">
        <f>IF(NOTA[[#This Row],[ID_P]]="","",MATCH(NOTA[[#This Row],[ID_P]],[1]!B_MSK[N_ID],0))</f>
        <v/>
      </c>
      <c r="D1099" s="39" t="str">
        <f ca="1">IF(NOTA[[#This Row],[NAMA BARANG]]="","",INDEX(NOTA[ID],MATCH(,INDIRECT(ADDRESS(ROW(NOTA[ID]),COLUMN(NOTA[ID]))&amp;":"&amp;ADDRESS(ROW(),COLUMN(NOTA[ID]))),-1)))</f>
        <v/>
      </c>
      <c r="E1099" s="47"/>
      <c r="H1099" s="48"/>
      <c r="N1099" s="39"/>
      <c r="Q1099" s="43"/>
      <c r="R1099" s="49"/>
      <c r="S1099" s="50"/>
      <c r="U1099" s="51"/>
      <c r="V1099" s="46"/>
      <c r="W1099" s="51" t="str">
        <f>IF(NOTA[[#This Row],[HARGA/ CTN]]="",NOTA[[#This Row],[JUMLAH_H]],NOTA[[#This Row],[HARGA/ CTN]]*IF(NOTA[[#This Row],[C]]="",0,NOTA[[#This Row],[C]]))</f>
        <v/>
      </c>
      <c r="X1099" s="51" t="str">
        <f>IF(NOTA[[#This Row],[JUMLAH]]="","",NOTA[[#This Row],[JUMLAH]]*NOTA[[#This Row],[DISC 1]])</f>
        <v/>
      </c>
      <c r="Y1099" s="51" t="str">
        <f>IF(NOTA[[#This Row],[JUMLAH]]="","",(NOTA[[#This Row],[JUMLAH]]-NOTA[[#This Row],[DISC 1-]])*NOTA[[#This Row],[DISC 2]])</f>
        <v/>
      </c>
      <c r="Z1099" s="51" t="str">
        <f>IF(NOTA[[#This Row],[JUMLAH]]="","",NOTA[[#This Row],[DISC 1-]]+NOTA[[#This Row],[DISC 2-]])</f>
        <v/>
      </c>
      <c r="AA1099" s="51" t="str">
        <f>IF(NOTA[[#This Row],[JUMLAH]]="","",NOTA[[#This Row],[JUMLAH]]-NOTA[[#This Row],[DISC]])</f>
        <v/>
      </c>
      <c r="AB1099" s="51"/>
      <c r="AC10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9" s="51" t="str">
        <f>IF(OR(NOTA[[#This Row],[QTY]]="",NOTA[[#This Row],[HARGA SATUAN]]="",),"",NOTA[[#This Row],[QTY]]*NOTA[[#This Row],[HARGA SATUAN]])</f>
        <v/>
      </c>
      <c r="AG1099" s="40" t="str">
        <f ca="1">IF(NOTA[ID_H]="","",INDEX(NOTA[TANGGAL],MATCH(,INDIRECT(ADDRESS(ROW(NOTA[TANGGAL]),COLUMN(NOTA[TANGGAL]))&amp;":"&amp;ADDRESS(ROW(),COLUMN(NOTA[TANGGAL]))),-1)))</f>
        <v/>
      </c>
      <c r="AH1099" s="42" t="str">
        <f ca="1">IF(NOTA[[#This Row],[NAMA BARANG]]="","",INDEX(NOTA[SUPPLIER],MATCH(,INDIRECT(ADDRESS(ROW(NOTA[ID]),COLUMN(NOTA[ID]))&amp;":"&amp;ADDRESS(ROW(),COLUMN(NOTA[ID]))),-1)))</f>
        <v/>
      </c>
      <c r="AI1099" s="42" t="str">
        <f ca="1">IF(NOTA[[#This Row],[ID_H]]="","",IF(NOTA[[#This Row],[FAKTUR]]="",INDIRECT(ADDRESS(ROW()-1,COLUMN())),NOTA[[#This Row],[FAKTUR]]))</f>
        <v/>
      </c>
      <c r="AJ1099" s="39" t="str">
        <f ca="1">IF(NOTA[[#This Row],[ID]]="","",COUNTIF(NOTA[ID_H],NOTA[[#This Row],[ID_H]]))</f>
        <v/>
      </c>
      <c r="AK1099" s="39" t="str">
        <f ca="1">IF(NOTA[[#This Row],[TGL.NOTA]]="",IF(NOTA[[#This Row],[SUPPLIER_H]]="","",AK1098),MONTH(NOTA[[#This Row],[TGL.NOTA]]))</f>
        <v/>
      </c>
      <c r="AL1099" s="39" t="str">
        <f>LOWER(SUBSTITUTE(SUBSTITUTE(SUBSTITUTE(SUBSTITUTE(SUBSTITUTE(SUBSTITUTE(SUBSTITUTE(SUBSTITUTE(SUBSTITUTE(NOTA[NAMA BARANG]," ",),".",""),"-",""),"(",""),")",""),",",""),"/",""),"""",""),"+",""))</f>
        <v/>
      </c>
      <c r="AM10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39" t="str">
        <f>IF(NOTA[[#This Row],[CONCAT4]]="","",_xlfn.IFNA(MATCH(NOTA[[#This Row],[CONCAT4]],[2]!RAW[CONCAT_H],0),FALSE))</f>
        <v/>
      </c>
      <c r="AQ1099" s="39" t="str">
        <f>IF(NOTA[[#This Row],[CONCAT1]]="","",MATCH(NOTA[[#This Row],[CONCAT1]],[3]!db[NB NOTA_C],0))</f>
        <v/>
      </c>
      <c r="AR1099" s="39" t="str">
        <f>IF(NOTA[[#This Row],[QTY/ CTN]]="","",TRUE)</f>
        <v/>
      </c>
      <c r="AS1099" s="39" t="str">
        <f ca="1">IF(NOTA[[#This Row],[ID_H]]="","",IF(NOTA[[#This Row],[Column3]]=TRUE,NOTA[[#This Row],[QTY/ CTN]],INDEX([3]!db[QTY/ CTN],NOTA[[#This Row],[//DB]])))</f>
        <v/>
      </c>
      <c r="AT10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9" s="39" t="str">
        <f ca="1">IF(NOTA[[#This Row],[ID_H]]="","",MATCH(NOTA[[#This Row],[NB NOTA_C_QTY]],[4]!db[NB NOTA_C_QTY+F],0))</f>
        <v/>
      </c>
      <c r="AV1099" s="55" t="str">
        <f ca="1">IF(NOTA[[#This Row],[NB NOTA_C_QTY]]="","",ROW()-2)</f>
        <v/>
      </c>
    </row>
    <row r="1100" spans="1:48" ht="20.100000000000001" customHeight="1" x14ac:dyDescent="0.25">
      <c r="A11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39" t="str">
        <f>IF(NOTA[[#This Row],[ID_P]]="","",MATCH(NOTA[[#This Row],[ID_P]],[1]!B_MSK[N_ID],0))</f>
        <v/>
      </c>
      <c r="D1100" s="39" t="str">
        <f ca="1">IF(NOTA[[#This Row],[NAMA BARANG]]="","",INDEX(NOTA[ID],MATCH(,INDIRECT(ADDRESS(ROW(NOTA[ID]),COLUMN(NOTA[ID]))&amp;":"&amp;ADDRESS(ROW(),COLUMN(NOTA[ID]))),-1)))</f>
        <v/>
      </c>
      <c r="E1100" s="47"/>
      <c r="H1100" s="48"/>
      <c r="N1100" s="39"/>
      <c r="Q1100" s="43"/>
      <c r="R1100" s="49"/>
      <c r="S1100" s="50"/>
      <c r="U1100" s="51"/>
      <c r="V1100" s="46"/>
      <c r="W1100" s="51" t="str">
        <f>IF(NOTA[[#This Row],[HARGA/ CTN]]="",NOTA[[#This Row],[JUMLAH_H]],NOTA[[#This Row],[HARGA/ CTN]]*IF(NOTA[[#This Row],[C]]="",0,NOTA[[#This Row],[C]]))</f>
        <v/>
      </c>
      <c r="X1100" s="51" t="str">
        <f>IF(NOTA[[#This Row],[JUMLAH]]="","",NOTA[[#This Row],[JUMLAH]]*NOTA[[#This Row],[DISC 1]])</f>
        <v/>
      </c>
      <c r="Y1100" s="51" t="str">
        <f>IF(NOTA[[#This Row],[JUMLAH]]="","",(NOTA[[#This Row],[JUMLAH]]-NOTA[[#This Row],[DISC 1-]])*NOTA[[#This Row],[DISC 2]])</f>
        <v/>
      </c>
      <c r="Z1100" s="51" t="str">
        <f>IF(NOTA[[#This Row],[JUMLAH]]="","",NOTA[[#This Row],[DISC 1-]]+NOTA[[#This Row],[DISC 2-]])</f>
        <v/>
      </c>
      <c r="AA1100" s="51" t="str">
        <f>IF(NOTA[[#This Row],[JUMLAH]]="","",NOTA[[#This Row],[JUMLAH]]-NOTA[[#This Row],[DISC]])</f>
        <v/>
      </c>
      <c r="AB1100" s="51"/>
      <c r="AC1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51" t="str">
        <f>IF(OR(NOTA[[#This Row],[QTY]]="",NOTA[[#This Row],[HARGA SATUAN]]="",),"",NOTA[[#This Row],[QTY]]*NOTA[[#This Row],[HARGA SATUAN]])</f>
        <v/>
      </c>
      <c r="AG1100" s="40" t="str">
        <f ca="1">IF(NOTA[ID_H]="","",INDEX(NOTA[TANGGAL],MATCH(,INDIRECT(ADDRESS(ROW(NOTA[TANGGAL]),COLUMN(NOTA[TANGGAL]))&amp;":"&amp;ADDRESS(ROW(),COLUMN(NOTA[TANGGAL]))),-1)))</f>
        <v/>
      </c>
      <c r="AH1100" s="42" t="str">
        <f ca="1">IF(NOTA[[#This Row],[NAMA BARANG]]="","",INDEX(NOTA[SUPPLIER],MATCH(,INDIRECT(ADDRESS(ROW(NOTA[ID]),COLUMN(NOTA[ID]))&amp;":"&amp;ADDRESS(ROW(),COLUMN(NOTA[ID]))),-1)))</f>
        <v/>
      </c>
      <c r="AI1100" s="42" t="str">
        <f ca="1">IF(NOTA[[#This Row],[ID_H]]="","",IF(NOTA[[#This Row],[FAKTUR]]="",INDIRECT(ADDRESS(ROW()-1,COLUMN())),NOTA[[#This Row],[FAKTUR]]))</f>
        <v/>
      </c>
      <c r="AJ1100" s="39" t="str">
        <f ca="1">IF(NOTA[[#This Row],[ID]]="","",COUNTIF(NOTA[ID_H],NOTA[[#This Row],[ID_H]]))</f>
        <v/>
      </c>
      <c r="AK1100" s="39" t="str">
        <f ca="1">IF(NOTA[[#This Row],[TGL.NOTA]]="",IF(NOTA[[#This Row],[SUPPLIER_H]]="","",AK1099),MONTH(NOTA[[#This Row],[TGL.NOTA]]))</f>
        <v/>
      </c>
      <c r="AL1100" s="39" t="str">
        <f>LOWER(SUBSTITUTE(SUBSTITUTE(SUBSTITUTE(SUBSTITUTE(SUBSTITUTE(SUBSTITUTE(SUBSTITUTE(SUBSTITUTE(SUBSTITUTE(NOTA[NAMA BARANG]," ",),".",""),"-",""),"(",""),")",""),",",""),"/",""),"""",""),"+",""))</f>
        <v/>
      </c>
      <c r="AM11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39" t="str">
        <f>IF(NOTA[[#This Row],[CONCAT4]]="","",_xlfn.IFNA(MATCH(NOTA[[#This Row],[CONCAT4]],[2]!RAW[CONCAT_H],0),FALSE))</f>
        <v/>
      </c>
      <c r="AQ1100" s="39" t="str">
        <f>IF(NOTA[[#This Row],[CONCAT1]]="","",MATCH(NOTA[[#This Row],[CONCAT1]],[3]!db[NB NOTA_C],0))</f>
        <v/>
      </c>
      <c r="AR1100" s="39" t="str">
        <f>IF(NOTA[[#This Row],[QTY/ CTN]]="","",TRUE)</f>
        <v/>
      </c>
      <c r="AS1100" s="39" t="str">
        <f ca="1">IF(NOTA[[#This Row],[ID_H]]="","",IF(NOTA[[#This Row],[Column3]]=TRUE,NOTA[[#This Row],[QTY/ CTN]],INDEX([3]!db[QTY/ CTN],NOTA[[#This Row],[//DB]])))</f>
        <v/>
      </c>
      <c r="AT11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0" s="39" t="str">
        <f ca="1">IF(NOTA[[#This Row],[ID_H]]="","",MATCH(NOTA[[#This Row],[NB NOTA_C_QTY]],[4]!db[NB NOTA_C_QTY+F],0))</f>
        <v/>
      </c>
      <c r="AV1100" s="55" t="str">
        <f ca="1">IF(NOTA[[#This Row],[NB NOTA_C_QTY]]="","",ROW()-2)</f>
        <v/>
      </c>
    </row>
    <row r="1101" spans="1:48" ht="20.100000000000001" customHeight="1" x14ac:dyDescent="0.25">
      <c r="A11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1" s="39" t="str">
        <f>IF(NOTA[[#This Row],[ID_P]]="","",MATCH(NOTA[[#This Row],[ID_P]],[1]!B_MSK[N_ID],0))</f>
        <v/>
      </c>
      <c r="D1101" s="39" t="str">
        <f ca="1">IF(NOTA[[#This Row],[NAMA BARANG]]="","",INDEX(NOTA[ID],MATCH(,INDIRECT(ADDRESS(ROW(NOTA[ID]),COLUMN(NOTA[ID]))&amp;":"&amp;ADDRESS(ROW(),COLUMN(NOTA[ID]))),-1)))</f>
        <v/>
      </c>
      <c r="E1101" s="47"/>
      <c r="H1101" s="48"/>
      <c r="N1101" s="39"/>
      <c r="Q1101" s="43"/>
      <c r="R1101" s="49"/>
      <c r="S1101" s="50"/>
      <c r="U1101" s="51"/>
      <c r="V1101" s="46"/>
      <c r="W1101" s="51" t="str">
        <f>IF(NOTA[[#This Row],[HARGA/ CTN]]="",NOTA[[#This Row],[JUMLAH_H]],NOTA[[#This Row],[HARGA/ CTN]]*IF(NOTA[[#This Row],[C]]="",0,NOTA[[#This Row],[C]]))</f>
        <v/>
      </c>
      <c r="X1101" s="51" t="str">
        <f>IF(NOTA[[#This Row],[JUMLAH]]="","",NOTA[[#This Row],[JUMLAH]]*NOTA[[#This Row],[DISC 1]])</f>
        <v/>
      </c>
      <c r="Y1101" s="51" t="str">
        <f>IF(NOTA[[#This Row],[JUMLAH]]="","",(NOTA[[#This Row],[JUMLAH]]-NOTA[[#This Row],[DISC 1-]])*NOTA[[#This Row],[DISC 2]])</f>
        <v/>
      </c>
      <c r="Z1101" s="51" t="str">
        <f>IF(NOTA[[#This Row],[JUMLAH]]="","",NOTA[[#This Row],[DISC 1-]]+NOTA[[#This Row],[DISC 2-]])</f>
        <v/>
      </c>
      <c r="AA1101" s="51" t="str">
        <f>IF(NOTA[[#This Row],[JUMLAH]]="","",NOTA[[#This Row],[JUMLAH]]-NOTA[[#This Row],[DISC]])</f>
        <v/>
      </c>
      <c r="AB1101" s="51"/>
      <c r="AC1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1" s="51" t="str">
        <f>IF(OR(NOTA[[#This Row],[QTY]]="",NOTA[[#This Row],[HARGA SATUAN]]="",),"",NOTA[[#This Row],[QTY]]*NOTA[[#This Row],[HARGA SATUAN]])</f>
        <v/>
      </c>
      <c r="AG1101" s="40" t="str">
        <f ca="1">IF(NOTA[ID_H]="","",INDEX(NOTA[TANGGAL],MATCH(,INDIRECT(ADDRESS(ROW(NOTA[TANGGAL]),COLUMN(NOTA[TANGGAL]))&amp;":"&amp;ADDRESS(ROW(),COLUMN(NOTA[TANGGAL]))),-1)))</f>
        <v/>
      </c>
      <c r="AH1101" s="42" t="str">
        <f ca="1">IF(NOTA[[#This Row],[NAMA BARANG]]="","",INDEX(NOTA[SUPPLIER],MATCH(,INDIRECT(ADDRESS(ROW(NOTA[ID]),COLUMN(NOTA[ID]))&amp;":"&amp;ADDRESS(ROW(),COLUMN(NOTA[ID]))),-1)))</f>
        <v/>
      </c>
      <c r="AI1101" s="42" t="str">
        <f ca="1">IF(NOTA[[#This Row],[ID_H]]="","",IF(NOTA[[#This Row],[FAKTUR]]="",INDIRECT(ADDRESS(ROW()-1,COLUMN())),NOTA[[#This Row],[FAKTUR]]))</f>
        <v/>
      </c>
      <c r="AJ1101" s="39" t="str">
        <f ca="1">IF(NOTA[[#This Row],[ID]]="","",COUNTIF(NOTA[ID_H],NOTA[[#This Row],[ID_H]]))</f>
        <v/>
      </c>
      <c r="AK1101" s="39" t="str">
        <f ca="1">IF(NOTA[[#This Row],[TGL.NOTA]]="",IF(NOTA[[#This Row],[SUPPLIER_H]]="","",AK1100),MONTH(NOTA[[#This Row],[TGL.NOTA]]))</f>
        <v/>
      </c>
      <c r="AL1101" s="39" t="str">
        <f>LOWER(SUBSTITUTE(SUBSTITUTE(SUBSTITUTE(SUBSTITUTE(SUBSTITUTE(SUBSTITUTE(SUBSTITUTE(SUBSTITUTE(SUBSTITUTE(NOTA[NAMA BARANG]," ",),".",""),"-",""),"(",""),")",""),",",""),"/",""),"""",""),"+",""))</f>
        <v/>
      </c>
      <c r="AM11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1" s="39" t="str">
        <f>IF(NOTA[[#This Row],[CONCAT4]]="","",_xlfn.IFNA(MATCH(NOTA[[#This Row],[CONCAT4]],[2]!RAW[CONCAT_H],0),FALSE))</f>
        <v/>
      </c>
      <c r="AQ1101" s="39" t="str">
        <f>IF(NOTA[[#This Row],[CONCAT1]]="","",MATCH(NOTA[[#This Row],[CONCAT1]],[3]!db[NB NOTA_C],0))</f>
        <v/>
      </c>
      <c r="AR1101" s="39" t="str">
        <f>IF(NOTA[[#This Row],[QTY/ CTN]]="","",TRUE)</f>
        <v/>
      </c>
      <c r="AS1101" s="39" t="str">
        <f ca="1">IF(NOTA[[#This Row],[ID_H]]="","",IF(NOTA[[#This Row],[Column3]]=TRUE,NOTA[[#This Row],[QTY/ CTN]],INDEX([3]!db[QTY/ CTN],NOTA[[#This Row],[//DB]])))</f>
        <v/>
      </c>
      <c r="AT11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1" s="39" t="str">
        <f ca="1">IF(NOTA[[#This Row],[ID_H]]="","",MATCH(NOTA[[#This Row],[NB NOTA_C_QTY]],[4]!db[NB NOTA_C_QTY+F],0))</f>
        <v/>
      </c>
      <c r="AV1101" s="55" t="str">
        <f ca="1">IF(NOTA[[#This Row],[NB NOTA_C_QTY]]="","",ROW()-2)</f>
        <v/>
      </c>
    </row>
    <row r="1102" spans="1:48" ht="20.100000000000001" customHeight="1" x14ac:dyDescent="0.25">
      <c r="A11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39" t="str">
        <f>IF(NOTA[[#This Row],[ID_P]]="","",MATCH(NOTA[[#This Row],[ID_P]],[1]!B_MSK[N_ID],0))</f>
        <v/>
      </c>
      <c r="D1102" s="39" t="str">
        <f ca="1">IF(NOTA[[#This Row],[NAMA BARANG]]="","",INDEX(NOTA[ID],MATCH(,INDIRECT(ADDRESS(ROW(NOTA[ID]),COLUMN(NOTA[ID]))&amp;":"&amp;ADDRESS(ROW(),COLUMN(NOTA[ID]))),-1)))</f>
        <v/>
      </c>
      <c r="E1102" s="47"/>
      <c r="H1102" s="48"/>
      <c r="N1102" s="39"/>
      <c r="Q1102" s="43"/>
      <c r="R1102" s="49"/>
      <c r="S1102" s="50"/>
      <c r="U1102" s="51"/>
      <c r="V1102" s="46"/>
      <c r="W1102" s="51" t="str">
        <f>IF(NOTA[[#This Row],[HARGA/ CTN]]="",NOTA[[#This Row],[JUMLAH_H]],NOTA[[#This Row],[HARGA/ CTN]]*IF(NOTA[[#This Row],[C]]="",0,NOTA[[#This Row],[C]]))</f>
        <v/>
      </c>
      <c r="X1102" s="51" t="str">
        <f>IF(NOTA[[#This Row],[JUMLAH]]="","",NOTA[[#This Row],[JUMLAH]]*NOTA[[#This Row],[DISC 1]])</f>
        <v/>
      </c>
      <c r="Y1102" s="51" t="str">
        <f>IF(NOTA[[#This Row],[JUMLAH]]="","",(NOTA[[#This Row],[JUMLAH]]-NOTA[[#This Row],[DISC 1-]])*NOTA[[#This Row],[DISC 2]])</f>
        <v/>
      </c>
      <c r="Z1102" s="51" t="str">
        <f>IF(NOTA[[#This Row],[JUMLAH]]="","",NOTA[[#This Row],[DISC 1-]]+NOTA[[#This Row],[DISC 2-]])</f>
        <v/>
      </c>
      <c r="AA1102" s="51" t="str">
        <f>IF(NOTA[[#This Row],[JUMLAH]]="","",NOTA[[#This Row],[JUMLAH]]-NOTA[[#This Row],[DISC]])</f>
        <v/>
      </c>
      <c r="AB1102" s="51"/>
      <c r="AC11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2" s="51" t="str">
        <f>IF(OR(NOTA[[#This Row],[QTY]]="",NOTA[[#This Row],[HARGA SATUAN]]="",),"",NOTA[[#This Row],[QTY]]*NOTA[[#This Row],[HARGA SATUAN]])</f>
        <v/>
      </c>
      <c r="AG1102" s="40" t="str">
        <f ca="1">IF(NOTA[ID_H]="","",INDEX(NOTA[TANGGAL],MATCH(,INDIRECT(ADDRESS(ROW(NOTA[TANGGAL]),COLUMN(NOTA[TANGGAL]))&amp;":"&amp;ADDRESS(ROW(),COLUMN(NOTA[TANGGAL]))),-1)))</f>
        <v/>
      </c>
      <c r="AH1102" s="42" t="str">
        <f ca="1">IF(NOTA[[#This Row],[NAMA BARANG]]="","",INDEX(NOTA[SUPPLIER],MATCH(,INDIRECT(ADDRESS(ROW(NOTA[ID]),COLUMN(NOTA[ID]))&amp;":"&amp;ADDRESS(ROW(),COLUMN(NOTA[ID]))),-1)))</f>
        <v/>
      </c>
      <c r="AI1102" s="42" t="str">
        <f ca="1">IF(NOTA[[#This Row],[ID_H]]="","",IF(NOTA[[#This Row],[FAKTUR]]="",INDIRECT(ADDRESS(ROW()-1,COLUMN())),NOTA[[#This Row],[FAKTUR]]))</f>
        <v/>
      </c>
      <c r="AJ1102" s="39" t="str">
        <f ca="1">IF(NOTA[[#This Row],[ID]]="","",COUNTIF(NOTA[ID_H],NOTA[[#This Row],[ID_H]]))</f>
        <v/>
      </c>
      <c r="AK1102" s="39" t="str">
        <f ca="1">IF(NOTA[[#This Row],[TGL.NOTA]]="",IF(NOTA[[#This Row],[SUPPLIER_H]]="","",AK1101),MONTH(NOTA[[#This Row],[TGL.NOTA]]))</f>
        <v/>
      </c>
      <c r="AL1102" s="39" t="str">
        <f>LOWER(SUBSTITUTE(SUBSTITUTE(SUBSTITUTE(SUBSTITUTE(SUBSTITUTE(SUBSTITUTE(SUBSTITUTE(SUBSTITUTE(SUBSTITUTE(NOTA[NAMA BARANG]," ",),".",""),"-",""),"(",""),")",""),",",""),"/",""),"""",""),"+",""))</f>
        <v/>
      </c>
      <c r="AM11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39" t="str">
        <f>IF(NOTA[[#This Row],[CONCAT4]]="","",_xlfn.IFNA(MATCH(NOTA[[#This Row],[CONCAT4]],[2]!RAW[CONCAT_H],0),FALSE))</f>
        <v/>
      </c>
      <c r="AQ1102" s="39" t="str">
        <f>IF(NOTA[[#This Row],[CONCAT1]]="","",MATCH(NOTA[[#This Row],[CONCAT1]],[3]!db[NB NOTA_C],0))</f>
        <v/>
      </c>
      <c r="AR1102" s="39" t="str">
        <f>IF(NOTA[[#This Row],[QTY/ CTN]]="","",TRUE)</f>
        <v/>
      </c>
      <c r="AS1102" s="39" t="str">
        <f ca="1">IF(NOTA[[#This Row],[ID_H]]="","",IF(NOTA[[#This Row],[Column3]]=TRUE,NOTA[[#This Row],[QTY/ CTN]],INDEX([3]!db[QTY/ CTN],NOTA[[#This Row],[//DB]])))</f>
        <v/>
      </c>
      <c r="AT11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2" s="39" t="str">
        <f ca="1">IF(NOTA[[#This Row],[ID_H]]="","",MATCH(NOTA[[#This Row],[NB NOTA_C_QTY]],[4]!db[NB NOTA_C_QTY+F],0))</f>
        <v/>
      </c>
      <c r="AV1102" s="55" t="str">
        <f ca="1">IF(NOTA[[#This Row],[NB NOTA_C_QTY]]="","",ROW()-2)</f>
        <v/>
      </c>
    </row>
    <row r="1103" spans="1:48" ht="20.100000000000001" customHeight="1" x14ac:dyDescent="0.25">
      <c r="A11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39" t="str">
        <f>IF(NOTA[[#This Row],[ID_P]]="","",MATCH(NOTA[[#This Row],[ID_P]],[1]!B_MSK[N_ID],0))</f>
        <v/>
      </c>
      <c r="D1103" s="39" t="str">
        <f ca="1">IF(NOTA[[#This Row],[NAMA BARANG]]="","",INDEX(NOTA[ID],MATCH(,INDIRECT(ADDRESS(ROW(NOTA[ID]),COLUMN(NOTA[ID]))&amp;":"&amp;ADDRESS(ROW(),COLUMN(NOTA[ID]))),-1)))</f>
        <v/>
      </c>
      <c r="E1103" s="47"/>
      <c r="H1103" s="48"/>
      <c r="N1103" s="39"/>
      <c r="Q1103" s="43"/>
      <c r="R1103" s="49"/>
      <c r="S1103" s="50"/>
      <c r="U1103" s="51"/>
      <c r="V1103" s="46"/>
      <c r="W1103" s="51" t="str">
        <f>IF(NOTA[[#This Row],[HARGA/ CTN]]="",NOTA[[#This Row],[JUMLAH_H]],NOTA[[#This Row],[HARGA/ CTN]]*IF(NOTA[[#This Row],[C]]="",0,NOTA[[#This Row],[C]]))</f>
        <v/>
      </c>
      <c r="X1103" s="51" t="str">
        <f>IF(NOTA[[#This Row],[JUMLAH]]="","",NOTA[[#This Row],[JUMLAH]]*NOTA[[#This Row],[DISC 1]])</f>
        <v/>
      </c>
      <c r="Y1103" s="51" t="str">
        <f>IF(NOTA[[#This Row],[JUMLAH]]="","",(NOTA[[#This Row],[JUMLAH]]-NOTA[[#This Row],[DISC 1-]])*NOTA[[#This Row],[DISC 2]])</f>
        <v/>
      </c>
      <c r="Z1103" s="51" t="str">
        <f>IF(NOTA[[#This Row],[JUMLAH]]="","",NOTA[[#This Row],[DISC 1-]]+NOTA[[#This Row],[DISC 2-]])</f>
        <v/>
      </c>
      <c r="AA1103" s="51" t="str">
        <f>IF(NOTA[[#This Row],[JUMLAH]]="","",NOTA[[#This Row],[JUMLAH]]-NOTA[[#This Row],[DISC]])</f>
        <v/>
      </c>
      <c r="AB1103" s="51"/>
      <c r="AC1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3" s="51" t="str">
        <f>IF(OR(NOTA[[#This Row],[QTY]]="",NOTA[[#This Row],[HARGA SATUAN]]="",),"",NOTA[[#This Row],[QTY]]*NOTA[[#This Row],[HARGA SATUAN]])</f>
        <v/>
      </c>
      <c r="AG1103" s="40" t="str">
        <f ca="1">IF(NOTA[ID_H]="","",INDEX(NOTA[TANGGAL],MATCH(,INDIRECT(ADDRESS(ROW(NOTA[TANGGAL]),COLUMN(NOTA[TANGGAL]))&amp;":"&amp;ADDRESS(ROW(),COLUMN(NOTA[TANGGAL]))),-1)))</f>
        <v/>
      </c>
      <c r="AH1103" s="42" t="str">
        <f ca="1">IF(NOTA[[#This Row],[NAMA BARANG]]="","",INDEX(NOTA[SUPPLIER],MATCH(,INDIRECT(ADDRESS(ROW(NOTA[ID]),COLUMN(NOTA[ID]))&amp;":"&amp;ADDRESS(ROW(),COLUMN(NOTA[ID]))),-1)))</f>
        <v/>
      </c>
      <c r="AI1103" s="42" t="str">
        <f ca="1">IF(NOTA[[#This Row],[ID_H]]="","",IF(NOTA[[#This Row],[FAKTUR]]="",INDIRECT(ADDRESS(ROW()-1,COLUMN())),NOTA[[#This Row],[FAKTUR]]))</f>
        <v/>
      </c>
      <c r="AJ1103" s="39" t="str">
        <f ca="1">IF(NOTA[[#This Row],[ID]]="","",COUNTIF(NOTA[ID_H],NOTA[[#This Row],[ID_H]]))</f>
        <v/>
      </c>
      <c r="AK1103" s="39" t="str">
        <f ca="1">IF(NOTA[[#This Row],[TGL.NOTA]]="",IF(NOTA[[#This Row],[SUPPLIER_H]]="","",AK1102),MONTH(NOTA[[#This Row],[TGL.NOTA]]))</f>
        <v/>
      </c>
      <c r="AL1103" s="39" t="str">
        <f>LOWER(SUBSTITUTE(SUBSTITUTE(SUBSTITUTE(SUBSTITUTE(SUBSTITUTE(SUBSTITUTE(SUBSTITUTE(SUBSTITUTE(SUBSTITUTE(NOTA[NAMA BARANG]," ",),".",""),"-",""),"(",""),")",""),",",""),"/",""),"""",""),"+",""))</f>
        <v/>
      </c>
      <c r="AM11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39" t="str">
        <f>IF(NOTA[[#This Row],[CONCAT4]]="","",_xlfn.IFNA(MATCH(NOTA[[#This Row],[CONCAT4]],[2]!RAW[CONCAT_H],0),FALSE))</f>
        <v/>
      </c>
      <c r="AQ1103" s="39" t="str">
        <f>IF(NOTA[[#This Row],[CONCAT1]]="","",MATCH(NOTA[[#This Row],[CONCAT1]],[3]!db[NB NOTA_C],0))</f>
        <v/>
      </c>
      <c r="AR1103" s="39" t="str">
        <f>IF(NOTA[[#This Row],[QTY/ CTN]]="","",TRUE)</f>
        <v/>
      </c>
      <c r="AS1103" s="39" t="str">
        <f ca="1">IF(NOTA[[#This Row],[ID_H]]="","",IF(NOTA[[#This Row],[Column3]]=TRUE,NOTA[[#This Row],[QTY/ CTN]],INDEX([3]!db[QTY/ CTN],NOTA[[#This Row],[//DB]])))</f>
        <v/>
      </c>
      <c r="AT11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3" s="39" t="str">
        <f ca="1">IF(NOTA[[#This Row],[ID_H]]="","",MATCH(NOTA[[#This Row],[NB NOTA_C_QTY]],[4]!db[NB NOTA_C_QTY+F],0))</f>
        <v/>
      </c>
      <c r="AV1103" s="55" t="str">
        <f ca="1">IF(NOTA[[#This Row],[NB NOTA_C_QTY]]="","",ROW()-2)</f>
        <v/>
      </c>
    </row>
    <row r="1104" spans="1:48" ht="20.100000000000001" customHeight="1" x14ac:dyDescent="0.25">
      <c r="A11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39" t="str">
        <f>IF(NOTA[[#This Row],[ID_P]]="","",MATCH(NOTA[[#This Row],[ID_P]],[1]!B_MSK[N_ID],0))</f>
        <v/>
      </c>
      <c r="D1104" s="39" t="str">
        <f ca="1">IF(NOTA[[#This Row],[NAMA BARANG]]="","",INDEX(NOTA[ID],MATCH(,INDIRECT(ADDRESS(ROW(NOTA[ID]),COLUMN(NOTA[ID]))&amp;":"&amp;ADDRESS(ROW(),COLUMN(NOTA[ID]))),-1)))</f>
        <v/>
      </c>
      <c r="E1104" s="47"/>
      <c r="H1104" s="48"/>
      <c r="N1104" s="39"/>
      <c r="Q1104" s="43"/>
      <c r="R1104" s="49"/>
      <c r="S1104" s="50"/>
      <c r="U1104" s="51"/>
      <c r="V1104" s="46"/>
      <c r="W1104" s="51" t="str">
        <f>IF(NOTA[[#This Row],[HARGA/ CTN]]="",NOTA[[#This Row],[JUMLAH_H]],NOTA[[#This Row],[HARGA/ CTN]]*IF(NOTA[[#This Row],[C]]="",0,NOTA[[#This Row],[C]]))</f>
        <v/>
      </c>
      <c r="X1104" s="51" t="str">
        <f>IF(NOTA[[#This Row],[JUMLAH]]="","",NOTA[[#This Row],[JUMLAH]]*NOTA[[#This Row],[DISC 1]])</f>
        <v/>
      </c>
      <c r="Y1104" s="51" t="str">
        <f>IF(NOTA[[#This Row],[JUMLAH]]="","",(NOTA[[#This Row],[JUMLAH]]-NOTA[[#This Row],[DISC 1-]])*NOTA[[#This Row],[DISC 2]])</f>
        <v/>
      </c>
      <c r="Z1104" s="51" t="str">
        <f>IF(NOTA[[#This Row],[JUMLAH]]="","",NOTA[[#This Row],[DISC 1-]]+NOTA[[#This Row],[DISC 2-]])</f>
        <v/>
      </c>
      <c r="AA1104" s="51" t="str">
        <f>IF(NOTA[[#This Row],[JUMLAH]]="","",NOTA[[#This Row],[JUMLAH]]-NOTA[[#This Row],[DISC]])</f>
        <v/>
      </c>
      <c r="AB1104" s="51"/>
      <c r="AC11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51" t="str">
        <f>IF(OR(NOTA[[#This Row],[QTY]]="",NOTA[[#This Row],[HARGA SATUAN]]="",),"",NOTA[[#This Row],[QTY]]*NOTA[[#This Row],[HARGA SATUAN]])</f>
        <v/>
      </c>
      <c r="AG1104" s="40" t="str">
        <f ca="1">IF(NOTA[ID_H]="","",INDEX(NOTA[TANGGAL],MATCH(,INDIRECT(ADDRESS(ROW(NOTA[TANGGAL]),COLUMN(NOTA[TANGGAL]))&amp;":"&amp;ADDRESS(ROW(),COLUMN(NOTA[TANGGAL]))),-1)))</f>
        <v/>
      </c>
      <c r="AH1104" s="42" t="str">
        <f ca="1">IF(NOTA[[#This Row],[NAMA BARANG]]="","",INDEX(NOTA[SUPPLIER],MATCH(,INDIRECT(ADDRESS(ROW(NOTA[ID]),COLUMN(NOTA[ID]))&amp;":"&amp;ADDRESS(ROW(),COLUMN(NOTA[ID]))),-1)))</f>
        <v/>
      </c>
      <c r="AI1104" s="42" t="str">
        <f ca="1">IF(NOTA[[#This Row],[ID_H]]="","",IF(NOTA[[#This Row],[FAKTUR]]="",INDIRECT(ADDRESS(ROW()-1,COLUMN())),NOTA[[#This Row],[FAKTUR]]))</f>
        <v/>
      </c>
      <c r="AJ1104" s="39" t="str">
        <f ca="1">IF(NOTA[[#This Row],[ID]]="","",COUNTIF(NOTA[ID_H],NOTA[[#This Row],[ID_H]]))</f>
        <v/>
      </c>
      <c r="AK1104" s="39" t="str">
        <f ca="1">IF(NOTA[[#This Row],[TGL.NOTA]]="",IF(NOTA[[#This Row],[SUPPLIER_H]]="","",AK1103),MONTH(NOTA[[#This Row],[TGL.NOTA]]))</f>
        <v/>
      </c>
      <c r="AL1104" s="39" t="str">
        <f>LOWER(SUBSTITUTE(SUBSTITUTE(SUBSTITUTE(SUBSTITUTE(SUBSTITUTE(SUBSTITUTE(SUBSTITUTE(SUBSTITUTE(SUBSTITUTE(NOTA[NAMA BARANG]," ",),".",""),"-",""),"(",""),")",""),",",""),"/",""),"""",""),"+",""))</f>
        <v/>
      </c>
      <c r="AM11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39" t="str">
        <f>IF(NOTA[[#This Row],[CONCAT4]]="","",_xlfn.IFNA(MATCH(NOTA[[#This Row],[CONCAT4]],[2]!RAW[CONCAT_H],0),FALSE))</f>
        <v/>
      </c>
      <c r="AQ1104" s="39" t="str">
        <f>IF(NOTA[[#This Row],[CONCAT1]]="","",MATCH(NOTA[[#This Row],[CONCAT1]],[3]!db[NB NOTA_C],0))</f>
        <v/>
      </c>
      <c r="AR1104" s="39" t="str">
        <f>IF(NOTA[[#This Row],[QTY/ CTN]]="","",TRUE)</f>
        <v/>
      </c>
      <c r="AS1104" s="39" t="str">
        <f ca="1">IF(NOTA[[#This Row],[ID_H]]="","",IF(NOTA[[#This Row],[Column3]]=TRUE,NOTA[[#This Row],[QTY/ CTN]],INDEX([3]!db[QTY/ CTN],NOTA[[#This Row],[//DB]])))</f>
        <v/>
      </c>
      <c r="AT11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4" s="39" t="str">
        <f ca="1">IF(NOTA[[#This Row],[ID_H]]="","",MATCH(NOTA[[#This Row],[NB NOTA_C_QTY]],[4]!db[NB NOTA_C_QTY+F],0))</f>
        <v/>
      </c>
      <c r="AV1104" s="55" t="str">
        <f ca="1">IF(NOTA[[#This Row],[NB NOTA_C_QTY]]="","",ROW()-2)</f>
        <v/>
      </c>
    </row>
    <row r="1105" spans="1:48" ht="20.100000000000001" customHeight="1" x14ac:dyDescent="0.25">
      <c r="A11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5" s="39" t="str">
        <f>IF(NOTA[[#This Row],[ID_P]]="","",MATCH(NOTA[[#This Row],[ID_P]],[1]!B_MSK[N_ID],0))</f>
        <v/>
      </c>
      <c r="D1105" s="39" t="str">
        <f ca="1">IF(NOTA[[#This Row],[NAMA BARANG]]="","",INDEX(NOTA[ID],MATCH(,INDIRECT(ADDRESS(ROW(NOTA[ID]),COLUMN(NOTA[ID]))&amp;":"&amp;ADDRESS(ROW(),COLUMN(NOTA[ID]))),-1)))</f>
        <v/>
      </c>
      <c r="E1105" s="47"/>
      <c r="H1105" s="48"/>
      <c r="N1105" s="39"/>
      <c r="Q1105" s="43"/>
      <c r="R1105" s="49"/>
      <c r="S1105" s="50"/>
      <c r="U1105" s="51"/>
      <c r="V1105" s="46"/>
      <c r="W1105" s="51" t="str">
        <f>IF(NOTA[[#This Row],[HARGA/ CTN]]="",NOTA[[#This Row],[JUMLAH_H]],NOTA[[#This Row],[HARGA/ CTN]]*IF(NOTA[[#This Row],[C]]="",0,NOTA[[#This Row],[C]]))</f>
        <v/>
      </c>
      <c r="X1105" s="51" t="str">
        <f>IF(NOTA[[#This Row],[JUMLAH]]="","",NOTA[[#This Row],[JUMLAH]]*NOTA[[#This Row],[DISC 1]])</f>
        <v/>
      </c>
      <c r="Y1105" s="51" t="str">
        <f>IF(NOTA[[#This Row],[JUMLAH]]="","",(NOTA[[#This Row],[JUMLAH]]-NOTA[[#This Row],[DISC 1-]])*NOTA[[#This Row],[DISC 2]])</f>
        <v/>
      </c>
      <c r="Z1105" s="51" t="str">
        <f>IF(NOTA[[#This Row],[JUMLAH]]="","",NOTA[[#This Row],[DISC 1-]]+NOTA[[#This Row],[DISC 2-]])</f>
        <v/>
      </c>
      <c r="AA1105" s="51" t="str">
        <f>IF(NOTA[[#This Row],[JUMLAH]]="","",NOTA[[#This Row],[JUMLAH]]-NOTA[[#This Row],[DISC]])</f>
        <v/>
      </c>
      <c r="AB1105" s="51"/>
      <c r="AC1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5" s="51" t="str">
        <f>IF(OR(NOTA[[#This Row],[QTY]]="",NOTA[[#This Row],[HARGA SATUAN]]="",),"",NOTA[[#This Row],[QTY]]*NOTA[[#This Row],[HARGA SATUAN]])</f>
        <v/>
      </c>
      <c r="AG1105" s="40" t="str">
        <f ca="1">IF(NOTA[ID_H]="","",INDEX(NOTA[TANGGAL],MATCH(,INDIRECT(ADDRESS(ROW(NOTA[TANGGAL]),COLUMN(NOTA[TANGGAL]))&amp;":"&amp;ADDRESS(ROW(),COLUMN(NOTA[TANGGAL]))),-1)))</f>
        <v/>
      </c>
      <c r="AH1105" s="42" t="str">
        <f ca="1">IF(NOTA[[#This Row],[NAMA BARANG]]="","",INDEX(NOTA[SUPPLIER],MATCH(,INDIRECT(ADDRESS(ROW(NOTA[ID]),COLUMN(NOTA[ID]))&amp;":"&amp;ADDRESS(ROW(),COLUMN(NOTA[ID]))),-1)))</f>
        <v/>
      </c>
      <c r="AI1105" s="42" t="str">
        <f ca="1">IF(NOTA[[#This Row],[ID_H]]="","",IF(NOTA[[#This Row],[FAKTUR]]="",INDIRECT(ADDRESS(ROW()-1,COLUMN())),NOTA[[#This Row],[FAKTUR]]))</f>
        <v/>
      </c>
      <c r="AJ1105" s="39" t="str">
        <f ca="1">IF(NOTA[[#This Row],[ID]]="","",COUNTIF(NOTA[ID_H],NOTA[[#This Row],[ID_H]]))</f>
        <v/>
      </c>
      <c r="AK1105" s="39" t="str">
        <f ca="1">IF(NOTA[[#This Row],[TGL.NOTA]]="",IF(NOTA[[#This Row],[SUPPLIER_H]]="","",AK1104),MONTH(NOTA[[#This Row],[TGL.NOTA]]))</f>
        <v/>
      </c>
      <c r="AL1105" s="39" t="str">
        <f>LOWER(SUBSTITUTE(SUBSTITUTE(SUBSTITUTE(SUBSTITUTE(SUBSTITUTE(SUBSTITUTE(SUBSTITUTE(SUBSTITUTE(SUBSTITUTE(NOTA[NAMA BARANG]," ",),".",""),"-",""),"(",""),")",""),",",""),"/",""),"""",""),"+",""))</f>
        <v/>
      </c>
      <c r="AM11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5" s="39" t="str">
        <f>IF(NOTA[[#This Row],[CONCAT4]]="","",_xlfn.IFNA(MATCH(NOTA[[#This Row],[CONCAT4]],[2]!RAW[CONCAT_H],0),FALSE))</f>
        <v/>
      </c>
      <c r="AQ1105" s="39" t="str">
        <f>IF(NOTA[[#This Row],[CONCAT1]]="","",MATCH(NOTA[[#This Row],[CONCAT1]],[3]!db[NB NOTA_C],0))</f>
        <v/>
      </c>
      <c r="AR1105" s="39" t="str">
        <f>IF(NOTA[[#This Row],[QTY/ CTN]]="","",TRUE)</f>
        <v/>
      </c>
      <c r="AS1105" s="39" t="str">
        <f ca="1">IF(NOTA[[#This Row],[ID_H]]="","",IF(NOTA[[#This Row],[Column3]]=TRUE,NOTA[[#This Row],[QTY/ CTN]],INDEX([3]!db[QTY/ CTN],NOTA[[#This Row],[//DB]])))</f>
        <v/>
      </c>
      <c r="AT11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5" s="39" t="str">
        <f ca="1">IF(NOTA[[#This Row],[ID_H]]="","",MATCH(NOTA[[#This Row],[NB NOTA_C_QTY]],[4]!db[NB NOTA_C_QTY+F],0))</f>
        <v/>
      </c>
      <c r="AV1105" s="55" t="str">
        <f ca="1">IF(NOTA[[#This Row],[NB NOTA_C_QTY]]="","",ROW()-2)</f>
        <v/>
      </c>
    </row>
    <row r="1106" spans="1:48" ht="20.100000000000001" customHeight="1" x14ac:dyDescent="0.25">
      <c r="A11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39" t="str">
        <f>IF(NOTA[[#This Row],[ID_P]]="","",MATCH(NOTA[[#This Row],[ID_P]],[1]!B_MSK[N_ID],0))</f>
        <v/>
      </c>
      <c r="D1106" s="39" t="str">
        <f ca="1">IF(NOTA[[#This Row],[NAMA BARANG]]="","",INDEX(NOTA[ID],MATCH(,INDIRECT(ADDRESS(ROW(NOTA[ID]),COLUMN(NOTA[ID]))&amp;":"&amp;ADDRESS(ROW(),COLUMN(NOTA[ID]))),-1)))</f>
        <v/>
      </c>
      <c r="E1106" s="47"/>
      <c r="H1106" s="48"/>
      <c r="N1106" s="39"/>
      <c r="Q1106" s="43"/>
      <c r="R1106" s="49"/>
      <c r="S1106" s="50"/>
      <c r="U1106" s="51"/>
      <c r="V1106" s="46"/>
      <c r="W1106" s="51" t="str">
        <f>IF(NOTA[[#This Row],[HARGA/ CTN]]="",NOTA[[#This Row],[JUMLAH_H]],NOTA[[#This Row],[HARGA/ CTN]]*IF(NOTA[[#This Row],[C]]="",0,NOTA[[#This Row],[C]]))</f>
        <v/>
      </c>
      <c r="X1106" s="51" t="str">
        <f>IF(NOTA[[#This Row],[JUMLAH]]="","",NOTA[[#This Row],[JUMLAH]]*NOTA[[#This Row],[DISC 1]])</f>
        <v/>
      </c>
      <c r="Y1106" s="51" t="str">
        <f>IF(NOTA[[#This Row],[JUMLAH]]="","",(NOTA[[#This Row],[JUMLAH]]-NOTA[[#This Row],[DISC 1-]])*NOTA[[#This Row],[DISC 2]])</f>
        <v/>
      </c>
      <c r="Z1106" s="51" t="str">
        <f>IF(NOTA[[#This Row],[JUMLAH]]="","",NOTA[[#This Row],[DISC 1-]]+NOTA[[#This Row],[DISC 2-]])</f>
        <v/>
      </c>
      <c r="AA1106" s="51" t="str">
        <f>IF(NOTA[[#This Row],[JUMLAH]]="","",NOTA[[#This Row],[JUMLAH]]-NOTA[[#This Row],[DISC]])</f>
        <v/>
      </c>
      <c r="AB1106" s="51"/>
      <c r="AC11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6" s="51" t="str">
        <f>IF(OR(NOTA[[#This Row],[QTY]]="",NOTA[[#This Row],[HARGA SATUAN]]="",),"",NOTA[[#This Row],[QTY]]*NOTA[[#This Row],[HARGA SATUAN]])</f>
        <v/>
      </c>
      <c r="AG1106" s="40" t="str">
        <f ca="1">IF(NOTA[ID_H]="","",INDEX(NOTA[TANGGAL],MATCH(,INDIRECT(ADDRESS(ROW(NOTA[TANGGAL]),COLUMN(NOTA[TANGGAL]))&amp;":"&amp;ADDRESS(ROW(),COLUMN(NOTA[TANGGAL]))),-1)))</f>
        <v/>
      </c>
      <c r="AH1106" s="42" t="str">
        <f ca="1">IF(NOTA[[#This Row],[NAMA BARANG]]="","",INDEX(NOTA[SUPPLIER],MATCH(,INDIRECT(ADDRESS(ROW(NOTA[ID]),COLUMN(NOTA[ID]))&amp;":"&amp;ADDRESS(ROW(),COLUMN(NOTA[ID]))),-1)))</f>
        <v/>
      </c>
      <c r="AI1106" s="42" t="str">
        <f ca="1">IF(NOTA[[#This Row],[ID_H]]="","",IF(NOTA[[#This Row],[FAKTUR]]="",INDIRECT(ADDRESS(ROW()-1,COLUMN())),NOTA[[#This Row],[FAKTUR]]))</f>
        <v/>
      </c>
      <c r="AJ1106" s="39" t="str">
        <f ca="1">IF(NOTA[[#This Row],[ID]]="","",COUNTIF(NOTA[ID_H],NOTA[[#This Row],[ID_H]]))</f>
        <v/>
      </c>
      <c r="AK1106" s="39" t="str">
        <f ca="1">IF(NOTA[[#This Row],[TGL.NOTA]]="",IF(NOTA[[#This Row],[SUPPLIER_H]]="","",AK1105),MONTH(NOTA[[#This Row],[TGL.NOTA]]))</f>
        <v/>
      </c>
      <c r="AL1106" s="39" t="str">
        <f>LOWER(SUBSTITUTE(SUBSTITUTE(SUBSTITUTE(SUBSTITUTE(SUBSTITUTE(SUBSTITUTE(SUBSTITUTE(SUBSTITUTE(SUBSTITUTE(NOTA[NAMA BARANG]," ",),".",""),"-",""),"(",""),")",""),",",""),"/",""),"""",""),"+",""))</f>
        <v/>
      </c>
      <c r="AM11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39" t="str">
        <f>IF(NOTA[[#This Row],[CONCAT4]]="","",_xlfn.IFNA(MATCH(NOTA[[#This Row],[CONCAT4]],[2]!RAW[CONCAT_H],0),FALSE))</f>
        <v/>
      </c>
      <c r="AQ1106" s="39" t="str">
        <f>IF(NOTA[[#This Row],[CONCAT1]]="","",MATCH(NOTA[[#This Row],[CONCAT1]],[3]!db[NB NOTA_C],0))</f>
        <v/>
      </c>
      <c r="AR1106" s="39" t="str">
        <f>IF(NOTA[[#This Row],[QTY/ CTN]]="","",TRUE)</f>
        <v/>
      </c>
      <c r="AS1106" s="39" t="str">
        <f ca="1">IF(NOTA[[#This Row],[ID_H]]="","",IF(NOTA[[#This Row],[Column3]]=TRUE,NOTA[[#This Row],[QTY/ CTN]],INDEX([3]!db[QTY/ CTN],NOTA[[#This Row],[//DB]])))</f>
        <v/>
      </c>
      <c r="AT11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6" s="39" t="str">
        <f ca="1">IF(NOTA[[#This Row],[ID_H]]="","",MATCH(NOTA[[#This Row],[NB NOTA_C_QTY]],[4]!db[NB NOTA_C_QTY+F],0))</f>
        <v/>
      </c>
      <c r="AV1106" s="55" t="str">
        <f ca="1">IF(NOTA[[#This Row],[NB NOTA_C_QTY]]="","",ROW()-2)</f>
        <v/>
      </c>
    </row>
    <row r="1107" spans="1:48" ht="20.100000000000001" customHeight="1" x14ac:dyDescent="0.25">
      <c r="A11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39" t="str">
        <f>IF(NOTA[[#This Row],[ID_P]]="","",MATCH(NOTA[[#This Row],[ID_P]],[1]!B_MSK[N_ID],0))</f>
        <v/>
      </c>
      <c r="D1107" s="39" t="str">
        <f ca="1">IF(NOTA[[#This Row],[NAMA BARANG]]="","",INDEX(NOTA[ID],MATCH(,INDIRECT(ADDRESS(ROW(NOTA[ID]),COLUMN(NOTA[ID]))&amp;":"&amp;ADDRESS(ROW(),COLUMN(NOTA[ID]))),-1)))</f>
        <v/>
      </c>
      <c r="E1107" s="47"/>
      <c r="H1107" s="48"/>
      <c r="N1107" s="39"/>
      <c r="Q1107" s="43"/>
      <c r="R1107" s="49"/>
      <c r="S1107" s="50"/>
      <c r="U1107" s="51"/>
      <c r="V1107" s="46"/>
      <c r="W1107" s="51" t="str">
        <f>IF(NOTA[[#This Row],[HARGA/ CTN]]="",NOTA[[#This Row],[JUMLAH_H]],NOTA[[#This Row],[HARGA/ CTN]]*IF(NOTA[[#This Row],[C]]="",0,NOTA[[#This Row],[C]]))</f>
        <v/>
      </c>
      <c r="X1107" s="51" t="str">
        <f>IF(NOTA[[#This Row],[JUMLAH]]="","",NOTA[[#This Row],[JUMLAH]]*NOTA[[#This Row],[DISC 1]])</f>
        <v/>
      </c>
      <c r="Y1107" s="51" t="str">
        <f>IF(NOTA[[#This Row],[JUMLAH]]="","",(NOTA[[#This Row],[JUMLAH]]-NOTA[[#This Row],[DISC 1-]])*NOTA[[#This Row],[DISC 2]])</f>
        <v/>
      </c>
      <c r="Z1107" s="51" t="str">
        <f>IF(NOTA[[#This Row],[JUMLAH]]="","",NOTA[[#This Row],[DISC 1-]]+NOTA[[#This Row],[DISC 2-]])</f>
        <v/>
      </c>
      <c r="AA1107" s="51" t="str">
        <f>IF(NOTA[[#This Row],[JUMLAH]]="","",NOTA[[#This Row],[JUMLAH]]-NOTA[[#This Row],[DISC]])</f>
        <v/>
      </c>
      <c r="AB1107" s="51"/>
      <c r="AC1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7" s="51" t="str">
        <f>IF(OR(NOTA[[#This Row],[QTY]]="",NOTA[[#This Row],[HARGA SATUAN]]="",),"",NOTA[[#This Row],[QTY]]*NOTA[[#This Row],[HARGA SATUAN]])</f>
        <v/>
      </c>
      <c r="AG1107" s="40" t="str">
        <f ca="1">IF(NOTA[ID_H]="","",INDEX(NOTA[TANGGAL],MATCH(,INDIRECT(ADDRESS(ROW(NOTA[TANGGAL]),COLUMN(NOTA[TANGGAL]))&amp;":"&amp;ADDRESS(ROW(),COLUMN(NOTA[TANGGAL]))),-1)))</f>
        <v/>
      </c>
      <c r="AH1107" s="42" t="str">
        <f ca="1">IF(NOTA[[#This Row],[NAMA BARANG]]="","",INDEX(NOTA[SUPPLIER],MATCH(,INDIRECT(ADDRESS(ROW(NOTA[ID]),COLUMN(NOTA[ID]))&amp;":"&amp;ADDRESS(ROW(),COLUMN(NOTA[ID]))),-1)))</f>
        <v/>
      </c>
      <c r="AI1107" s="42" t="str">
        <f ca="1">IF(NOTA[[#This Row],[ID_H]]="","",IF(NOTA[[#This Row],[FAKTUR]]="",INDIRECT(ADDRESS(ROW()-1,COLUMN())),NOTA[[#This Row],[FAKTUR]]))</f>
        <v/>
      </c>
      <c r="AJ1107" s="39" t="str">
        <f ca="1">IF(NOTA[[#This Row],[ID]]="","",COUNTIF(NOTA[ID_H],NOTA[[#This Row],[ID_H]]))</f>
        <v/>
      </c>
      <c r="AK1107" s="39" t="str">
        <f ca="1">IF(NOTA[[#This Row],[TGL.NOTA]]="",IF(NOTA[[#This Row],[SUPPLIER_H]]="","",AK1106),MONTH(NOTA[[#This Row],[TGL.NOTA]]))</f>
        <v/>
      </c>
      <c r="AL1107" s="39" t="str">
        <f>LOWER(SUBSTITUTE(SUBSTITUTE(SUBSTITUTE(SUBSTITUTE(SUBSTITUTE(SUBSTITUTE(SUBSTITUTE(SUBSTITUTE(SUBSTITUTE(NOTA[NAMA BARANG]," ",),".",""),"-",""),"(",""),")",""),",",""),"/",""),"""",""),"+",""))</f>
        <v/>
      </c>
      <c r="AM11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39" t="str">
        <f>IF(NOTA[[#This Row],[CONCAT4]]="","",_xlfn.IFNA(MATCH(NOTA[[#This Row],[CONCAT4]],[2]!RAW[CONCAT_H],0),FALSE))</f>
        <v/>
      </c>
      <c r="AQ1107" s="39" t="str">
        <f>IF(NOTA[[#This Row],[CONCAT1]]="","",MATCH(NOTA[[#This Row],[CONCAT1]],[3]!db[NB NOTA_C],0))</f>
        <v/>
      </c>
      <c r="AR1107" s="39" t="str">
        <f>IF(NOTA[[#This Row],[QTY/ CTN]]="","",TRUE)</f>
        <v/>
      </c>
      <c r="AS1107" s="39" t="str">
        <f ca="1">IF(NOTA[[#This Row],[ID_H]]="","",IF(NOTA[[#This Row],[Column3]]=TRUE,NOTA[[#This Row],[QTY/ CTN]],INDEX([3]!db[QTY/ CTN],NOTA[[#This Row],[//DB]])))</f>
        <v/>
      </c>
      <c r="AT11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7" s="39" t="str">
        <f ca="1">IF(NOTA[[#This Row],[ID_H]]="","",MATCH(NOTA[[#This Row],[NB NOTA_C_QTY]],[4]!db[NB NOTA_C_QTY+F],0))</f>
        <v/>
      </c>
      <c r="AV1107" s="55" t="str">
        <f ca="1">IF(NOTA[[#This Row],[NB NOTA_C_QTY]]="","",ROW()-2)</f>
        <v/>
      </c>
    </row>
    <row r="1108" spans="1:48" ht="20.100000000000001" customHeight="1" x14ac:dyDescent="0.25">
      <c r="A11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39" t="str">
        <f>IF(NOTA[[#This Row],[ID_P]]="","",MATCH(NOTA[[#This Row],[ID_P]],[1]!B_MSK[N_ID],0))</f>
        <v/>
      </c>
      <c r="D1108" s="39" t="str">
        <f ca="1">IF(NOTA[[#This Row],[NAMA BARANG]]="","",INDEX(NOTA[ID],MATCH(,INDIRECT(ADDRESS(ROW(NOTA[ID]),COLUMN(NOTA[ID]))&amp;":"&amp;ADDRESS(ROW(),COLUMN(NOTA[ID]))),-1)))</f>
        <v/>
      </c>
      <c r="E1108" s="47"/>
      <c r="H1108" s="48"/>
      <c r="N1108" s="39"/>
      <c r="Q1108" s="43"/>
      <c r="R1108" s="49"/>
      <c r="S1108" s="50"/>
      <c r="U1108" s="51"/>
      <c r="V1108" s="46"/>
      <c r="W1108" s="51" t="str">
        <f>IF(NOTA[[#This Row],[HARGA/ CTN]]="",NOTA[[#This Row],[JUMLAH_H]],NOTA[[#This Row],[HARGA/ CTN]]*IF(NOTA[[#This Row],[C]]="",0,NOTA[[#This Row],[C]]))</f>
        <v/>
      </c>
      <c r="X1108" s="51" t="str">
        <f>IF(NOTA[[#This Row],[JUMLAH]]="","",NOTA[[#This Row],[JUMLAH]]*NOTA[[#This Row],[DISC 1]])</f>
        <v/>
      </c>
      <c r="Y1108" s="51" t="str">
        <f>IF(NOTA[[#This Row],[JUMLAH]]="","",(NOTA[[#This Row],[JUMLAH]]-NOTA[[#This Row],[DISC 1-]])*NOTA[[#This Row],[DISC 2]])</f>
        <v/>
      </c>
      <c r="Z1108" s="51" t="str">
        <f>IF(NOTA[[#This Row],[JUMLAH]]="","",NOTA[[#This Row],[DISC 1-]]+NOTA[[#This Row],[DISC 2-]])</f>
        <v/>
      </c>
      <c r="AA1108" s="51" t="str">
        <f>IF(NOTA[[#This Row],[JUMLAH]]="","",NOTA[[#This Row],[JUMLAH]]-NOTA[[#This Row],[DISC]])</f>
        <v/>
      </c>
      <c r="AB1108" s="51"/>
      <c r="AC1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8" s="51" t="str">
        <f>IF(OR(NOTA[[#This Row],[QTY]]="",NOTA[[#This Row],[HARGA SATUAN]]="",),"",NOTA[[#This Row],[QTY]]*NOTA[[#This Row],[HARGA SATUAN]])</f>
        <v/>
      </c>
      <c r="AG1108" s="40" t="str">
        <f ca="1">IF(NOTA[ID_H]="","",INDEX(NOTA[TANGGAL],MATCH(,INDIRECT(ADDRESS(ROW(NOTA[TANGGAL]),COLUMN(NOTA[TANGGAL]))&amp;":"&amp;ADDRESS(ROW(),COLUMN(NOTA[TANGGAL]))),-1)))</f>
        <v/>
      </c>
      <c r="AH1108" s="42" t="str">
        <f ca="1">IF(NOTA[[#This Row],[NAMA BARANG]]="","",INDEX(NOTA[SUPPLIER],MATCH(,INDIRECT(ADDRESS(ROW(NOTA[ID]),COLUMN(NOTA[ID]))&amp;":"&amp;ADDRESS(ROW(),COLUMN(NOTA[ID]))),-1)))</f>
        <v/>
      </c>
      <c r="AI1108" s="42" t="str">
        <f ca="1">IF(NOTA[[#This Row],[ID_H]]="","",IF(NOTA[[#This Row],[FAKTUR]]="",INDIRECT(ADDRESS(ROW()-1,COLUMN())),NOTA[[#This Row],[FAKTUR]]))</f>
        <v/>
      </c>
      <c r="AJ1108" s="39" t="str">
        <f ca="1">IF(NOTA[[#This Row],[ID]]="","",COUNTIF(NOTA[ID_H],NOTA[[#This Row],[ID_H]]))</f>
        <v/>
      </c>
      <c r="AK1108" s="39" t="str">
        <f ca="1">IF(NOTA[[#This Row],[TGL.NOTA]]="",IF(NOTA[[#This Row],[SUPPLIER_H]]="","",AK1107),MONTH(NOTA[[#This Row],[TGL.NOTA]]))</f>
        <v/>
      </c>
      <c r="AL1108" s="39" t="str">
        <f>LOWER(SUBSTITUTE(SUBSTITUTE(SUBSTITUTE(SUBSTITUTE(SUBSTITUTE(SUBSTITUTE(SUBSTITUTE(SUBSTITUTE(SUBSTITUTE(NOTA[NAMA BARANG]," ",),".",""),"-",""),"(",""),")",""),",",""),"/",""),"""",""),"+",""))</f>
        <v/>
      </c>
      <c r="AM11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39" t="str">
        <f>IF(NOTA[[#This Row],[CONCAT4]]="","",_xlfn.IFNA(MATCH(NOTA[[#This Row],[CONCAT4]],[2]!RAW[CONCAT_H],0),FALSE))</f>
        <v/>
      </c>
      <c r="AQ1108" s="39" t="str">
        <f>IF(NOTA[[#This Row],[CONCAT1]]="","",MATCH(NOTA[[#This Row],[CONCAT1]],[3]!db[NB NOTA_C],0))</f>
        <v/>
      </c>
      <c r="AR1108" s="39" t="str">
        <f>IF(NOTA[[#This Row],[QTY/ CTN]]="","",TRUE)</f>
        <v/>
      </c>
      <c r="AS1108" s="39" t="str">
        <f ca="1">IF(NOTA[[#This Row],[ID_H]]="","",IF(NOTA[[#This Row],[Column3]]=TRUE,NOTA[[#This Row],[QTY/ CTN]],INDEX([3]!db[QTY/ CTN],NOTA[[#This Row],[//DB]])))</f>
        <v/>
      </c>
      <c r="AT11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8" s="39" t="str">
        <f ca="1">IF(NOTA[[#This Row],[ID_H]]="","",MATCH(NOTA[[#This Row],[NB NOTA_C_QTY]],[4]!db[NB NOTA_C_QTY+F],0))</f>
        <v/>
      </c>
      <c r="AV1108" s="55" t="str">
        <f ca="1">IF(NOTA[[#This Row],[NB NOTA_C_QTY]]="","",ROW()-2)</f>
        <v/>
      </c>
    </row>
    <row r="1109" spans="1:48" ht="20.100000000000001" customHeight="1" x14ac:dyDescent="0.25">
      <c r="A11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39" t="str">
        <f>IF(NOTA[[#This Row],[ID_P]]="","",MATCH(NOTA[[#This Row],[ID_P]],[1]!B_MSK[N_ID],0))</f>
        <v/>
      </c>
      <c r="D1109" s="39" t="str">
        <f ca="1">IF(NOTA[[#This Row],[NAMA BARANG]]="","",INDEX(NOTA[ID],MATCH(,INDIRECT(ADDRESS(ROW(NOTA[ID]),COLUMN(NOTA[ID]))&amp;":"&amp;ADDRESS(ROW(),COLUMN(NOTA[ID]))),-1)))</f>
        <v/>
      </c>
      <c r="E1109" s="47"/>
      <c r="H1109" s="48"/>
      <c r="N1109" s="39"/>
      <c r="Q1109" s="43"/>
      <c r="R1109" s="49"/>
      <c r="S1109" s="50"/>
      <c r="U1109" s="51"/>
      <c r="V1109" s="46"/>
      <c r="W1109" s="51" t="str">
        <f>IF(NOTA[[#This Row],[HARGA/ CTN]]="",NOTA[[#This Row],[JUMLAH_H]],NOTA[[#This Row],[HARGA/ CTN]]*IF(NOTA[[#This Row],[C]]="",0,NOTA[[#This Row],[C]]))</f>
        <v/>
      </c>
      <c r="X1109" s="51" t="str">
        <f>IF(NOTA[[#This Row],[JUMLAH]]="","",NOTA[[#This Row],[JUMLAH]]*NOTA[[#This Row],[DISC 1]])</f>
        <v/>
      </c>
      <c r="Y1109" s="51" t="str">
        <f>IF(NOTA[[#This Row],[JUMLAH]]="","",(NOTA[[#This Row],[JUMLAH]]-NOTA[[#This Row],[DISC 1-]])*NOTA[[#This Row],[DISC 2]])</f>
        <v/>
      </c>
      <c r="Z1109" s="51" t="str">
        <f>IF(NOTA[[#This Row],[JUMLAH]]="","",NOTA[[#This Row],[DISC 1-]]+NOTA[[#This Row],[DISC 2-]])</f>
        <v/>
      </c>
      <c r="AA1109" s="51" t="str">
        <f>IF(NOTA[[#This Row],[JUMLAH]]="","",NOTA[[#This Row],[JUMLAH]]-NOTA[[#This Row],[DISC]])</f>
        <v/>
      </c>
      <c r="AB1109" s="51"/>
      <c r="AC1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9" s="51" t="str">
        <f>IF(OR(NOTA[[#This Row],[QTY]]="",NOTA[[#This Row],[HARGA SATUAN]]="",),"",NOTA[[#This Row],[QTY]]*NOTA[[#This Row],[HARGA SATUAN]])</f>
        <v/>
      </c>
      <c r="AG1109" s="40" t="str">
        <f ca="1">IF(NOTA[ID_H]="","",INDEX(NOTA[TANGGAL],MATCH(,INDIRECT(ADDRESS(ROW(NOTA[TANGGAL]),COLUMN(NOTA[TANGGAL]))&amp;":"&amp;ADDRESS(ROW(),COLUMN(NOTA[TANGGAL]))),-1)))</f>
        <v/>
      </c>
      <c r="AH1109" s="42" t="str">
        <f ca="1">IF(NOTA[[#This Row],[NAMA BARANG]]="","",INDEX(NOTA[SUPPLIER],MATCH(,INDIRECT(ADDRESS(ROW(NOTA[ID]),COLUMN(NOTA[ID]))&amp;":"&amp;ADDRESS(ROW(),COLUMN(NOTA[ID]))),-1)))</f>
        <v/>
      </c>
      <c r="AI1109" s="42" t="str">
        <f ca="1">IF(NOTA[[#This Row],[ID_H]]="","",IF(NOTA[[#This Row],[FAKTUR]]="",INDIRECT(ADDRESS(ROW()-1,COLUMN())),NOTA[[#This Row],[FAKTUR]]))</f>
        <v/>
      </c>
      <c r="AJ1109" s="39" t="str">
        <f ca="1">IF(NOTA[[#This Row],[ID]]="","",COUNTIF(NOTA[ID_H],NOTA[[#This Row],[ID_H]]))</f>
        <v/>
      </c>
      <c r="AK1109" s="39" t="str">
        <f ca="1">IF(NOTA[[#This Row],[TGL.NOTA]]="",IF(NOTA[[#This Row],[SUPPLIER_H]]="","",AK1108),MONTH(NOTA[[#This Row],[TGL.NOTA]]))</f>
        <v/>
      </c>
      <c r="AL1109" s="39" t="str">
        <f>LOWER(SUBSTITUTE(SUBSTITUTE(SUBSTITUTE(SUBSTITUTE(SUBSTITUTE(SUBSTITUTE(SUBSTITUTE(SUBSTITUTE(SUBSTITUTE(NOTA[NAMA BARANG]," ",),".",""),"-",""),"(",""),")",""),",",""),"/",""),"""",""),"+",""))</f>
        <v/>
      </c>
      <c r="AM11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39" t="str">
        <f>IF(NOTA[[#This Row],[CONCAT4]]="","",_xlfn.IFNA(MATCH(NOTA[[#This Row],[CONCAT4]],[2]!RAW[CONCAT_H],0),FALSE))</f>
        <v/>
      </c>
      <c r="AQ1109" s="39" t="str">
        <f>IF(NOTA[[#This Row],[CONCAT1]]="","",MATCH(NOTA[[#This Row],[CONCAT1]],[3]!db[NB NOTA_C],0))</f>
        <v/>
      </c>
      <c r="AR1109" s="39" t="str">
        <f>IF(NOTA[[#This Row],[QTY/ CTN]]="","",TRUE)</f>
        <v/>
      </c>
      <c r="AS1109" s="39" t="str">
        <f ca="1">IF(NOTA[[#This Row],[ID_H]]="","",IF(NOTA[[#This Row],[Column3]]=TRUE,NOTA[[#This Row],[QTY/ CTN]],INDEX([3]!db[QTY/ CTN],NOTA[[#This Row],[//DB]])))</f>
        <v/>
      </c>
      <c r="AT11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9" s="39" t="str">
        <f ca="1">IF(NOTA[[#This Row],[ID_H]]="","",MATCH(NOTA[[#This Row],[NB NOTA_C_QTY]],[4]!db[NB NOTA_C_QTY+F],0))</f>
        <v/>
      </c>
      <c r="AV1109" s="55" t="str">
        <f ca="1">IF(NOTA[[#This Row],[NB NOTA_C_QTY]]="","",ROW()-2)</f>
        <v/>
      </c>
    </row>
    <row r="1110" spans="1:48" ht="20.100000000000001" customHeight="1" x14ac:dyDescent="0.25">
      <c r="A11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39" t="str">
        <f>IF(NOTA[[#This Row],[ID_P]]="","",MATCH(NOTA[[#This Row],[ID_P]],[1]!B_MSK[N_ID],0))</f>
        <v/>
      </c>
      <c r="D1110" s="39" t="str">
        <f ca="1">IF(NOTA[[#This Row],[NAMA BARANG]]="","",INDEX(NOTA[ID],MATCH(,INDIRECT(ADDRESS(ROW(NOTA[ID]),COLUMN(NOTA[ID]))&amp;":"&amp;ADDRESS(ROW(),COLUMN(NOTA[ID]))),-1)))</f>
        <v/>
      </c>
      <c r="E1110" s="47"/>
      <c r="H1110" s="48"/>
      <c r="N1110" s="39"/>
      <c r="Q1110" s="43"/>
      <c r="R1110" s="49"/>
      <c r="S1110" s="50"/>
      <c r="U1110" s="51"/>
      <c r="V1110" s="46"/>
      <c r="W1110" s="51" t="str">
        <f>IF(NOTA[[#This Row],[HARGA/ CTN]]="",NOTA[[#This Row],[JUMLAH_H]],NOTA[[#This Row],[HARGA/ CTN]]*IF(NOTA[[#This Row],[C]]="",0,NOTA[[#This Row],[C]]))</f>
        <v/>
      </c>
      <c r="X1110" s="51" t="str">
        <f>IF(NOTA[[#This Row],[JUMLAH]]="","",NOTA[[#This Row],[JUMLAH]]*NOTA[[#This Row],[DISC 1]])</f>
        <v/>
      </c>
      <c r="Y1110" s="51" t="str">
        <f>IF(NOTA[[#This Row],[JUMLAH]]="","",(NOTA[[#This Row],[JUMLAH]]-NOTA[[#This Row],[DISC 1-]])*NOTA[[#This Row],[DISC 2]])</f>
        <v/>
      </c>
      <c r="Z1110" s="51" t="str">
        <f>IF(NOTA[[#This Row],[JUMLAH]]="","",NOTA[[#This Row],[DISC 1-]]+NOTA[[#This Row],[DISC 2-]])</f>
        <v/>
      </c>
      <c r="AA1110" s="51" t="str">
        <f>IF(NOTA[[#This Row],[JUMLAH]]="","",NOTA[[#This Row],[JUMLAH]]-NOTA[[#This Row],[DISC]])</f>
        <v/>
      </c>
      <c r="AB1110" s="51"/>
      <c r="AC1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0" s="51" t="str">
        <f>IF(OR(NOTA[[#This Row],[QTY]]="",NOTA[[#This Row],[HARGA SATUAN]]="",),"",NOTA[[#This Row],[QTY]]*NOTA[[#This Row],[HARGA SATUAN]])</f>
        <v/>
      </c>
      <c r="AG1110" s="40" t="str">
        <f ca="1">IF(NOTA[ID_H]="","",INDEX(NOTA[TANGGAL],MATCH(,INDIRECT(ADDRESS(ROW(NOTA[TANGGAL]),COLUMN(NOTA[TANGGAL]))&amp;":"&amp;ADDRESS(ROW(),COLUMN(NOTA[TANGGAL]))),-1)))</f>
        <v/>
      </c>
      <c r="AH1110" s="42" t="str">
        <f ca="1">IF(NOTA[[#This Row],[NAMA BARANG]]="","",INDEX(NOTA[SUPPLIER],MATCH(,INDIRECT(ADDRESS(ROW(NOTA[ID]),COLUMN(NOTA[ID]))&amp;":"&amp;ADDRESS(ROW(),COLUMN(NOTA[ID]))),-1)))</f>
        <v/>
      </c>
      <c r="AI1110" s="42" t="str">
        <f ca="1">IF(NOTA[[#This Row],[ID_H]]="","",IF(NOTA[[#This Row],[FAKTUR]]="",INDIRECT(ADDRESS(ROW()-1,COLUMN())),NOTA[[#This Row],[FAKTUR]]))</f>
        <v/>
      </c>
      <c r="AJ1110" s="39" t="str">
        <f ca="1">IF(NOTA[[#This Row],[ID]]="","",COUNTIF(NOTA[ID_H],NOTA[[#This Row],[ID_H]]))</f>
        <v/>
      </c>
      <c r="AK1110" s="39" t="str">
        <f ca="1">IF(NOTA[[#This Row],[TGL.NOTA]]="",IF(NOTA[[#This Row],[SUPPLIER_H]]="","",AK1109),MONTH(NOTA[[#This Row],[TGL.NOTA]]))</f>
        <v/>
      </c>
      <c r="AL1110" s="39" t="str">
        <f>LOWER(SUBSTITUTE(SUBSTITUTE(SUBSTITUTE(SUBSTITUTE(SUBSTITUTE(SUBSTITUTE(SUBSTITUTE(SUBSTITUTE(SUBSTITUTE(NOTA[NAMA BARANG]," ",),".",""),"-",""),"(",""),")",""),",",""),"/",""),"""",""),"+",""))</f>
        <v/>
      </c>
      <c r="AM11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39" t="str">
        <f>IF(NOTA[[#This Row],[CONCAT4]]="","",_xlfn.IFNA(MATCH(NOTA[[#This Row],[CONCAT4]],[2]!RAW[CONCAT_H],0),FALSE))</f>
        <v/>
      </c>
      <c r="AQ1110" s="39" t="str">
        <f>IF(NOTA[[#This Row],[CONCAT1]]="","",MATCH(NOTA[[#This Row],[CONCAT1]],[3]!db[NB NOTA_C],0))</f>
        <v/>
      </c>
      <c r="AR1110" s="39" t="str">
        <f>IF(NOTA[[#This Row],[QTY/ CTN]]="","",TRUE)</f>
        <v/>
      </c>
      <c r="AS1110" s="39" t="str">
        <f ca="1">IF(NOTA[[#This Row],[ID_H]]="","",IF(NOTA[[#This Row],[Column3]]=TRUE,NOTA[[#This Row],[QTY/ CTN]],INDEX([3]!db[QTY/ CTN],NOTA[[#This Row],[//DB]])))</f>
        <v/>
      </c>
      <c r="AT11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0" s="39" t="str">
        <f ca="1">IF(NOTA[[#This Row],[ID_H]]="","",MATCH(NOTA[[#This Row],[NB NOTA_C_QTY]],[4]!db[NB NOTA_C_QTY+F],0))</f>
        <v/>
      </c>
      <c r="AV1110" s="55" t="str">
        <f ca="1">IF(NOTA[[#This Row],[NB NOTA_C_QTY]]="","",ROW()-2)</f>
        <v/>
      </c>
    </row>
    <row r="1111" spans="1:48" ht="20.100000000000001" customHeight="1" x14ac:dyDescent="0.25">
      <c r="A11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39" t="str">
        <f>IF(NOTA[[#This Row],[ID_P]]="","",MATCH(NOTA[[#This Row],[ID_P]],[1]!B_MSK[N_ID],0))</f>
        <v/>
      </c>
      <c r="D1111" s="39" t="str">
        <f ca="1">IF(NOTA[[#This Row],[NAMA BARANG]]="","",INDEX(NOTA[ID],MATCH(,INDIRECT(ADDRESS(ROW(NOTA[ID]),COLUMN(NOTA[ID]))&amp;":"&amp;ADDRESS(ROW(),COLUMN(NOTA[ID]))),-1)))</f>
        <v/>
      </c>
      <c r="E1111" s="47"/>
      <c r="H1111" s="48"/>
      <c r="N1111" s="39"/>
      <c r="Q1111" s="43"/>
      <c r="R1111" s="49"/>
      <c r="S1111" s="50"/>
      <c r="U1111" s="51"/>
      <c r="V1111" s="46"/>
      <c r="W1111" s="51" t="str">
        <f>IF(NOTA[[#This Row],[HARGA/ CTN]]="",NOTA[[#This Row],[JUMLAH_H]],NOTA[[#This Row],[HARGA/ CTN]]*IF(NOTA[[#This Row],[C]]="",0,NOTA[[#This Row],[C]]))</f>
        <v/>
      </c>
      <c r="X1111" s="51" t="str">
        <f>IF(NOTA[[#This Row],[JUMLAH]]="","",NOTA[[#This Row],[JUMLAH]]*NOTA[[#This Row],[DISC 1]])</f>
        <v/>
      </c>
      <c r="Y1111" s="51" t="str">
        <f>IF(NOTA[[#This Row],[JUMLAH]]="","",(NOTA[[#This Row],[JUMLAH]]-NOTA[[#This Row],[DISC 1-]])*NOTA[[#This Row],[DISC 2]])</f>
        <v/>
      </c>
      <c r="Z1111" s="51" t="str">
        <f>IF(NOTA[[#This Row],[JUMLAH]]="","",NOTA[[#This Row],[DISC 1-]]+NOTA[[#This Row],[DISC 2-]])</f>
        <v/>
      </c>
      <c r="AA1111" s="51" t="str">
        <f>IF(NOTA[[#This Row],[JUMLAH]]="","",NOTA[[#This Row],[JUMLAH]]-NOTA[[#This Row],[DISC]])</f>
        <v/>
      </c>
      <c r="AB1111" s="51"/>
      <c r="AC1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51" t="str">
        <f>IF(OR(NOTA[[#This Row],[QTY]]="",NOTA[[#This Row],[HARGA SATUAN]]="",),"",NOTA[[#This Row],[QTY]]*NOTA[[#This Row],[HARGA SATUAN]])</f>
        <v/>
      </c>
      <c r="AG1111" s="40" t="str">
        <f ca="1">IF(NOTA[ID_H]="","",INDEX(NOTA[TANGGAL],MATCH(,INDIRECT(ADDRESS(ROW(NOTA[TANGGAL]),COLUMN(NOTA[TANGGAL]))&amp;":"&amp;ADDRESS(ROW(),COLUMN(NOTA[TANGGAL]))),-1)))</f>
        <v/>
      </c>
      <c r="AH1111" s="42" t="str">
        <f ca="1">IF(NOTA[[#This Row],[NAMA BARANG]]="","",INDEX(NOTA[SUPPLIER],MATCH(,INDIRECT(ADDRESS(ROW(NOTA[ID]),COLUMN(NOTA[ID]))&amp;":"&amp;ADDRESS(ROW(),COLUMN(NOTA[ID]))),-1)))</f>
        <v/>
      </c>
      <c r="AI1111" s="42" t="str">
        <f ca="1">IF(NOTA[[#This Row],[ID_H]]="","",IF(NOTA[[#This Row],[FAKTUR]]="",INDIRECT(ADDRESS(ROW()-1,COLUMN())),NOTA[[#This Row],[FAKTUR]]))</f>
        <v/>
      </c>
      <c r="AJ1111" s="39" t="str">
        <f ca="1">IF(NOTA[[#This Row],[ID]]="","",COUNTIF(NOTA[ID_H],NOTA[[#This Row],[ID_H]]))</f>
        <v/>
      </c>
      <c r="AK1111" s="39" t="str">
        <f ca="1">IF(NOTA[[#This Row],[TGL.NOTA]]="",IF(NOTA[[#This Row],[SUPPLIER_H]]="","",AK1110),MONTH(NOTA[[#This Row],[TGL.NOTA]]))</f>
        <v/>
      </c>
      <c r="AL1111" s="39" t="str">
        <f>LOWER(SUBSTITUTE(SUBSTITUTE(SUBSTITUTE(SUBSTITUTE(SUBSTITUTE(SUBSTITUTE(SUBSTITUTE(SUBSTITUTE(SUBSTITUTE(NOTA[NAMA BARANG]," ",),".",""),"-",""),"(",""),")",""),",",""),"/",""),"""",""),"+",""))</f>
        <v/>
      </c>
      <c r="AM11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39" t="str">
        <f>IF(NOTA[[#This Row],[CONCAT4]]="","",_xlfn.IFNA(MATCH(NOTA[[#This Row],[CONCAT4]],[2]!RAW[CONCAT_H],0),FALSE))</f>
        <v/>
      </c>
      <c r="AQ1111" s="39" t="str">
        <f>IF(NOTA[[#This Row],[CONCAT1]]="","",MATCH(NOTA[[#This Row],[CONCAT1]],[3]!db[NB NOTA_C],0))</f>
        <v/>
      </c>
      <c r="AR1111" s="39" t="str">
        <f>IF(NOTA[[#This Row],[QTY/ CTN]]="","",TRUE)</f>
        <v/>
      </c>
      <c r="AS1111" s="39" t="str">
        <f ca="1">IF(NOTA[[#This Row],[ID_H]]="","",IF(NOTA[[#This Row],[Column3]]=TRUE,NOTA[[#This Row],[QTY/ CTN]],INDEX([3]!db[QTY/ CTN],NOTA[[#This Row],[//DB]])))</f>
        <v/>
      </c>
      <c r="AT11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1" s="39" t="str">
        <f ca="1">IF(NOTA[[#This Row],[ID_H]]="","",MATCH(NOTA[[#This Row],[NB NOTA_C_QTY]],[4]!db[NB NOTA_C_QTY+F],0))</f>
        <v/>
      </c>
      <c r="AV1111" s="55" t="str">
        <f ca="1">IF(NOTA[[#This Row],[NB NOTA_C_QTY]]="","",ROW()-2)</f>
        <v/>
      </c>
    </row>
    <row r="1112" spans="1:48" ht="20.100000000000001" customHeight="1" x14ac:dyDescent="0.25">
      <c r="A11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2" s="39" t="str">
        <f>IF(NOTA[[#This Row],[ID_P]]="","",MATCH(NOTA[[#This Row],[ID_P]],[1]!B_MSK[N_ID],0))</f>
        <v/>
      </c>
      <c r="D1112" s="39" t="str">
        <f ca="1">IF(NOTA[[#This Row],[NAMA BARANG]]="","",INDEX(NOTA[ID],MATCH(,INDIRECT(ADDRESS(ROW(NOTA[ID]),COLUMN(NOTA[ID]))&amp;":"&amp;ADDRESS(ROW(),COLUMN(NOTA[ID]))),-1)))</f>
        <v/>
      </c>
      <c r="E1112" s="47"/>
      <c r="H1112" s="48"/>
      <c r="N1112" s="39"/>
      <c r="Q1112" s="43"/>
      <c r="R1112" s="49"/>
      <c r="S1112" s="50"/>
      <c r="U1112" s="51"/>
      <c r="V1112" s="46"/>
      <c r="W1112" s="51" t="str">
        <f>IF(NOTA[[#This Row],[HARGA/ CTN]]="",NOTA[[#This Row],[JUMLAH_H]],NOTA[[#This Row],[HARGA/ CTN]]*IF(NOTA[[#This Row],[C]]="",0,NOTA[[#This Row],[C]]))</f>
        <v/>
      </c>
      <c r="X1112" s="51" t="str">
        <f>IF(NOTA[[#This Row],[JUMLAH]]="","",NOTA[[#This Row],[JUMLAH]]*NOTA[[#This Row],[DISC 1]])</f>
        <v/>
      </c>
      <c r="Y1112" s="51" t="str">
        <f>IF(NOTA[[#This Row],[JUMLAH]]="","",(NOTA[[#This Row],[JUMLAH]]-NOTA[[#This Row],[DISC 1-]])*NOTA[[#This Row],[DISC 2]])</f>
        <v/>
      </c>
      <c r="Z1112" s="51" t="str">
        <f>IF(NOTA[[#This Row],[JUMLAH]]="","",NOTA[[#This Row],[DISC 1-]]+NOTA[[#This Row],[DISC 2-]])</f>
        <v/>
      </c>
      <c r="AA1112" s="51" t="str">
        <f>IF(NOTA[[#This Row],[JUMLAH]]="","",NOTA[[#This Row],[JUMLAH]]-NOTA[[#This Row],[DISC]])</f>
        <v/>
      </c>
      <c r="AB1112" s="51"/>
      <c r="AC1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2" s="51" t="str">
        <f>IF(OR(NOTA[[#This Row],[QTY]]="",NOTA[[#This Row],[HARGA SATUAN]]="",),"",NOTA[[#This Row],[QTY]]*NOTA[[#This Row],[HARGA SATUAN]])</f>
        <v/>
      </c>
      <c r="AG1112" s="40" t="str">
        <f ca="1">IF(NOTA[ID_H]="","",INDEX(NOTA[TANGGAL],MATCH(,INDIRECT(ADDRESS(ROW(NOTA[TANGGAL]),COLUMN(NOTA[TANGGAL]))&amp;":"&amp;ADDRESS(ROW(),COLUMN(NOTA[TANGGAL]))),-1)))</f>
        <v/>
      </c>
      <c r="AH1112" s="42" t="str">
        <f ca="1">IF(NOTA[[#This Row],[NAMA BARANG]]="","",INDEX(NOTA[SUPPLIER],MATCH(,INDIRECT(ADDRESS(ROW(NOTA[ID]),COLUMN(NOTA[ID]))&amp;":"&amp;ADDRESS(ROW(),COLUMN(NOTA[ID]))),-1)))</f>
        <v/>
      </c>
      <c r="AI1112" s="42" t="str">
        <f ca="1">IF(NOTA[[#This Row],[ID_H]]="","",IF(NOTA[[#This Row],[FAKTUR]]="",INDIRECT(ADDRESS(ROW()-1,COLUMN())),NOTA[[#This Row],[FAKTUR]]))</f>
        <v/>
      </c>
      <c r="AJ1112" s="39" t="str">
        <f ca="1">IF(NOTA[[#This Row],[ID]]="","",COUNTIF(NOTA[ID_H],NOTA[[#This Row],[ID_H]]))</f>
        <v/>
      </c>
      <c r="AK1112" s="39" t="str">
        <f ca="1">IF(NOTA[[#This Row],[TGL.NOTA]]="",IF(NOTA[[#This Row],[SUPPLIER_H]]="","",AK1111),MONTH(NOTA[[#This Row],[TGL.NOTA]]))</f>
        <v/>
      </c>
      <c r="AL1112" s="39" t="str">
        <f>LOWER(SUBSTITUTE(SUBSTITUTE(SUBSTITUTE(SUBSTITUTE(SUBSTITUTE(SUBSTITUTE(SUBSTITUTE(SUBSTITUTE(SUBSTITUTE(NOTA[NAMA BARANG]," ",),".",""),"-",""),"(",""),")",""),",",""),"/",""),"""",""),"+",""))</f>
        <v/>
      </c>
      <c r="AM11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2" s="39" t="str">
        <f>IF(NOTA[[#This Row],[CONCAT4]]="","",_xlfn.IFNA(MATCH(NOTA[[#This Row],[CONCAT4]],[2]!RAW[CONCAT_H],0),FALSE))</f>
        <v/>
      </c>
      <c r="AQ1112" s="39" t="str">
        <f>IF(NOTA[[#This Row],[CONCAT1]]="","",MATCH(NOTA[[#This Row],[CONCAT1]],[3]!db[NB NOTA_C],0))</f>
        <v/>
      </c>
      <c r="AR1112" s="39" t="str">
        <f>IF(NOTA[[#This Row],[QTY/ CTN]]="","",TRUE)</f>
        <v/>
      </c>
      <c r="AS1112" s="39" t="str">
        <f ca="1">IF(NOTA[[#This Row],[ID_H]]="","",IF(NOTA[[#This Row],[Column3]]=TRUE,NOTA[[#This Row],[QTY/ CTN]],INDEX([3]!db[QTY/ CTN],NOTA[[#This Row],[//DB]])))</f>
        <v/>
      </c>
      <c r="AT11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2" s="39" t="str">
        <f ca="1">IF(NOTA[[#This Row],[ID_H]]="","",MATCH(NOTA[[#This Row],[NB NOTA_C_QTY]],[4]!db[NB NOTA_C_QTY+F],0))</f>
        <v/>
      </c>
      <c r="AV1112" s="55" t="str">
        <f ca="1">IF(NOTA[[#This Row],[NB NOTA_C_QTY]]="","",ROW()-2)</f>
        <v/>
      </c>
    </row>
    <row r="1113" spans="1:48" ht="20.100000000000001" customHeight="1" x14ac:dyDescent="0.25">
      <c r="A11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39" t="str">
        <f>IF(NOTA[[#This Row],[ID_P]]="","",MATCH(NOTA[[#This Row],[ID_P]],[1]!B_MSK[N_ID],0))</f>
        <v/>
      </c>
      <c r="D1113" s="39" t="str">
        <f ca="1">IF(NOTA[[#This Row],[NAMA BARANG]]="","",INDEX(NOTA[ID],MATCH(,INDIRECT(ADDRESS(ROW(NOTA[ID]),COLUMN(NOTA[ID]))&amp;":"&amp;ADDRESS(ROW(),COLUMN(NOTA[ID]))),-1)))</f>
        <v/>
      </c>
      <c r="E1113" s="47"/>
      <c r="H1113" s="48"/>
      <c r="N1113" s="39"/>
      <c r="Q1113" s="43"/>
      <c r="R1113" s="49"/>
      <c r="S1113" s="50"/>
      <c r="U1113" s="51"/>
      <c r="V1113" s="46"/>
      <c r="W1113" s="51" t="str">
        <f>IF(NOTA[[#This Row],[HARGA/ CTN]]="",NOTA[[#This Row],[JUMLAH_H]],NOTA[[#This Row],[HARGA/ CTN]]*IF(NOTA[[#This Row],[C]]="",0,NOTA[[#This Row],[C]]))</f>
        <v/>
      </c>
      <c r="X1113" s="51" t="str">
        <f>IF(NOTA[[#This Row],[JUMLAH]]="","",NOTA[[#This Row],[JUMLAH]]*NOTA[[#This Row],[DISC 1]])</f>
        <v/>
      </c>
      <c r="Y1113" s="51" t="str">
        <f>IF(NOTA[[#This Row],[JUMLAH]]="","",(NOTA[[#This Row],[JUMLAH]]-NOTA[[#This Row],[DISC 1-]])*NOTA[[#This Row],[DISC 2]])</f>
        <v/>
      </c>
      <c r="Z1113" s="51" t="str">
        <f>IF(NOTA[[#This Row],[JUMLAH]]="","",NOTA[[#This Row],[DISC 1-]]+NOTA[[#This Row],[DISC 2-]])</f>
        <v/>
      </c>
      <c r="AA1113" s="51" t="str">
        <f>IF(NOTA[[#This Row],[JUMLAH]]="","",NOTA[[#This Row],[JUMLAH]]-NOTA[[#This Row],[DISC]])</f>
        <v/>
      </c>
      <c r="AB1113" s="51"/>
      <c r="AC1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3" s="51" t="str">
        <f>IF(OR(NOTA[[#This Row],[QTY]]="",NOTA[[#This Row],[HARGA SATUAN]]="",),"",NOTA[[#This Row],[QTY]]*NOTA[[#This Row],[HARGA SATUAN]])</f>
        <v/>
      </c>
      <c r="AG1113" s="40" t="str">
        <f ca="1">IF(NOTA[ID_H]="","",INDEX(NOTA[TANGGAL],MATCH(,INDIRECT(ADDRESS(ROW(NOTA[TANGGAL]),COLUMN(NOTA[TANGGAL]))&amp;":"&amp;ADDRESS(ROW(),COLUMN(NOTA[TANGGAL]))),-1)))</f>
        <v/>
      </c>
      <c r="AH1113" s="42" t="str">
        <f ca="1">IF(NOTA[[#This Row],[NAMA BARANG]]="","",INDEX(NOTA[SUPPLIER],MATCH(,INDIRECT(ADDRESS(ROW(NOTA[ID]),COLUMN(NOTA[ID]))&amp;":"&amp;ADDRESS(ROW(),COLUMN(NOTA[ID]))),-1)))</f>
        <v/>
      </c>
      <c r="AI1113" s="42" t="str">
        <f ca="1">IF(NOTA[[#This Row],[ID_H]]="","",IF(NOTA[[#This Row],[FAKTUR]]="",INDIRECT(ADDRESS(ROW()-1,COLUMN())),NOTA[[#This Row],[FAKTUR]]))</f>
        <v/>
      </c>
      <c r="AJ1113" s="39" t="str">
        <f ca="1">IF(NOTA[[#This Row],[ID]]="","",COUNTIF(NOTA[ID_H],NOTA[[#This Row],[ID_H]]))</f>
        <v/>
      </c>
      <c r="AK1113" s="39" t="str">
        <f ca="1">IF(NOTA[[#This Row],[TGL.NOTA]]="",IF(NOTA[[#This Row],[SUPPLIER_H]]="","",AK1112),MONTH(NOTA[[#This Row],[TGL.NOTA]]))</f>
        <v/>
      </c>
      <c r="AL1113" s="39" t="str">
        <f>LOWER(SUBSTITUTE(SUBSTITUTE(SUBSTITUTE(SUBSTITUTE(SUBSTITUTE(SUBSTITUTE(SUBSTITUTE(SUBSTITUTE(SUBSTITUTE(NOTA[NAMA BARANG]," ",),".",""),"-",""),"(",""),")",""),",",""),"/",""),"""",""),"+",""))</f>
        <v/>
      </c>
      <c r="AM11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39" t="str">
        <f>IF(NOTA[[#This Row],[CONCAT4]]="","",_xlfn.IFNA(MATCH(NOTA[[#This Row],[CONCAT4]],[2]!RAW[CONCAT_H],0),FALSE))</f>
        <v/>
      </c>
      <c r="AQ1113" s="39" t="str">
        <f>IF(NOTA[[#This Row],[CONCAT1]]="","",MATCH(NOTA[[#This Row],[CONCAT1]],[3]!db[NB NOTA_C],0))</f>
        <v/>
      </c>
      <c r="AR1113" s="39" t="str">
        <f>IF(NOTA[[#This Row],[QTY/ CTN]]="","",TRUE)</f>
        <v/>
      </c>
      <c r="AS1113" s="39" t="str">
        <f ca="1">IF(NOTA[[#This Row],[ID_H]]="","",IF(NOTA[[#This Row],[Column3]]=TRUE,NOTA[[#This Row],[QTY/ CTN]],INDEX([3]!db[QTY/ CTN],NOTA[[#This Row],[//DB]])))</f>
        <v/>
      </c>
      <c r="AT11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3" s="39" t="str">
        <f ca="1">IF(NOTA[[#This Row],[ID_H]]="","",MATCH(NOTA[[#This Row],[NB NOTA_C_QTY]],[4]!db[NB NOTA_C_QTY+F],0))</f>
        <v/>
      </c>
      <c r="AV1113" s="55" t="str">
        <f ca="1">IF(NOTA[[#This Row],[NB NOTA_C_QTY]]="","",ROW()-2)</f>
        <v/>
      </c>
    </row>
    <row r="1114" spans="1:48" ht="20.100000000000001" customHeight="1" x14ac:dyDescent="0.25">
      <c r="A11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39" t="str">
        <f>IF(NOTA[[#This Row],[ID_P]]="","",MATCH(NOTA[[#This Row],[ID_P]],[1]!B_MSK[N_ID],0))</f>
        <v/>
      </c>
      <c r="D1114" s="39" t="str">
        <f ca="1">IF(NOTA[[#This Row],[NAMA BARANG]]="","",INDEX(NOTA[ID],MATCH(,INDIRECT(ADDRESS(ROW(NOTA[ID]),COLUMN(NOTA[ID]))&amp;":"&amp;ADDRESS(ROW(),COLUMN(NOTA[ID]))),-1)))</f>
        <v/>
      </c>
      <c r="E1114" s="47"/>
      <c r="H1114" s="48"/>
      <c r="N1114" s="39"/>
      <c r="Q1114" s="43"/>
      <c r="R1114" s="49"/>
      <c r="S1114" s="50"/>
      <c r="U1114" s="51"/>
      <c r="V1114" s="46"/>
      <c r="W1114" s="51" t="str">
        <f>IF(NOTA[[#This Row],[HARGA/ CTN]]="",NOTA[[#This Row],[JUMLAH_H]],NOTA[[#This Row],[HARGA/ CTN]]*IF(NOTA[[#This Row],[C]]="",0,NOTA[[#This Row],[C]]))</f>
        <v/>
      </c>
      <c r="X1114" s="51" t="str">
        <f>IF(NOTA[[#This Row],[JUMLAH]]="","",NOTA[[#This Row],[JUMLAH]]*NOTA[[#This Row],[DISC 1]])</f>
        <v/>
      </c>
      <c r="Y1114" s="51" t="str">
        <f>IF(NOTA[[#This Row],[JUMLAH]]="","",(NOTA[[#This Row],[JUMLAH]]-NOTA[[#This Row],[DISC 1-]])*NOTA[[#This Row],[DISC 2]])</f>
        <v/>
      </c>
      <c r="Z1114" s="51" t="str">
        <f>IF(NOTA[[#This Row],[JUMLAH]]="","",NOTA[[#This Row],[DISC 1-]]+NOTA[[#This Row],[DISC 2-]])</f>
        <v/>
      </c>
      <c r="AA1114" s="51" t="str">
        <f>IF(NOTA[[#This Row],[JUMLAH]]="","",NOTA[[#This Row],[JUMLAH]]-NOTA[[#This Row],[DISC]])</f>
        <v/>
      </c>
      <c r="AB1114" s="51"/>
      <c r="AC11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4" s="51" t="str">
        <f>IF(OR(NOTA[[#This Row],[QTY]]="",NOTA[[#This Row],[HARGA SATUAN]]="",),"",NOTA[[#This Row],[QTY]]*NOTA[[#This Row],[HARGA SATUAN]])</f>
        <v/>
      </c>
      <c r="AG1114" s="40" t="str">
        <f ca="1">IF(NOTA[ID_H]="","",INDEX(NOTA[TANGGAL],MATCH(,INDIRECT(ADDRESS(ROW(NOTA[TANGGAL]),COLUMN(NOTA[TANGGAL]))&amp;":"&amp;ADDRESS(ROW(),COLUMN(NOTA[TANGGAL]))),-1)))</f>
        <v/>
      </c>
      <c r="AH1114" s="42" t="str">
        <f ca="1">IF(NOTA[[#This Row],[NAMA BARANG]]="","",INDEX(NOTA[SUPPLIER],MATCH(,INDIRECT(ADDRESS(ROW(NOTA[ID]),COLUMN(NOTA[ID]))&amp;":"&amp;ADDRESS(ROW(),COLUMN(NOTA[ID]))),-1)))</f>
        <v/>
      </c>
      <c r="AI1114" s="42" t="str">
        <f ca="1">IF(NOTA[[#This Row],[ID_H]]="","",IF(NOTA[[#This Row],[FAKTUR]]="",INDIRECT(ADDRESS(ROW()-1,COLUMN())),NOTA[[#This Row],[FAKTUR]]))</f>
        <v/>
      </c>
      <c r="AJ1114" s="39" t="str">
        <f ca="1">IF(NOTA[[#This Row],[ID]]="","",COUNTIF(NOTA[ID_H],NOTA[[#This Row],[ID_H]]))</f>
        <v/>
      </c>
      <c r="AK1114" s="39" t="str">
        <f ca="1">IF(NOTA[[#This Row],[TGL.NOTA]]="",IF(NOTA[[#This Row],[SUPPLIER_H]]="","",AK1113),MONTH(NOTA[[#This Row],[TGL.NOTA]]))</f>
        <v/>
      </c>
      <c r="AL1114" s="39" t="str">
        <f>LOWER(SUBSTITUTE(SUBSTITUTE(SUBSTITUTE(SUBSTITUTE(SUBSTITUTE(SUBSTITUTE(SUBSTITUTE(SUBSTITUTE(SUBSTITUTE(NOTA[NAMA BARANG]," ",),".",""),"-",""),"(",""),")",""),",",""),"/",""),"""",""),"+",""))</f>
        <v/>
      </c>
      <c r="AM11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39" t="str">
        <f>IF(NOTA[[#This Row],[CONCAT4]]="","",_xlfn.IFNA(MATCH(NOTA[[#This Row],[CONCAT4]],[2]!RAW[CONCAT_H],0),FALSE))</f>
        <v/>
      </c>
      <c r="AQ1114" s="39" t="str">
        <f>IF(NOTA[[#This Row],[CONCAT1]]="","",MATCH(NOTA[[#This Row],[CONCAT1]],[3]!db[NB NOTA_C],0))</f>
        <v/>
      </c>
      <c r="AR1114" s="39" t="str">
        <f>IF(NOTA[[#This Row],[QTY/ CTN]]="","",TRUE)</f>
        <v/>
      </c>
      <c r="AS1114" s="39" t="str">
        <f ca="1">IF(NOTA[[#This Row],[ID_H]]="","",IF(NOTA[[#This Row],[Column3]]=TRUE,NOTA[[#This Row],[QTY/ CTN]],INDEX([3]!db[QTY/ CTN],NOTA[[#This Row],[//DB]])))</f>
        <v/>
      </c>
      <c r="AT11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4" s="39" t="str">
        <f ca="1">IF(NOTA[[#This Row],[ID_H]]="","",MATCH(NOTA[[#This Row],[NB NOTA_C_QTY]],[4]!db[NB NOTA_C_QTY+F],0))</f>
        <v/>
      </c>
      <c r="AV1114" s="55" t="str">
        <f ca="1">IF(NOTA[[#This Row],[NB NOTA_C_QTY]]="","",ROW()-2)</f>
        <v/>
      </c>
    </row>
    <row r="1115" spans="1:48" ht="20.100000000000001" customHeight="1" x14ac:dyDescent="0.25">
      <c r="A11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39" t="str">
        <f>IF(NOTA[[#This Row],[ID_P]]="","",MATCH(NOTA[[#This Row],[ID_P]],[1]!B_MSK[N_ID],0))</f>
        <v/>
      </c>
      <c r="D1115" s="39" t="str">
        <f ca="1">IF(NOTA[[#This Row],[NAMA BARANG]]="","",INDEX(NOTA[ID],MATCH(,INDIRECT(ADDRESS(ROW(NOTA[ID]),COLUMN(NOTA[ID]))&amp;":"&amp;ADDRESS(ROW(),COLUMN(NOTA[ID]))),-1)))</f>
        <v/>
      </c>
      <c r="E1115" s="47"/>
      <c r="H1115" s="48"/>
      <c r="N1115" s="39"/>
      <c r="Q1115" s="43"/>
      <c r="R1115" s="49"/>
      <c r="S1115" s="50"/>
      <c r="U1115" s="51"/>
      <c r="V1115" s="46"/>
      <c r="W1115" s="51" t="str">
        <f>IF(NOTA[[#This Row],[HARGA/ CTN]]="",NOTA[[#This Row],[JUMLAH_H]],NOTA[[#This Row],[HARGA/ CTN]]*IF(NOTA[[#This Row],[C]]="",0,NOTA[[#This Row],[C]]))</f>
        <v/>
      </c>
      <c r="X1115" s="51" t="str">
        <f>IF(NOTA[[#This Row],[JUMLAH]]="","",NOTA[[#This Row],[JUMLAH]]*NOTA[[#This Row],[DISC 1]])</f>
        <v/>
      </c>
      <c r="Y1115" s="51" t="str">
        <f>IF(NOTA[[#This Row],[JUMLAH]]="","",(NOTA[[#This Row],[JUMLAH]]-NOTA[[#This Row],[DISC 1-]])*NOTA[[#This Row],[DISC 2]])</f>
        <v/>
      </c>
      <c r="Z1115" s="51" t="str">
        <f>IF(NOTA[[#This Row],[JUMLAH]]="","",NOTA[[#This Row],[DISC 1-]]+NOTA[[#This Row],[DISC 2-]])</f>
        <v/>
      </c>
      <c r="AA1115" s="51" t="str">
        <f>IF(NOTA[[#This Row],[JUMLAH]]="","",NOTA[[#This Row],[JUMLAH]]-NOTA[[#This Row],[DISC]])</f>
        <v/>
      </c>
      <c r="AB1115" s="51"/>
      <c r="AC1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5" s="51" t="str">
        <f>IF(OR(NOTA[[#This Row],[QTY]]="",NOTA[[#This Row],[HARGA SATUAN]]="",),"",NOTA[[#This Row],[QTY]]*NOTA[[#This Row],[HARGA SATUAN]])</f>
        <v/>
      </c>
      <c r="AG1115" s="40" t="str">
        <f ca="1">IF(NOTA[ID_H]="","",INDEX(NOTA[TANGGAL],MATCH(,INDIRECT(ADDRESS(ROW(NOTA[TANGGAL]),COLUMN(NOTA[TANGGAL]))&amp;":"&amp;ADDRESS(ROW(),COLUMN(NOTA[TANGGAL]))),-1)))</f>
        <v/>
      </c>
      <c r="AH1115" s="42" t="str">
        <f ca="1">IF(NOTA[[#This Row],[NAMA BARANG]]="","",INDEX(NOTA[SUPPLIER],MATCH(,INDIRECT(ADDRESS(ROW(NOTA[ID]),COLUMN(NOTA[ID]))&amp;":"&amp;ADDRESS(ROW(),COLUMN(NOTA[ID]))),-1)))</f>
        <v/>
      </c>
      <c r="AI1115" s="42" t="str">
        <f ca="1">IF(NOTA[[#This Row],[ID_H]]="","",IF(NOTA[[#This Row],[FAKTUR]]="",INDIRECT(ADDRESS(ROW()-1,COLUMN())),NOTA[[#This Row],[FAKTUR]]))</f>
        <v/>
      </c>
      <c r="AJ1115" s="39" t="str">
        <f ca="1">IF(NOTA[[#This Row],[ID]]="","",COUNTIF(NOTA[ID_H],NOTA[[#This Row],[ID_H]]))</f>
        <v/>
      </c>
      <c r="AK1115" s="39" t="str">
        <f ca="1">IF(NOTA[[#This Row],[TGL.NOTA]]="",IF(NOTA[[#This Row],[SUPPLIER_H]]="","",AK1114),MONTH(NOTA[[#This Row],[TGL.NOTA]]))</f>
        <v/>
      </c>
      <c r="AL1115" s="39" t="str">
        <f>LOWER(SUBSTITUTE(SUBSTITUTE(SUBSTITUTE(SUBSTITUTE(SUBSTITUTE(SUBSTITUTE(SUBSTITUTE(SUBSTITUTE(SUBSTITUTE(NOTA[NAMA BARANG]," ",),".",""),"-",""),"(",""),")",""),",",""),"/",""),"""",""),"+",""))</f>
        <v/>
      </c>
      <c r="AM11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39" t="str">
        <f>IF(NOTA[[#This Row],[CONCAT4]]="","",_xlfn.IFNA(MATCH(NOTA[[#This Row],[CONCAT4]],[2]!RAW[CONCAT_H],0),FALSE))</f>
        <v/>
      </c>
      <c r="AQ1115" s="39" t="str">
        <f>IF(NOTA[[#This Row],[CONCAT1]]="","",MATCH(NOTA[[#This Row],[CONCAT1]],[3]!db[NB NOTA_C],0))</f>
        <v/>
      </c>
      <c r="AR1115" s="39" t="str">
        <f>IF(NOTA[[#This Row],[QTY/ CTN]]="","",TRUE)</f>
        <v/>
      </c>
      <c r="AS1115" s="39" t="str">
        <f ca="1">IF(NOTA[[#This Row],[ID_H]]="","",IF(NOTA[[#This Row],[Column3]]=TRUE,NOTA[[#This Row],[QTY/ CTN]],INDEX([3]!db[QTY/ CTN],NOTA[[#This Row],[//DB]])))</f>
        <v/>
      </c>
      <c r="AT11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5" s="39" t="str">
        <f ca="1">IF(NOTA[[#This Row],[ID_H]]="","",MATCH(NOTA[[#This Row],[NB NOTA_C_QTY]],[4]!db[NB NOTA_C_QTY+F],0))</f>
        <v/>
      </c>
      <c r="AV1115" s="55" t="str">
        <f ca="1">IF(NOTA[[#This Row],[NB NOTA_C_QTY]]="","",ROW()-2)</f>
        <v/>
      </c>
    </row>
    <row r="1116" spans="1:48" ht="20.100000000000001" customHeight="1" x14ac:dyDescent="0.25">
      <c r="A11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39" t="str">
        <f>IF(NOTA[[#This Row],[ID_P]]="","",MATCH(NOTA[[#This Row],[ID_P]],[1]!B_MSK[N_ID],0))</f>
        <v/>
      </c>
      <c r="D1116" s="39" t="str">
        <f ca="1">IF(NOTA[[#This Row],[NAMA BARANG]]="","",INDEX(NOTA[ID],MATCH(,INDIRECT(ADDRESS(ROW(NOTA[ID]),COLUMN(NOTA[ID]))&amp;":"&amp;ADDRESS(ROW(),COLUMN(NOTA[ID]))),-1)))</f>
        <v/>
      </c>
      <c r="E1116" s="47"/>
      <c r="H1116" s="48"/>
      <c r="N1116" s="39"/>
      <c r="Q1116" s="43"/>
      <c r="R1116" s="49"/>
      <c r="S1116" s="50"/>
      <c r="U1116" s="51"/>
      <c r="V1116" s="46"/>
      <c r="W1116" s="51" t="str">
        <f>IF(NOTA[[#This Row],[HARGA/ CTN]]="",NOTA[[#This Row],[JUMLAH_H]],NOTA[[#This Row],[HARGA/ CTN]]*IF(NOTA[[#This Row],[C]]="",0,NOTA[[#This Row],[C]]))</f>
        <v/>
      </c>
      <c r="X1116" s="51" t="str">
        <f>IF(NOTA[[#This Row],[JUMLAH]]="","",NOTA[[#This Row],[JUMLAH]]*NOTA[[#This Row],[DISC 1]])</f>
        <v/>
      </c>
      <c r="Y1116" s="51" t="str">
        <f>IF(NOTA[[#This Row],[JUMLAH]]="","",(NOTA[[#This Row],[JUMLAH]]-NOTA[[#This Row],[DISC 1-]])*NOTA[[#This Row],[DISC 2]])</f>
        <v/>
      </c>
      <c r="Z1116" s="51" t="str">
        <f>IF(NOTA[[#This Row],[JUMLAH]]="","",NOTA[[#This Row],[DISC 1-]]+NOTA[[#This Row],[DISC 2-]])</f>
        <v/>
      </c>
      <c r="AA1116" s="51" t="str">
        <f>IF(NOTA[[#This Row],[JUMLAH]]="","",NOTA[[#This Row],[JUMLAH]]-NOTA[[#This Row],[DISC]])</f>
        <v/>
      </c>
      <c r="AB1116" s="51"/>
      <c r="AC1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6" s="51" t="str">
        <f>IF(OR(NOTA[[#This Row],[QTY]]="",NOTA[[#This Row],[HARGA SATUAN]]="",),"",NOTA[[#This Row],[QTY]]*NOTA[[#This Row],[HARGA SATUAN]])</f>
        <v/>
      </c>
      <c r="AG1116" s="40" t="str">
        <f ca="1">IF(NOTA[ID_H]="","",INDEX(NOTA[TANGGAL],MATCH(,INDIRECT(ADDRESS(ROW(NOTA[TANGGAL]),COLUMN(NOTA[TANGGAL]))&amp;":"&amp;ADDRESS(ROW(),COLUMN(NOTA[TANGGAL]))),-1)))</f>
        <v/>
      </c>
      <c r="AH1116" s="42" t="str">
        <f ca="1">IF(NOTA[[#This Row],[NAMA BARANG]]="","",INDEX(NOTA[SUPPLIER],MATCH(,INDIRECT(ADDRESS(ROW(NOTA[ID]),COLUMN(NOTA[ID]))&amp;":"&amp;ADDRESS(ROW(),COLUMN(NOTA[ID]))),-1)))</f>
        <v/>
      </c>
      <c r="AI1116" s="42" t="str">
        <f ca="1">IF(NOTA[[#This Row],[ID_H]]="","",IF(NOTA[[#This Row],[FAKTUR]]="",INDIRECT(ADDRESS(ROW()-1,COLUMN())),NOTA[[#This Row],[FAKTUR]]))</f>
        <v/>
      </c>
      <c r="AJ1116" s="39" t="str">
        <f ca="1">IF(NOTA[[#This Row],[ID]]="","",COUNTIF(NOTA[ID_H],NOTA[[#This Row],[ID_H]]))</f>
        <v/>
      </c>
      <c r="AK1116" s="39" t="str">
        <f ca="1">IF(NOTA[[#This Row],[TGL.NOTA]]="",IF(NOTA[[#This Row],[SUPPLIER_H]]="","",AK1115),MONTH(NOTA[[#This Row],[TGL.NOTA]]))</f>
        <v/>
      </c>
      <c r="AL1116" s="39" t="str">
        <f>LOWER(SUBSTITUTE(SUBSTITUTE(SUBSTITUTE(SUBSTITUTE(SUBSTITUTE(SUBSTITUTE(SUBSTITUTE(SUBSTITUTE(SUBSTITUTE(NOTA[NAMA BARANG]," ",),".",""),"-",""),"(",""),")",""),",",""),"/",""),"""",""),"+",""))</f>
        <v/>
      </c>
      <c r="AM11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39" t="str">
        <f>IF(NOTA[[#This Row],[CONCAT4]]="","",_xlfn.IFNA(MATCH(NOTA[[#This Row],[CONCAT4]],[2]!RAW[CONCAT_H],0),FALSE))</f>
        <v/>
      </c>
      <c r="AQ1116" s="39" t="str">
        <f>IF(NOTA[[#This Row],[CONCAT1]]="","",MATCH(NOTA[[#This Row],[CONCAT1]],[3]!db[NB NOTA_C],0))</f>
        <v/>
      </c>
      <c r="AR1116" s="39" t="str">
        <f>IF(NOTA[[#This Row],[QTY/ CTN]]="","",TRUE)</f>
        <v/>
      </c>
      <c r="AS1116" s="39" t="str">
        <f ca="1">IF(NOTA[[#This Row],[ID_H]]="","",IF(NOTA[[#This Row],[Column3]]=TRUE,NOTA[[#This Row],[QTY/ CTN]],INDEX([3]!db[QTY/ CTN],NOTA[[#This Row],[//DB]])))</f>
        <v/>
      </c>
      <c r="AT11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6" s="39" t="str">
        <f ca="1">IF(NOTA[[#This Row],[ID_H]]="","",MATCH(NOTA[[#This Row],[NB NOTA_C_QTY]],[4]!db[NB NOTA_C_QTY+F],0))</f>
        <v/>
      </c>
      <c r="AV1116" s="55" t="str">
        <f ca="1">IF(NOTA[[#This Row],[NB NOTA_C_QTY]]="","",ROW()-2)</f>
        <v/>
      </c>
    </row>
    <row r="1117" spans="1:48" ht="20.100000000000001" customHeight="1" x14ac:dyDescent="0.25">
      <c r="A11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39" t="str">
        <f>IF(NOTA[[#This Row],[ID_P]]="","",MATCH(NOTA[[#This Row],[ID_P]],[1]!B_MSK[N_ID],0))</f>
        <v/>
      </c>
      <c r="D1117" s="39" t="str">
        <f ca="1">IF(NOTA[[#This Row],[NAMA BARANG]]="","",INDEX(NOTA[ID],MATCH(,INDIRECT(ADDRESS(ROW(NOTA[ID]),COLUMN(NOTA[ID]))&amp;":"&amp;ADDRESS(ROW(),COLUMN(NOTA[ID]))),-1)))</f>
        <v/>
      </c>
      <c r="E1117" s="47"/>
      <c r="H1117" s="48"/>
      <c r="N1117" s="39"/>
      <c r="Q1117" s="43"/>
      <c r="R1117" s="49"/>
      <c r="S1117" s="50"/>
      <c r="U1117" s="51"/>
      <c r="V1117" s="46"/>
      <c r="W1117" s="51" t="str">
        <f>IF(NOTA[[#This Row],[HARGA/ CTN]]="",NOTA[[#This Row],[JUMLAH_H]],NOTA[[#This Row],[HARGA/ CTN]]*IF(NOTA[[#This Row],[C]]="",0,NOTA[[#This Row],[C]]))</f>
        <v/>
      </c>
      <c r="X1117" s="51" t="str">
        <f>IF(NOTA[[#This Row],[JUMLAH]]="","",NOTA[[#This Row],[JUMLAH]]*NOTA[[#This Row],[DISC 1]])</f>
        <v/>
      </c>
      <c r="Y1117" s="51" t="str">
        <f>IF(NOTA[[#This Row],[JUMLAH]]="","",(NOTA[[#This Row],[JUMLAH]]-NOTA[[#This Row],[DISC 1-]])*NOTA[[#This Row],[DISC 2]])</f>
        <v/>
      </c>
      <c r="Z1117" s="51" t="str">
        <f>IF(NOTA[[#This Row],[JUMLAH]]="","",NOTA[[#This Row],[DISC 1-]]+NOTA[[#This Row],[DISC 2-]])</f>
        <v/>
      </c>
      <c r="AA1117" s="51" t="str">
        <f>IF(NOTA[[#This Row],[JUMLAH]]="","",NOTA[[#This Row],[JUMLAH]]-NOTA[[#This Row],[DISC]])</f>
        <v/>
      </c>
      <c r="AB1117" s="51"/>
      <c r="AC11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7" s="51" t="str">
        <f>IF(OR(NOTA[[#This Row],[QTY]]="",NOTA[[#This Row],[HARGA SATUAN]]="",),"",NOTA[[#This Row],[QTY]]*NOTA[[#This Row],[HARGA SATUAN]])</f>
        <v/>
      </c>
      <c r="AG1117" s="40" t="str">
        <f ca="1">IF(NOTA[ID_H]="","",INDEX(NOTA[TANGGAL],MATCH(,INDIRECT(ADDRESS(ROW(NOTA[TANGGAL]),COLUMN(NOTA[TANGGAL]))&amp;":"&amp;ADDRESS(ROW(),COLUMN(NOTA[TANGGAL]))),-1)))</f>
        <v/>
      </c>
      <c r="AH1117" s="42" t="str">
        <f ca="1">IF(NOTA[[#This Row],[NAMA BARANG]]="","",INDEX(NOTA[SUPPLIER],MATCH(,INDIRECT(ADDRESS(ROW(NOTA[ID]),COLUMN(NOTA[ID]))&amp;":"&amp;ADDRESS(ROW(),COLUMN(NOTA[ID]))),-1)))</f>
        <v/>
      </c>
      <c r="AI1117" s="42" t="str">
        <f ca="1">IF(NOTA[[#This Row],[ID_H]]="","",IF(NOTA[[#This Row],[FAKTUR]]="",INDIRECT(ADDRESS(ROW()-1,COLUMN())),NOTA[[#This Row],[FAKTUR]]))</f>
        <v/>
      </c>
      <c r="AJ1117" s="39" t="str">
        <f ca="1">IF(NOTA[[#This Row],[ID]]="","",COUNTIF(NOTA[ID_H],NOTA[[#This Row],[ID_H]]))</f>
        <v/>
      </c>
      <c r="AK1117" s="39" t="str">
        <f ca="1">IF(NOTA[[#This Row],[TGL.NOTA]]="",IF(NOTA[[#This Row],[SUPPLIER_H]]="","",AK1116),MONTH(NOTA[[#This Row],[TGL.NOTA]]))</f>
        <v/>
      </c>
      <c r="AL1117" s="39" t="str">
        <f>LOWER(SUBSTITUTE(SUBSTITUTE(SUBSTITUTE(SUBSTITUTE(SUBSTITUTE(SUBSTITUTE(SUBSTITUTE(SUBSTITUTE(SUBSTITUTE(NOTA[NAMA BARANG]," ",),".",""),"-",""),"(",""),")",""),",",""),"/",""),"""",""),"+",""))</f>
        <v/>
      </c>
      <c r="AM11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39" t="str">
        <f>IF(NOTA[[#This Row],[CONCAT4]]="","",_xlfn.IFNA(MATCH(NOTA[[#This Row],[CONCAT4]],[2]!RAW[CONCAT_H],0),FALSE))</f>
        <v/>
      </c>
      <c r="AQ1117" s="39" t="str">
        <f>IF(NOTA[[#This Row],[CONCAT1]]="","",MATCH(NOTA[[#This Row],[CONCAT1]],[3]!db[NB NOTA_C],0))</f>
        <v/>
      </c>
      <c r="AR1117" s="39" t="str">
        <f>IF(NOTA[[#This Row],[QTY/ CTN]]="","",TRUE)</f>
        <v/>
      </c>
      <c r="AS1117" s="39" t="str">
        <f ca="1">IF(NOTA[[#This Row],[ID_H]]="","",IF(NOTA[[#This Row],[Column3]]=TRUE,NOTA[[#This Row],[QTY/ CTN]],INDEX([3]!db[QTY/ CTN],NOTA[[#This Row],[//DB]])))</f>
        <v/>
      </c>
      <c r="AT11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7" s="39" t="str">
        <f ca="1">IF(NOTA[[#This Row],[ID_H]]="","",MATCH(NOTA[[#This Row],[NB NOTA_C_QTY]],[4]!db[NB NOTA_C_QTY+F],0))</f>
        <v/>
      </c>
      <c r="AV1117" s="55" t="str">
        <f ca="1">IF(NOTA[[#This Row],[NB NOTA_C_QTY]]="","",ROW()-2)</f>
        <v/>
      </c>
    </row>
    <row r="1118" spans="1:48" ht="20.100000000000001" customHeight="1" x14ac:dyDescent="0.25">
      <c r="A11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39" t="str">
        <f>IF(NOTA[[#This Row],[ID_P]]="","",MATCH(NOTA[[#This Row],[ID_P]],[1]!B_MSK[N_ID],0))</f>
        <v/>
      </c>
      <c r="D1118" s="39" t="str">
        <f ca="1">IF(NOTA[[#This Row],[NAMA BARANG]]="","",INDEX(NOTA[ID],MATCH(,INDIRECT(ADDRESS(ROW(NOTA[ID]),COLUMN(NOTA[ID]))&amp;":"&amp;ADDRESS(ROW(),COLUMN(NOTA[ID]))),-1)))</f>
        <v/>
      </c>
      <c r="E1118" s="47"/>
      <c r="H1118" s="48"/>
      <c r="N1118" s="39"/>
      <c r="Q1118" s="43"/>
      <c r="R1118" s="49"/>
      <c r="S1118" s="50"/>
      <c r="U1118" s="51"/>
      <c r="V1118" s="46"/>
      <c r="W1118" s="51" t="str">
        <f>IF(NOTA[[#This Row],[HARGA/ CTN]]="",NOTA[[#This Row],[JUMLAH_H]],NOTA[[#This Row],[HARGA/ CTN]]*IF(NOTA[[#This Row],[C]]="",0,NOTA[[#This Row],[C]]))</f>
        <v/>
      </c>
      <c r="X1118" s="51" t="str">
        <f>IF(NOTA[[#This Row],[JUMLAH]]="","",NOTA[[#This Row],[JUMLAH]]*NOTA[[#This Row],[DISC 1]])</f>
        <v/>
      </c>
      <c r="Y1118" s="51" t="str">
        <f>IF(NOTA[[#This Row],[JUMLAH]]="","",(NOTA[[#This Row],[JUMLAH]]-NOTA[[#This Row],[DISC 1-]])*NOTA[[#This Row],[DISC 2]])</f>
        <v/>
      </c>
      <c r="Z1118" s="51" t="str">
        <f>IF(NOTA[[#This Row],[JUMLAH]]="","",NOTA[[#This Row],[DISC 1-]]+NOTA[[#This Row],[DISC 2-]])</f>
        <v/>
      </c>
      <c r="AA1118" s="51" t="str">
        <f>IF(NOTA[[#This Row],[JUMLAH]]="","",NOTA[[#This Row],[JUMLAH]]-NOTA[[#This Row],[DISC]])</f>
        <v/>
      </c>
      <c r="AB1118" s="51"/>
      <c r="AC1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8" s="51" t="str">
        <f>IF(OR(NOTA[[#This Row],[QTY]]="",NOTA[[#This Row],[HARGA SATUAN]]="",),"",NOTA[[#This Row],[QTY]]*NOTA[[#This Row],[HARGA SATUAN]])</f>
        <v/>
      </c>
      <c r="AG1118" s="40" t="str">
        <f ca="1">IF(NOTA[ID_H]="","",INDEX(NOTA[TANGGAL],MATCH(,INDIRECT(ADDRESS(ROW(NOTA[TANGGAL]),COLUMN(NOTA[TANGGAL]))&amp;":"&amp;ADDRESS(ROW(),COLUMN(NOTA[TANGGAL]))),-1)))</f>
        <v/>
      </c>
      <c r="AH1118" s="42" t="str">
        <f ca="1">IF(NOTA[[#This Row],[NAMA BARANG]]="","",INDEX(NOTA[SUPPLIER],MATCH(,INDIRECT(ADDRESS(ROW(NOTA[ID]),COLUMN(NOTA[ID]))&amp;":"&amp;ADDRESS(ROW(),COLUMN(NOTA[ID]))),-1)))</f>
        <v/>
      </c>
      <c r="AI1118" s="42" t="str">
        <f ca="1">IF(NOTA[[#This Row],[ID_H]]="","",IF(NOTA[[#This Row],[FAKTUR]]="",INDIRECT(ADDRESS(ROW()-1,COLUMN())),NOTA[[#This Row],[FAKTUR]]))</f>
        <v/>
      </c>
      <c r="AJ1118" s="39" t="str">
        <f ca="1">IF(NOTA[[#This Row],[ID]]="","",COUNTIF(NOTA[ID_H],NOTA[[#This Row],[ID_H]]))</f>
        <v/>
      </c>
      <c r="AK1118" s="39" t="str">
        <f ca="1">IF(NOTA[[#This Row],[TGL.NOTA]]="",IF(NOTA[[#This Row],[SUPPLIER_H]]="","",AK1117),MONTH(NOTA[[#This Row],[TGL.NOTA]]))</f>
        <v/>
      </c>
      <c r="AL1118" s="39" t="str">
        <f>LOWER(SUBSTITUTE(SUBSTITUTE(SUBSTITUTE(SUBSTITUTE(SUBSTITUTE(SUBSTITUTE(SUBSTITUTE(SUBSTITUTE(SUBSTITUTE(NOTA[NAMA BARANG]," ",),".",""),"-",""),"(",""),")",""),",",""),"/",""),"""",""),"+",""))</f>
        <v/>
      </c>
      <c r="AM11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39" t="str">
        <f>IF(NOTA[[#This Row],[CONCAT4]]="","",_xlfn.IFNA(MATCH(NOTA[[#This Row],[CONCAT4]],[2]!RAW[CONCAT_H],0),FALSE))</f>
        <v/>
      </c>
      <c r="AQ1118" s="39" t="str">
        <f>IF(NOTA[[#This Row],[CONCAT1]]="","",MATCH(NOTA[[#This Row],[CONCAT1]],[3]!db[NB NOTA_C],0))</f>
        <v/>
      </c>
      <c r="AR1118" s="39" t="str">
        <f>IF(NOTA[[#This Row],[QTY/ CTN]]="","",TRUE)</f>
        <v/>
      </c>
      <c r="AS1118" s="39" t="str">
        <f ca="1">IF(NOTA[[#This Row],[ID_H]]="","",IF(NOTA[[#This Row],[Column3]]=TRUE,NOTA[[#This Row],[QTY/ CTN]],INDEX([3]!db[QTY/ CTN],NOTA[[#This Row],[//DB]])))</f>
        <v/>
      </c>
      <c r="AT11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8" s="39" t="str">
        <f ca="1">IF(NOTA[[#This Row],[ID_H]]="","",MATCH(NOTA[[#This Row],[NB NOTA_C_QTY]],[4]!db[NB NOTA_C_QTY+F],0))</f>
        <v/>
      </c>
      <c r="AV1118" s="55" t="str">
        <f ca="1">IF(NOTA[[#This Row],[NB NOTA_C_QTY]]="","",ROW()-2)</f>
        <v/>
      </c>
    </row>
    <row r="1119" spans="1:48" ht="20.100000000000001" customHeight="1" x14ac:dyDescent="0.25">
      <c r="A11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39" t="str">
        <f>IF(NOTA[[#This Row],[ID_P]]="","",MATCH(NOTA[[#This Row],[ID_P]],[1]!B_MSK[N_ID],0))</f>
        <v/>
      </c>
      <c r="D1119" s="39" t="str">
        <f ca="1">IF(NOTA[[#This Row],[NAMA BARANG]]="","",INDEX(NOTA[ID],MATCH(,INDIRECT(ADDRESS(ROW(NOTA[ID]),COLUMN(NOTA[ID]))&amp;":"&amp;ADDRESS(ROW(),COLUMN(NOTA[ID]))),-1)))</f>
        <v/>
      </c>
      <c r="E1119" s="47"/>
      <c r="H1119" s="48"/>
      <c r="N1119" s="39"/>
      <c r="Q1119" s="43"/>
      <c r="R1119" s="49"/>
      <c r="S1119" s="50"/>
      <c r="U1119" s="51"/>
      <c r="V1119" s="46"/>
      <c r="W1119" s="51" t="str">
        <f>IF(NOTA[[#This Row],[HARGA/ CTN]]="",NOTA[[#This Row],[JUMLAH_H]],NOTA[[#This Row],[HARGA/ CTN]]*IF(NOTA[[#This Row],[C]]="",0,NOTA[[#This Row],[C]]))</f>
        <v/>
      </c>
      <c r="X1119" s="51" t="str">
        <f>IF(NOTA[[#This Row],[JUMLAH]]="","",NOTA[[#This Row],[JUMLAH]]*NOTA[[#This Row],[DISC 1]])</f>
        <v/>
      </c>
      <c r="Y1119" s="51" t="str">
        <f>IF(NOTA[[#This Row],[JUMLAH]]="","",(NOTA[[#This Row],[JUMLAH]]-NOTA[[#This Row],[DISC 1-]])*NOTA[[#This Row],[DISC 2]])</f>
        <v/>
      </c>
      <c r="Z1119" s="51" t="str">
        <f>IF(NOTA[[#This Row],[JUMLAH]]="","",NOTA[[#This Row],[DISC 1-]]+NOTA[[#This Row],[DISC 2-]])</f>
        <v/>
      </c>
      <c r="AA1119" s="51" t="str">
        <f>IF(NOTA[[#This Row],[JUMLAH]]="","",NOTA[[#This Row],[JUMLAH]]-NOTA[[#This Row],[DISC]])</f>
        <v/>
      </c>
      <c r="AB1119" s="51"/>
      <c r="AC1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51" t="str">
        <f>IF(OR(NOTA[[#This Row],[QTY]]="",NOTA[[#This Row],[HARGA SATUAN]]="",),"",NOTA[[#This Row],[QTY]]*NOTA[[#This Row],[HARGA SATUAN]])</f>
        <v/>
      </c>
      <c r="AG1119" s="40" t="str">
        <f ca="1">IF(NOTA[ID_H]="","",INDEX(NOTA[TANGGAL],MATCH(,INDIRECT(ADDRESS(ROW(NOTA[TANGGAL]),COLUMN(NOTA[TANGGAL]))&amp;":"&amp;ADDRESS(ROW(),COLUMN(NOTA[TANGGAL]))),-1)))</f>
        <v/>
      </c>
      <c r="AH1119" s="42" t="str">
        <f ca="1">IF(NOTA[[#This Row],[NAMA BARANG]]="","",INDEX(NOTA[SUPPLIER],MATCH(,INDIRECT(ADDRESS(ROW(NOTA[ID]),COLUMN(NOTA[ID]))&amp;":"&amp;ADDRESS(ROW(),COLUMN(NOTA[ID]))),-1)))</f>
        <v/>
      </c>
      <c r="AI1119" s="42" t="str">
        <f ca="1">IF(NOTA[[#This Row],[ID_H]]="","",IF(NOTA[[#This Row],[FAKTUR]]="",INDIRECT(ADDRESS(ROW()-1,COLUMN())),NOTA[[#This Row],[FAKTUR]]))</f>
        <v/>
      </c>
      <c r="AJ1119" s="39" t="str">
        <f ca="1">IF(NOTA[[#This Row],[ID]]="","",COUNTIF(NOTA[ID_H],NOTA[[#This Row],[ID_H]]))</f>
        <v/>
      </c>
      <c r="AK1119" s="39" t="str">
        <f ca="1">IF(NOTA[[#This Row],[TGL.NOTA]]="",IF(NOTA[[#This Row],[SUPPLIER_H]]="","",AK1118),MONTH(NOTA[[#This Row],[TGL.NOTA]]))</f>
        <v/>
      </c>
      <c r="AL1119" s="39" t="str">
        <f>LOWER(SUBSTITUTE(SUBSTITUTE(SUBSTITUTE(SUBSTITUTE(SUBSTITUTE(SUBSTITUTE(SUBSTITUTE(SUBSTITUTE(SUBSTITUTE(NOTA[NAMA BARANG]," ",),".",""),"-",""),"(",""),")",""),",",""),"/",""),"""",""),"+",""))</f>
        <v/>
      </c>
      <c r="AM11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39" t="str">
        <f>IF(NOTA[[#This Row],[CONCAT4]]="","",_xlfn.IFNA(MATCH(NOTA[[#This Row],[CONCAT4]],[2]!RAW[CONCAT_H],0),FALSE))</f>
        <v/>
      </c>
      <c r="AQ1119" s="39" t="str">
        <f>IF(NOTA[[#This Row],[CONCAT1]]="","",MATCH(NOTA[[#This Row],[CONCAT1]],[3]!db[NB NOTA_C],0))</f>
        <v/>
      </c>
      <c r="AR1119" s="39" t="str">
        <f>IF(NOTA[[#This Row],[QTY/ CTN]]="","",TRUE)</f>
        <v/>
      </c>
      <c r="AS1119" s="39" t="str">
        <f ca="1">IF(NOTA[[#This Row],[ID_H]]="","",IF(NOTA[[#This Row],[Column3]]=TRUE,NOTA[[#This Row],[QTY/ CTN]],INDEX([3]!db[QTY/ CTN],NOTA[[#This Row],[//DB]])))</f>
        <v/>
      </c>
      <c r="AT11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9" s="39" t="str">
        <f ca="1">IF(NOTA[[#This Row],[ID_H]]="","",MATCH(NOTA[[#This Row],[NB NOTA_C_QTY]],[4]!db[NB NOTA_C_QTY+F],0))</f>
        <v/>
      </c>
      <c r="AV1119" s="55" t="str">
        <f ca="1">IF(NOTA[[#This Row],[NB NOTA_C_QTY]]="","",ROW()-2)</f>
        <v/>
      </c>
    </row>
    <row r="1120" spans="1:48" ht="20.100000000000001" customHeight="1" x14ac:dyDescent="0.25">
      <c r="A11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0" s="39" t="str">
        <f>IF(NOTA[[#This Row],[ID_P]]="","",MATCH(NOTA[[#This Row],[ID_P]],[1]!B_MSK[N_ID],0))</f>
        <v/>
      </c>
      <c r="D1120" s="39" t="str">
        <f ca="1">IF(NOTA[[#This Row],[NAMA BARANG]]="","",INDEX(NOTA[ID],MATCH(,INDIRECT(ADDRESS(ROW(NOTA[ID]),COLUMN(NOTA[ID]))&amp;":"&amp;ADDRESS(ROW(),COLUMN(NOTA[ID]))),-1)))</f>
        <v/>
      </c>
      <c r="E1120" s="47"/>
      <c r="H1120" s="48"/>
      <c r="N1120" s="39"/>
      <c r="Q1120" s="43"/>
      <c r="R1120" s="49"/>
      <c r="S1120" s="50"/>
      <c r="U1120" s="51"/>
      <c r="V1120" s="46"/>
      <c r="W1120" s="51" t="str">
        <f>IF(NOTA[[#This Row],[HARGA/ CTN]]="",NOTA[[#This Row],[JUMLAH_H]],NOTA[[#This Row],[HARGA/ CTN]]*IF(NOTA[[#This Row],[C]]="",0,NOTA[[#This Row],[C]]))</f>
        <v/>
      </c>
      <c r="X1120" s="51" t="str">
        <f>IF(NOTA[[#This Row],[JUMLAH]]="","",NOTA[[#This Row],[JUMLAH]]*NOTA[[#This Row],[DISC 1]])</f>
        <v/>
      </c>
      <c r="Y1120" s="51" t="str">
        <f>IF(NOTA[[#This Row],[JUMLAH]]="","",(NOTA[[#This Row],[JUMLAH]]-NOTA[[#This Row],[DISC 1-]])*NOTA[[#This Row],[DISC 2]])</f>
        <v/>
      </c>
      <c r="Z1120" s="51" t="str">
        <f>IF(NOTA[[#This Row],[JUMLAH]]="","",NOTA[[#This Row],[DISC 1-]]+NOTA[[#This Row],[DISC 2-]])</f>
        <v/>
      </c>
      <c r="AA1120" s="51" t="str">
        <f>IF(NOTA[[#This Row],[JUMLAH]]="","",NOTA[[#This Row],[JUMLAH]]-NOTA[[#This Row],[DISC]])</f>
        <v/>
      </c>
      <c r="AB1120" s="51"/>
      <c r="AC1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0" s="51" t="str">
        <f>IF(OR(NOTA[[#This Row],[QTY]]="",NOTA[[#This Row],[HARGA SATUAN]]="",),"",NOTA[[#This Row],[QTY]]*NOTA[[#This Row],[HARGA SATUAN]])</f>
        <v/>
      </c>
      <c r="AG1120" s="40" t="str">
        <f ca="1">IF(NOTA[ID_H]="","",INDEX(NOTA[TANGGAL],MATCH(,INDIRECT(ADDRESS(ROW(NOTA[TANGGAL]),COLUMN(NOTA[TANGGAL]))&amp;":"&amp;ADDRESS(ROW(),COLUMN(NOTA[TANGGAL]))),-1)))</f>
        <v/>
      </c>
      <c r="AH1120" s="42" t="str">
        <f ca="1">IF(NOTA[[#This Row],[NAMA BARANG]]="","",INDEX(NOTA[SUPPLIER],MATCH(,INDIRECT(ADDRESS(ROW(NOTA[ID]),COLUMN(NOTA[ID]))&amp;":"&amp;ADDRESS(ROW(),COLUMN(NOTA[ID]))),-1)))</f>
        <v/>
      </c>
      <c r="AI1120" s="42" t="str">
        <f ca="1">IF(NOTA[[#This Row],[ID_H]]="","",IF(NOTA[[#This Row],[FAKTUR]]="",INDIRECT(ADDRESS(ROW()-1,COLUMN())),NOTA[[#This Row],[FAKTUR]]))</f>
        <v/>
      </c>
      <c r="AJ1120" s="39" t="str">
        <f ca="1">IF(NOTA[[#This Row],[ID]]="","",COUNTIF(NOTA[ID_H],NOTA[[#This Row],[ID_H]]))</f>
        <v/>
      </c>
      <c r="AK1120" s="39" t="str">
        <f ca="1">IF(NOTA[[#This Row],[TGL.NOTA]]="",IF(NOTA[[#This Row],[SUPPLIER_H]]="","",AK1119),MONTH(NOTA[[#This Row],[TGL.NOTA]]))</f>
        <v/>
      </c>
      <c r="AL1120" s="39" t="str">
        <f>LOWER(SUBSTITUTE(SUBSTITUTE(SUBSTITUTE(SUBSTITUTE(SUBSTITUTE(SUBSTITUTE(SUBSTITUTE(SUBSTITUTE(SUBSTITUTE(NOTA[NAMA BARANG]," ",),".",""),"-",""),"(",""),")",""),",",""),"/",""),"""",""),"+",""))</f>
        <v/>
      </c>
      <c r="AM11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0" s="39" t="str">
        <f>IF(NOTA[[#This Row],[CONCAT4]]="","",_xlfn.IFNA(MATCH(NOTA[[#This Row],[CONCAT4]],[2]!RAW[CONCAT_H],0),FALSE))</f>
        <v/>
      </c>
      <c r="AQ1120" s="39" t="str">
        <f>IF(NOTA[[#This Row],[CONCAT1]]="","",MATCH(NOTA[[#This Row],[CONCAT1]],[3]!db[NB NOTA_C],0))</f>
        <v/>
      </c>
      <c r="AR1120" s="39" t="str">
        <f>IF(NOTA[[#This Row],[QTY/ CTN]]="","",TRUE)</f>
        <v/>
      </c>
      <c r="AS1120" s="39" t="str">
        <f ca="1">IF(NOTA[[#This Row],[ID_H]]="","",IF(NOTA[[#This Row],[Column3]]=TRUE,NOTA[[#This Row],[QTY/ CTN]],INDEX([3]!db[QTY/ CTN],NOTA[[#This Row],[//DB]])))</f>
        <v/>
      </c>
      <c r="AT11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0" s="39" t="str">
        <f ca="1">IF(NOTA[[#This Row],[ID_H]]="","",MATCH(NOTA[[#This Row],[NB NOTA_C_QTY]],[4]!db[NB NOTA_C_QTY+F],0))</f>
        <v/>
      </c>
      <c r="AV1120" s="55" t="str">
        <f ca="1">IF(NOTA[[#This Row],[NB NOTA_C_QTY]]="","",ROW()-2)</f>
        <v/>
      </c>
    </row>
    <row r="1121" spans="1:48" ht="20.100000000000001" customHeight="1" x14ac:dyDescent="0.25">
      <c r="A11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39" t="str">
        <f>IF(NOTA[[#This Row],[ID_P]]="","",MATCH(NOTA[[#This Row],[ID_P]],[1]!B_MSK[N_ID],0))</f>
        <v/>
      </c>
      <c r="D1121" s="39" t="str">
        <f ca="1">IF(NOTA[[#This Row],[NAMA BARANG]]="","",INDEX(NOTA[ID],MATCH(,INDIRECT(ADDRESS(ROW(NOTA[ID]),COLUMN(NOTA[ID]))&amp;":"&amp;ADDRESS(ROW(),COLUMN(NOTA[ID]))),-1)))</f>
        <v/>
      </c>
      <c r="E1121" s="47"/>
      <c r="H1121" s="48"/>
      <c r="N1121" s="39"/>
      <c r="Q1121" s="43"/>
      <c r="R1121" s="49"/>
      <c r="S1121" s="50"/>
      <c r="U1121" s="51"/>
      <c r="V1121" s="46"/>
      <c r="W1121" s="51" t="str">
        <f>IF(NOTA[[#This Row],[HARGA/ CTN]]="",NOTA[[#This Row],[JUMLAH_H]],NOTA[[#This Row],[HARGA/ CTN]]*IF(NOTA[[#This Row],[C]]="",0,NOTA[[#This Row],[C]]))</f>
        <v/>
      </c>
      <c r="X1121" s="51" t="str">
        <f>IF(NOTA[[#This Row],[JUMLAH]]="","",NOTA[[#This Row],[JUMLAH]]*NOTA[[#This Row],[DISC 1]])</f>
        <v/>
      </c>
      <c r="Y1121" s="51" t="str">
        <f>IF(NOTA[[#This Row],[JUMLAH]]="","",(NOTA[[#This Row],[JUMLAH]]-NOTA[[#This Row],[DISC 1-]])*NOTA[[#This Row],[DISC 2]])</f>
        <v/>
      </c>
      <c r="Z1121" s="51" t="str">
        <f>IF(NOTA[[#This Row],[JUMLAH]]="","",NOTA[[#This Row],[DISC 1-]]+NOTA[[#This Row],[DISC 2-]])</f>
        <v/>
      </c>
      <c r="AA1121" s="51" t="str">
        <f>IF(NOTA[[#This Row],[JUMLAH]]="","",NOTA[[#This Row],[JUMLAH]]-NOTA[[#This Row],[DISC]])</f>
        <v/>
      </c>
      <c r="AB1121" s="51"/>
      <c r="AC1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1" s="51" t="str">
        <f>IF(OR(NOTA[[#This Row],[QTY]]="",NOTA[[#This Row],[HARGA SATUAN]]="",),"",NOTA[[#This Row],[QTY]]*NOTA[[#This Row],[HARGA SATUAN]])</f>
        <v/>
      </c>
      <c r="AG1121" s="40" t="str">
        <f ca="1">IF(NOTA[ID_H]="","",INDEX(NOTA[TANGGAL],MATCH(,INDIRECT(ADDRESS(ROW(NOTA[TANGGAL]),COLUMN(NOTA[TANGGAL]))&amp;":"&amp;ADDRESS(ROW(),COLUMN(NOTA[TANGGAL]))),-1)))</f>
        <v/>
      </c>
      <c r="AH1121" s="42" t="str">
        <f ca="1">IF(NOTA[[#This Row],[NAMA BARANG]]="","",INDEX(NOTA[SUPPLIER],MATCH(,INDIRECT(ADDRESS(ROW(NOTA[ID]),COLUMN(NOTA[ID]))&amp;":"&amp;ADDRESS(ROW(),COLUMN(NOTA[ID]))),-1)))</f>
        <v/>
      </c>
      <c r="AI1121" s="42" t="str">
        <f ca="1">IF(NOTA[[#This Row],[ID_H]]="","",IF(NOTA[[#This Row],[FAKTUR]]="",INDIRECT(ADDRESS(ROW()-1,COLUMN())),NOTA[[#This Row],[FAKTUR]]))</f>
        <v/>
      </c>
      <c r="AJ1121" s="39" t="str">
        <f ca="1">IF(NOTA[[#This Row],[ID]]="","",COUNTIF(NOTA[ID_H],NOTA[[#This Row],[ID_H]]))</f>
        <v/>
      </c>
      <c r="AK1121" s="39" t="str">
        <f ca="1">IF(NOTA[[#This Row],[TGL.NOTA]]="",IF(NOTA[[#This Row],[SUPPLIER_H]]="","",AK1120),MONTH(NOTA[[#This Row],[TGL.NOTA]]))</f>
        <v/>
      </c>
      <c r="AL1121" s="39" t="str">
        <f>LOWER(SUBSTITUTE(SUBSTITUTE(SUBSTITUTE(SUBSTITUTE(SUBSTITUTE(SUBSTITUTE(SUBSTITUTE(SUBSTITUTE(SUBSTITUTE(NOTA[NAMA BARANG]," ",),".",""),"-",""),"(",""),")",""),",",""),"/",""),"""",""),"+",""))</f>
        <v/>
      </c>
      <c r="AM11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39" t="str">
        <f>IF(NOTA[[#This Row],[CONCAT4]]="","",_xlfn.IFNA(MATCH(NOTA[[#This Row],[CONCAT4]],[2]!RAW[CONCAT_H],0),FALSE))</f>
        <v/>
      </c>
      <c r="AQ1121" s="39" t="str">
        <f>IF(NOTA[[#This Row],[CONCAT1]]="","",MATCH(NOTA[[#This Row],[CONCAT1]],[3]!db[NB NOTA_C],0))</f>
        <v/>
      </c>
      <c r="AR1121" s="39" t="str">
        <f>IF(NOTA[[#This Row],[QTY/ CTN]]="","",TRUE)</f>
        <v/>
      </c>
      <c r="AS1121" s="39" t="str">
        <f ca="1">IF(NOTA[[#This Row],[ID_H]]="","",IF(NOTA[[#This Row],[Column3]]=TRUE,NOTA[[#This Row],[QTY/ CTN]],INDEX([3]!db[QTY/ CTN],NOTA[[#This Row],[//DB]])))</f>
        <v/>
      </c>
      <c r="AT11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1" s="39" t="str">
        <f ca="1">IF(NOTA[[#This Row],[ID_H]]="","",MATCH(NOTA[[#This Row],[NB NOTA_C_QTY]],[4]!db[NB NOTA_C_QTY+F],0))</f>
        <v/>
      </c>
      <c r="AV1121" s="55" t="str">
        <f ca="1">IF(NOTA[[#This Row],[NB NOTA_C_QTY]]="","",ROW()-2)</f>
        <v/>
      </c>
    </row>
    <row r="1122" spans="1:48" ht="20.100000000000001" customHeight="1" x14ac:dyDescent="0.25">
      <c r="A11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39" t="str">
        <f>IF(NOTA[[#This Row],[ID_P]]="","",MATCH(NOTA[[#This Row],[ID_P]],[1]!B_MSK[N_ID],0))</f>
        <v/>
      </c>
      <c r="D1122" s="39" t="str">
        <f ca="1">IF(NOTA[[#This Row],[NAMA BARANG]]="","",INDEX(NOTA[ID],MATCH(,INDIRECT(ADDRESS(ROW(NOTA[ID]),COLUMN(NOTA[ID]))&amp;":"&amp;ADDRESS(ROW(),COLUMN(NOTA[ID]))),-1)))</f>
        <v/>
      </c>
      <c r="E1122" s="47"/>
      <c r="H1122" s="48"/>
      <c r="N1122" s="39"/>
      <c r="Q1122" s="43"/>
      <c r="R1122" s="49"/>
      <c r="S1122" s="50"/>
      <c r="U1122" s="51"/>
      <c r="V1122" s="46"/>
      <c r="W1122" s="51" t="str">
        <f>IF(NOTA[[#This Row],[HARGA/ CTN]]="",NOTA[[#This Row],[JUMLAH_H]],NOTA[[#This Row],[HARGA/ CTN]]*IF(NOTA[[#This Row],[C]]="",0,NOTA[[#This Row],[C]]))</f>
        <v/>
      </c>
      <c r="X1122" s="51" t="str">
        <f>IF(NOTA[[#This Row],[JUMLAH]]="","",NOTA[[#This Row],[JUMLAH]]*NOTA[[#This Row],[DISC 1]])</f>
        <v/>
      </c>
      <c r="Y1122" s="51" t="str">
        <f>IF(NOTA[[#This Row],[JUMLAH]]="","",(NOTA[[#This Row],[JUMLAH]]-NOTA[[#This Row],[DISC 1-]])*NOTA[[#This Row],[DISC 2]])</f>
        <v/>
      </c>
      <c r="Z1122" s="51" t="str">
        <f>IF(NOTA[[#This Row],[JUMLAH]]="","",NOTA[[#This Row],[DISC 1-]]+NOTA[[#This Row],[DISC 2-]])</f>
        <v/>
      </c>
      <c r="AA1122" s="51" t="str">
        <f>IF(NOTA[[#This Row],[JUMLAH]]="","",NOTA[[#This Row],[JUMLAH]]-NOTA[[#This Row],[DISC]])</f>
        <v/>
      </c>
      <c r="AB1122" s="51"/>
      <c r="AC1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2" s="51" t="str">
        <f>IF(OR(NOTA[[#This Row],[QTY]]="",NOTA[[#This Row],[HARGA SATUAN]]="",),"",NOTA[[#This Row],[QTY]]*NOTA[[#This Row],[HARGA SATUAN]])</f>
        <v/>
      </c>
      <c r="AG1122" s="40" t="str">
        <f ca="1">IF(NOTA[ID_H]="","",INDEX(NOTA[TANGGAL],MATCH(,INDIRECT(ADDRESS(ROW(NOTA[TANGGAL]),COLUMN(NOTA[TANGGAL]))&amp;":"&amp;ADDRESS(ROW(),COLUMN(NOTA[TANGGAL]))),-1)))</f>
        <v/>
      </c>
      <c r="AH1122" s="42" t="str">
        <f ca="1">IF(NOTA[[#This Row],[NAMA BARANG]]="","",INDEX(NOTA[SUPPLIER],MATCH(,INDIRECT(ADDRESS(ROW(NOTA[ID]),COLUMN(NOTA[ID]))&amp;":"&amp;ADDRESS(ROW(),COLUMN(NOTA[ID]))),-1)))</f>
        <v/>
      </c>
      <c r="AI1122" s="42" t="str">
        <f ca="1">IF(NOTA[[#This Row],[ID_H]]="","",IF(NOTA[[#This Row],[FAKTUR]]="",INDIRECT(ADDRESS(ROW()-1,COLUMN())),NOTA[[#This Row],[FAKTUR]]))</f>
        <v/>
      </c>
      <c r="AJ1122" s="39" t="str">
        <f ca="1">IF(NOTA[[#This Row],[ID]]="","",COUNTIF(NOTA[ID_H],NOTA[[#This Row],[ID_H]]))</f>
        <v/>
      </c>
      <c r="AK1122" s="39" t="str">
        <f ca="1">IF(NOTA[[#This Row],[TGL.NOTA]]="",IF(NOTA[[#This Row],[SUPPLIER_H]]="","",AK1121),MONTH(NOTA[[#This Row],[TGL.NOTA]]))</f>
        <v/>
      </c>
      <c r="AL1122" s="39" t="str">
        <f>LOWER(SUBSTITUTE(SUBSTITUTE(SUBSTITUTE(SUBSTITUTE(SUBSTITUTE(SUBSTITUTE(SUBSTITUTE(SUBSTITUTE(SUBSTITUTE(NOTA[NAMA BARANG]," ",),".",""),"-",""),"(",""),")",""),",",""),"/",""),"""",""),"+",""))</f>
        <v/>
      </c>
      <c r="AM11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39" t="str">
        <f>IF(NOTA[[#This Row],[CONCAT4]]="","",_xlfn.IFNA(MATCH(NOTA[[#This Row],[CONCAT4]],[2]!RAW[CONCAT_H],0),FALSE))</f>
        <v/>
      </c>
      <c r="AQ1122" s="39" t="str">
        <f>IF(NOTA[[#This Row],[CONCAT1]]="","",MATCH(NOTA[[#This Row],[CONCAT1]],[3]!db[NB NOTA_C],0))</f>
        <v/>
      </c>
      <c r="AR1122" s="39" t="str">
        <f>IF(NOTA[[#This Row],[QTY/ CTN]]="","",TRUE)</f>
        <v/>
      </c>
      <c r="AS1122" s="39" t="str">
        <f ca="1">IF(NOTA[[#This Row],[ID_H]]="","",IF(NOTA[[#This Row],[Column3]]=TRUE,NOTA[[#This Row],[QTY/ CTN]],INDEX([3]!db[QTY/ CTN],NOTA[[#This Row],[//DB]])))</f>
        <v/>
      </c>
      <c r="AT11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2" s="39" t="str">
        <f ca="1">IF(NOTA[[#This Row],[ID_H]]="","",MATCH(NOTA[[#This Row],[NB NOTA_C_QTY]],[4]!db[NB NOTA_C_QTY+F],0))</f>
        <v/>
      </c>
      <c r="AV1122" s="55" t="str">
        <f ca="1">IF(NOTA[[#This Row],[NB NOTA_C_QTY]]="","",ROW()-2)</f>
        <v/>
      </c>
    </row>
    <row r="1123" spans="1:48" ht="20.100000000000001" customHeight="1" x14ac:dyDescent="0.25">
      <c r="A11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39" t="str">
        <f>IF(NOTA[[#This Row],[ID_P]]="","",MATCH(NOTA[[#This Row],[ID_P]],[1]!B_MSK[N_ID],0))</f>
        <v/>
      </c>
      <c r="D1123" s="39" t="str">
        <f ca="1">IF(NOTA[[#This Row],[NAMA BARANG]]="","",INDEX(NOTA[ID],MATCH(,INDIRECT(ADDRESS(ROW(NOTA[ID]),COLUMN(NOTA[ID]))&amp;":"&amp;ADDRESS(ROW(),COLUMN(NOTA[ID]))),-1)))</f>
        <v/>
      </c>
      <c r="E1123" s="47"/>
      <c r="H1123" s="48"/>
      <c r="N1123" s="39"/>
      <c r="Q1123" s="43"/>
      <c r="R1123" s="49"/>
      <c r="S1123" s="50"/>
      <c r="U1123" s="51"/>
      <c r="V1123" s="46"/>
      <c r="W1123" s="51" t="str">
        <f>IF(NOTA[[#This Row],[HARGA/ CTN]]="",NOTA[[#This Row],[JUMLAH_H]],NOTA[[#This Row],[HARGA/ CTN]]*IF(NOTA[[#This Row],[C]]="",0,NOTA[[#This Row],[C]]))</f>
        <v/>
      </c>
      <c r="X1123" s="51" t="str">
        <f>IF(NOTA[[#This Row],[JUMLAH]]="","",NOTA[[#This Row],[JUMLAH]]*NOTA[[#This Row],[DISC 1]])</f>
        <v/>
      </c>
      <c r="Y1123" s="51" t="str">
        <f>IF(NOTA[[#This Row],[JUMLAH]]="","",(NOTA[[#This Row],[JUMLAH]]-NOTA[[#This Row],[DISC 1-]])*NOTA[[#This Row],[DISC 2]])</f>
        <v/>
      </c>
      <c r="Z1123" s="51" t="str">
        <f>IF(NOTA[[#This Row],[JUMLAH]]="","",NOTA[[#This Row],[DISC 1-]]+NOTA[[#This Row],[DISC 2-]])</f>
        <v/>
      </c>
      <c r="AA1123" s="51" t="str">
        <f>IF(NOTA[[#This Row],[JUMLAH]]="","",NOTA[[#This Row],[JUMLAH]]-NOTA[[#This Row],[DISC]])</f>
        <v/>
      </c>
      <c r="AB1123" s="51"/>
      <c r="AC1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3" s="51" t="str">
        <f>IF(OR(NOTA[[#This Row],[QTY]]="",NOTA[[#This Row],[HARGA SATUAN]]="",),"",NOTA[[#This Row],[QTY]]*NOTA[[#This Row],[HARGA SATUAN]])</f>
        <v/>
      </c>
      <c r="AG1123" s="40" t="str">
        <f ca="1">IF(NOTA[ID_H]="","",INDEX(NOTA[TANGGAL],MATCH(,INDIRECT(ADDRESS(ROW(NOTA[TANGGAL]),COLUMN(NOTA[TANGGAL]))&amp;":"&amp;ADDRESS(ROW(),COLUMN(NOTA[TANGGAL]))),-1)))</f>
        <v/>
      </c>
      <c r="AH1123" s="42" t="str">
        <f ca="1">IF(NOTA[[#This Row],[NAMA BARANG]]="","",INDEX(NOTA[SUPPLIER],MATCH(,INDIRECT(ADDRESS(ROW(NOTA[ID]),COLUMN(NOTA[ID]))&amp;":"&amp;ADDRESS(ROW(),COLUMN(NOTA[ID]))),-1)))</f>
        <v/>
      </c>
      <c r="AI1123" s="42" t="str">
        <f ca="1">IF(NOTA[[#This Row],[ID_H]]="","",IF(NOTA[[#This Row],[FAKTUR]]="",INDIRECT(ADDRESS(ROW()-1,COLUMN())),NOTA[[#This Row],[FAKTUR]]))</f>
        <v/>
      </c>
      <c r="AJ1123" s="39" t="str">
        <f ca="1">IF(NOTA[[#This Row],[ID]]="","",COUNTIF(NOTA[ID_H],NOTA[[#This Row],[ID_H]]))</f>
        <v/>
      </c>
      <c r="AK1123" s="39" t="str">
        <f ca="1">IF(NOTA[[#This Row],[TGL.NOTA]]="",IF(NOTA[[#This Row],[SUPPLIER_H]]="","",AK1122),MONTH(NOTA[[#This Row],[TGL.NOTA]]))</f>
        <v/>
      </c>
      <c r="AL1123" s="39" t="str">
        <f>LOWER(SUBSTITUTE(SUBSTITUTE(SUBSTITUTE(SUBSTITUTE(SUBSTITUTE(SUBSTITUTE(SUBSTITUTE(SUBSTITUTE(SUBSTITUTE(NOTA[NAMA BARANG]," ",),".",""),"-",""),"(",""),")",""),",",""),"/",""),"""",""),"+",""))</f>
        <v/>
      </c>
      <c r="AM11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39" t="str">
        <f>IF(NOTA[[#This Row],[CONCAT4]]="","",_xlfn.IFNA(MATCH(NOTA[[#This Row],[CONCAT4]],[2]!RAW[CONCAT_H],0),FALSE))</f>
        <v/>
      </c>
      <c r="AQ1123" s="39" t="str">
        <f>IF(NOTA[[#This Row],[CONCAT1]]="","",MATCH(NOTA[[#This Row],[CONCAT1]],[3]!db[NB NOTA_C],0))</f>
        <v/>
      </c>
      <c r="AR1123" s="39" t="str">
        <f>IF(NOTA[[#This Row],[QTY/ CTN]]="","",TRUE)</f>
        <v/>
      </c>
      <c r="AS1123" s="39" t="str">
        <f ca="1">IF(NOTA[[#This Row],[ID_H]]="","",IF(NOTA[[#This Row],[Column3]]=TRUE,NOTA[[#This Row],[QTY/ CTN]],INDEX([3]!db[QTY/ CTN],NOTA[[#This Row],[//DB]])))</f>
        <v/>
      </c>
      <c r="AT11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3" s="39" t="str">
        <f ca="1">IF(NOTA[[#This Row],[ID_H]]="","",MATCH(NOTA[[#This Row],[NB NOTA_C_QTY]],[4]!db[NB NOTA_C_QTY+F],0))</f>
        <v/>
      </c>
      <c r="AV1123" s="55" t="str">
        <f ca="1">IF(NOTA[[#This Row],[NB NOTA_C_QTY]]="","",ROW()-2)</f>
        <v/>
      </c>
    </row>
    <row r="1124" spans="1:48" ht="20.100000000000001" customHeight="1" x14ac:dyDescent="0.25">
      <c r="A11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39" t="str">
        <f>IF(NOTA[[#This Row],[ID_P]]="","",MATCH(NOTA[[#This Row],[ID_P]],[1]!B_MSK[N_ID],0))</f>
        <v/>
      </c>
      <c r="D1124" s="39" t="str">
        <f ca="1">IF(NOTA[[#This Row],[NAMA BARANG]]="","",INDEX(NOTA[ID],MATCH(,INDIRECT(ADDRESS(ROW(NOTA[ID]),COLUMN(NOTA[ID]))&amp;":"&amp;ADDRESS(ROW(),COLUMN(NOTA[ID]))),-1)))</f>
        <v/>
      </c>
      <c r="E1124" s="47"/>
      <c r="H1124" s="48"/>
      <c r="N1124" s="39"/>
      <c r="Q1124" s="43"/>
      <c r="R1124" s="49"/>
      <c r="S1124" s="50"/>
      <c r="U1124" s="51"/>
      <c r="V1124" s="46"/>
      <c r="W1124" s="51" t="str">
        <f>IF(NOTA[[#This Row],[HARGA/ CTN]]="",NOTA[[#This Row],[JUMLAH_H]],NOTA[[#This Row],[HARGA/ CTN]]*IF(NOTA[[#This Row],[C]]="",0,NOTA[[#This Row],[C]]))</f>
        <v/>
      </c>
      <c r="X1124" s="51" t="str">
        <f>IF(NOTA[[#This Row],[JUMLAH]]="","",NOTA[[#This Row],[JUMLAH]]*NOTA[[#This Row],[DISC 1]])</f>
        <v/>
      </c>
      <c r="Y1124" s="51" t="str">
        <f>IF(NOTA[[#This Row],[JUMLAH]]="","",(NOTA[[#This Row],[JUMLAH]]-NOTA[[#This Row],[DISC 1-]])*NOTA[[#This Row],[DISC 2]])</f>
        <v/>
      </c>
      <c r="Z1124" s="51" t="str">
        <f>IF(NOTA[[#This Row],[JUMLAH]]="","",NOTA[[#This Row],[DISC 1-]]+NOTA[[#This Row],[DISC 2-]])</f>
        <v/>
      </c>
      <c r="AA1124" s="51" t="str">
        <f>IF(NOTA[[#This Row],[JUMLAH]]="","",NOTA[[#This Row],[JUMLAH]]-NOTA[[#This Row],[DISC]])</f>
        <v/>
      </c>
      <c r="AB1124" s="51"/>
      <c r="AC11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4" s="51" t="str">
        <f>IF(OR(NOTA[[#This Row],[QTY]]="",NOTA[[#This Row],[HARGA SATUAN]]="",),"",NOTA[[#This Row],[QTY]]*NOTA[[#This Row],[HARGA SATUAN]])</f>
        <v/>
      </c>
      <c r="AG1124" s="40" t="str">
        <f ca="1">IF(NOTA[ID_H]="","",INDEX(NOTA[TANGGAL],MATCH(,INDIRECT(ADDRESS(ROW(NOTA[TANGGAL]),COLUMN(NOTA[TANGGAL]))&amp;":"&amp;ADDRESS(ROW(),COLUMN(NOTA[TANGGAL]))),-1)))</f>
        <v/>
      </c>
      <c r="AH1124" s="42" t="str">
        <f ca="1">IF(NOTA[[#This Row],[NAMA BARANG]]="","",INDEX(NOTA[SUPPLIER],MATCH(,INDIRECT(ADDRESS(ROW(NOTA[ID]),COLUMN(NOTA[ID]))&amp;":"&amp;ADDRESS(ROW(),COLUMN(NOTA[ID]))),-1)))</f>
        <v/>
      </c>
      <c r="AI1124" s="42" t="str">
        <f ca="1">IF(NOTA[[#This Row],[ID_H]]="","",IF(NOTA[[#This Row],[FAKTUR]]="",INDIRECT(ADDRESS(ROW()-1,COLUMN())),NOTA[[#This Row],[FAKTUR]]))</f>
        <v/>
      </c>
      <c r="AJ1124" s="39" t="str">
        <f ca="1">IF(NOTA[[#This Row],[ID]]="","",COUNTIF(NOTA[ID_H],NOTA[[#This Row],[ID_H]]))</f>
        <v/>
      </c>
      <c r="AK1124" s="39" t="str">
        <f ca="1">IF(NOTA[[#This Row],[TGL.NOTA]]="",IF(NOTA[[#This Row],[SUPPLIER_H]]="","",AK1123),MONTH(NOTA[[#This Row],[TGL.NOTA]]))</f>
        <v/>
      </c>
      <c r="AL1124" s="39" t="str">
        <f>LOWER(SUBSTITUTE(SUBSTITUTE(SUBSTITUTE(SUBSTITUTE(SUBSTITUTE(SUBSTITUTE(SUBSTITUTE(SUBSTITUTE(SUBSTITUTE(NOTA[NAMA BARANG]," ",),".",""),"-",""),"(",""),")",""),",",""),"/",""),"""",""),"+",""))</f>
        <v/>
      </c>
      <c r="AM11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39" t="str">
        <f>IF(NOTA[[#This Row],[CONCAT4]]="","",_xlfn.IFNA(MATCH(NOTA[[#This Row],[CONCAT4]],[2]!RAW[CONCAT_H],0),FALSE))</f>
        <v/>
      </c>
      <c r="AQ1124" s="39" t="str">
        <f>IF(NOTA[[#This Row],[CONCAT1]]="","",MATCH(NOTA[[#This Row],[CONCAT1]],[3]!db[NB NOTA_C],0))</f>
        <v/>
      </c>
      <c r="AR1124" s="39" t="str">
        <f>IF(NOTA[[#This Row],[QTY/ CTN]]="","",TRUE)</f>
        <v/>
      </c>
      <c r="AS1124" s="39" t="str">
        <f ca="1">IF(NOTA[[#This Row],[ID_H]]="","",IF(NOTA[[#This Row],[Column3]]=TRUE,NOTA[[#This Row],[QTY/ CTN]],INDEX([3]!db[QTY/ CTN],NOTA[[#This Row],[//DB]])))</f>
        <v/>
      </c>
      <c r="AT11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4" s="39" t="str">
        <f ca="1">IF(NOTA[[#This Row],[ID_H]]="","",MATCH(NOTA[[#This Row],[NB NOTA_C_QTY]],[4]!db[NB NOTA_C_QTY+F],0))</f>
        <v/>
      </c>
      <c r="AV1124" s="55" t="str">
        <f ca="1">IF(NOTA[[#This Row],[NB NOTA_C_QTY]]="","",ROW()-2)</f>
        <v/>
      </c>
    </row>
    <row r="1125" spans="1:48" ht="20.100000000000001" customHeight="1" x14ac:dyDescent="0.25">
      <c r="A11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39" t="str">
        <f>IF(NOTA[[#This Row],[ID_P]]="","",MATCH(NOTA[[#This Row],[ID_P]],[1]!B_MSK[N_ID],0))</f>
        <v/>
      </c>
      <c r="D1125" s="39" t="str">
        <f ca="1">IF(NOTA[[#This Row],[NAMA BARANG]]="","",INDEX(NOTA[ID],MATCH(,INDIRECT(ADDRESS(ROW(NOTA[ID]),COLUMN(NOTA[ID]))&amp;":"&amp;ADDRESS(ROW(),COLUMN(NOTA[ID]))),-1)))</f>
        <v/>
      </c>
      <c r="E1125" s="47"/>
      <c r="H1125" s="48"/>
      <c r="N1125" s="39"/>
      <c r="Q1125" s="43"/>
      <c r="R1125" s="49"/>
      <c r="S1125" s="50"/>
      <c r="U1125" s="51"/>
      <c r="V1125" s="46"/>
      <c r="W1125" s="51" t="str">
        <f>IF(NOTA[[#This Row],[HARGA/ CTN]]="",NOTA[[#This Row],[JUMLAH_H]],NOTA[[#This Row],[HARGA/ CTN]]*IF(NOTA[[#This Row],[C]]="",0,NOTA[[#This Row],[C]]))</f>
        <v/>
      </c>
      <c r="X1125" s="51" t="str">
        <f>IF(NOTA[[#This Row],[JUMLAH]]="","",NOTA[[#This Row],[JUMLAH]]*NOTA[[#This Row],[DISC 1]])</f>
        <v/>
      </c>
      <c r="Y1125" s="51" t="str">
        <f>IF(NOTA[[#This Row],[JUMLAH]]="","",(NOTA[[#This Row],[JUMLAH]]-NOTA[[#This Row],[DISC 1-]])*NOTA[[#This Row],[DISC 2]])</f>
        <v/>
      </c>
      <c r="Z1125" s="51" t="str">
        <f>IF(NOTA[[#This Row],[JUMLAH]]="","",NOTA[[#This Row],[DISC 1-]]+NOTA[[#This Row],[DISC 2-]])</f>
        <v/>
      </c>
      <c r="AA1125" s="51" t="str">
        <f>IF(NOTA[[#This Row],[JUMLAH]]="","",NOTA[[#This Row],[JUMLAH]]-NOTA[[#This Row],[DISC]])</f>
        <v/>
      </c>
      <c r="AB1125" s="51"/>
      <c r="AC1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5" s="51" t="str">
        <f>IF(OR(NOTA[[#This Row],[QTY]]="",NOTA[[#This Row],[HARGA SATUAN]]="",),"",NOTA[[#This Row],[QTY]]*NOTA[[#This Row],[HARGA SATUAN]])</f>
        <v/>
      </c>
      <c r="AG1125" s="40" t="str">
        <f ca="1">IF(NOTA[ID_H]="","",INDEX(NOTA[TANGGAL],MATCH(,INDIRECT(ADDRESS(ROW(NOTA[TANGGAL]),COLUMN(NOTA[TANGGAL]))&amp;":"&amp;ADDRESS(ROW(),COLUMN(NOTA[TANGGAL]))),-1)))</f>
        <v/>
      </c>
      <c r="AH1125" s="42" t="str">
        <f ca="1">IF(NOTA[[#This Row],[NAMA BARANG]]="","",INDEX(NOTA[SUPPLIER],MATCH(,INDIRECT(ADDRESS(ROW(NOTA[ID]),COLUMN(NOTA[ID]))&amp;":"&amp;ADDRESS(ROW(),COLUMN(NOTA[ID]))),-1)))</f>
        <v/>
      </c>
      <c r="AI1125" s="42" t="str">
        <f ca="1">IF(NOTA[[#This Row],[ID_H]]="","",IF(NOTA[[#This Row],[FAKTUR]]="",INDIRECT(ADDRESS(ROW()-1,COLUMN())),NOTA[[#This Row],[FAKTUR]]))</f>
        <v/>
      </c>
      <c r="AJ1125" s="39" t="str">
        <f ca="1">IF(NOTA[[#This Row],[ID]]="","",COUNTIF(NOTA[ID_H],NOTA[[#This Row],[ID_H]]))</f>
        <v/>
      </c>
      <c r="AK1125" s="39" t="str">
        <f ca="1">IF(NOTA[[#This Row],[TGL.NOTA]]="",IF(NOTA[[#This Row],[SUPPLIER_H]]="","",AK1124),MONTH(NOTA[[#This Row],[TGL.NOTA]]))</f>
        <v/>
      </c>
      <c r="AL1125" s="39" t="str">
        <f>LOWER(SUBSTITUTE(SUBSTITUTE(SUBSTITUTE(SUBSTITUTE(SUBSTITUTE(SUBSTITUTE(SUBSTITUTE(SUBSTITUTE(SUBSTITUTE(NOTA[NAMA BARANG]," ",),".",""),"-",""),"(",""),")",""),",",""),"/",""),"""",""),"+",""))</f>
        <v/>
      </c>
      <c r="AM11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39" t="str">
        <f>IF(NOTA[[#This Row],[CONCAT4]]="","",_xlfn.IFNA(MATCH(NOTA[[#This Row],[CONCAT4]],[2]!RAW[CONCAT_H],0),FALSE))</f>
        <v/>
      </c>
      <c r="AQ1125" s="39" t="str">
        <f>IF(NOTA[[#This Row],[CONCAT1]]="","",MATCH(NOTA[[#This Row],[CONCAT1]],[3]!db[NB NOTA_C],0))</f>
        <v/>
      </c>
      <c r="AR1125" s="39" t="str">
        <f>IF(NOTA[[#This Row],[QTY/ CTN]]="","",TRUE)</f>
        <v/>
      </c>
      <c r="AS1125" s="39" t="str">
        <f ca="1">IF(NOTA[[#This Row],[ID_H]]="","",IF(NOTA[[#This Row],[Column3]]=TRUE,NOTA[[#This Row],[QTY/ CTN]],INDEX([3]!db[QTY/ CTN],NOTA[[#This Row],[//DB]])))</f>
        <v/>
      </c>
      <c r="AT11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5" s="39" t="str">
        <f ca="1">IF(NOTA[[#This Row],[ID_H]]="","",MATCH(NOTA[[#This Row],[NB NOTA_C_QTY]],[4]!db[NB NOTA_C_QTY+F],0))</f>
        <v/>
      </c>
      <c r="AV1125" s="55" t="str">
        <f ca="1">IF(NOTA[[#This Row],[NB NOTA_C_QTY]]="","",ROW()-2)</f>
        <v/>
      </c>
    </row>
    <row r="1126" spans="1:48" ht="20.100000000000001" customHeight="1" x14ac:dyDescent="0.25">
      <c r="A11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39" t="str">
        <f>IF(NOTA[[#This Row],[ID_P]]="","",MATCH(NOTA[[#This Row],[ID_P]],[1]!B_MSK[N_ID],0))</f>
        <v/>
      </c>
      <c r="D1126" s="39" t="str">
        <f ca="1">IF(NOTA[[#This Row],[NAMA BARANG]]="","",INDEX(NOTA[ID],MATCH(,INDIRECT(ADDRESS(ROW(NOTA[ID]),COLUMN(NOTA[ID]))&amp;":"&amp;ADDRESS(ROW(),COLUMN(NOTA[ID]))),-1)))</f>
        <v/>
      </c>
      <c r="E1126" s="47"/>
      <c r="H1126" s="48"/>
      <c r="N1126" s="39"/>
      <c r="Q1126" s="43"/>
      <c r="R1126" s="49"/>
      <c r="S1126" s="50"/>
      <c r="U1126" s="51"/>
      <c r="V1126" s="46"/>
      <c r="W1126" s="51" t="str">
        <f>IF(NOTA[[#This Row],[HARGA/ CTN]]="",NOTA[[#This Row],[JUMLAH_H]],NOTA[[#This Row],[HARGA/ CTN]]*IF(NOTA[[#This Row],[C]]="",0,NOTA[[#This Row],[C]]))</f>
        <v/>
      </c>
      <c r="X1126" s="51" t="str">
        <f>IF(NOTA[[#This Row],[JUMLAH]]="","",NOTA[[#This Row],[JUMLAH]]*NOTA[[#This Row],[DISC 1]])</f>
        <v/>
      </c>
      <c r="Y1126" s="51" t="str">
        <f>IF(NOTA[[#This Row],[JUMLAH]]="","",(NOTA[[#This Row],[JUMLAH]]-NOTA[[#This Row],[DISC 1-]])*NOTA[[#This Row],[DISC 2]])</f>
        <v/>
      </c>
      <c r="Z1126" s="51" t="str">
        <f>IF(NOTA[[#This Row],[JUMLAH]]="","",NOTA[[#This Row],[DISC 1-]]+NOTA[[#This Row],[DISC 2-]])</f>
        <v/>
      </c>
      <c r="AA1126" s="51" t="str">
        <f>IF(NOTA[[#This Row],[JUMLAH]]="","",NOTA[[#This Row],[JUMLAH]]-NOTA[[#This Row],[DISC]])</f>
        <v/>
      </c>
      <c r="AB1126" s="51"/>
      <c r="AC1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6" s="51" t="str">
        <f>IF(OR(NOTA[[#This Row],[QTY]]="",NOTA[[#This Row],[HARGA SATUAN]]="",),"",NOTA[[#This Row],[QTY]]*NOTA[[#This Row],[HARGA SATUAN]])</f>
        <v/>
      </c>
      <c r="AG1126" s="40" t="str">
        <f ca="1">IF(NOTA[ID_H]="","",INDEX(NOTA[TANGGAL],MATCH(,INDIRECT(ADDRESS(ROW(NOTA[TANGGAL]),COLUMN(NOTA[TANGGAL]))&amp;":"&amp;ADDRESS(ROW(),COLUMN(NOTA[TANGGAL]))),-1)))</f>
        <v/>
      </c>
      <c r="AH1126" s="42" t="str">
        <f ca="1">IF(NOTA[[#This Row],[NAMA BARANG]]="","",INDEX(NOTA[SUPPLIER],MATCH(,INDIRECT(ADDRESS(ROW(NOTA[ID]),COLUMN(NOTA[ID]))&amp;":"&amp;ADDRESS(ROW(),COLUMN(NOTA[ID]))),-1)))</f>
        <v/>
      </c>
      <c r="AI1126" s="42" t="str">
        <f ca="1">IF(NOTA[[#This Row],[ID_H]]="","",IF(NOTA[[#This Row],[FAKTUR]]="",INDIRECT(ADDRESS(ROW()-1,COLUMN())),NOTA[[#This Row],[FAKTUR]]))</f>
        <v/>
      </c>
      <c r="AJ1126" s="39" t="str">
        <f ca="1">IF(NOTA[[#This Row],[ID]]="","",COUNTIF(NOTA[ID_H],NOTA[[#This Row],[ID_H]]))</f>
        <v/>
      </c>
      <c r="AK1126" s="39" t="str">
        <f ca="1">IF(NOTA[[#This Row],[TGL.NOTA]]="",IF(NOTA[[#This Row],[SUPPLIER_H]]="","",AK1125),MONTH(NOTA[[#This Row],[TGL.NOTA]]))</f>
        <v/>
      </c>
      <c r="AL1126" s="39" t="str">
        <f>LOWER(SUBSTITUTE(SUBSTITUTE(SUBSTITUTE(SUBSTITUTE(SUBSTITUTE(SUBSTITUTE(SUBSTITUTE(SUBSTITUTE(SUBSTITUTE(NOTA[NAMA BARANG]," ",),".",""),"-",""),"(",""),")",""),",",""),"/",""),"""",""),"+",""))</f>
        <v/>
      </c>
      <c r="AM11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39" t="str">
        <f>IF(NOTA[[#This Row],[CONCAT4]]="","",_xlfn.IFNA(MATCH(NOTA[[#This Row],[CONCAT4]],[2]!RAW[CONCAT_H],0),FALSE))</f>
        <v/>
      </c>
      <c r="AQ1126" s="39" t="str">
        <f>IF(NOTA[[#This Row],[CONCAT1]]="","",MATCH(NOTA[[#This Row],[CONCAT1]],[3]!db[NB NOTA_C],0))</f>
        <v/>
      </c>
      <c r="AR1126" s="39" t="str">
        <f>IF(NOTA[[#This Row],[QTY/ CTN]]="","",TRUE)</f>
        <v/>
      </c>
      <c r="AS1126" s="39" t="str">
        <f ca="1">IF(NOTA[[#This Row],[ID_H]]="","",IF(NOTA[[#This Row],[Column3]]=TRUE,NOTA[[#This Row],[QTY/ CTN]],INDEX([3]!db[QTY/ CTN],NOTA[[#This Row],[//DB]])))</f>
        <v/>
      </c>
      <c r="AT11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6" s="39" t="str">
        <f ca="1">IF(NOTA[[#This Row],[ID_H]]="","",MATCH(NOTA[[#This Row],[NB NOTA_C_QTY]],[4]!db[NB NOTA_C_QTY+F],0))</f>
        <v/>
      </c>
      <c r="AV1126" s="55" t="str">
        <f ca="1">IF(NOTA[[#This Row],[NB NOTA_C_QTY]]="","",ROW()-2)</f>
        <v/>
      </c>
    </row>
    <row r="1127" spans="1:48" ht="20.100000000000001" customHeight="1" x14ac:dyDescent="0.25">
      <c r="A11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39" t="str">
        <f>IF(NOTA[[#This Row],[ID_P]]="","",MATCH(NOTA[[#This Row],[ID_P]],[1]!B_MSK[N_ID],0))</f>
        <v/>
      </c>
      <c r="D1127" s="39" t="str">
        <f ca="1">IF(NOTA[[#This Row],[NAMA BARANG]]="","",INDEX(NOTA[ID],MATCH(,INDIRECT(ADDRESS(ROW(NOTA[ID]),COLUMN(NOTA[ID]))&amp;":"&amp;ADDRESS(ROW(),COLUMN(NOTA[ID]))),-1)))</f>
        <v/>
      </c>
      <c r="E1127" s="47"/>
      <c r="H1127" s="48"/>
      <c r="N1127" s="39"/>
      <c r="Q1127" s="43"/>
      <c r="R1127" s="49"/>
      <c r="S1127" s="50"/>
      <c r="U1127" s="51"/>
      <c r="V1127" s="46"/>
      <c r="W1127" s="51" t="str">
        <f>IF(NOTA[[#This Row],[HARGA/ CTN]]="",NOTA[[#This Row],[JUMLAH_H]],NOTA[[#This Row],[HARGA/ CTN]]*IF(NOTA[[#This Row],[C]]="",0,NOTA[[#This Row],[C]]))</f>
        <v/>
      </c>
      <c r="X1127" s="51" t="str">
        <f>IF(NOTA[[#This Row],[JUMLAH]]="","",NOTA[[#This Row],[JUMLAH]]*NOTA[[#This Row],[DISC 1]])</f>
        <v/>
      </c>
      <c r="Y1127" s="51" t="str">
        <f>IF(NOTA[[#This Row],[JUMLAH]]="","",(NOTA[[#This Row],[JUMLAH]]-NOTA[[#This Row],[DISC 1-]])*NOTA[[#This Row],[DISC 2]])</f>
        <v/>
      </c>
      <c r="Z1127" s="51" t="str">
        <f>IF(NOTA[[#This Row],[JUMLAH]]="","",NOTA[[#This Row],[DISC 1-]]+NOTA[[#This Row],[DISC 2-]])</f>
        <v/>
      </c>
      <c r="AA1127" s="51" t="str">
        <f>IF(NOTA[[#This Row],[JUMLAH]]="","",NOTA[[#This Row],[JUMLAH]]-NOTA[[#This Row],[DISC]])</f>
        <v/>
      </c>
      <c r="AB1127" s="51"/>
      <c r="AC11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7" s="51" t="str">
        <f>IF(OR(NOTA[[#This Row],[QTY]]="",NOTA[[#This Row],[HARGA SATUAN]]="",),"",NOTA[[#This Row],[QTY]]*NOTA[[#This Row],[HARGA SATUAN]])</f>
        <v/>
      </c>
      <c r="AG1127" s="40" t="str">
        <f ca="1">IF(NOTA[ID_H]="","",INDEX(NOTA[TANGGAL],MATCH(,INDIRECT(ADDRESS(ROW(NOTA[TANGGAL]),COLUMN(NOTA[TANGGAL]))&amp;":"&amp;ADDRESS(ROW(),COLUMN(NOTA[TANGGAL]))),-1)))</f>
        <v/>
      </c>
      <c r="AH1127" s="42" t="str">
        <f ca="1">IF(NOTA[[#This Row],[NAMA BARANG]]="","",INDEX(NOTA[SUPPLIER],MATCH(,INDIRECT(ADDRESS(ROW(NOTA[ID]),COLUMN(NOTA[ID]))&amp;":"&amp;ADDRESS(ROW(),COLUMN(NOTA[ID]))),-1)))</f>
        <v/>
      </c>
      <c r="AI1127" s="42" t="str">
        <f ca="1">IF(NOTA[[#This Row],[ID_H]]="","",IF(NOTA[[#This Row],[FAKTUR]]="",INDIRECT(ADDRESS(ROW()-1,COLUMN())),NOTA[[#This Row],[FAKTUR]]))</f>
        <v/>
      </c>
      <c r="AJ1127" s="39" t="str">
        <f ca="1">IF(NOTA[[#This Row],[ID]]="","",COUNTIF(NOTA[ID_H],NOTA[[#This Row],[ID_H]]))</f>
        <v/>
      </c>
      <c r="AK1127" s="39" t="str">
        <f ca="1">IF(NOTA[[#This Row],[TGL.NOTA]]="",IF(NOTA[[#This Row],[SUPPLIER_H]]="","",AK1126),MONTH(NOTA[[#This Row],[TGL.NOTA]]))</f>
        <v/>
      </c>
      <c r="AL1127" s="39" t="str">
        <f>LOWER(SUBSTITUTE(SUBSTITUTE(SUBSTITUTE(SUBSTITUTE(SUBSTITUTE(SUBSTITUTE(SUBSTITUTE(SUBSTITUTE(SUBSTITUTE(NOTA[NAMA BARANG]," ",),".",""),"-",""),"(",""),")",""),",",""),"/",""),"""",""),"+",""))</f>
        <v/>
      </c>
      <c r="AM11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39" t="str">
        <f>IF(NOTA[[#This Row],[CONCAT4]]="","",_xlfn.IFNA(MATCH(NOTA[[#This Row],[CONCAT4]],[2]!RAW[CONCAT_H],0),FALSE))</f>
        <v/>
      </c>
      <c r="AQ1127" s="39" t="str">
        <f>IF(NOTA[[#This Row],[CONCAT1]]="","",MATCH(NOTA[[#This Row],[CONCAT1]],[3]!db[NB NOTA_C],0))</f>
        <v/>
      </c>
      <c r="AR1127" s="39" t="str">
        <f>IF(NOTA[[#This Row],[QTY/ CTN]]="","",TRUE)</f>
        <v/>
      </c>
      <c r="AS1127" s="39" t="str">
        <f ca="1">IF(NOTA[[#This Row],[ID_H]]="","",IF(NOTA[[#This Row],[Column3]]=TRUE,NOTA[[#This Row],[QTY/ CTN]],INDEX([3]!db[QTY/ CTN],NOTA[[#This Row],[//DB]])))</f>
        <v/>
      </c>
      <c r="AT11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7" s="39" t="str">
        <f ca="1">IF(NOTA[[#This Row],[ID_H]]="","",MATCH(NOTA[[#This Row],[NB NOTA_C_QTY]],[4]!db[NB NOTA_C_QTY+F],0))</f>
        <v/>
      </c>
      <c r="AV1127" s="55" t="str">
        <f ca="1">IF(NOTA[[#This Row],[NB NOTA_C_QTY]]="","",ROW()-2)</f>
        <v/>
      </c>
    </row>
    <row r="1128" spans="1:48" ht="20.100000000000001" customHeight="1" x14ac:dyDescent="0.25">
      <c r="A11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39" t="str">
        <f>IF(NOTA[[#This Row],[ID_P]]="","",MATCH(NOTA[[#This Row],[ID_P]],[1]!B_MSK[N_ID],0))</f>
        <v/>
      </c>
      <c r="D1128" s="39" t="str">
        <f ca="1">IF(NOTA[[#This Row],[NAMA BARANG]]="","",INDEX(NOTA[ID],MATCH(,INDIRECT(ADDRESS(ROW(NOTA[ID]),COLUMN(NOTA[ID]))&amp;":"&amp;ADDRESS(ROW(),COLUMN(NOTA[ID]))),-1)))</f>
        <v/>
      </c>
      <c r="E1128" s="47"/>
      <c r="H1128" s="48"/>
      <c r="N1128" s="39"/>
      <c r="Q1128" s="43"/>
      <c r="R1128" s="49"/>
      <c r="S1128" s="50"/>
      <c r="U1128" s="51"/>
      <c r="V1128" s="46"/>
      <c r="W1128" s="51" t="str">
        <f>IF(NOTA[[#This Row],[HARGA/ CTN]]="",NOTA[[#This Row],[JUMLAH_H]],NOTA[[#This Row],[HARGA/ CTN]]*IF(NOTA[[#This Row],[C]]="",0,NOTA[[#This Row],[C]]))</f>
        <v/>
      </c>
      <c r="X1128" s="51" t="str">
        <f>IF(NOTA[[#This Row],[JUMLAH]]="","",NOTA[[#This Row],[JUMLAH]]*NOTA[[#This Row],[DISC 1]])</f>
        <v/>
      </c>
      <c r="Y1128" s="51" t="str">
        <f>IF(NOTA[[#This Row],[JUMLAH]]="","",(NOTA[[#This Row],[JUMLAH]]-NOTA[[#This Row],[DISC 1-]])*NOTA[[#This Row],[DISC 2]])</f>
        <v/>
      </c>
      <c r="Z1128" s="51" t="str">
        <f>IF(NOTA[[#This Row],[JUMLAH]]="","",NOTA[[#This Row],[DISC 1-]]+NOTA[[#This Row],[DISC 2-]])</f>
        <v/>
      </c>
      <c r="AA1128" s="51" t="str">
        <f>IF(NOTA[[#This Row],[JUMLAH]]="","",NOTA[[#This Row],[JUMLAH]]-NOTA[[#This Row],[DISC]])</f>
        <v/>
      </c>
      <c r="AB1128" s="51"/>
      <c r="AC1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8" s="51" t="str">
        <f>IF(OR(NOTA[[#This Row],[QTY]]="",NOTA[[#This Row],[HARGA SATUAN]]="",),"",NOTA[[#This Row],[QTY]]*NOTA[[#This Row],[HARGA SATUAN]])</f>
        <v/>
      </c>
      <c r="AG1128" s="40" t="str">
        <f ca="1">IF(NOTA[ID_H]="","",INDEX(NOTA[TANGGAL],MATCH(,INDIRECT(ADDRESS(ROW(NOTA[TANGGAL]),COLUMN(NOTA[TANGGAL]))&amp;":"&amp;ADDRESS(ROW(),COLUMN(NOTA[TANGGAL]))),-1)))</f>
        <v/>
      </c>
      <c r="AH1128" s="42" t="str">
        <f ca="1">IF(NOTA[[#This Row],[NAMA BARANG]]="","",INDEX(NOTA[SUPPLIER],MATCH(,INDIRECT(ADDRESS(ROW(NOTA[ID]),COLUMN(NOTA[ID]))&amp;":"&amp;ADDRESS(ROW(),COLUMN(NOTA[ID]))),-1)))</f>
        <v/>
      </c>
      <c r="AI1128" s="42" t="str">
        <f ca="1">IF(NOTA[[#This Row],[ID_H]]="","",IF(NOTA[[#This Row],[FAKTUR]]="",INDIRECT(ADDRESS(ROW()-1,COLUMN())),NOTA[[#This Row],[FAKTUR]]))</f>
        <v/>
      </c>
      <c r="AJ1128" s="39" t="str">
        <f ca="1">IF(NOTA[[#This Row],[ID]]="","",COUNTIF(NOTA[ID_H],NOTA[[#This Row],[ID_H]]))</f>
        <v/>
      </c>
      <c r="AK1128" s="39" t="str">
        <f ca="1">IF(NOTA[[#This Row],[TGL.NOTA]]="",IF(NOTA[[#This Row],[SUPPLIER_H]]="","",AK1127),MONTH(NOTA[[#This Row],[TGL.NOTA]]))</f>
        <v/>
      </c>
      <c r="AL1128" s="39" t="str">
        <f>LOWER(SUBSTITUTE(SUBSTITUTE(SUBSTITUTE(SUBSTITUTE(SUBSTITUTE(SUBSTITUTE(SUBSTITUTE(SUBSTITUTE(SUBSTITUTE(NOTA[NAMA BARANG]," ",),".",""),"-",""),"(",""),")",""),",",""),"/",""),"""",""),"+",""))</f>
        <v/>
      </c>
      <c r="AM11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39" t="str">
        <f>IF(NOTA[[#This Row],[CONCAT4]]="","",_xlfn.IFNA(MATCH(NOTA[[#This Row],[CONCAT4]],[2]!RAW[CONCAT_H],0),FALSE))</f>
        <v/>
      </c>
      <c r="AQ1128" s="39" t="str">
        <f>IF(NOTA[[#This Row],[CONCAT1]]="","",MATCH(NOTA[[#This Row],[CONCAT1]],[3]!db[NB NOTA_C],0))</f>
        <v/>
      </c>
      <c r="AR1128" s="39" t="str">
        <f>IF(NOTA[[#This Row],[QTY/ CTN]]="","",TRUE)</f>
        <v/>
      </c>
      <c r="AS1128" s="39" t="str">
        <f ca="1">IF(NOTA[[#This Row],[ID_H]]="","",IF(NOTA[[#This Row],[Column3]]=TRUE,NOTA[[#This Row],[QTY/ CTN]],INDEX([3]!db[QTY/ CTN],NOTA[[#This Row],[//DB]])))</f>
        <v/>
      </c>
      <c r="AT11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8" s="39" t="str">
        <f ca="1">IF(NOTA[[#This Row],[ID_H]]="","",MATCH(NOTA[[#This Row],[NB NOTA_C_QTY]],[4]!db[NB NOTA_C_QTY+F],0))</f>
        <v/>
      </c>
      <c r="AV1128" s="55" t="str">
        <f ca="1">IF(NOTA[[#This Row],[NB NOTA_C_QTY]]="","",ROW()-2)</f>
        <v/>
      </c>
    </row>
    <row r="1129" spans="1:48" ht="20.100000000000001" customHeight="1" x14ac:dyDescent="0.25">
      <c r="A11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39" t="str">
        <f>IF(NOTA[[#This Row],[ID_P]]="","",MATCH(NOTA[[#This Row],[ID_P]],[1]!B_MSK[N_ID],0))</f>
        <v/>
      </c>
      <c r="D1129" s="39" t="str">
        <f ca="1">IF(NOTA[[#This Row],[NAMA BARANG]]="","",INDEX(NOTA[ID],MATCH(,INDIRECT(ADDRESS(ROW(NOTA[ID]),COLUMN(NOTA[ID]))&amp;":"&amp;ADDRESS(ROW(),COLUMN(NOTA[ID]))),-1)))</f>
        <v/>
      </c>
      <c r="E1129" s="47"/>
      <c r="H1129" s="48"/>
      <c r="N1129" s="39"/>
      <c r="Q1129" s="43"/>
      <c r="R1129" s="49"/>
      <c r="S1129" s="50"/>
      <c r="U1129" s="51"/>
      <c r="V1129" s="46"/>
      <c r="W1129" s="51" t="str">
        <f>IF(NOTA[[#This Row],[HARGA/ CTN]]="",NOTA[[#This Row],[JUMLAH_H]],NOTA[[#This Row],[HARGA/ CTN]]*IF(NOTA[[#This Row],[C]]="",0,NOTA[[#This Row],[C]]))</f>
        <v/>
      </c>
      <c r="X1129" s="51" t="str">
        <f>IF(NOTA[[#This Row],[JUMLAH]]="","",NOTA[[#This Row],[JUMLAH]]*NOTA[[#This Row],[DISC 1]])</f>
        <v/>
      </c>
      <c r="Y1129" s="51" t="str">
        <f>IF(NOTA[[#This Row],[JUMLAH]]="","",(NOTA[[#This Row],[JUMLAH]]-NOTA[[#This Row],[DISC 1-]])*NOTA[[#This Row],[DISC 2]])</f>
        <v/>
      </c>
      <c r="Z1129" s="51" t="str">
        <f>IF(NOTA[[#This Row],[JUMLAH]]="","",NOTA[[#This Row],[DISC 1-]]+NOTA[[#This Row],[DISC 2-]])</f>
        <v/>
      </c>
      <c r="AA1129" s="51" t="str">
        <f>IF(NOTA[[#This Row],[JUMLAH]]="","",NOTA[[#This Row],[JUMLAH]]-NOTA[[#This Row],[DISC]])</f>
        <v/>
      </c>
      <c r="AB1129" s="51"/>
      <c r="AC1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9" s="51" t="str">
        <f>IF(OR(NOTA[[#This Row],[QTY]]="",NOTA[[#This Row],[HARGA SATUAN]]="",),"",NOTA[[#This Row],[QTY]]*NOTA[[#This Row],[HARGA SATUAN]])</f>
        <v/>
      </c>
      <c r="AG1129" s="40" t="str">
        <f ca="1">IF(NOTA[ID_H]="","",INDEX(NOTA[TANGGAL],MATCH(,INDIRECT(ADDRESS(ROW(NOTA[TANGGAL]),COLUMN(NOTA[TANGGAL]))&amp;":"&amp;ADDRESS(ROW(),COLUMN(NOTA[TANGGAL]))),-1)))</f>
        <v/>
      </c>
      <c r="AH1129" s="42" t="str">
        <f ca="1">IF(NOTA[[#This Row],[NAMA BARANG]]="","",INDEX(NOTA[SUPPLIER],MATCH(,INDIRECT(ADDRESS(ROW(NOTA[ID]),COLUMN(NOTA[ID]))&amp;":"&amp;ADDRESS(ROW(),COLUMN(NOTA[ID]))),-1)))</f>
        <v/>
      </c>
      <c r="AI1129" s="42" t="str">
        <f ca="1">IF(NOTA[[#This Row],[ID_H]]="","",IF(NOTA[[#This Row],[FAKTUR]]="",INDIRECT(ADDRESS(ROW()-1,COLUMN())),NOTA[[#This Row],[FAKTUR]]))</f>
        <v/>
      </c>
      <c r="AJ1129" s="39" t="str">
        <f ca="1">IF(NOTA[[#This Row],[ID]]="","",COUNTIF(NOTA[ID_H],NOTA[[#This Row],[ID_H]]))</f>
        <v/>
      </c>
      <c r="AK1129" s="39" t="str">
        <f ca="1">IF(NOTA[[#This Row],[TGL.NOTA]]="",IF(NOTA[[#This Row],[SUPPLIER_H]]="","",AK1128),MONTH(NOTA[[#This Row],[TGL.NOTA]]))</f>
        <v/>
      </c>
      <c r="AL1129" s="39" t="str">
        <f>LOWER(SUBSTITUTE(SUBSTITUTE(SUBSTITUTE(SUBSTITUTE(SUBSTITUTE(SUBSTITUTE(SUBSTITUTE(SUBSTITUTE(SUBSTITUTE(NOTA[NAMA BARANG]," ",),".",""),"-",""),"(",""),")",""),",",""),"/",""),"""",""),"+",""))</f>
        <v/>
      </c>
      <c r="AM11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39" t="str">
        <f>IF(NOTA[[#This Row],[CONCAT4]]="","",_xlfn.IFNA(MATCH(NOTA[[#This Row],[CONCAT4]],[2]!RAW[CONCAT_H],0),FALSE))</f>
        <v/>
      </c>
      <c r="AQ1129" s="39" t="str">
        <f>IF(NOTA[[#This Row],[CONCAT1]]="","",MATCH(NOTA[[#This Row],[CONCAT1]],[3]!db[NB NOTA_C],0))</f>
        <v/>
      </c>
      <c r="AR1129" s="39" t="str">
        <f>IF(NOTA[[#This Row],[QTY/ CTN]]="","",TRUE)</f>
        <v/>
      </c>
      <c r="AS1129" s="39" t="str">
        <f ca="1">IF(NOTA[[#This Row],[ID_H]]="","",IF(NOTA[[#This Row],[Column3]]=TRUE,NOTA[[#This Row],[QTY/ CTN]],INDEX([3]!db[QTY/ CTN],NOTA[[#This Row],[//DB]])))</f>
        <v/>
      </c>
      <c r="AT11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9" s="39" t="str">
        <f ca="1">IF(NOTA[[#This Row],[ID_H]]="","",MATCH(NOTA[[#This Row],[NB NOTA_C_QTY]],[4]!db[NB NOTA_C_QTY+F],0))</f>
        <v/>
      </c>
      <c r="AV1129" s="55" t="str">
        <f ca="1">IF(NOTA[[#This Row],[NB NOTA_C_QTY]]="","",ROW()-2)</f>
        <v/>
      </c>
    </row>
    <row r="1130" spans="1:48" ht="20.100000000000001" customHeight="1" x14ac:dyDescent="0.25">
      <c r="A11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39" t="str">
        <f>IF(NOTA[[#This Row],[ID_P]]="","",MATCH(NOTA[[#This Row],[ID_P]],[1]!B_MSK[N_ID],0))</f>
        <v/>
      </c>
      <c r="D1130" s="39" t="str">
        <f ca="1">IF(NOTA[[#This Row],[NAMA BARANG]]="","",INDEX(NOTA[ID],MATCH(,INDIRECT(ADDRESS(ROW(NOTA[ID]),COLUMN(NOTA[ID]))&amp;":"&amp;ADDRESS(ROW(),COLUMN(NOTA[ID]))),-1)))</f>
        <v/>
      </c>
      <c r="E1130" s="47"/>
      <c r="H1130" s="48"/>
      <c r="N1130" s="39"/>
      <c r="Q1130" s="43"/>
      <c r="R1130" s="49"/>
      <c r="S1130" s="50"/>
      <c r="U1130" s="51"/>
      <c r="V1130" s="46"/>
      <c r="W1130" s="51" t="str">
        <f>IF(NOTA[[#This Row],[HARGA/ CTN]]="",NOTA[[#This Row],[JUMLAH_H]],NOTA[[#This Row],[HARGA/ CTN]]*IF(NOTA[[#This Row],[C]]="",0,NOTA[[#This Row],[C]]))</f>
        <v/>
      </c>
      <c r="X1130" s="51" t="str">
        <f>IF(NOTA[[#This Row],[JUMLAH]]="","",NOTA[[#This Row],[JUMLAH]]*NOTA[[#This Row],[DISC 1]])</f>
        <v/>
      </c>
      <c r="Y1130" s="51" t="str">
        <f>IF(NOTA[[#This Row],[JUMLAH]]="","",(NOTA[[#This Row],[JUMLAH]]-NOTA[[#This Row],[DISC 1-]])*NOTA[[#This Row],[DISC 2]])</f>
        <v/>
      </c>
      <c r="Z1130" s="51" t="str">
        <f>IF(NOTA[[#This Row],[JUMLAH]]="","",NOTA[[#This Row],[DISC 1-]]+NOTA[[#This Row],[DISC 2-]])</f>
        <v/>
      </c>
      <c r="AA1130" s="51" t="str">
        <f>IF(NOTA[[#This Row],[JUMLAH]]="","",NOTA[[#This Row],[JUMLAH]]-NOTA[[#This Row],[DISC]])</f>
        <v/>
      </c>
      <c r="AB1130" s="51"/>
      <c r="AC1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0" s="51" t="str">
        <f>IF(OR(NOTA[[#This Row],[QTY]]="",NOTA[[#This Row],[HARGA SATUAN]]="",),"",NOTA[[#This Row],[QTY]]*NOTA[[#This Row],[HARGA SATUAN]])</f>
        <v/>
      </c>
      <c r="AG1130" s="40" t="str">
        <f ca="1">IF(NOTA[ID_H]="","",INDEX(NOTA[TANGGAL],MATCH(,INDIRECT(ADDRESS(ROW(NOTA[TANGGAL]),COLUMN(NOTA[TANGGAL]))&amp;":"&amp;ADDRESS(ROW(),COLUMN(NOTA[TANGGAL]))),-1)))</f>
        <v/>
      </c>
      <c r="AH1130" s="42" t="str">
        <f ca="1">IF(NOTA[[#This Row],[NAMA BARANG]]="","",INDEX(NOTA[SUPPLIER],MATCH(,INDIRECT(ADDRESS(ROW(NOTA[ID]),COLUMN(NOTA[ID]))&amp;":"&amp;ADDRESS(ROW(),COLUMN(NOTA[ID]))),-1)))</f>
        <v/>
      </c>
      <c r="AI1130" s="42" t="str">
        <f ca="1">IF(NOTA[[#This Row],[ID_H]]="","",IF(NOTA[[#This Row],[FAKTUR]]="",INDIRECT(ADDRESS(ROW()-1,COLUMN())),NOTA[[#This Row],[FAKTUR]]))</f>
        <v/>
      </c>
      <c r="AJ1130" s="39" t="str">
        <f ca="1">IF(NOTA[[#This Row],[ID]]="","",COUNTIF(NOTA[ID_H],NOTA[[#This Row],[ID_H]]))</f>
        <v/>
      </c>
      <c r="AK1130" s="39" t="str">
        <f ca="1">IF(NOTA[[#This Row],[TGL.NOTA]]="",IF(NOTA[[#This Row],[SUPPLIER_H]]="","",AK1129),MONTH(NOTA[[#This Row],[TGL.NOTA]]))</f>
        <v/>
      </c>
      <c r="AL1130" s="39" t="str">
        <f>LOWER(SUBSTITUTE(SUBSTITUTE(SUBSTITUTE(SUBSTITUTE(SUBSTITUTE(SUBSTITUTE(SUBSTITUTE(SUBSTITUTE(SUBSTITUTE(NOTA[NAMA BARANG]," ",),".",""),"-",""),"(",""),")",""),",",""),"/",""),"""",""),"+",""))</f>
        <v/>
      </c>
      <c r="AM11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39" t="str">
        <f>IF(NOTA[[#This Row],[CONCAT4]]="","",_xlfn.IFNA(MATCH(NOTA[[#This Row],[CONCAT4]],[2]!RAW[CONCAT_H],0),FALSE))</f>
        <v/>
      </c>
      <c r="AQ1130" s="39" t="str">
        <f>IF(NOTA[[#This Row],[CONCAT1]]="","",MATCH(NOTA[[#This Row],[CONCAT1]],[3]!db[NB NOTA_C],0))</f>
        <v/>
      </c>
      <c r="AR1130" s="39" t="str">
        <f>IF(NOTA[[#This Row],[QTY/ CTN]]="","",TRUE)</f>
        <v/>
      </c>
      <c r="AS1130" s="39" t="str">
        <f ca="1">IF(NOTA[[#This Row],[ID_H]]="","",IF(NOTA[[#This Row],[Column3]]=TRUE,NOTA[[#This Row],[QTY/ CTN]],INDEX([3]!db[QTY/ CTN],NOTA[[#This Row],[//DB]])))</f>
        <v/>
      </c>
      <c r="AT11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0" s="39" t="str">
        <f ca="1">IF(NOTA[[#This Row],[ID_H]]="","",MATCH(NOTA[[#This Row],[NB NOTA_C_QTY]],[4]!db[NB NOTA_C_QTY+F],0))</f>
        <v/>
      </c>
      <c r="AV1130" s="55" t="str">
        <f ca="1">IF(NOTA[[#This Row],[NB NOTA_C_QTY]]="","",ROW()-2)</f>
        <v/>
      </c>
    </row>
    <row r="1131" spans="1:48" ht="20.100000000000001" customHeight="1" x14ac:dyDescent="0.25">
      <c r="A11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39" t="str">
        <f>IF(NOTA[[#This Row],[ID_P]]="","",MATCH(NOTA[[#This Row],[ID_P]],[1]!B_MSK[N_ID],0))</f>
        <v/>
      </c>
      <c r="D1131" s="39" t="str">
        <f ca="1">IF(NOTA[[#This Row],[NAMA BARANG]]="","",INDEX(NOTA[ID],MATCH(,INDIRECT(ADDRESS(ROW(NOTA[ID]),COLUMN(NOTA[ID]))&amp;":"&amp;ADDRESS(ROW(),COLUMN(NOTA[ID]))),-1)))</f>
        <v/>
      </c>
      <c r="E1131" s="47"/>
      <c r="H1131" s="48"/>
      <c r="N1131" s="39"/>
      <c r="Q1131" s="43"/>
      <c r="R1131" s="49"/>
      <c r="S1131" s="50"/>
      <c r="U1131" s="51"/>
      <c r="V1131" s="46"/>
      <c r="W1131" s="51" t="str">
        <f>IF(NOTA[[#This Row],[HARGA/ CTN]]="",NOTA[[#This Row],[JUMLAH_H]],NOTA[[#This Row],[HARGA/ CTN]]*IF(NOTA[[#This Row],[C]]="",0,NOTA[[#This Row],[C]]))</f>
        <v/>
      </c>
      <c r="X1131" s="51" t="str">
        <f>IF(NOTA[[#This Row],[JUMLAH]]="","",NOTA[[#This Row],[JUMLAH]]*NOTA[[#This Row],[DISC 1]])</f>
        <v/>
      </c>
      <c r="Y1131" s="51" t="str">
        <f>IF(NOTA[[#This Row],[JUMLAH]]="","",(NOTA[[#This Row],[JUMLAH]]-NOTA[[#This Row],[DISC 1-]])*NOTA[[#This Row],[DISC 2]])</f>
        <v/>
      </c>
      <c r="Z1131" s="51" t="str">
        <f>IF(NOTA[[#This Row],[JUMLAH]]="","",NOTA[[#This Row],[DISC 1-]]+NOTA[[#This Row],[DISC 2-]])</f>
        <v/>
      </c>
      <c r="AA1131" s="51" t="str">
        <f>IF(NOTA[[#This Row],[JUMLAH]]="","",NOTA[[#This Row],[JUMLAH]]-NOTA[[#This Row],[DISC]])</f>
        <v/>
      </c>
      <c r="AB1131" s="51"/>
      <c r="AC1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51" t="str">
        <f>IF(OR(NOTA[[#This Row],[QTY]]="",NOTA[[#This Row],[HARGA SATUAN]]="",),"",NOTA[[#This Row],[QTY]]*NOTA[[#This Row],[HARGA SATUAN]])</f>
        <v/>
      </c>
      <c r="AG1131" s="40" t="str">
        <f ca="1">IF(NOTA[ID_H]="","",INDEX(NOTA[TANGGAL],MATCH(,INDIRECT(ADDRESS(ROW(NOTA[TANGGAL]),COLUMN(NOTA[TANGGAL]))&amp;":"&amp;ADDRESS(ROW(),COLUMN(NOTA[TANGGAL]))),-1)))</f>
        <v/>
      </c>
      <c r="AH1131" s="42" t="str">
        <f ca="1">IF(NOTA[[#This Row],[NAMA BARANG]]="","",INDEX(NOTA[SUPPLIER],MATCH(,INDIRECT(ADDRESS(ROW(NOTA[ID]),COLUMN(NOTA[ID]))&amp;":"&amp;ADDRESS(ROW(),COLUMN(NOTA[ID]))),-1)))</f>
        <v/>
      </c>
      <c r="AI1131" s="42" t="str">
        <f ca="1">IF(NOTA[[#This Row],[ID_H]]="","",IF(NOTA[[#This Row],[FAKTUR]]="",INDIRECT(ADDRESS(ROW()-1,COLUMN())),NOTA[[#This Row],[FAKTUR]]))</f>
        <v/>
      </c>
      <c r="AJ1131" s="39" t="str">
        <f ca="1">IF(NOTA[[#This Row],[ID]]="","",COUNTIF(NOTA[ID_H],NOTA[[#This Row],[ID_H]]))</f>
        <v/>
      </c>
      <c r="AK1131" s="39" t="str">
        <f ca="1">IF(NOTA[[#This Row],[TGL.NOTA]]="",IF(NOTA[[#This Row],[SUPPLIER_H]]="","",AK1130),MONTH(NOTA[[#This Row],[TGL.NOTA]]))</f>
        <v/>
      </c>
      <c r="AL1131" s="39" t="str">
        <f>LOWER(SUBSTITUTE(SUBSTITUTE(SUBSTITUTE(SUBSTITUTE(SUBSTITUTE(SUBSTITUTE(SUBSTITUTE(SUBSTITUTE(SUBSTITUTE(NOTA[NAMA BARANG]," ",),".",""),"-",""),"(",""),")",""),",",""),"/",""),"""",""),"+",""))</f>
        <v/>
      </c>
      <c r="AM11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39" t="str">
        <f>IF(NOTA[[#This Row],[CONCAT4]]="","",_xlfn.IFNA(MATCH(NOTA[[#This Row],[CONCAT4]],[2]!RAW[CONCAT_H],0),FALSE))</f>
        <v/>
      </c>
      <c r="AQ1131" s="39" t="str">
        <f>IF(NOTA[[#This Row],[CONCAT1]]="","",MATCH(NOTA[[#This Row],[CONCAT1]],[3]!db[NB NOTA_C],0))</f>
        <v/>
      </c>
      <c r="AR1131" s="39" t="str">
        <f>IF(NOTA[[#This Row],[QTY/ CTN]]="","",TRUE)</f>
        <v/>
      </c>
      <c r="AS1131" s="39" t="str">
        <f ca="1">IF(NOTA[[#This Row],[ID_H]]="","",IF(NOTA[[#This Row],[Column3]]=TRUE,NOTA[[#This Row],[QTY/ CTN]],INDEX([3]!db[QTY/ CTN],NOTA[[#This Row],[//DB]])))</f>
        <v/>
      </c>
      <c r="AT11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1" s="39" t="str">
        <f ca="1">IF(NOTA[[#This Row],[ID_H]]="","",MATCH(NOTA[[#This Row],[NB NOTA_C_QTY]],[4]!db[NB NOTA_C_QTY+F],0))</f>
        <v/>
      </c>
      <c r="AV1131" s="55" t="str">
        <f ca="1">IF(NOTA[[#This Row],[NB NOTA_C_QTY]]="","",ROW()-2)</f>
        <v/>
      </c>
    </row>
    <row r="1132" spans="1:48" ht="20.100000000000001" customHeight="1" x14ac:dyDescent="0.25">
      <c r="A11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2" s="39" t="str">
        <f>IF(NOTA[[#This Row],[ID_P]]="","",MATCH(NOTA[[#This Row],[ID_P]],[1]!B_MSK[N_ID],0))</f>
        <v/>
      </c>
      <c r="D1132" s="39" t="str">
        <f ca="1">IF(NOTA[[#This Row],[NAMA BARANG]]="","",INDEX(NOTA[ID],MATCH(,INDIRECT(ADDRESS(ROW(NOTA[ID]),COLUMN(NOTA[ID]))&amp;":"&amp;ADDRESS(ROW(),COLUMN(NOTA[ID]))),-1)))</f>
        <v/>
      </c>
      <c r="E1132" s="47"/>
      <c r="H1132" s="48"/>
      <c r="N1132" s="39"/>
      <c r="Q1132" s="43"/>
      <c r="R1132" s="49"/>
      <c r="S1132" s="50"/>
      <c r="U1132" s="51"/>
      <c r="V1132" s="46"/>
      <c r="W1132" s="51" t="str">
        <f>IF(NOTA[[#This Row],[HARGA/ CTN]]="",NOTA[[#This Row],[JUMLAH_H]],NOTA[[#This Row],[HARGA/ CTN]]*IF(NOTA[[#This Row],[C]]="",0,NOTA[[#This Row],[C]]))</f>
        <v/>
      </c>
      <c r="X1132" s="51" t="str">
        <f>IF(NOTA[[#This Row],[JUMLAH]]="","",NOTA[[#This Row],[JUMLAH]]*NOTA[[#This Row],[DISC 1]])</f>
        <v/>
      </c>
      <c r="Y1132" s="51" t="str">
        <f>IF(NOTA[[#This Row],[JUMLAH]]="","",(NOTA[[#This Row],[JUMLAH]]-NOTA[[#This Row],[DISC 1-]])*NOTA[[#This Row],[DISC 2]])</f>
        <v/>
      </c>
      <c r="Z1132" s="51" t="str">
        <f>IF(NOTA[[#This Row],[JUMLAH]]="","",NOTA[[#This Row],[DISC 1-]]+NOTA[[#This Row],[DISC 2-]])</f>
        <v/>
      </c>
      <c r="AA1132" s="51" t="str">
        <f>IF(NOTA[[#This Row],[JUMLAH]]="","",NOTA[[#This Row],[JUMLAH]]-NOTA[[#This Row],[DISC]])</f>
        <v/>
      </c>
      <c r="AB1132" s="51"/>
      <c r="AC1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2" s="51" t="str">
        <f>IF(OR(NOTA[[#This Row],[QTY]]="",NOTA[[#This Row],[HARGA SATUAN]]="",),"",NOTA[[#This Row],[QTY]]*NOTA[[#This Row],[HARGA SATUAN]])</f>
        <v/>
      </c>
      <c r="AG1132" s="40" t="str">
        <f ca="1">IF(NOTA[ID_H]="","",INDEX(NOTA[TANGGAL],MATCH(,INDIRECT(ADDRESS(ROW(NOTA[TANGGAL]),COLUMN(NOTA[TANGGAL]))&amp;":"&amp;ADDRESS(ROW(),COLUMN(NOTA[TANGGAL]))),-1)))</f>
        <v/>
      </c>
      <c r="AH1132" s="42" t="str">
        <f ca="1">IF(NOTA[[#This Row],[NAMA BARANG]]="","",INDEX(NOTA[SUPPLIER],MATCH(,INDIRECT(ADDRESS(ROW(NOTA[ID]),COLUMN(NOTA[ID]))&amp;":"&amp;ADDRESS(ROW(),COLUMN(NOTA[ID]))),-1)))</f>
        <v/>
      </c>
      <c r="AI1132" s="42" t="str">
        <f ca="1">IF(NOTA[[#This Row],[ID_H]]="","",IF(NOTA[[#This Row],[FAKTUR]]="",INDIRECT(ADDRESS(ROW()-1,COLUMN())),NOTA[[#This Row],[FAKTUR]]))</f>
        <v/>
      </c>
      <c r="AJ1132" s="39" t="str">
        <f ca="1">IF(NOTA[[#This Row],[ID]]="","",COUNTIF(NOTA[ID_H],NOTA[[#This Row],[ID_H]]))</f>
        <v/>
      </c>
      <c r="AK1132" s="39" t="str">
        <f ca="1">IF(NOTA[[#This Row],[TGL.NOTA]]="",IF(NOTA[[#This Row],[SUPPLIER_H]]="","",AK1131),MONTH(NOTA[[#This Row],[TGL.NOTA]]))</f>
        <v/>
      </c>
      <c r="AL1132" s="39" t="str">
        <f>LOWER(SUBSTITUTE(SUBSTITUTE(SUBSTITUTE(SUBSTITUTE(SUBSTITUTE(SUBSTITUTE(SUBSTITUTE(SUBSTITUTE(SUBSTITUTE(NOTA[NAMA BARANG]," ",),".",""),"-",""),"(",""),")",""),",",""),"/",""),"""",""),"+",""))</f>
        <v/>
      </c>
      <c r="AM11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2" s="39" t="str">
        <f>IF(NOTA[[#This Row],[CONCAT4]]="","",_xlfn.IFNA(MATCH(NOTA[[#This Row],[CONCAT4]],[2]!RAW[CONCAT_H],0),FALSE))</f>
        <v/>
      </c>
      <c r="AQ1132" s="39" t="str">
        <f>IF(NOTA[[#This Row],[CONCAT1]]="","",MATCH(NOTA[[#This Row],[CONCAT1]],[3]!db[NB NOTA_C],0))</f>
        <v/>
      </c>
      <c r="AR1132" s="39" t="str">
        <f>IF(NOTA[[#This Row],[QTY/ CTN]]="","",TRUE)</f>
        <v/>
      </c>
      <c r="AS1132" s="39" t="str">
        <f ca="1">IF(NOTA[[#This Row],[ID_H]]="","",IF(NOTA[[#This Row],[Column3]]=TRUE,NOTA[[#This Row],[QTY/ CTN]],INDEX([3]!db[QTY/ CTN],NOTA[[#This Row],[//DB]])))</f>
        <v/>
      </c>
      <c r="AT11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2" s="39" t="str">
        <f ca="1">IF(NOTA[[#This Row],[ID_H]]="","",MATCH(NOTA[[#This Row],[NB NOTA_C_QTY]],[4]!db[NB NOTA_C_QTY+F],0))</f>
        <v/>
      </c>
      <c r="AV1132" s="55" t="str">
        <f ca="1">IF(NOTA[[#This Row],[NB NOTA_C_QTY]]="","",ROW()-2)</f>
        <v/>
      </c>
    </row>
    <row r="1133" spans="1:48" ht="20.100000000000001" customHeight="1" x14ac:dyDescent="0.25">
      <c r="A11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39" t="str">
        <f>IF(NOTA[[#This Row],[ID_P]]="","",MATCH(NOTA[[#This Row],[ID_P]],[1]!B_MSK[N_ID],0))</f>
        <v/>
      </c>
      <c r="D1133" s="39" t="str">
        <f ca="1">IF(NOTA[[#This Row],[NAMA BARANG]]="","",INDEX(NOTA[ID],MATCH(,INDIRECT(ADDRESS(ROW(NOTA[ID]),COLUMN(NOTA[ID]))&amp;":"&amp;ADDRESS(ROW(),COLUMN(NOTA[ID]))),-1)))</f>
        <v/>
      </c>
      <c r="E1133" s="47"/>
      <c r="H1133" s="48"/>
      <c r="N1133" s="39"/>
      <c r="Q1133" s="43"/>
      <c r="R1133" s="49"/>
      <c r="S1133" s="50"/>
      <c r="U1133" s="51"/>
      <c r="V1133" s="46"/>
      <c r="W1133" s="51" t="str">
        <f>IF(NOTA[[#This Row],[HARGA/ CTN]]="",NOTA[[#This Row],[JUMLAH_H]],NOTA[[#This Row],[HARGA/ CTN]]*IF(NOTA[[#This Row],[C]]="",0,NOTA[[#This Row],[C]]))</f>
        <v/>
      </c>
      <c r="X1133" s="51" t="str">
        <f>IF(NOTA[[#This Row],[JUMLAH]]="","",NOTA[[#This Row],[JUMLAH]]*NOTA[[#This Row],[DISC 1]])</f>
        <v/>
      </c>
      <c r="Y1133" s="51" t="str">
        <f>IF(NOTA[[#This Row],[JUMLAH]]="","",(NOTA[[#This Row],[JUMLAH]]-NOTA[[#This Row],[DISC 1-]])*NOTA[[#This Row],[DISC 2]])</f>
        <v/>
      </c>
      <c r="Z1133" s="51" t="str">
        <f>IF(NOTA[[#This Row],[JUMLAH]]="","",NOTA[[#This Row],[DISC 1-]]+NOTA[[#This Row],[DISC 2-]])</f>
        <v/>
      </c>
      <c r="AA1133" s="51" t="str">
        <f>IF(NOTA[[#This Row],[JUMLAH]]="","",NOTA[[#This Row],[JUMLAH]]-NOTA[[#This Row],[DISC]])</f>
        <v/>
      </c>
      <c r="AB1133" s="51"/>
      <c r="AC1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3" s="51" t="str">
        <f>IF(OR(NOTA[[#This Row],[QTY]]="",NOTA[[#This Row],[HARGA SATUAN]]="",),"",NOTA[[#This Row],[QTY]]*NOTA[[#This Row],[HARGA SATUAN]])</f>
        <v/>
      </c>
      <c r="AG1133" s="40" t="str">
        <f ca="1">IF(NOTA[ID_H]="","",INDEX(NOTA[TANGGAL],MATCH(,INDIRECT(ADDRESS(ROW(NOTA[TANGGAL]),COLUMN(NOTA[TANGGAL]))&amp;":"&amp;ADDRESS(ROW(),COLUMN(NOTA[TANGGAL]))),-1)))</f>
        <v/>
      </c>
      <c r="AH1133" s="42" t="str">
        <f ca="1">IF(NOTA[[#This Row],[NAMA BARANG]]="","",INDEX(NOTA[SUPPLIER],MATCH(,INDIRECT(ADDRESS(ROW(NOTA[ID]),COLUMN(NOTA[ID]))&amp;":"&amp;ADDRESS(ROW(),COLUMN(NOTA[ID]))),-1)))</f>
        <v/>
      </c>
      <c r="AI1133" s="42" t="str">
        <f ca="1">IF(NOTA[[#This Row],[ID_H]]="","",IF(NOTA[[#This Row],[FAKTUR]]="",INDIRECT(ADDRESS(ROW()-1,COLUMN())),NOTA[[#This Row],[FAKTUR]]))</f>
        <v/>
      </c>
      <c r="AJ1133" s="39" t="str">
        <f ca="1">IF(NOTA[[#This Row],[ID]]="","",COUNTIF(NOTA[ID_H],NOTA[[#This Row],[ID_H]]))</f>
        <v/>
      </c>
      <c r="AK1133" s="39" t="str">
        <f ca="1">IF(NOTA[[#This Row],[TGL.NOTA]]="",IF(NOTA[[#This Row],[SUPPLIER_H]]="","",AK1132),MONTH(NOTA[[#This Row],[TGL.NOTA]]))</f>
        <v/>
      </c>
      <c r="AL1133" s="39" t="str">
        <f>LOWER(SUBSTITUTE(SUBSTITUTE(SUBSTITUTE(SUBSTITUTE(SUBSTITUTE(SUBSTITUTE(SUBSTITUTE(SUBSTITUTE(SUBSTITUTE(NOTA[NAMA BARANG]," ",),".",""),"-",""),"(",""),")",""),",",""),"/",""),"""",""),"+",""))</f>
        <v/>
      </c>
      <c r="AM11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39" t="str">
        <f>IF(NOTA[[#This Row],[CONCAT4]]="","",_xlfn.IFNA(MATCH(NOTA[[#This Row],[CONCAT4]],[2]!RAW[CONCAT_H],0),FALSE))</f>
        <v/>
      </c>
      <c r="AQ1133" s="39" t="str">
        <f>IF(NOTA[[#This Row],[CONCAT1]]="","",MATCH(NOTA[[#This Row],[CONCAT1]],[3]!db[NB NOTA_C],0))</f>
        <v/>
      </c>
      <c r="AR1133" s="39" t="str">
        <f>IF(NOTA[[#This Row],[QTY/ CTN]]="","",TRUE)</f>
        <v/>
      </c>
      <c r="AS1133" s="39" t="str">
        <f ca="1">IF(NOTA[[#This Row],[ID_H]]="","",IF(NOTA[[#This Row],[Column3]]=TRUE,NOTA[[#This Row],[QTY/ CTN]],INDEX([3]!db[QTY/ CTN],NOTA[[#This Row],[//DB]])))</f>
        <v/>
      </c>
      <c r="AT11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3" s="39" t="str">
        <f ca="1">IF(NOTA[[#This Row],[ID_H]]="","",MATCH(NOTA[[#This Row],[NB NOTA_C_QTY]],[4]!db[NB NOTA_C_QTY+F],0))</f>
        <v/>
      </c>
      <c r="AV1133" s="55" t="str">
        <f ca="1">IF(NOTA[[#This Row],[NB NOTA_C_QTY]]="","",ROW()-2)</f>
        <v/>
      </c>
    </row>
    <row r="1134" spans="1:48" ht="20.100000000000001" customHeight="1" x14ac:dyDescent="0.25">
      <c r="A11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39" t="str">
        <f>IF(NOTA[[#This Row],[ID_P]]="","",MATCH(NOTA[[#This Row],[ID_P]],[1]!B_MSK[N_ID],0))</f>
        <v/>
      </c>
      <c r="D1134" s="39" t="str">
        <f ca="1">IF(NOTA[[#This Row],[NAMA BARANG]]="","",INDEX(NOTA[ID],MATCH(,INDIRECT(ADDRESS(ROW(NOTA[ID]),COLUMN(NOTA[ID]))&amp;":"&amp;ADDRESS(ROW(),COLUMN(NOTA[ID]))),-1)))</f>
        <v/>
      </c>
      <c r="E1134" s="47"/>
      <c r="H1134" s="48"/>
      <c r="N1134" s="39"/>
      <c r="Q1134" s="43"/>
      <c r="R1134" s="49"/>
      <c r="S1134" s="50"/>
      <c r="U1134" s="51"/>
      <c r="V1134" s="46"/>
      <c r="W1134" s="51" t="str">
        <f>IF(NOTA[[#This Row],[HARGA/ CTN]]="",NOTA[[#This Row],[JUMLAH_H]],NOTA[[#This Row],[HARGA/ CTN]]*IF(NOTA[[#This Row],[C]]="",0,NOTA[[#This Row],[C]]))</f>
        <v/>
      </c>
      <c r="X1134" s="51" t="str">
        <f>IF(NOTA[[#This Row],[JUMLAH]]="","",NOTA[[#This Row],[JUMLAH]]*NOTA[[#This Row],[DISC 1]])</f>
        <v/>
      </c>
      <c r="Y1134" s="51" t="str">
        <f>IF(NOTA[[#This Row],[JUMLAH]]="","",(NOTA[[#This Row],[JUMLAH]]-NOTA[[#This Row],[DISC 1-]])*NOTA[[#This Row],[DISC 2]])</f>
        <v/>
      </c>
      <c r="Z1134" s="51" t="str">
        <f>IF(NOTA[[#This Row],[JUMLAH]]="","",NOTA[[#This Row],[DISC 1-]]+NOTA[[#This Row],[DISC 2-]])</f>
        <v/>
      </c>
      <c r="AA1134" s="51" t="str">
        <f>IF(NOTA[[#This Row],[JUMLAH]]="","",NOTA[[#This Row],[JUMLAH]]-NOTA[[#This Row],[DISC]])</f>
        <v/>
      </c>
      <c r="AB1134" s="51"/>
      <c r="AC11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4" s="51" t="str">
        <f>IF(OR(NOTA[[#This Row],[QTY]]="",NOTA[[#This Row],[HARGA SATUAN]]="",),"",NOTA[[#This Row],[QTY]]*NOTA[[#This Row],[HARGA SATUAN]])</f>
        <v/>
      </c>
      <c r="AG1134" s="40" t="str">
        <f ca="1">IF(NOTA[ID_H]="","",INDEX(NOTA[TANGGAL],MATCH(,INDIRECT(ADDRESS(ROW(NOTA[TANGGAL]),COLUMN(NOTA[TANGGAL]))&amp;":"&amp;ADDRESS(ROW(),COLUMN(NOTA[TANGGAL]))),-1)))</f>
        <v/>
      </c>
      <c r="AH1134" s="42" t="str">
        <f ca="1">IF(NOTA[[#This Row],[NAMA BARANG]]="","",INDEX(NOTA[SUPPLIER],MATCH(,INDIRECT(ADDRESS(ROW(NOTA[ID]),COLUMN(NOTA[ID]))&amp;":"&amp;ADDRESS(ROW(),COLUMN(NOTA[ID]))),-1)))</f>
        <v/>
      </c>
      <c r="AI1134" s="42" t="str">
        <f ca="1">IF(NOTA[[#This Row],[ID_H]]="","",IF(NOTA[[#This Row],[FAKTUR]]="",INDIRECT(ADDRESS(ROW()-1,COLUMN())),NOTA[[#This Row],[FAKTUR]]))</f>
        <v/>
      </c>
      <c r="AJ1134" s="39" t="str">
        <f ca="1">IF(NOTA[[#This Row],[ID]]="","",COUNTIF(NOTA[ID_H],NOTA[[#This Row],[ID_H]]))</f>
        <v/>
      </c>
      <c r="AK1134" s="39" t="str">
        <f ca="1">IF(NOTA[[#This Row],[TGL.NOTA]]="",IF(NOTA[[#This Row],[SUPPLIER_H]]="","",AK1133),MONTH(NOTA[[#This Row],[TGL.NOTA]]))</f>
        <v/>
      </c>
      <c r="AL1134" s="39" t="str">
        <f>LOWER(SUBSTITUTE(SUBSTITUTE(SUBSTITUTE(SUBSTITUTE(SUBSTITUTE(SUBSTITUTE(SUBSTITUTE(SUBSTITUTE(SUBSTITUTE(NOTA[NAMA BARANG]," ",),".",""),"-",""),"(",""),")",""),",",""),"/",""),"""",""),"+",""))</f>
        <v/>
      </c>
      <c r="AM11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39" t="str">
        <f>IF(NOTA[[#This Row],[CONCAT4]]="","",_xlfn.IFNA(MATCH(NOTA[[#This Row],[CONCAT4]],[2]!RAW[CONCAT_H],0),FALSE))</f>
        <v/>
      </c>
      <c r="AQ1134" s="39" t="str">
        <f>IF(NOTA[[#This Row],[CONCAT1]]="","",MATCH(NOTA[[#This Row],[CONCAT1]],[3]!db[NB NOTA_C],0))</f>
        <v/>
      </c>
      <c r="AR1134" s="39" t="str">
        <f>IF(NOTA[[#This Row],[QTY/ CTN]]="","",TRUE)</f>
        <v/>
      </c>
      <c r="AS1134" s="39" t="str">
        <f ca="1">IF(NOTA[[#This Row],[ID_H]]="","",IF(NOTA[[#This Row],[Column3]]=TRUE,NOTA[[#This Row],[QTY/ CTN]],INDEX([3]!db[QTY/ CTN],NOTA[[#This Row],[//DB]])))</f>
        <v/>
      </c>
      <c r="AT11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4" s="39" t="str">
        <f ca="1">IF(NOTA[[#This Row],[ID_H]]="","",MATCH(NOTA[[#This Row],[NB NOTA_C_QTY]],[4]!db[NB NOTA_C_QTY+F],0))</f>
        <v/>
      </c>
      <c r="AV1134" s="55" t="str">
        <f ca="1">IF(NOTA[[#This Row],[NB NOTA_C_QTY]]="","",ROW()-2)</f>
        <v/>
      </c>
    </row>
    <row r="1135" spans="1:48" ht="20.100000000000001" customHeight="1" x14ac:dyDescent="0.25">
      <c r="A11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39" t="str">
        <f>IF(NOTA[[#This Row],[ID_P]]="","",MATCH(NOTA[[#This Row],[ID_P]],[1]!B_MSK[N_ID],0))</f>
        <v/>
      </c>
      <c r="D1135" s="39" t="str">
        <f ca="1">IF(NOTA[[#This Row],[NAMA BARANG]]="","",INDEX(NOTA[ID],MATCH(,INDIRECT(ADDRESS(ROW(NOTA[ID]),COLUMN(NOTA[ID]))&amp;":"&amp;ADDRESS(ROW(),COLUMN(NOTA[ID]))),-1)))</f>
        <v/>
      </c>
      <c r="E1135" s="47"/>
      <c r="H1135" s="48"/>
      <c r="N1135" s="39"/>
      <c r="Q1135" s="43"/>
      <c r="R1135" s="49"/>
      <c r="S1135" s="50"/>
      <c r="U1135" s="51"/>
      <c r="V1135" s="46"/>
      <c r="W1135" s="51" t="str">
        <f>IF(NOTA[[#This Row],[HARGA/ CTN]]="",NOTA[[#This Row],[JUMLAH_H]],NOTA[[#This Row],[HARGA/ CTN]]*IF(NOTA[[#This Row],[C]]="",0,NOTA[[#This Row],[C]]))</f>
        <v/>
      </c>
      <c r="X1135" s="51" t="str">
        <f>IF(NOTA[[#This Row],[JUMLAH]]="","",NOTA[[#This Row],[JUMLAH]]*NOTA[[#This Row],[DISC 1]])</f>
        <v/>
      </c>
      <c r="Y1135" s="51" t="str">
        <f>IF(NOTA[[#This Row],[JUMLAH]]="","",(NOTA[[#This Row],[JUMLAH]]-NOTA[[#This Row],[DISC 1-]])*NOTA[[#This Row],[DISC 2]])</f>
        <v/>
      </c>
      <c r="Z1135" s="51" t="str">
        <f>IF(NOTA[[#This Row],[JUMLAH]]="","",NOTA[[#This Row],[DISC 1-]]+NOTA[[#This Row],[DISC 2-]])</f>
        <v/>
      </c>
      <c r="AA1135" s="51" t="str">
        <f>IF(NOTA[[#This Row],[JUMLAH]]="","",NOTA[[#This Row],[JUMLAH]]-NOTA[[#This Row],[DISC]])</f>
        <v/>
      </c>
      <c r="AB1135" s="51"/>
      <c r="AC1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5" s="51" t="str">
        <f>IF(OR(NOTA[[#This Row],[QTY]]="",NOTA[[#This Row],[HARGA SATUAN]]="",),"",NOTA[[#This Row],[QTY]]*NOTA[[#This Row],[HARGA SATUAN]])</f>
        <v/>
      </c>
      <c r="AG1135" s="40" t="str">
        <f ca="1">IF(NOTA[ID_H]="","",INDEX(NOTA[TANGGAL],MATCH(,INDIRECT(ADDRESS(ROW(NOTA[TANGGAL]),COLUMN(NOTA[TANGGAL]))&amp;":"&amp;ADDRESS(ROW(),COLUMN(NOTA[TANGGAL]))),-1)))</f>
        <v/>
      </c>
      <c r="AH1135" s="42" t="str">
        <f ca="1">IF(NOTA[[#This Row],[NAMA BARANG]]="","",INDEX(NOTA[SUPPLIER],MATCH(,INDIRECT(ADDRESS(ROW(NOTA[ID]),COLUMN(NOTA[ID]))&amp;":"&amp;ADDRESS(ROW(),COLUMN(NOTA[ID]))),-1)))</f>
        <v/>
      </c>
      <c r="AI1135" s="42" t="str">
        <f ca="1">IF(NOTA[[#This Row],[ID_H]]="","",IF(NOTA[[#This Row],[FAKTUR]]="",INDIRECT(ADDRESS(ROW()-1,COLUMN())),NOTA[[#This Row],[FAKTUR]]))</f>
        <v/>
      </c>
      <c r="AJ1135" s="39" t="str">
        <f ca="1">IF(NOTA[[#This Row],[ID]]="","",COUNTIF(NOTA[ID_H],NOTA[[#This Row],[ID_H]]))</f>
        <v/>
      </c>
      <c r="AK1135" s="39" t="str">
        <f ca="1">IF(NOTA[[#This Row],[TGL.NOTA]]="",IF(NOTA[[#This Row],[SUPPLIER_H]]="","",AK1134),MONTH(NOTA[[#This Row],[TGL.NOTA]]))</f>
        <v/>
      </c>
      <c r="AL1135" s="39" t="str">
        <f>LOWER(SUBSTITUTE(SUBSTITUTE(SUBSTITUTE(SUBSTITUTE(SUBSTITUTE(SUBSTITUTE(SUBSTITUTE(SUBSTITUTE(SUBSTITUTE(NOTA[NAMA BARANG]," ",),".",""),"-",""),"(",""),")",""),",",""),"/",""),"""",""),"+",""))</f>
        <v/>
      </c>
      <c r="AM11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39" t="str">
        <f>IF(NOTA[[#This Row],[CONCAT4]]="","",_xlfn.IFNA(MATCH(NOTA[[#This Row],[CONCAT4]],[2]!RAW[CONCAT_H],0),FALSE))</f>
        <v/>
      </c>
      <c r="AQ1135" s="39" t="str">
        <f>IF(NOTA[[#This Row],[CONCAT1]]="","",MATCH(NOTA[[#This Row],[CONCAT1]],[3]!db[NB NOTA_C],0))</f>
        <v/>
      </c>
      <c r="AR1135" s="39" t="str">
        <f>IF(NOTA[[#This Row],[QTY/ CTN]]="","",TRUE)</f>
        <v/>
      </c>
      <c r="AS1135" s="39" t="str">
        <f ca="1">IF(NOTA[[#This Row],[ID_H]]="","",IF(NOTA[[#This Row],[Column3]]=TRUE,NOTA[[#This Row],[QTY/ CTN]],INDEX([3]!db[QTY/ CTN],NOTA[[#This Row],[//DB]])))</f>
        <v/>
      </c>
      <c r="AT11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5" s="39" t="str">
        <f ca="1">IF(NOTA[[#This Row],[ID_H]]="","",MATCH(NOTA[[#This Row],[NB NOTA_C_QTY]],[4]!db[NB NOTA_C_QTY+F],0))</f>
        <v/>
      </c>
      <c r="AV1135" s="55" t="str">
        <f ca="1">IF(NOTA[[#This Row],[NB NOTA_C_QTY]]="","",ROW()-2)</f>
        <v/>
      </c>
    </row>
    <row r="1136" spans="1:48" ht="20.100000000000001" customHeight="1" x14ac:dyDescent="0.25">
      <c r="A11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39" t="str">
        <f>IF(NOTA[[#This Row],[ID_P]]="","",MATCH(NOTA[[#This Row],[ID_P]],[1]!B_MSK[N_ID],0))</f>
        <v/>
      </c>
      <c r="D1136" s="39" t="str">
        <f ca="1">IF(NOTA[[#This Row],[NAMA BARANG]]="","",INDEX(NOTA[ID],MATCH(,INDIRECT(ADDRESS(ROW(NOTA[ID]),COLUMN(NOTA[ID]))&amp;":"&amp;ADDRESS(ROW(),COLUMN(NOTA[ID]))),-1)))</f>
        <v/>
      </c>
      <c r="E1136" s="47"/>
      <c r="H1136" s="48"/>
      <c r="N1136" s="39"/>
      <c r="Q1136" s="43"/>
      <c r="R1136" s="49"/>
      <c r="S1136" s="50"/>
      <c r="U1136" s="51"/>
      <c r="V1136" s="46"/>
      <c r="W1136" s="51" t="str">
        <f>IF(NOTA[[#This Row],[HARGA/ CTN]]="",NOTA[[#This Row],[JUMLAH_H]],NOTA[[#This Row],[HARGA/ CTN]]*IF(NOTA[[#This Row],[C]]="",0,NOTA[[#This Row],[C]]))</f>
        <v/>
      </c>
      <c r="X1136" s="51" t="str">
        <f>IF(NOTA[[#This Row],[JUMLAH]]="","",NOTA[[#This Row],[JUMLAH]]*NOTA[[#This Row],[DISC 1]])</f>
        <v/>
      </c>
      <c r="Y1136" s="51" t="str">
        <f>IF(NOTA[[#This Row],[JUMLAH]]="","",(NOTA[[#This Row],[JUMLAH]]-NOTA[[#This Row],[DISC 1-]])*NOTA[[#This Row],[DISC 2]])</f>
        <v/>
      </c>
      <c r="Z1136" s="51" t="str">
        <f>IF(NOTA[[#This Row],[JUMLAH]]="","",NOTA[[#This Row],[DISC 1-]]+NOTA[[#This Row],[DISC 2-]])</f>
        <v/>
      </c>
      <c r="AA1136" s="51" t="str">
        <f>IF(NOTA[[#This Row],[JUMLAH]]="","",NOTA[[#This Row],[JUMLAH]]-NOTA[[#This Row],[DISC]])</f>
        <v/>
      </c>
      <c r="AB1136" s="51"/>
      <c r="AC1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6" s="51" t="str">
        <f>IF(OR(NOTA[[#This Row],[QTY]]="",NOTA[[#This Row],[HARGA SATUAN]]="",),"",NOTA[[#This Row],[QTY]]*NOTA[[#This Row],[HARGA SATUAN]])</f>
        <v/>
      </c>
      <c r="AG1136" s="40" t="str">
        <f ca="1">IF(NOTA[ID_H]="","",INDEX(NOTA[TANGGAL],MATCH(,INDIRECT(ADDRESS(ROW(NOTA[TANGGAL]),COLUMN(NOTA[TANGGAL]))&amp;":"&amp;ADDRESS(ROW(),COLUMN(NOTA[TANGGAL]))),-1)))</f>
        <v/>
      </c>
      <c r="AH1136" s="42" t="str">
        <f ca="1">IF(NOTA[[#This Row],[NAMA BARANG]]="","",INDEX(NOTA[SUPPLIER],MATCH(,INDIRECT(ADDRESS(ROW(NOTA[ID]),COLUMN(NOTA[ID]))&amp;":"&amp;ADDRESS(ROW(),COLUMN(NOTA[ID]))),-1)))</f>
        <v/>
      </c>
      <c r="AI1136" s="42" t="str">
        <f ca="1">IF(NOTA[[#This Row],[ID_H]]="","",IF(NOTA[[#This Row],[FAKTUR]]="",INDIRECT(ADDRESS(ROW()-1,COLUMN())),NOTA[[#This Row],[FAKTUR]]))</f>
        <v/>
      </c>
      <c r="AJ1136" s="39" t="str">
        <f ca="1">IF(NOTA[[#This Row],[ID]]="","",COUNTIF(NOTA[ID_H],NOTA[[#This Row],[ID_H]]))</f>
        <v/>
      </c>
      <c r="AK1136" s="39" t="str">
        <f ca="1">IF(NOTA[[#This Row],[TGL.NOTA]]="",IF(NOTA[[#This Row],[SUPPLIER_H]]="","",AK1135),MONTH(NOTA[[#This Row],[TGL.NOTA]]))</f>
        <v/>
      </c>
      <c r="AL1136" s="39" t="str">
        <f>LOWER(SUBSTITUTE(SUBSTITUTE(SUBSTITUTE(SUBSTITUTE(SUBSTITUTE(SUBSTITUTE(SUBSTITUTE(SUBSTITUTE(SUBSTITUTE(NOTA[NAMA BARANG]," ",),".",""),"-",""),"(",""),")",""),",",""),"/",""),"""",""),"+",""))</f>
        <v/>
      </c>
      <c r="AM11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39" t="str">
        <f>IF(NOTA[[#This Row],[CONCAT4]]="","",_xlfn.IFNA(MATCH(NOTA[[#This Row],[CONCAT4]],[2]!RAW[CONCAT_H],0),FALSE))</f>
        <v/>
      </c>
      <c r="AQ1136" s="39" t="str">
        <f>IF(NOTA[[#This Row],[CONCAT1]]="","",MATCH(NOTA[[#This Row],[CONCAT1]],[3]!db[NB NOTA_C],0))</f>
        <v/>
      </c>
      <c r="AR1136" s="39" t="str">
        <f>IF(NOTA[[#This Row],[QTY/ CTN]]="","",TRUE)</f>
        <v/>
      </c>
      <c r="AS1136" s="39" t="str">
        <f ca="1">IF(NOTA[[#This Row],[ID_H]]="","",IF(NOTA[[#This Row],[Column3]]=TRUE,NOTA[[#This Row],[QTY/ CTN]],INDEX([3]!db[QTY/ CTN],NOTA[[#This Row],[//DB]])))</f>
        <v/>
      </c>
      <c r="AT11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6" s="39" t="str">
        <f ca="1">IF(NOTA[[#This Row],[ID_H]]="","",MATCH(NOTA[[#This Row],[NB NOTA_C_QTY]],[4]!db[NB NOTA_C_QTY+F],0))</f>
        <v/>
      </c>
      <c r="AV1136" s="55" t="str">
        <f ca="1">IF(NOTA[[#This Row],[NB NOTA_C_QTY]]="","",ROW()-2)</f>
        <v/>
      </c>
    </row>
    <row r="1137" spans="1:48" ht="20.100000000000001" customHeight="1" x14ac:dyDescent="0.25">
      <c r="A11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39" t="str">
        <f>IF(NOTA[[#This Row],[ID_P]]="","",MATCH(NOTA[[#This Row],[ID_P]],[1]!B_MSK[N_ID],0))</f>
        <v/>
      </c>
      <c r="D1137" s="39" t="str">
        <f ca="1">IF(NOTA[[#This Row],[NAMA BARANG]]="","",INDEX(NOTA[ID],MATCH(,INDIRECT(ADDRESS(ROW(NOTA[ID]),COLUMN(NOTA[ID]))&amp;":"&amp;ADDRESS(ROW(),COLUMN(NOTA[ID]))),-1)))</f>
        <v/>
      </c>
      <c r="E1137" s="47"/>
      <c r="H1137" s="48"/>
      <c r="N1137" s="39"/>
      <c r="Q1137" s="43"/>
      <c r="R1137" s="49"/>
      <c r="S1137" s="50"/>
      <c r="U1137" s="51"/>
      <c r="V1137" s="46"/>
      <c r="W1137" s="51" t="str">
        <f>IF(NOTA[[#This Row],[HARGA/ CTN]]="",NOTA[[#This Row],[JUMLAH_H]],NOTA[[#This Row],[HARGA/ CTN]]*IF(NOTA[[#This Row],[C]]="",0,NOTA[[#This Row],[C]]))</f>
        <v/>
      </c>
      <c r="X1137" s="51" t="str">
        <f>IF(NOTA[[#This Row],[JUMLAH]]="","",NOTA[[#This Row],[JUMLAH]]*NOTA[[#This Row],[DISC 1]])</f>
        <v/>
      </c>
      <c r="Y1137" s="51" t="str">
        <f>IF(NOTA[[#This Row],[JUMLAH]]="","",(NOTA[[#This Row],[JUMLAH]]-NOTA[[#This Row],[DISC 1-]])*NOTA[[#This Row],[DISC 2]])</f>
        <v/>
      </c>
      <c r="Z1137" s="51" t="str">
        <f>IF(NOTA[[#This Row],[JUMLAH]]="","",NOTA[[#This Row],[DISC 1-]]+NOTA[[#This Row],[DISC 2-]])</f>
        <v/>
      </c>
      <c r="AA1137" s="51" t="str">
        <f>IF(NOTA[[#This Row],[JUMLAH]]="","",NOTA[[#This Row],[JUMLAH]]-NOTA[[#This Row],[DISC]])</f>
        <v/>
      </c>
      <c r="AB1137" s="51"/>
      <c r="AC1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7" s="51" t="str">
        <f>IF(OR(NOTA[[#This Row],[QTY]]="",NOTA[[#This Row],[HARGA SATUAN]]="",),"",NOTA[[#This Row],[QTY]]*NOTA[[#This Row],[HARGA SATUAN]])</f>
        <v/>
      </c>
      <c r="AG1137" s="40" t="str">
        <f ca="1">IF(NOTA[ID_H]="","",INDEX(NOTA[TANGGAL],MATCH(,INDIRECT(ADDRESS(ROW(NOTA[TANGGAL]),COLUMN(NOTA[TANGGAL]))&amp;":"&amp;ADDRESS(ROW(),COLUMN(NOTA[TANGGAL]))),-1)))</f>
        <v/>
      </c>
      <c r="AH1137" s="42" t="str">
        <f ca="1">IF(NOTA[[#This Row],[NAMA BARANG]]="","",INDEX(NOTA[SUPPLIER],MATCH(,INDIRECT(ADDRESS(ROW(NOTA[ID]),COLUMN(NOTA[ID]))&amp;":"&amp;ADDRESS(ROW(),COLUMN(NOTA[ID]))),-1)))</f>
        <v/>
      </c>
      <c r="AI1137" s="42" t="str">
        <f ca="1">IF(NOTA[[#This Row],[ID_H]]="","",IF(NOTA[[#This Row],[FAKTUR]]="",INDIRECT(ADDRESS(ROW()-1,COLUMN())),NOTA[[#This Row],[FAKTUR]]))</f>
        <v/>
      </c>
      <c r="AJ1137" s="39" t="str">
        <f ca="1">IF(NOTA[[#This Row],[ID]]="","",COUNTIF(NOTA[ID_H],NOTA[[#This Row],[ID_H]]))</f>
        <v/>
      </c>
      <c r="AK1137" s="39" t="str">
        <f ca="1">IF(NOTA[[#This Row],[TGL.NOTA]]="",IF(NOTA[[#This Row],[SUPPLIER_H]]="","",AK1136),MONTH(NOTA[[#This Row],[TGL.NOTA]]))</f>
        <v/>
      </c>
      <c r="AL1137" s="39" t="str">
        <f>LOWER(SUBSTITUTE(SUBSTITUTE(SUBSTITUTE(SUBSTITUTE(SUBSTITUTE(SUBSTITUTE(SUBSTITUTE(SUBSTITUTE(SUBSTITUTE(NOTA[NAMA BARANG]," ",),".",""),"-",""),"(",""),")",""),",",""),"/",""),"""",""),"+",""))</f>
        <v/>
      </c>
      <c r="AM11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39" t="str">
        <f>IF(NOTA[[#This Row],[CONCAT4]]="","",_xlfn.IFNA(MATCH(NOTA[[#This Row],[CONCAT4]],[2]!RAW[CONCAT_H],0),FALSE))</f>
        <v/>
      </c>
      <c r="AQ1137" s="39" t="str">
        <f>IF(NOTA[[#This Row],[CONCAT1]]="","",MATCH(NOTA[[#This Row],[CONCAT1]],[3]!db[NB NOTA_C],0))</f>
        <v/>
      </c>
      <c r="AR1137" s="39" t="str">
        <f>IF(NOTA[[#This Row],[QTY/ CTN]]="","",TRUE)</f>
        <v/>
      </c>
      <c r="AS1137" s="39" t="str">
        <f ca="1">IF(NOTA[[#This Row],[ID_H]]="","",IF(NOTA[[#This Row],[Column3]]=TRUE,NOTA[[#This Row],[QTY/ CTN]],INDEX([3]!db[QTY/ CTN],NOTA[[#This Row],[//DB]])))</f>
        <v/>
      </c>
      <c r="AT11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7" s="39" t="str">
        <f ca="1">IF(NOTA[[#This Row],[ID_H]]="","",MATCH(NOTA[[#This Row],[NB NOTA_C_QTY]],[4]!db[NB NOTA_C_QTY+F],0))</f>
        <v/>
      </c>
      <c r="AV1137" s="55" t="str">
        <f ca="1">IF(NOTA[[#This Row],[NB NOTA_C_QTY]]="","",ROW()-2)</f>
        <v/>
      </c>
    </row>
    <row r="1138" spans="1:48" ht="20.100000000000001" customHeight="1" x14ac:dyDescent="0.25">
      <c r="A11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39" t="str">
        <f>IF(NOTA[[#This Row],[ID_P]]="","",MATCH(NOTA[[#This Row],[ID_P]],[1]!B_MSK[N_ID],0))</f>
        <v/>
      </c>
      <c r="D1138" s="39" t="str">
        <f ca="1">IF(NOTA[[#This Row],[NAMA BARANG]]="","",INDEX(NOTA[ID],MATCH(,INDIRECT(ADDRESS(ROW(NOTA[ID]),COLUMN(NOTA[ID]))&amp;":"&amp;ADDRESS(ROW(),COLUMN(NOTA[ID]))),-1)))</f>
        <v/>
      </c>
      <c r="E1138" s="47"/>
      <c r="H1138" s="48"/>
      <c r="N1138" s="39"/>
      <c r="Q1138" s="43"/>
      <c r="R1138" s="49"/>
      <c r="S1138" s="50"/>
      <c r="U1138" s="51"/>
      <c r="V1138" s="46"/>
      <c r="W1138" s="51" t="str">
        <f>IF(NOTA[[#This Row],[HARGA/ CTN]]="",NOTA[[#This Row],[JUMLAH_H]],NOTA[[#This Row],[HARGA/ CTN]]*IF(NOTA[[#This Row],[C]]="",0,NOTA[[#This Row],[C]]))</f>
        <v/>
      </c>
      <c r="X1138" s="51" t="str">
        <f>IF(NOTA[[#This Row],[JUMLAH]]="","",NOTA[[#This Row],[JUMLAH]]*NOTA[[#This Row],[DISC 1]])</f>
        <v/>
      </c>
      <c r="Y1138" s="51" t="str">
        <f>IF(NOTA[[#This Row],[JUMLAH]]="","",(NOTA[[#This Row],[JUMLAH]]-NOTA[[#This Row],[DISC 1-]])*NOTA[[#This Row],[DISC 2]])</f>
        <v/>
      </c>
      <c r="Z1138" s="51" t="str">
        <f>IF(NOTA[[#This Row],[JUMLAH]]="","",NOTA[[#This Row],[DISC 1-]]+NOTA[[#This Row],[DISC 2-]])</f>
        <v/>
      </c>
      <c r="AA1138" s="51" t="str">
        <f>IF(NOTA[[#This Row],[JUMLAH]]="","",NOTA[[#This Row],[JUMLAH]]-NOTA[[#This Row],[DISC]])</f>
        <v/>
      </c>
      <c r="AB1138" s="51"/>
      <c r="AC1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8" s="51" t="str">
        <f>IF(OR(NOTA[[#This Row],[QTY]]="",NOTA[[#This Row],[HARGA SATUAN]]="",),"",NOTA[[#This Row],[QTY]]*NOTA[[#This Row],[HARGA SATUAN]])</f>
        <v/>
      </c>
      <c r="AG1138" s="40" t="str">
        <f ca="1">IF(NOTA[ID_H]="","",INDEX(NOTA[TANGGAL],MATCH(,INDIRECT(ADDRESS(ROW(NOTA[TANGGAL]),COLUMN(NOTA[TANGGAL]))&amp;":"&amp;ADDRESS(ROW(),COLUMN(NOTA[TANGGAL]))),-1)))</f>
        <v/>
      </c>
      <c r="AH1138" s="42" t="str">
        <f ca="1">IF(NOTA[[#This Row],[NAMA BARANG]]="","",INDEX(NOTA[SUPPLIER],MATCH(,INDIRECT(ADDRESS(ROW(NOTA[ID]),COLUMN(NOTA[ID]))&amp;":"&amp;ADDRESS(ROW(),COLUMN(NOTA[ID]))),-1)))</f>
        <v/>
      </c>
      <c r="AI1138" s="42" t="str">
        <f ca="1">IF(NOTA[[#This Row],[ID_H]]="","",IF(NOTA[[#This Row],[FAKTUR]]="",INDIRECT(ADDRESS(ROW()-1,COLUMN())),NOTA[[#This Row],[FAKTUR]]))</f>
        <v/>
      </c>
      <c r="AJ1138" s="39" t="str">
        <f ca="1">IF(NOTA[[#This Row],[ID]]="","",COUNTIF(NOTA[ID_H],NOTA[[#This Row],[ID_H]]))</f>
        <v/>
      </c>
      <c r="AK1138" s="39" t="str">
        <f ca="1">IF(NOTA[[#This Row],[TGL.NOTA]]="",IF(NOTA[[#This Row],[SUPPLIER_H]]="","",AK1137),MONTH(NOTA[[#This Row],[TGL.NOTA]]))</f>
        <v/>
      </c>
      <c r="AL1138" s="39" t="str">
        <f>LOWER(SUBSTITUTE(SUBSTITUTE(SUBSTITUTE(SUBSTITUTE(SUBSTITUTE(SUBSTITUTE(SUBSTITUTE(SUBSTITUTE(SUBSTITUTE(NOTA[NAMA BARANG]," ",),".",""),"-",""),"(",""),")",""),",",""),"/",""),"""",""),"+",""))</f>
        <v/>
      </c>
      <c r="AM11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39" t="str">
        <f>IF(NOTA[[#This Row],[CONCAT4]]="","",_xlfn.IFNA(MATCH(NOTA[[#This Row],[CONCAT4]],[2]!RAW[CONCAT_H],0),FALSE))</f>
        <v/>
      </c>
      <c r="AQ1138" s="39" t="str">
        <f>IF(NOTA[[#This Row],[CONCAT1]]="","",MATCH(NOTA[[#This Row],[CONCAT1]],[3]!db[NB NOTA_C],0))</f>
        <v/>
      </c>
      <c r="AR1138" s="39" t="str">
        <f>IF(NOTA[[#This Row],[QTY/ CTN]]="","",TRUE)</f>
        <v/>
      </c>
      <c r="AS1138" s="39" t="str">
        <f ca="1">IF(NOTA[[#This Row],[ID_H]]="","",IF(NOTA[[#This Row],[Column3]]=TRUE,NOTA[[#This Row],[QTY/ CTN]],INDEX([3]!db[QTY/ CTN],NOTA[[#This Row],[//DB]])))</f>
        <v/>
      </c>
      <c r="AT11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8" s="39" t="str">
        <f ca="1">IF(NOTA[[#This Row],[ID_H]]="","",MATCH(NOTA[[#This Row],[NB NOTA_C_QTY]],[4]!db[NB NOTA_C_QTY+F],0))</f>
        <v/>
      </c>
      <c r="AV1138" s="55" t="str">
        <f ca="1">IF(NOTA[[#This Row],[NB NOTA_C_QTY]]="","",ROW()-2)</f>
        <v/>
      </c>
    </row>
    <row r="1139" spans="1:48" ht="20.100000000000001" customHeight="1" x14ac:dyDescent="0.25">
      <c r="A11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39" t="str">
        <f>IF(NOTA[[#This Row],[ID_P]]="","",MATCH(NOTA[[#This Row],[ID_P]],[1]!B_MSK[N_ID],0))</f>
        <v/>
      </c>
      <c r="D1139" s="39" t="str">
        <f ca="1">IF(NOTA[[#This Row],[NAMA BARANG]]="","",INDEX(NOTA[ID],MATCH(,INDIRECT(ADDRESS(ROW(NOTA[ID]),COLUMN(NOTA[ID]))&amp;":"&amp;ADDRESS(ROW(),COLUMN(NOTA[ID]))),-1)))</f>
        <v/>
      </c>
      <c r="E1139" s="47"/>
      <c r="H1139" s="48"/>
      <c r="N1139" s="39"/>
      <c r="Q1139" s="43"/>
      <c r="R1139" s="49"/>
      <c r="S1139" s="50"/>
      <c r="U1139" s="51"/>
      <c r="V1139" s="46"/>
      <c r="W1139" s="51" t="str">
        <f>IF(NOTA[[#This Row],[HARGA/ CTN]]="",NOTA[[#This Row],[JUMLAH_H]],NOTA[[#This Row],[HARGA/ CTN]]*IF(NOTA[[#This Row],[C]]="",0,NOTA[[#This Row],[C]]))</f>
        <v/>
      </c>
      <c r="X1139" s="51" t="str">
        <f>IF(NOTA[[#This Row],[JUMLAH]]="","",NOTA[[#This Row],[JUMLAH]]*NOTA[[#This Row],[DISC 1]])</f>
        <v/>
      </c>
      <c r="Y1139" s="51" t="str">
        <f>IF(NOTA[[#This Row],[JUMLAH]]="","",(NOTA[[#This Row],[JUMLAH]]-NOTA[[#This Row],[DISC 1-]])*NOTA[[#This Row],[DISC 2]])</f>
        <v/>
      </c>
      <c r="Z1139" s="51" t="str">
        <f>IF(NOTA[[#This Row],[JUMLAH]]="","",NOTA[[#This Row],[DISC 1-]]+NOTA[[#This Row],[DISC 2-]])</f>
        <v/>
      </c>
      <c r="AA1139" s="51" t="str">
        <f>IF(NOTA[[#This Row],[JUMLAH]]="","",NOTA[[#This Row],[JUMLAH]]-NOTA[[#This Row],[DISC]])</f>
        <v/>
      </c>
      <c r="AB1139" s="51"/>
      <c r="AC1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51" t="str">
        <f>IF(OR(NOTA[[#This Row],[QTY]]="",NOTA[[#This Row],[HARGA SATUAN]]="",),"",NOTA[[#This Row],[QTY]]*NOTA[[#This Row],[HARGA SATUAN]])</f>
        <v/>
      </c>
      <c r="AG1139" s="40" t="str">
        <f ca="1">IF(NOTA[ID_H]="","",INDEX(NOTA[TANGGAL],MATCH(,INDIRECT(ADDRESS(ROW(NOTA[TANGGAL]),COLUMN(NOTA[TANGGAL]))&amp;":"&amp;ADDRESS(ROW(),COLUMN(NOTA[TANGGAL]))),-1)))</f>
        <v/>
      </c>
      <c r="AH1139" s="42" t="str">
        <f ca="1">IF(NOTA[[#This Row],[NAMA BARANG]]="","",INDEX(NOTA[SUPPLIER],MATCH(,INDIRECT(ADDRESS(ROW(NOTA[ID]),COLUMN(NOTA[ID]))&amp;":"&amp;ADDRESS(ROW(),COLUMN(NOTA[ID]))),-1)))</f>
        <v/>
      </c>
      <c r="AI1139" s="42" t="str">
        <f ca="1">IF(NOTA[[#This Row],[ID_H]]="","",IF(NOTA[[#This Row],[FAKTUR]]="",INDIRECT(ADDRESS(ROW()-1,COLUMN())),NOTA[[#This Row],[FAKTUR]]))</f>
        <v/>
      </c>
      <c r="AJ1139" s="39" t="str">
        <f ca="1">IF(NOTA[[#This Row],[ID]]="","",COUNTIF(NOTA[ID_H],NOTA[[#This Row],[ID_H]]))</f>
        <v/>
      </c>
      <c r="AK1139" s="39" t="str">
        <f ca="1">IF(NOTA[[#This Row],[TGL.NOTA]]="",IF(NOTA[[#This Row],[SUPPLIER_H]]="","",AK1138),MONTH(NOTA[[#This Row],[TGL.NOTA]]))</f>
        <v/>
      </c>
      <c r="AL1139" s="39" t="str">
        <f>LOWER(SUBSTITUTE(SUBSTITUTE(SUBSTITUTE(SUBSTITUTE(SUBSTITUTE(SUBSTITUTE(SUBSTITUTE(SUBSTITUTE(SUBSTITUTE(NOTA[NAMA BARANG]," ",),".",""),"-",""),"(",""),")",""),",",""),"/",""),"""",""),"+",""))</f>
        <v/>
      </c>
      <c r="AM11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39" t="str">
        <f>IF(NOTA[[#This Row],[CONCAT4]]="","",_xlfn.IFNA(MATCH(NOTA[[#This Row],[CONCAT4]],[2]!RAW[CONCAT_H],0),FALSE))</f>
        <v/>
      </c>
      <c r="AQ1139" s="39" t="str">
        <f>IF(NOTA[[#This Row],[CONCAT1]]="","",MATCH(NOTA[[#This Row],[CONCAT1]],[3]!db[NB NOTA_C],0))</f>
        <v/>
      </c>
      <c r="AR1139" s="39" t="str">
        <f>IF(NOTA[[#This Row],[QTY/ CTN]]="","",TRUE)</f>
        <v/>
      </c>
      <c r="AS1139" s="39" t="str">
        <f ca="1">IF(NOTA[[#This Row],[ID_H]]="","",IF(NOTA[[#This Row],[Column3]]=TRUE,NOTA[[#This Row],[QTY/ CTN]],INDEX([3]!db[QTY/ CTN],NOTA[[#This Row],[//DB]])))</f>
        <v/>
      </c>
      <c r="AT11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9" s="39" t="str">
        <f ca="1">IF(NOTA[[#This Row],[ID_H]]="","",MATCH(NOTA[[#This Row],[NB NOTA_C_QTY]],[4]!db[NB NOTA_C_QTY+F],0))</f>
        <v/>
      </c>
      <c r="AV1139" s="55" t="str">
        <f ca="1">IF(NOTA[[#This Row],[NB NOTA_C_QTY]]="","",ROW()-2)</f>
        <v/>
      </c>
    </row>
    <row r="1140" spans="1:48" ht="20.100000000000001" customHeight="1" x14ac:dyDescent="0.25">
      <c r="A11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0" s="39" t="str">
        <f>IF(NOTA[[#This Row],[ID_P]]="","",MATCH(NOTA[[#This Row],[ID_P]],[1]!B_MSK[N_ID],0))</f>
        <v/>
      </c>
      <c r="D1140" s="39" t="str">
        <f ca="1">IF(NOTA[[#This Row],[NAMA BARANG]]="","",INDEX(NOTA[ID],MATCH(,INDIRECT(ADDRESS(ROW(NOTA[ID]),COLUMN(NOTA[ID]))&amp;":"&amp;ADDRESS(ROW(),COLUMN(NOTA[ID]))),-1)))</f>
        <v/>
      </c>
      <c r="E1140" s="47"/>
      <c r="H1140" s="48"/>
      <c r="N1140" s="39"/>
      <c r="Q1140" s="43"/>
      <c r="R1140" s="49"/>
      <c r="S1140" s="50"/>
      <c r="U1140" s="51"/>
      <c r="V1140" s="46"/>
      <c r="W1140" s="51" t="str">
        <f>IF(NOTA[[#This Row],[HARGA/ CTN]]="",NOTA[[#This Row],[JUMLAH_H]],NOTA[[#This Row],[HARGA/ CTN]]*IF(NOTA[[#This Row],[C]]="",0,NOTA[[#This Row],[C]]))</f>
        <v/>
      </c>
      <c r="X1140" s="51" t="str">
        <f>IF(NOTA[[#This Row],[JUMLAH]]="","",NOTA[[#This Row],[JUMLAH]]*NOTA[[#This Row],[DISC 1]])</f>
        <v/>
      </c>
      <c r="Y1140" s="51" t="str">
        <f>IF(NOTA[[#This Row],[JUMLAH]]="","",(NOTA[[#This Row],[JUMLAH]]-NOTA[[#This Row],[DISC 1-]])*NOTA[[#This Row],[DISC 2]])</f>
        <v/>
      </c>
      <c r="Z1140" s="51" t="str">
        <f>IF(NOTA[[#This Row],[JUMLAH]]="","",NOTA[[#This Row],[DISC 1-]]+NOTA[[#This Row],[DISC 2-]])</f>
        <v/>
      </c>
      <c r="AA1140" s="51" t="str">
        <f>IF(NOTA[[#This Row],[JUMLAH]]="","",NOTA[[#This Row],[JUMLAH]]-NOTA[[#This Row],[DISC]])</f>
        <v/>
      </c>
      <c r="AB1140" s="51"/>
      <c r="AC1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0" s="51" t="str">
        <f>IF(OR(NOTA[[#This Row],[QTY]]="",NOTA[[#This Row],[HARGA SATUAN]]="",),"",NOTA[[#This Row],[QTY]]*NOTA[[#This Row],[HARGA SATUAN]])</f>
        <v/>
      </c>
      <c r="AG1140" s="40" t="str">
        <f ca="1">IF(NOTA[ID_H]="","",INDEX(NOTA[TANGGAL],MATCH(,INDIRECT(ADDRESS(ROW(NOTA[TANGGAL]),COLUMN(NOTA[TANGGAL]))&amp;":"&amp;ADDRESS(ROW(),COLUMN(NOTA[TANGGAL]))),-1)))</f>
        <v/>
      </c>
      <c r="AH1140" s="42" t="str">
        <f ca="1">IF(NOTA[[#This Row],[NAMA BARANG]]="","",INDEX(NOTA[SUPPLIER],MATCH(,INDIRECT(ADDRESS(ROW(NOTA[ID]),COLUMN(NOTA[ID]))&amp;":"&amp;ADDRESS(ROW(),COLUMN(NOTA[ID]))),-1)))</f>
        <v/>
      </c>
      <c r="AI1140" s="42" t="str">
        <f ca="1">IF(NOTA[[#This Row],[ID_H]]="","",IF(NOTA[[#This Row],[FAKTUR]]="",INDIRECT(ADDRESS(ROW()-1,COLUMN())),NOTA[[#This Row],[FAKTUR]]))</f>
        <v/>
      </c>
      <c r="AJ1140" s="39" t="str">
        <f ca="1">IF(NOTA[[#This Row],[ID]]="","",COUNTIF(NOTA[ID_H],NOTA[[#This Row],[ID_H]]))</f>
        <v/>
      </c>
      <c r="AK1140" s="39" t="str">
        <f ca="1">IF(NOTA[[#This Row],[TGL.NOTA]]="",IF(NOTA[[#This Row],[SUPPLIER_H]]="","",AK1139),MONTH(NOTA[[#This Row],[TGL.NOTA]]))</f>
        <v/>
      </c>
      <c r="AL1140" s="39" t="str">
        <f>LOWER(SUBSTITUTE(SUBSTITUTE(SUBSTITUTE(SUBSTITUTE(SUBSTITUTE(SUBSTITUTE(SUBSTITUTE(SUBSTITUTE(SUBSTITUTE(NOTA[NAMA BARANG]," ",),".",""),"-",""),"(",""),")",""),",",""),"/",""),"""",""),"+",""))</f>
        <v/>
      </c>
      <c r="AM11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0" s="39" t="str">
        <f>IF(NOTA[[#This Row],[CONCAT4]]="","",_xlfn.IFNA(MATCH(NOTA[[#This Row],[CONCAT4]],[2]!RAW[CONCAT_H],0),FALSE))</f>
        <v/>
      </c>
      <c r="AQ1140" s="39" t="str">
        <f>IF(NOTA[[#This Row],[CONCAT1]]="","",MATCH(NOTA[[#This Row],[CONCAT1]],[3]!db[NB NOTA_C],0))</f>
        <v/>
      </c>
      <c r="AR1140" s="39" t="str">
        <f>IF(NOTA[[#This Row],[QTY/ CTN]]="","",TRUE)</f>
        <v/>
      </c>
      <c r="AS1140" s="39" t="str">
        <f ca="1">IF(NOTA[[#This Row],[ID_H]]="","",IF(NOTA[[#This Row],[Column3]]=TRUE,NOTA[[#This Row],[QTY/ CTN]],INDEX([3]!db[QTY/ CTN],NOTA[[#This Row],[//DB]])))</f>
        <v/>
      </c>
      <c r="AT11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0" s="39" t="str">
        <f ca="1">IF(NOTA[[#This Row],[ID_H]]="","",MATCH(NOTA[[#This Row],[NB NOTA_C_QTY]],[4]!db[NB NOTA_C_QTY+F],0))</f>
        <v/>
      </c>
      <c r="AV1140" s="55" t="str">
        <f ca="1">IF(NOTA[[#This Row],[NB NOTA_C_QTY]]="","",ROW()-2)</f>
        <v/>
      </c>
    </row>
    <row r="1141" spans="1:48" ht="20.100000000000001" customHeight="1" x14ac:dyDescent="0.25">
      <c r="A11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39" t="str">
        <f>IF(NOTA[[#This Row],[ID_P]]="","",MATCH(NOTA[[#This Row],[ID_P]],[1]!B_MSK[N_ID],0))</f>
        <v/>
      </c>
      <c r="D1141" s="39" t="str">
        <f ca="1">IF(NOTA[[#This Row],[NAMA BARANG]]="","",INDEX(NOTA[ID],MATCH(,INDIRECT(ADDRESS(ROW(NOTA[ID]),COLUMN(NOTA[ID]))&amp;":"&amp;ADDRESS(ROW(),COLUMN(NOTA[ID]))),-1)))</f>
        <v/>
      </c>
      <c r="E1141" s="47"/>
      <c r="H1141" s="48"/>
      <c r="N1141" s="39"/>
      <c r="Q1141" s="43"/>
      <c r="R1141" s="49"/>
      <c r="S1141" s="50"/>
      <c r="U1141" s="51"/>
      <c r="V1141" s="46"/>
      <c r="W1141" s="51" t="str">
        <f>IF(NOTA[[#This Row],[HARGA/ CTN]]="",NOTA[[#This Row],[JUMLAH_H]],NOTA[[#This Row],[HARGA/ CTN]]*IF(NOTA[[#This Row],[C]]="",0,NOTA[[#This Row],[C]]))</f>
        <v/>
      </c>
      <c r="X1141" s="51" t="str">
        <f>IF(NOTA[[#This Row],[JUMLAH]]="","",NOTA[[#This Row],[JUMLAH]]*NOTA[[#This Row],[DISC 1]])</f>
        <v/>
      </c>
      <c r="Y1141" s="51" t="str">
        <f>IF(NOTA[[#This Row],[JUMLAH]]="","",(NOTA[[#This Row],[JUMLAH]]-NOTA[[#This Row],[DISC 1-]])*NOTA[[#This Row],[DISC 2]])</f>
        <v/>
      </c>
      <c r="Z1141" s="51" t="str">
        <f>IF(NOTA[[#This Row],[JUMLAH]]="","",NOTA[[#This Row],[DISC 1-]]+NOTA[[#This Row],[DISC 2-]])</f>
        <v/>
      </c>
      <c r="AA1141" s="51" t="str">
        <f>IF(NOTA[[#This Row],[JUMLAH]]="","",NOTA[[#This Row],[JUMLAH]]-NOTA[[#This Row],[DISC]])</f>
        <v/>
      </c>
      <c r="AB1141" s="51"/>
      <c r="AC1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51" t="str">
        <f>IF(OR(NOTA[[#This Row],[QTY]]="",NOTA[[#This Row],[HARGA SATUAN]]="",),"",NOTA[[#This Row],[QTY]]*NOTA[[#This Row],[HARGA SATUAN]])</f>
        <v/>
      </c>
      <c r="AG1141" s="40" t="str">
        <f ca="1">IF(NOTA[ID_H]="","",INDEX(NOTA[TANGGAL],MATCH(,INDIRECT(ADDRESS(ROW(NOTA[TANGGAL]),COLUMN(NOTA[TANGGAL]))&amp;":"&amp;ADDRESS(ROW(),COLUMN(NOTA[TANGGAL]))),-1)))</f>
        <v/>
      </c>
      <c r="AH1141" s="42" t="str">
        <f ca="1">IF(NOTA[[#This Row],[NAMA BARANG]]="","",INDEX(NOTA[SUPPLIER],MATCH(,INDIRECT(ADDRESS(ROW(NOTA[ID]),COLUMN(NOTA[ID]))&amp;":"&amp;ADDRESS(ROW(),COLUMN(NOTA[ID]))),-1)))</f>
        <v/>
      </c>
      <c r="AI1141" s="42" t="str">
        <f ca="1">IF(NOTA[[#This Row],[ID_H]]="","",IF(NOTA[[#This Row],[FAKTUR]]="",INDIRECT(ADDRESS(ROW()-1,COLUMN())),NOTA[[#This Row],[FAKTUR]]))</f>
        <v/>
      </c>
      <c r="AJ1141" s="39" t="str">
        <f ca="1">IF(NOTA[[#This Row],[ID]]="","",COUNTIF(NOTA[ID_H],NOTA[[#This Row],[ID_H]]))</f>
        <v/>
      </c>
      <c r="AK1141" s="39" t="str">
        <f ca="1">IF(NOTA[[#This Row],[TGL.NOTA]]="",IF(NOTA[[#This Row],[SUPPLIER_H]]="","",AK1140),MONTH(NOTA[[#This Row],[TGL.NOTA]]))</f>
        <v/>
      </c>
      <c r="AL1141" s="39" t="str">
        <f>LOWER(SUBSTITUTE(SUBSTITUTE(SUBSTITUTE(SUBSTITUTE(SUBSTITUTE(SUBSTITUTE(SUBSTITUTE(SUBSTITUTE(SUBSTITUTE(NOTA[NAMA BARANG]," ",),".",""),"-",""),"(",""),")",""),",",""),"/",""),"""",""),"+",""))</f>
        <v/>
      </c>
      <c r="AM11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39" t="str">
        <f>IF(NOTA[[#This Row],[CONCAT4]]="","",_xlfn.IFNA(MATCH(NOTA[[#This Row],[CONCAT4]],[2]!RAW[CONCAT_H],0),FALSE))</f>
        <v/>
      </c>
      <c r="AQ1141" s="39" t="str">
        <f>IF(NOTA[[#This Row],[CONCAT1]]="","",MATCH(NOTA[[#This Row],[CONCAT1]],[3]!db[NB NOTA_C],0))</f>
        <v/>
      </c>
      <c r="AR1141" s="39" t="str">
        <f>IF(NOTA[[#This Row],[QTY/ CTN]]="","",TRUE)</f>
        <v/>
      </c>
      <c r="AS1141" s="39" t="str">
        <f ca="1">IF(NOTA[[#This Row],[ID_H]]="","",IF(NOTA[[#This Row],[Column3]]=TRUE,NOTA[[#This Row],[QTY/ CTN]],INDEX([3]!db[QTY/ CTN],NOTA[[#This Row],[//DB]])))</f>
        <v/>
      </c>
      <c r="AT11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1" s="39" t="str">
        <f ca="1">IF(NOTA[[#This Row],[ID_H]]="","",MATCH(NOTA[[#This Row],[NB NOTA_C_QTY]],[4]!db[NB NOTA_C_QTY+F],0))</f>
        <v/>
      </c>
      <c r="AV1141" s="55" t="str">
        <f ca="1">IF(NOTA[[#This Row],[NB NOTA_C_QTY]]="","",ROW()-2)</f>
        <v/>
      </c>
    </row>
    <row r="1142" spans="1:48" ht="20.100000000000001" customHeight="1" x14ac:dyDescent="0.25">
      <c r="A11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2" s="39" t="str">
        <f>IF(NOTA[[#This Row],[ID_P]]="","",MATCH(NOTA[[#This Row],[ID_P]],[1]!B_MSK[N_ID],0))</f>
        <v/>
      </c>
      <c r="D1142" s="39" t="str">
        <f ca="1">IF(NOTA[[#This Row],[NAMA BARANG]]="","",INDEX(NOTA[ID],MATCH(,INDIRECT(ADDRESS(ROW(NOTA[ID]),COLUMN(NOTA[ID]))&amp;":"&amp;ADDRESS(ROW(),COLUMN(NOTA[ID]))),-1)))</f>
        <v/>
      </c>
      <c r="E1142" s="47"/>
      <c r="H1142" s="48"/>
      <c r="N1142" s="39"/>
      <c r="Q1142" s="43"/>
      <c r="R1142" s="49"/>
      <c r="S1142" s="50"/>
      <c r="U1142" s="51"/>
      <c r="V1142" s="46"/>
      <c r="W1142" s="51" t="str">
        <f>IF(NOTA[[#This Row],[HARGA/ CTN]]="",NOTA[[#This Row],[JUMLAH_H]],NOTA[[#This Row],[HARGA/ CTN]]*IF(NOTA[[#This Row],[C]]="",0,NOTA[[#This Row],[C]]))</f>
        <v/>
      </c>
      <c r="X1142" s="51" t="str">
        <f>IF(NOTA[[#This Row],[JUMLAH]]="","",NOTA[[#This Row],[JUMLAH]]*NOTA[[#This Row],[DISC 1]])</f>
        <v/>
      </c>
      <c r="Y1142" s="51" t="str">
        <f>IF(NOTA[[#This Row],[JUMLAH]]="","",(NOTA[[#This Row],[JUMLAH]]-NOTA[[#This Row],[DISC 1-]])*NOTA[[#This Row],[DISC 2]])</f>
        <v/>
      </c>
      <c r="Z1142" s="51" t="str">
        <f>IF(NOTA[[#This Row],[JUMLAH]]="","",NOTA[[#This Row],[DISC 1-]]+NOTA[[#This Row],[DISC 2-]])</f>
        <v/>
      </c>
      <c r="AA1142" s="51" t="str">
        <f>IF(NOTA[[#This Row],[JUMLAH]]="","",NOTA[[#This Row],[JUMLAH]]-NOTA[[#This Row],[DISC]])</f>
        <v/>
      </c>
      <c r="AB1142" s="51"/>
      <c r="AC1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2" s="51" t="str">
        <f>IF(OR(NOTA[[#This Row],[QTY]]="",NOTA[[#This Row],[HARGA SATUAN]]="",),"",NOTA[[#This Row],[QTY]]*NOTA[[#This Row],[HARGA SATUAN]])</f>
        <v/>
      </c>
      <c r="AG1142" s="40" t="str">
        <f ca="1">IF(NOTA[ID_H]="","",INDEX(NOTA[TANGGAL],MATCH(,INDIRECT(ADDRESS(ROW(NOTA[TANGGAL]),COLUMN(NOTA[TANGGAL]))&amp;":"&amp;ADDRESS(ROW(),COLUMN(NOTA[TANGGAL]))),-1)))</f>
        <v/>
      </c>
      <c r="AH1142" s="42" t="str">
        <f ca="1">IF(NOTA[[#This Row],[NAMA BARANG]]="","",INDEX(NOTA[SUPPLIER],MATCH(,INDIRECT(ADDRESS(ROW(NOTA[ID]),COLUMN(NOTA[ID]))&amp;":"&amp;ADDRESS(ROW(),COLUMN(NOTA[ID]))),-1)))</f>
        <v/>
      </c>
      <c r="AI1142" s="42" t="str">
        <f ca="1">IF(NOTA[[#This Row],[ID_H]]="","",IF(NOTA[[#This Row],[FAKTUR]]="",INDIRECT(ADDRESS(ROW()-1,COLUMN())),NOTA[[#This Row],[FAKTUR]]))</f>
        <v/>
      </c>
      <c r="AJ1142" s="39" t="str">
        <f ca="1">IF(NOTA[[#This Row],[ID]]="","",COUNTIF(NOTA[ID_H],NOTA[[#This Row],[ID_H]]))</f>
        <v/>
      </c>
      <c r="AK1142" s="39" t="str">
        <f ca="1">IF(NOTA[[#This Row],[TGL.NOTA]]="",IF(NOTA[[#This Row],[SUPPLIER_H]]="","",AK1141),MONTH(NOTA[[#This Row],[TGL.NOTA]]))</f>
        <v/>
      </c>
      <c r="AL1142" s="39" t="str">
        <f>LOWER(SUBSTITUTE(SUBSTITUTE(SUBSTITUTE(SUBSTITUTE(SUBSTITUTE(SUBSTITUTE(SUBSTITUTE(SUBSTITUTE(SUBSTITUTE(NOTA[NAMA BARANG]," ",),".",""),"-",""),"(",""),")",""),",",""),"/",""),"""",""),"+",""))</f>
        <v/>
      </c>
      <c r="AM11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2" s="39" t="str">
        <f>IF(NOTA[[#This Row],[CONCAT4]]="","",_xlfn.IFNA(MATCH(NOTA[[#This Row],[CONCAT4]],[2]!RAW[CONCAT_H],0),FALSE))</f>
        <v/>
      </c>
      <c r="AQ1142" s="39" t="str">
        <f>IF(NOTA[[#This Row],[CONCAT1]]="","",MATCH(NOTA[[#This Row],[CONCAT1]],[3]!db[NB NOTA_C],0))</f>
        <v/>
      </c>
      <c r="AR1142" s="39" t="str">
        <f>IF(NOTA[[#This Row],[QTY/ CTN]]="","",TRUE)</f>
        <v/>
      </c>
      <c r="AS1142" s="39" t="str">
        <f ca="1">IF(NOTA[[#This Row],[ID_H]]="","",IF(NOTA[[#This Row],[Column3]]=TRUE,NOTA[[#This Row],[QTY/ CTN]],INDEX([3]!db[QTY/ CTN],NOTA[[#This Row],[//DB]])))</f>
        <v/>
      </c>
      <c r="AT11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2" s="39" t="str">
        <f ca="1">IF(NOTA[[#This Row],[ID_H]]="","",MATCH(NOTA[[#This Row],[NB NOTA_C_QTY]],[4]!db[NB NOTA_C_QTY+F],0))</f>
        <v/>
      </c>
      <c r="AV1142" s="55" t="str">
        <f ca="1">IF(NOTA[[#This Row],[NB NOTA_C_QTY]]="","",ROW()-2)</f>
        <v/>
      </c>
    </row>
    <row r="1143" spans="1:48" ht="20.100000000000001" customHeight="1" x14ac:dyDescent="0.25">
      <c r="A11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39" t="str">
        <f>IF(NOTA[[#This Row],[ID_P]]="","",MATCH(NOTA[[#This Row],[ID_P]],[1]!B_MSK[N_ID],0))</f>
        <v/>
      </c>
      <c r="D1143" s="39" t="str">
        <f ca="1">IF(NOTA[[#This Row],[NAMA BARANG]]="","",INDEX(NOTA[ID],MATCH(,INDIRECT(ADDRESS(ROW(NOTA[ID]),COLUMN(NOTA[ID]))&amp;":"&amp;ADDRESS(ROW(),COLUMN(NOTA[ID]))),-1)))</f>
        <v/>
      </c>
      <c r="E1143" s="47"/>
      <c r="H1143" s="48"/>
      <c r="N1143" s="39"/>
      <c r="Q1143" s="43"/>
      <c r="R1143" s="49"/>
      <c r="S1143" s="50"/>
      <c r="U1143" s="51"/>
      <c r="V1143" s="46"/>
      <c r="W1143" s="51" t="str">
        <f>IF(NOTA[[#This Row],[HARGA/ CTN]]="",NOTA[[#This Row],[JUMLAH_H]],NOTA[[#This Row],[HARGA/ CTN]]*IF(NOTA[[#This Row],[C]]="",0,NOTA[[#This Row],[C]]))</f>
        <v/>
      </c>
      <c r="X1143" s="51" t="str">
        <f>IF(NOTA[[#This Row],[JUMLAH]]="","",NOTA[[#This Row],[JUMLAH]]*NOTA[[#This Row],[DISC 1]])</f>
        <v/>
      </c>
      <c r="Y1143" s="51" t="str">
        <f>IF(NOTA[[#This Row],[JUMLAH]]="","",(NOTA[[#This Row],[JUMLAH]]-NOTA[[#This Row],[DISC 1-]])*NOTA[[#This Row],[DISC 2]])</f>
        <v/>
      </c>
      <c r="Z1143" s="51" t="str">
        <f>IF(NOTA[[#This Row],[JUMLAH]]="","",NOTA[[#This Row],[DISC 1-]]+NOTA[[#This Row],[DISC 2-]])</f>
        <v/>
      </c>
      <c r="AA1143" s="51" t="str">
        <f>IF(NOTA[[#This Row],[JUMLAH]]="","",NOTA[[#This Row],[JUMLAH]]-NOTA[[#This Row],[DISC]])</f>
        <v/>
      </c>
      <c r="AB1143" s="51"/>
      <c r="AC1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51" t="str">
        <f>IF(OR(NOTA[[#This Row],[QTY]]="",NOTA[[#This Row],[HARGA SATUAN]]="",),"",NOTA[[#This Row],[QTY]]*NOTA[[#This Row],[HARGA SATUAN]])</f>
        <v/>
      </c>
      <c r="AG1143" s="40" t="str">
        <f ca="1">IF(NOTA[ID_H]="","",INDEX(NOTA[TANGGAL],MATCH(,INDIRECT(ADDRESS(ROW(NOTA[TANGGAL]),COLUMN(NOTA[TANGGAL]))&amp;":"&amp;ADDRESS(ROW(),COLUMN(NOTA[TANGGAL]))),-1)))</f>
        <v/>
      </c>
      <c r="AH1143" s="42" t="str">
        <f ca="1">IF(NOTA[[#This Row],[NAMA BARANG]]="","",INDEX(NOTA[SUPPLIER],MATCH(,INDIRECT(ADDRESS(ROW(NOTA[ID]),COLUMN(NOTA[ID]))&amp;":"&amp;ADDRESS(ROW(),COLUMN(NOTA[ID]))),-1)))</f>
        <v/>
      </c>
      <c r="AI1143" s="42" t="str">
        <f ca="1">IF(NOTA[[#This Row],[ID_H]]="","",IF(NOTA[[#This Row],[FAKTUR]]="",INDIRECT(ADDRESS(ROW()-1,COLUMN())),NOTA[[#This Row],[FAKTUR]]))</f>
        <v/>
      </c>
      <c r="AJ1143" s="39" t="str">
        <f ca="1">IF(NOTA[[#This Row],[ID]]="","",COUNTIF(NOTA[ID_H],NOTA[[#This Row],[ID_H]]))</f>
        <v/>
      </c>
      <c r="AK1143" s="39" t="str">
        <f ca="1">IF(NOTA[[#This Row],[TGL.NOTA]]="",IF(NOTA[[#This Row],[SUPPLIER_H]]="","",AK1142),MONTH(NOTA[[#This Row],[TGL.NOTA]]))</f>
        <v/>
      </c>
      <c r="AL1143" s="39" t="str">
        <f>LOWER(SUBSTITUTE(SUBSTITUTE(SUBSTITUTE(SUBSTITUTE(SUBSTITUTE(SUBSTITUTE(SUBSTITUTE(SUBSTITUTE(SUBSTITUTE(NOTA[NAMA BARANG]," ",),".",""),"-",""),"(",""),")",""),",",""),"/",""),"""",""),"+",""))</f>
        <v/>
      </c>
      <c r="AM11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39" t="str">
        <f>IF(NOTA[[#This Row],[CONCAT4]]="","",_xlfn.IFNA(MATCH(NOTA[[#This Row],[CONCAT4]],[2]!RAW[CONCAT_H],0),FALSE))</f>
        <v/>
      </c>
      <c r="AQ1143" s="39" t="str">
        <f>IF(NOTA[[#This Row],[CONCAT1]]="","",MATCH(NOTA[[#This Row],[CONCAT1]],[3]!db[NB NOTA_C],0))</f>
        <v/>
      </c>
      <c r="AR1143" s="39" t="str">
        <f>IF(NOTA[[#This Row],[QTY/ CTN]]="","",TRUE)</f>
        <v/>
      </c>
      <c r="AS1143" s="39" t="str">
        <f ca="1">IF(NOTA[[#This Row],[ID_H]]="","",IF(NOTA[[#This Row],[Column3]]=TRUE,NOTA[[#This Row],[QTY/ CTN]],INDEX([3]!db[QTY/ CTN],NOTA[[#This Row],[//DB]])))</f>
        <v/>
      </c>
      <c r="AT11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3" s="39" t="str">
        <f ca="1">IF(NOTA[[#This Row],[ID_H]]="","",MATCH(NOTA[[#This Row],[NB NOTA_C_QTY]],[4]!db[NB NOTA_C_QTY+F],0))</f>
        <v/>
      </c>
      <c r="AV1143" s="55" t="str">
        <f ca="1">IF(NOTA[[#This Row],[NB NOTA_C_QTY]]="","",ROW()-2)</f>
        <v/>
      </c>
    </row>
    <row r="1144" spans="1:48" ht="20.100000000000001" customHeight="1" x14ac:dyDescent="0.25">
      <c r="A11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4" s="39" t="str">
        <f>IF(NOTA[[#This Row],[ID_P]]="","",MATCH(NOTA[[#This Row],[ID_P]],[1]!B_MSK[N_ID],0))</f>
        <v/>
      </c>
      <c r="D1144" s="39" t="str">
        <f ca="1">IF(NOTA[[#This Row],[NAMA BARANG]]="","",INDEX(NOTA[ID],MATCH(,INDIRECT(ADDRESS(ROW(NOTA[ID]),COLUMN(NOTA[ID]))&amp;":"&amp;ADDRESS(ROW(),COLUMN(NOTA[ID]))),-1)))</f>
        <v/>
      </c>
      <c r="E1144" s="47"/>
      <c r="H1144" s="48"/>
      <c r="N1144" s="39"/>
      <c r="Q1144" s="43"/>
      <c r="R1144" s="49"/>
      <c r="S1144" s="50"/>
      <c r="U1144" s="51"/>
      <c r="V1144" s="46"/>
      <c r="W1144" s="51" t="str">
        <f>IF(NOTA[[#This Row],[HARGA/ CTN]]="",NOTA[[#This Row],[JUMLAH_H]],NOTA[[#This Row],[HARGA/ CTN]]*IF(NOTA[[#This Row],[C]]="",0,NOTA[[#This Row],[C]]))</f>
        <v/>
      </c>
      <c r="X1144" s="51" t="str">
        <f>IF(NOTA[[#This Row],[JUMLAH]]="","",NOTA[[#This Row],[JUMLAH]]*NOTA[[#This Row],[DISC 1]])</f>
        <v/>
      </c>
      <c r="Y1144" s="51" t="str">
        <f>IF(NOTA[[#This Row],[JUMLAH]]="","",(NOTA[[#This Row],[JUMLAH]]-NOTA[[#This Row],[DISC 1-]])*NOTA[[#This Row],[DISC 2]])</f>
        <v/>
      </c>
      <c r="Z1144" s="51" t="str">
        <f>IF(NOTA[[#This Row],[JUMLAH]]="","",NOTA[[#This Row],[DISC 1-]]+NOTA[[#This Row],[DISC 2-]])</f>
        <v/>
      </c>
      <c r="AA1144" s="51" t="str">
        <f>IF(NOTA[[#This Row],[JUMLAH]]="","",NOTA[[#This Row],[JUMLAH]]-NOTA[[#This Row],[DISC]])</f>
        <v/>
      </c>
      <c r="AB1144" s="51"/>
      <c r="AC11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4" s="51" t="str">
        <f>IF(OR(NOTA[[#This Row],[QTY]]="",NOTA[[#This Row],[HARGA SATUAN]]="",),"",NOTA[[#This Row],[QTY]]*NOTA[[#This Row],[HARGA SATUAN]])</f>
        <v/>
      </c>
      <c r="AG1144" s="40" t="str">
        <f ca="1">IF(NOTA[ID_H]="","",INDEX(NOTA[TANGGAL],MATCH(,INDIRECT(ADDRESS(ROW(NOTA[TANGGAL]),COLUMN(NOTA[TANGGAL]))&amp;":"&amp;ADDRESS(ROW(),COLUMN(NOTA[TANGGAL]))),-1)))</f>
        <v/>
      </c>
      <c r="AH1144" s="42" t="str">
        <f ca="1">IF(NOTA[[#This Row],[NAMA BARANG]]="","",INDEX(NOTA[SUPPLIER],MATCH(,INDIRECT(ADDRESS(ROW(NOTA[ID]),COLUMN(NOTA[ID]))&amp;":"&amp;ADDRESS(ROW(),COLUMN(NOTA[ID]))),-1)))</f>
        <v/>
      </c>
      <c r="AI1144" s="42" t="str">
        <f ca="1">IF(NOTA[[#This Row],[ID_H]]="","",IF(NOTA[[#This Row],[FAKTUR]]="",INDIRECT(ADDRESS(ROW()-1,COLUMN())),NOTA[[#This Row],[FAKTUR]]))</f>
        <v/>
      </c>
      <c r="AJ1144" s="39" t="str">
        <f ca="1">IF(NOTA[[#This Row],[ID]]="","",COUNTIF(NOTA[ID_H],NOTA[[#This Row],[ID_H]]))</f>
        <v/>
      </c>
      <c r="AK1144" s="39" t="str">
        <f ca="1">IF(NOTA[[#This Row],[TGL.NOTA]]="",IF(NOTA[[#This Row],[SUPPLIER_H]]="","",AK1143),MONTH(NOTA[[#This Row],[TGL.NOTA]]))</f>
        <v/>
      </c>
      <c r="AL1144" s="39" t="str">
        <f>LOWER(SUBSTITUTE(SUBSTITUTE(SUBSTITUTE(SUBSTITUTE(SUBSTITUTE(SUBSTITUTE(SUBSTITUTE(SUBSTITUTE(SUBSTITUTE(NOTA[NAMA BARANG]," ",),".",""),"-",""),"(",""),")",""),",",""),"/",""),"""",""),"+",""))</f>
        <v/>
      </c>
      <c r="AM11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4" s="39" t="str">
        <f>IF(NOTA[[#This Row],[CONCAT4]]="","",_xlfn.IFNA(MATCH(NOTA[[#This Row],[CONCAT4]],[2]!RAW[CONCAT_H],0),FALSE))</f>
        <v/>
      </c>
      <c r="AQ1144" s="39" t="str">
        <f>IF(NOTA[[#This Row],[CONCAT1]]="","",MATCH(NOTA[[#This Row],[CONCAT1]],[3]!db[NB NOTA_C],0))</f>
        <v/>
      </c>
      <c r="AR1144" s="39" t="str">
        <f>IF(NOTA[[#This Row],[QTY/ CTN]]="","",TRUE)</f>
        <v/>
      </c>
      <c r="AS1144" s="39" t="str">
        <f ca="1">IF(NOTA[[#This Row],[ID_H]]="","",IF(NOTA[[#This Row],[Column3]]=TRUE,NOTA[[#This Row],[QTY/ CTN]],INDEX([3]!db[QTY/ CTN],NOTA[[#This Row],[//DB]])))</f>
        <v/>
      </c>
      <c r="AT11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4" s="39" t="str">
        <f ca="1">IF(NOTA[[#This Row],[ID_H]]="","",MATCH(NOTA[[#This Row],[NB NOTA_C_QTY]],[4]!db[NB NOTA_C_QTY+F],0))</f>
        <v/>
      </c>
      <c r="AV1144" s="55" t="str">
        <f ca="1">IF(NOTA[[#This Row],[NB NOTA_C_QTY]]="","",ROW()-2)</f>
        <v/>
      </c>
    </row>
    <row r="1145" spans="1:48" ht="20.100000000000001" customHeight="1" x14ac:dyDescent="0.25">
      <c r="A11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39" t="str">
        <f>IF(NOTA[[#This Row],[ID_P]]="","",MATCH(NOTA[[#This Row],[ID_P]],[1]!B_MSK[N_ID],0))</f>
        <v/>
      </c>
      <c r="D1145" s="39" t="str">
        <f ca="1">IF(NOTA[[#This Row],[NAMA BARANG]]="","",INDEX(NOTA[ID],MATCH(,INDIRECT(ADDRESS(ROW(NOTA[ID]),COLUMN(NOTA[ID]))&amp;":"&amp;ADDRESS(ROW(),COLUMN(NOTA[ID]))),-1)))</f>
        <v/>
      </c>
      <c r="E1145" s="47"/>
      <c r="H1145" s="48"/>
      <c r="N1145" s="39"/>
      <c r="Q1145" s="43"/>
      <c r="R1145" s="49"/>
      <c r="S1145" s="50"/>
      <c r="U1145" s="51"/>
      <c r="V1145" s="46"/>
      <c r="W1145" s="51" t="str">
        <f>IF(NOTA[[#This Row],[HARGA/ CTN]]="",NOTA[[#This Row],[JUMLAH_H]],NOTA[[#This Row],[HARGA/ CTN]]*IF(NOTA[[#This Row],[C]]="",0,NOTA[[#This Row],[C]]))</f>
        <v/>
      </c>
      <c r="X1145" s="51" t="str">
        <f>IF(NOTA[[#This Row],[JUMLAH]]="","",NOTA[[#This Row],[JUMLAH]]*NOTA[[#This Row],[DISC 1]])</f>
        <v/>
      </c>
      <c r="Y1145" s="51" t="str">
        <f>IF(NOTA[[#This Row],[JUMLAH]]="","",(NOTA[[#This Row],[JUMLAH]]-NOTA[[#This Row],[DISC 1-]])*NOTA[[#This Row],[DISC 2]])</f>
        <v/>
      </c>
      <c r="Z1145" s="51" t="str">
        <f>IF(NOTA[[#This Row],[JUMLAH]]="","",NOTA[[#This Row],[DISC 1-]]+NOTA[[#This Row],[DISC 2-]])</f>
        <v/>
      </c>
      <c r="AA1145" s="51" t="str">
        <f>IF(NOTA[[#This Row],[JUMLAH]]="","",NOTA[[#This Row],[JUMLAH]]-NOTA[[#This Row],[DISC]])</f>
        <v/>
      </c>
      <c r="AB1145" s="51"/>
      <c r="AC1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5" s="51" t="str">
        <f>IF(OR(NOTA[[#This Row],[QTY]]="",NOTA[[#This Row],[HARGA SATUAN]]="",),"",NOTA[[#This Row],[QTY]]*NOTA[[#This Row],[HARGA SATUAN]])</f>
        <v/>
      </c>
      <c r="AG1145" s="40" t="str">
        <f ca="1">IF(NOTA[ID_H]="","",INDEX(NOTA[TANGGAL],MATCH(,INDIRECT(ADDRESS(ROW(NOTA[TANGGAL]),COLUMN(NOTA[TANGGAL]))&amp;":"&amp;ADDRESS(ROW(),COLUMN(NOTA[TANGGAL]))),-1)))</f>
        <v/>
      </c>
      <c r="AH1145" s="42" t="str">
        <f ca="1">IF(NOTA[[#This Row],[NAMA BARANG]]="","",INDEX(NOTA[SUPPLIER],MATCH(,INDIRECT(ADDRESS(ROW(NOTA[ID]),COLUMN(NOTA[ID]))&amp;":"&amp;ADDRESS(ROW(),COLUMN(NOTA[ID]))),-1)))</f>
        <v/>
      </c>
      <c r="AI1145" s="42" t="str">
        <f ca="1">IF(NOTA[[#This Row],[ID_H]]="","",IF(NOTA[[#This Row],[FAKTUR]]="",INDIRECT(ADDRESS(ROW()-1,COLUMN())),NOTA[[#This Row],[FAKTUR]]))</f>
        <v/>
      </c>
      <c r="AJ1145" s="39" t="str">
        <f ca="1">IF(NOTA[[#This Row],[ID]]="","",COUNTIF(NOTA[ID_H],NOTA[[#This Row],[ID_H]]))</f>
        <v/>
      </c>
      <c r="AK1145" s="39" t="str">
        <f ca="1">IF(NOTA[[#This Row],[TGL.NOTA]]="",IF(NOTA[[#This Row],[SUPPLIER_H]]="","",AK1144),MONTH(NOTA[[#This Row],[TGL.NOTA]]))</f>
        <v/>
      </c>
      <c r="AL1145" s="39" t="str">
        <f>LOWER(SUBSTITUTE(SUBSTITUTE(SUBSTITUTE(SUBSTITUTE(SUBSTITUTE(SUBSTITUTE(SUBSTITUTE(SUBSTITUTE(SUBSTITUTE(NOTA[NAMA BARANG]," ",),".",""),"-",""),"(",""),")",""),",",""),"/",""),"""",""),"+",""))</f>
        <v/>
      </c>
      <c r="AM11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39" t="str">
        <f>IF(NOTA[[#This Row],[CONCAT4]]="","",_xlfn.IFNA(MATCH(NOTA[[#This Row],[CONCAT4]],[2]!RAW[CONCAT_H],0),FALSE))</f>
        <v/>
      </c>
      <c r="AQ1145" s="39" t="str">
        <f>IF(NOTA[[#This Row],[CONCAT1]]="","",MATCH(NOTA[[#This Row],[CONCAT1]],[3]!db[NB NOTA_C],0))</f>
        <v/>
      </c>
      <c r="AR1145" s="39" t="str">
        <f>IF(NOTA[[#This Row],[QTY/ CTN]]="","",TRUE)</f>
        <v/>
      </c>
      <c r="AS1145" s="39" t="str">
        <f ca="1">IF(NOTA[[#This Row],[ID_H]]="","",IF(NOTA[[#This Row],[Column3]]=TRUE,NOTA[[#This Row],[QTY/ CTN]],INDEX([3]!db[QTY/ CTN],NOTA[[#This Row],[//DB]])))</f>
        <v/>
      </c>
      <c r="AT11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5" s="39" t="str">
        <f ca="1">IF(NOTA[[#This Row],[ID_H]]="","",MATCH(NOTA[[#This Row],[NB NOTA_C_QTY]],[4]!db[NB NOTA_C_QTY+F],0))</f>
        <v/>
      </c>
      <c r="AV1145" s="55" t="str">
        <f ca="1">IF(NOTA[[#This Row],[NB NOTA_C_QTY]]="","",ROW()-2)</f>
        <v/>
      </c>
    </row>
    <row r="1146" spans="1:48" ht="20.100000000000001" customHeight="1" x14ac:dyDescent="0.25">
      <c r="A11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39" t="str">
        <f>IF(NOTA[[#This Row],[ID_P]]="","",MATCH(NOTA[[#This Row],[ID_P]],[1]!B_MSK[N_ID],0))</f>
        <v/>
      </c>
      <c r="D1146" s="39" t="str">
        <f ca="1">IF(NOTA[[#This Row],[NAMA BARANG]]="","",INDEX(NOTA[ID],MATCH(,INDIRECT(ADDRESS(ROW(NOTA[ID]),COLUMN(NOTA[ID]))&amp;":"&amp;ADDRESS(ROW(),COLUMN(NOTA[ID]))),-1)))</f>
        <v/>
      </c>
      <c r="E1146" s="47"/>
      <c r="H1146" s="48"/>
      <c r="N1146" s="39"/>
      <c r="Q1146" s="43"/>
      <c r="R1146" s="49"/>
      <c r="S1146" s="50"/>
      <c r="U1146" s="51"/>
      <c r="V1146" s="46"/>
      <c r="W1146" s="51" t="str">
        <f>IF(NOTA[[#This Row],[HARGA/ CTN]]="",NOTA[[#This Row],[JUMLAH_H]],NOTA[[#This Row],[HARGA/ CTN]]*IF(NOTA[[#This Row],[C]]="",0,NOTA[[#This Row],[C]]))</f>
        <v/>
      </c>
      <c r="X1146" s="51" t="str">
        <f>IF(NOTA[[#This Row],[JUMLAH]]="","",NOTA[[#This Row],[JUMLAH]]*NOTA[[#This Row],[DISC 1]])</f>
        <v/>
      </c>
      <c r="Y1146" s="51" t="str">
        <f>IF(NOTA[[#This Row],[JUMLAH]]="","",(NOTA[[#This Row],[JUMLAH]]-NOTA[[#This Row],[DISC 1-]])*NOTA[[#This Row],[DISC 2]])</f>
        <v/>
      </c>
      <c r="Z1146" s="51" t="str">
        <f>IF(NOTA[[#This Row],[JUMLAH]]="","",NOTA[[#This Row],[DISC 1-]]+NOTA[[#This Row],[DISC 2-]])</f>
        <v/>
      </c>
      <c r="AA1146" s="51" t="str">
        <f>IF(NOTA[[#This Row],[JUMLAH]]="","",NOTA[[#This Row],[JUMLAH]]-NOTA[[#This Row],[DISC]])</f>
        <v/>
      </c>
      <c r="AB1146" s="51"/>
      <c r="AC1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6" s="51" t="str">
        <f>IF(OR(NOTA[[#This Row],[QTY]]="",NOTA[[#This Row],[HARGA SATUAN]]="",),"",NOTA[[#This Row],[QTY]]*NOTA[[#This Row],[HARGA SATUAN]])</f>
        <v/>
      </c>
      <c r="AG1146" s="40" t="str">
        <f ca="1">IF(NOTA[ID_H]="","",INDEX(NOTA[TANGGAL],MATCH(,INDIRECT(ADDRESS(ROW(NOTA[TANGGAL]),COLUMN(NOTA[TANGGAL]))&amp;":"&amp;ADDRESS(ROW(),COLUMN(NOTA[TANGGAL]))),-1)))</f>
        <v/>
      </c>
      <c r="AH1146" s="42" t="str">
        <f ca="1">IF(NOTA[[#This Row],[NAMA BARANG]]="","",INDEX(NOTA[SUPPLIER],MATCH(,INDIRECT(ADDRESS(ROW(NOTA[ID]),COLUMN(NOTA[ID]))&amp;":"&amp;ADDRESS(ROW(),COLUMN(NOTA[ID]))),-1)))</f>
        <v/>
      </c>
      <c r="AI1146" s="42" t="str">
        <f ca="1">IF(NOTA[[#This Row],[ID_H]]="","",IF(NOTA[[#This Row],[FAKTUR]]="",INDIRECT(ADDRESS(ROW()-1,COLUMN())),NOTA[[#This Row],[FAKTUR]]))</f>
        <v/>
      </c>
      <c r="AJ1146" s="39" t="str">
        <f ca="1">IF(NOTA[[#This Row],[ID]]="","",COUNTIF(NOTA[ID_H],NOTA[[#This Row],[ID_H]]))</f>
        <v/>
      </c>
      <c r="AK1146" s="39" t="str">
        <f ca="1">IF(NOTA[[#This Row],[TGL.NOTA]]="",IF(NOTA[[#This Row],[SUPPLIER_H]]="","",AK1145),MONTH(NOTA[[#This Row],[TGL.NOTA]]))</f>
        <v/>
      </c>
      <c r="AL1146" s="39" t="str">
        <f>LOWER(SUBSTITUTE(SUBSTITUTE(SUBSTITUTE(SUBSTITUTE(SUBSTITUTE(SUBSTITUTE(SUBSTITUTE(SUBSTITUTE(SUBSTITUTE(NOTA[NAMA BARANG]," ",),".",""),"-",""),"(",""),")",""),",",""),"/",""),"""",""),"+",""))</f>
        <v/>
      </c>
      <c r="AM11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39" t="str">
        <f>IF(NOTA[[#This Row],[CONCAT4]]="","",_xlfn.IFNA(MATCH(NOTA[[#This Row],[CONCAT4]],[2]!RAW[CONCAT_H],0),FALSE))</f>
        <v/>
      </c>
      <c r="AQ1146" s="39" t="str">
        <f>IF(NOTA[[#This Row],[CONCAT1]]="","",MATCH(NOTA[[#This Row],[CONCAT1]],[3]!db[NB NOTA_C],0))</f>
        <v/>
      </c>
      <c r="AR1146" s="39" t="str">
        <f>IF(NOTA[[#This Row],[QTY/ CTN]]="","",TRUE)</f>
        <v/>
      </c>
      <c r="AS1146" s="39" t="str">
        <f ca="1">IF(NOTA[[#This Row],[ID_H]]="","",IF(NOTA[[#This Row],[Column3]]=TRUE,NOTA[[#This Row],[QTY/ CTN]],INDEX([3]!db[QTY/ CTN],NOTA[[#This Row],[//DB]])))</f>
        <v/>
      </c>
      <c r="AT11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6" s="39" t="str">
        <f ca="1">IF(NOTA[[#This Row],[ID_H]]="","",MATCH(NOTA[[#This Row],[NB NOTA_C_QTY]],[4]!db[NB NOTA_C_QTY+F],0))</f>
        <v/>
      </c>
      <c r="AV1146" s="55" t="str">
        <f ca="1">IF(NOTA[[#This Row],[NB NOTA_C_QTY]]="","",ROW()-2)</f>
        <v/>
      </c>
    </row>
    <row r="1147" spans="1:48" ht="20.100000000000001" customHeight="1" x14ac:dyDescent="0.25">
      <c r="A11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39" t="str">
        <f>IF(NOTA[[#This Row],[ID_P]]="","",MATCH(NOTA[[#This Row],[ID_P]],[1]!B_MSK[N_ID],0))</f>
        <v/>
      </c>
      <c r="D1147" s="39" t="str">
        <f ca="1">IF(NOTA[[#This Row],[NAMA BARANG]]="","",INDEX(NOTA[ID],MATCH(,INDIRECT(ADDRESS(ROW(NOTA[ID]),COLUMN(NOTA[ID]))&amp;":"&amp;ADDRESS(ROW(),COLUMN(NOTA[ID]))),-1)))</f>
        <v/>
      </c>
      <c r="E1147" s="47"/>
      <c r="H1147" s="48"/>
      <c r="N1147" s="39"/>
      <c r="Q1147" s="43"/>
      <c r="R1147" s="49"/>
      <c r="S1147" s="50"/>
      <c r="U1147" s="51"/>
      <c r="V1147" s="46"/>
      <c r="W1147" s="51" t="str">
        <f>IF(NOTA[[#This Row],[HARGA/ CTN]]="",NOTA[[#This Row],[JUMLAH_H]],NOTA[[#This Row],[HARGA/ CTN]]*IF(NOTA[[#This Row],[C]]="",0,NOTA[[#This Row],[C]]))</f>
        <v/>
      </c>
      <c r="X1147" s="51" t="str">
        <f>IF(NOTA[[#This Row],[JUMLAH]]="","",NOTA[[#This Row],[JUMLAH]]*NOTA[[#This Row],[DISC 1]])</f>
        <v/>
      </c>
      <c r="Y1147" s="51" t="str">
        <f>IF(NOTA[[#This Row],[JUMLAH]]="","",(NOTA[[#This Row],[JUMLAH]]-NOTA[[#This Row],[DISC 1-]])*NOTA[[#This Row],[DISC 2]])</f>
        <v/>
      </c>
      <c r="Z1147" s="51" t="str">
        <f>IF(NOTA[[#This Row],[JUMLAH]]="","",NOTA[[#This Row],[DISC 1-]]+NOTA[[#This Row],[DISC 2-]])</f>
        <v/>
      </c>
      <c r="AA1147" s="51" t="str">
        <f>IF(NOTA[[#This Row],[JUMLAH]]="","",NOTA[[#This Row],[JUMLAH]]-NOTA[[#This Row],[DISC]])</f>
        <v/>
      </c>
      <c r="AB1147" s="51"/>
      <c r="AC1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7" s="51" t="str">
        <f>IF(OR(NOTA[[#This Row],[QTY]]="",NOTA[[#This Row],[HARGA SATUAN]]="",),"",NOTA[[#This Row],[QTY]]*NOTA[[#This Row],[HARGA SATUAN]])</f>
        <v/>
      </c>
      <c r="AG1147" s="40" t="str">
        <f ca="1">IF(NOTA[ID_H]="","",INDEX(NOTA[TANGGAL],MATCH(,INDIRECT(ADDRESS(ROW(NOTA[TANGGAL]),COLUMN(NOTA[TANGGAL]))&amp;":"&amp;ADDRESS(ROW(),COLUMN(NOTA[TANGGAL]))),-1)))</f>
        <v/>
      </c>
      <c r="AH1147" s="42" t="str">
        <f ca="1">IF(NOTA[[#This Row],[NAMA BARANG]]="","",INDEX(NOTA[SUPPLIER],MATCH(,INDIRECT(ADDRESS(ROW(NOTA[ID]),COLUMN(NOTA[ID]))&amp;":"&amp;ADDRESS(ROW(),COLUMN(NOTA[ID]))),-1)))</f>
        <v/>
      </c>
      <c r="AI1147" s="42" t="str">
        <f ca="1">IF(NOTA[[#This Row],[ID_H]]="","",IF(NOTA[[#This Row],[FAKTUR]]="",INDIRECT(ADDRESS(ROW()-1,COLUMN())),NOTA[[#This Row],[FAKTUR]]))</f>
        <v/>
      </c>
      <c r="AJ1147" s="39" t="str">
        <f ca="1">IF(NOTA[[#This Row],[ID]]="","",COUNTIF(NOTA[ID_H],NOTA[[#This Row],[ID_H]]))</f>
        <v/>
      </c>
      <c r="AK1147" s="39" t="str">
        <f ca="1">IF(NOTA[[#This Row],[TGL.NOTA]]="",IF(NOTA[[#This Row],[SUPPLIER_H]]="","",AK1146),MONTH(NOTA[[#This Row],[TGL.NOTA]]))</f>
        <v/>
      </c>
      <c r="AL1147" s="39" t="str">
        <f>LOWER(SUBSTITUTE(SUBSTITUTE(SUBSTITUTE(SUBSTITUTE(SUBSTITUTE(SUBSTITUTE(SUBSTITUTE(SUBSTITUTE(SUBSTITUTE(NOTA[NAMA BARANG]," ",),".",""),"-",""),"(",""),")",""),",",""),"/",""),"""",""),"+",""))</f>
        <v/>
      </c>
      <c r="AM11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39" t="str">
        <f>IF(NOTA[[#This Row],[CONCAT4]]="","",_xlfn.IFNA(MATCH(NOTA[[#This Row],[CONCAT4]],[2]!RAW[CONCAT_H],0),FALSE))</f>
        <v/>
      </c>
      <c r="AQ1147" s="39" t="str">
        <f>IF(NOTA[[#This Row],[CONCAT1]]="","",MATCH(NOTA[[#This Row],[CONCAT1]],[3]!db[NB NOTA_C],0))</f>
        <v/>
      </c>
      <c r="AR1147" s="39" t="str">
        <f>IF(NOTA[[#This Row],[QTY/ CTN]]="","",TRUE)</f>
        <v/>
      </c>
      <c r="AS1147" s="39" t="str">
        <f ca="1">IF(NOTA[[#This Row],[ID_H]]="","",IF(NOTA[[#This Row],[Column3]]=TRUE,NOTA[[#This Row],[QTY/ CTN]],INDEX([3]!db[QTY/ CTN],NOTA[[#This Row],[//DB]])))</f>
        <v/>
      </c>
      <c r="AT11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7" s="39" t="str">
        <f ca="1">IF(NOTA[[#This Row],[ID_H]]="","",MATCH(NOTA[[#This Row],[NB NOTA_C_QTY]],[4]!db[NB NOTA_C_QTY+F],0))</f>
        <v/>
      </c>
      <c r="AV1147" s="55" t="str">
        <f ca="1">IF(NOTA[[#This Row],[NB NOTA_C_QTY]]="","",ROW()-2)</f>
        <v/>
      </c>
    </row>
    <row r="1148" spans="1:48" ht="20.100000000000001" customHeight="1" x14ac:dyDescent="0.25">
      <c r="A11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39" t="str">
        <f>IF(NOTA[[#This Row],[ID_P]]="","",MATCH(NOTA[[#This Row],[ID_P]],[1]!B_MSK[N_ID],0))</f>
        <v/>
      </c>
      <c r="D1148" s="39" t="str">
        <f ca="1">IF(NOTA[[#This Row],[NAMA BARANG]]="","",INDEX(NOTA[ID],MATCH(,INDIRECT(ADDRESS(ROW(NOTA[ID]),COLUMN(NOTA[ID]))&amp;":"&amp;ADDRESS(ROW(),COLUMN(NOTA[ID]))),-1)))</f>
        <v/>
      </c>
      <c r="E1148" s="47"/>
      <c r="H1148" s="48"/>
      <c r="N1148" s="39"/>
      <c r="Q1148" s="43"/>
      <c r="R1148" s="49"/>
      <c r="S1148" s="50"/>
      <c r="U1148" s="51"/>
      <c r="V1148" s="46"/>
      <c r="W1148" s="51" t="str">
        <f>IF(NOTA[[#This Row],[HARGA/ CTN]]="",NOTA[[#This Row],[JUMLAH_H]],NOTA[[#This Row],[HARGA/ CTN]]*IF(NOTA[[#This Row],[C]]="",0,NOTA[[#This Row],[C]]))</f>
        <v/>
      </c>
      <c r="X1148" s="51" t="str">
        <f>IF(NOTA[[#This Row],[JUMLAH]]="","",NOTA[[#This Row],[JUMLAH]]*NOTA[[#This Row],[DISC 1]])</f>
        <v/>
      </c>
      <c r="Y1148" s="51" t="str">
        <f>IF(NOTA[[#This Row],[JUMLAH]]="","",(NOTA[[#This Row],[JUMLAH]]-NOTA[[#This Row],[DISC 1-]])*NOTA[[#This Row],[DISC 2]])</f>
        <v/>
      </c>
      <c r="Z1148" s="51" t="str">
        <f>IF(NOTA[[#This Row],[JUMLAH]]="","",NOTA[[#This Row],[DISC 1-]]+NOTA[[#This Row],[DISC 2-]])</f>
        <v/>
      </c>
      <c r="AA1148" s="51" t="str">
        <f>IF(NOTA[[#This Row],[JUMLAH]]="","",NOTA[[#This Row],[JUMLAH]]-NOTA[[#This Row],[DISC]])</f>
        <v/>
      </c>
      <c r="AB1148" s="51"/>
      <c r="AC1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8" s="51" t="str">
        <f>IF(OR(NOTA[[#This Row],[QTY]]="",NOTA[[#This Row],[HARGA SATUAN]]="",),"",NOTA[[#This Row],[QTY]]*NOTA[[#This Row],[HARGA SATUAN]])</f>
        <v/>
      </c>
      <c r="AG1148" s="40" t="str">
        <f ca="1">IF(NOTA[ID_H]="","",INDEX(NOTA[TANGGAL],MATCH(,INDIRECT(ADDRESS(ROW(NOTA[TANGGAL]),COLUMN(NOTA[TANGGAL]))&amp;":"&amp;ADDRESS(ROW(),COLUMN(NOTA[TANGGAL]))),-1)))</f>
        <v/>
      </c>
      <c r="AH1148" s="42" t="str">
        <f ca="1">IF(NOTA[[#This Row],[NAMA BARANG]]="","",INDEX(NOTA[SUPPLIER],MATCH(,INDIRECT(ADDRESS(ROW(NOTA[ID]),COLUMN(NOTA[ID]))&amp;":"&amp;ADDRESS(ROW(),COLUMN(NOTA[ID]))),-1)))</f>
        <v/>
      </c>
      <c r="AI1148" s="42" t="str">
        <f ca="1">IF(NOTA[[#This Row],[ID_H]]="","",IF(NOTA[[#This Row],[FAKTUR]]="",INDIRECT(ADDRESS(ROW()-1,COLUMN())),NOTA[[#This Row],[FAKTUR]]))</f>
        <v/>
      </c>
      <c r="AJ1148" s="39" t="str">
        <f ca="1">IF(NOTA[[#This Row],[ID]]="","",COUNTIF(NOTA[ID_H],NOTA[[#This Row],[ID_H]]))</f>
        <v/>
      </c>
      <c r="AK1148" s="39" t="str">
        <f ca="1">IF(NOTA[[#This Row],[TGL.NOTA]]="",IF(NOTA[[#This Row],[SUPPLIER_H]]="","",AK1147),MONTH(NOTA[[#This Row],[TGL.NOTA]]))</f>
        <v/>
      </c>
      <c r="AL1148" s="39" t="str">
        <f>LOWER(SUBSTITUTE(SUBSTITUTE(SUBSTITUTE(SUBSTITUTE(SUBSTITUTE(SUBSTITUTE(SUBSTITUTE(SUBSTITUTE(SUBSTITUTE(NOTA[NAMA BARANG]," ",),".",""),"-",""),"(",""),")",""),",",""),"/",""),"""",""),"+",""))</f>
        <v/>
      </c>
      <c r="AM11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39" t="str">
        <f>IF(NOTA[[#This Row],[CONCAT4]]="","",_xlfn.IFNA(MATCH(NOTA[[#This Row],[CONCAT4]],[2]!RAW[CONCAT_H],0),FALSE))</f>
        <v/>
      </c>
      <c r="AQ1148" s="39" t="str">
        <f>IF(NOTA[[#This Row],[CONCAT1]]="","",MATCH(NOTA[[#This Row],[CONCAT1]],[3]!db[NB NOTA_C],0))</f>
        <v/>
      </c>
      <c r="AR1148" s="39" t="str">
        <f>IF(NOTA[[#This Row],[QTY/ CTN]]="","",TRUE)</f>
        <v/>
      </c>
      <c r="AS1148" s="39" t="str">
        <f ca="1">IF(NOTA[[#This Row],[ID_H]]="","",IF(NOTA[[#This Row],[Column3]]=TRUE,NOTA[[#This Row],[QTY/ CTN]],INDEX([3]!db[QTY/ CTN],NOTA[[#This Row],[//DB]])))</f>
        <v/>
      </c>
      <c r="AT11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8" s="39" t="str">
        <f ca="1">IF(NOTA[[#This Row],[ID_H]]="","",MATCH(NOTA[[#This Row],[NB NOTA_C_QTY]],[4]!db[NB NOTA_C_QTY+F],0))</f>
        <v/>
      </c>
      <c r="AV1148" s="55" t="str">
        <f ca="1">IF(NOTA[[#This Row],[NB NOTA_C_QTY]]="","",ROW()-2)</f>
        <v/>
      </c>
    </row>
    <row r="1149" spans="1:48" ht="20.100000000000001" customHeight="1" x14ac:dyDescent="0.25">
      <c r="A11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39" t="str">
        <f>IF(NOTA[[#This Row],[ID_P]]="","",MATCH(NOTA[[#This Row],[ID_P]],[1]!B_MSK[N_ID],0))</f>
        <v/>
      </c>
      <c r="D1149" s="39" t="str">
        <f ca="1">IF(NOTA[[#This Row],[NAMA BARANG]]="","",INDEX(NOTA[ID],MATCH(,INDIRECT(ADDRESS(ROW(NOTA[ID]),COLUMN(NOTA[ID]))&amp;":"&amp;ADDRESS(ROW(),COLUMN(NOTA[ID]))),-1)))</f>
        <v/>
      </c>
      <c r="E1149" s="47"/>
      <c r="H1149" s="48"/>
      <c r="N1149" s="39"/>
      <c r="Q1149" s="43"/>
      <c r="R1149" s="49"/>
      <c r="S1149" s="50"/>
      <c r="U1149" s="51"/>
      <c r="V1149" s="46"/>
      <c r="W1149" s="51" t="str">
        <f>IF(NOTA[[#This Row],[HARGA/ CTN]]="",NOTA[[#This Row],[JUMLAH_H]],NOTA[[#This Row],[HARGA/ CTN]]*IF(NOTA[[#This Row],[C]]="",0,NOTA[[#This Row],[C]]))</f>
        <v/>
      </c>
      <c r="X1149" s="51" t="str">
        <f>IF(NOTA[[#This Row],[JUMLAH]]="","",NOTA[[#This Row],[JUMLAH]]*NOTA[[#This Row],[DISC 1]])</f>
        <v/>
      </c>
      <c r="Y1149" s="51" t="str">
        <f>IF(NOTA[[#This Row],[JUMLAH]]="","",(NOTA[[#This Row],[JUMLAH]]-NOTA[[#This Row],[DISC 1-]])*NOTA[[#This Row],[DISC 2]])</f>
        <v/>
      </c>
      <c r="Z1149" s="51" t="str">
        <f>IF(NOTA[[#This Row],[JUMLAH]]="","",NOTA[[#This Row],[DISC 1-]]+NOTA[[#This Row],[DISC 2-]])</f>
        <v/>
      </c>
      <c r="AA1149" s="51" t="str">
        <f>IF(NOTA[[#This Row],[JUMLAH]]="","",NOTA[[#This Row],[JUMLAH]]-NOTA[[#This Row],[DISC]])</f>
        <v/>
      </c>
      <c r="AB1149" s="51"/>
      <c r="AC11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9" s="51" t="str">
        <f>IF(OR(NOTA[[#This Row],[QTY]]="",NOTA[[#This Row],[HARGA SATUAN]]="",),"",NOTA[[#This Row],[QTY]]*NOTA[[#This Row],[HARGA SATUAN]])</f>
        <v/>
      </c>
      <c r="AG1149" s="40" t="str">
        <f ca="1">IF(NOTA[ID_H]="","",INDEX(NOTA[TANGGAL],MATCH(,INDIRECT(ADDRESS(ROW(NOTA[TANGGAL]),COLUMN(NOTA[TANGGAL]))&amp;":"&amp;ADDRESS(ROW(),COLUMN(NOTA[TANGGAL]))),-1)))</f>
        <v/>
      </c>
      <c r="AH1149" s="42" t="str">
        <f ca="1">IF(NOTA[[#This Row],[NAMA BARANG]]="","",INDEX(NOTA[SUPPLIER],MATCH(,INDIRECT(ADDRESS(ROW(NOTA[ID]),COLUMN(NOTA[ID]))&amp;":"&amp;ADDRESS(ROW(),COLUMN(NOTA[ID]))),-1)))</f>
        <v/>
      </c>
      <c r="AI1149" s="42" t="str">
        <f ca="1">IF(NOTA[[#This Row],[ID_H]]="","",IF(NOTA[[#This Row],[FAKTUR]]="",INDIRECT(ADDRESS(ROW()-1,COLUMN())),NOTA[[#This Row],[FAKTUR]]))</f>
        <v/>
      </c>
      <c r="AJ1149" s="39" t="str">
        <f ca="1">IF(NOTA[[#This Row],[ID]]="","",COUNTIF(NOTA[ID_H],NOTA[[#This Row],[ID_H]]))</f>
        <v/>
      </c>
      <c r="AK1149" s="39" t="str">
        <f ca="1">IF(NOTA[[#This Row],[TGL.NOTA]]="",IF(NOTA[[#This Row],[SUPPLIER_H]]="","",AK1148),MONTH(NOTA[[#This Row],[TGL.NOTA]]))</f>
        <v/>
      </c>
      <c r="AL1149" s="39" t="str">
        <f>LOWER(SUBSTITUTE(SUBSTITUTE(SUBSTITUTE(SUBSTITUTE(SUBSTITUTE(SUBSTITUTE(SUBSTITUTE(SUBSTITUTE(SUBSTITUTE(NOTA[NAMA BARANG]," ",),".",""),"-",""),"(",""),")",""),",",""),"/",""),"""",""),"+",""))</f>
        <v/>
      </c>
      <c r="AM11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39" t="str">
        <f>IF(NOTA[[#This Row],[CONCAT4]]="","",_xlfn.IFNA(MATCH(NOTA[[#This Row],[CONCAT4]],[2]!RAW[CONCAT_H],0),FALSE))</f>
        <v/>
      </c>
      <c r="AQ1149" s="39" t="str">
        <f>IF(NOTA[[#This Row],[CONCAT1]]="","",MATCH(NOTA[[#This Row],[CONCAT1]],[3]!db[NB NOTA_C],0))</f>
        <v/>
      </c>
      <c r="AR1149" s="39" t="str">
        <f>IF(NOTA[[#This Row],[QTY/ CTN]]="","",TRUE)</f>
        <v/>
      </c>
      <c r="AS1149" s="39" t="str">
        <f ca="1">IF(NOTA[[#This Row],[ID_H]]="","",IF(NOTA[[#This Row],[Column3]]=TRUE,NOTA[[#This Row],[QTY/ CTN]],INDEX([3]!db[QTY/ CTN],NOTA[[#This Row],[//DB]])))</f>
        <v/>
      </c>
      <c r="AT11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9" s="39" t="str">
        <f ca="1">IF(NOTA[[#This Row],[ID_H]]="","",MATCH(NOTA[[#This Row],[NB NOTA_C_QTY]],[4]!db[NB NOTA_C_QTY+F],0))</f>
        <v/>
      </c>
      <c r="AV1149" s="55" t="str">
        <f ca="1">IF(NOTA[[#This Row],[NB NOTA_C_QTY]]="","",ROW()-2)</f>
        <v/>
      </c>
    </row>
    <row r="1150" spans="1:48" ht="20.100000000000001" customHeight="1" x14ac:dyDescent="0.25">
      <c r="A11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39" t="str">
        <f>IF(NOTA[[#This Row],[ID_P]]="","",MATCH(NOTA[[#This Row],[ID_P]],[1]!B_MSK[N_ID],0))</f>
        <v/>
      </c>
      <c r="D1150" s="39" t="str">
        <f ca="1">IF(NOTA[[#This Row],[NAMA BARANG]]="","",INDEX(NOTA[ID],MATCH(,INDIRECT(ADDRESS(ROW(NOTA[ID]),COLUMN(NOTA[ID]))&amp;":"&amp;ADDRESS(ROW(),COLUMN(NOTA[ID]))),-1)))</f>
        <v/>
      </c>
      <c r="E1150" s="47"/>
      <c r="H1150" s="48"/>
      <c r="N1150" s="39"/>
      <c r="Q1150" s="43"/>
      <c r="R1150" s="49"/>
      <c r="S1150" s="50"/>
      <c r="U1150" s="51"/>
      <c r="V1150" s="46"/>
      <c r="W1150" s="51" t="str">
        <f>IF(NOTA[[#This Row],[HARGA/ CTN]]="",NOTA[[#This Row],[JUMLAH_H]],NOTA[[#This Row],[HARGA/ CTN]]*IF(NOTA[[#This Row],[C]]="",0,NOTA[[#This Row],[C]]))</f>
        <v/>
      </c>
      <c r="X1150" s="51" t="str">
        <f>IF(NOTA[[#This Row],[JUMLAH]]="","",NOTA[[#This Row],[JUMLAH]]*NOTA[[#This Row],[DISC 1]])</f>
        <v/>
      </c>
      <c r="Y1150" s="51" t="str">
        <f>IF(NOTA[[#This Row],[JUMLAH]]="","",(NOTA[[#This Row],[JUMLAH]]-NOTA[[#This Row],[DISC 1-]])*NOTA[[#This Row],[DISC 2]])</f>
        <v/>
      </c>
      <c r="Z1150" s="51" t="str">
        <f>IF(NOTA[[#This Row],[JUMLAH]]="","",NOTA[[#This Row],[DISC 1-]]+NOTA[[#This Row],[DISC 2-]])</f>
        <v/>
      </c>
      <c r="AA1150" s="51" t="str">
        <f>IF(NOTA[[#This Row],[JUMLAH]]="","",NOTA[[#This Row],[JUMLAH]]-NOTA[[#This Row],[DISC]])</f>
        <v/>
      </c>
      <c r="AB1150" s="51"/>
      <c r="AC1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0" s="51" t="str">
        <f>IF(OR(NOTA[[#This Row],[QTY]]="",NOTA[[#This Row],[HARGA SATUAN]]="",),"",NOTA[[#This Row],[QTY]]*NOTA[[#This Row],[HARGA SATUAN]])</f>
        <v/>
      </c>
      <c r="AG1150" s="40" t="str">
        <f ca="1">IF(NOTA[ID_H]="","",INDEX(NOTA[TANGGAL],MATCH(,INDIRECT(ADDRESS(ROW(NOTA[TANGGAL]),COLUMN(NOTA[TANGGAL]))&amp;":"&amp;ADDRESS(ROW(),COLUMN(NOTA[TANGGAL]))),-1)))</f>
        <v/>
      </c>
      <c r="AH1150" s="42" t="str">
        <f ca="1">IF(NOTA[[#This Row],[NAMA BARANG]]="","",INDEX(NOTA[SUPPLIER],MATCH(,INDIRECT(ADDRESS(ROW(NOTA[ID]),COLUMN(NOTA[ID]))&amp;":"&amp;ADDRESS(ROW(),COLUMN(NOTA[ID]))),-1)))</f>
        <v/>
      </c>
      <c r="AI1150" s="42" t="str">
        <f ca="1">IF(NOTA[[#This Row],[ID_H]]="","",IF(NOTA[[#This Row],[FAKTUR]]="",INDIRECT(ADDRESS(ROW()-1,COLUMN())),NOTA[[#This Row],[FAKTUR]]))</f>
        <v/>
      </c>
      <c r="AJ1150" s="39" t="str">
        <f ca="1">IF(NOTA[[#This Row],[ID]]="","",COUNTIF(NOTA[ID_H],NOTA[[#This Row],[ID_H]]))</f>
        <v/>
      </c>
      <c r="AK1150" s="39" t="str">
        <f ca="1">IF(NOTA[[#This Row],[TGL.NOTA]]="",IF(NOTA[[#This Row],[SUPPLIER_H]]="","",AK1149),MONTH(NOTA[[#This Row],[TGL.NOTA]]))</f>
        <v/>
      </c>
      <c r="AL1150" s="39" t="str">
        <f>LOWER(SUBSTITUTE(SUBSTITUTE(SUBSTITUTE(SUBSTITUTE(SUBSTITUTE(SUBSTITUTE(SUBSTITUTE(SUBSTITUTE(SUBSTITUTE(NOTA[NAMA BARANG]," ",),".",""),"-",""),"(",""),")",""),",",""),"/",""),"""",""),"+",""))</f>
        <v/>
      </c>
      <c r="AM11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39" t="str">
        <f>IF(NOTA[[#This Row],[CONCAT4]]="","",_xlfn.IFNA(MATCH(NOTA[[#This Row],[CONCAT4]],[2]!RAW[CONCAT_H],0),FALSE))</f>
        <v/>
      </c>
      <c r="AQ1150" s="39" t="str">
        <f>IF(NOTA[[#This Row],[CONCAT1]]="","",MATCH(NOTA[[#This Row],[CONCAT1]],[3]!db[NB NOTA_C],0))</f>
        <v/>
      </c>
      <c r="AR1150" s="39" t="str">
        <f>IF(NOTA[[#This Row],[QTY/ CTN]]="","",TRUE)</f>
        <v/>
      </c>
      <c r="AS1150" s="39" t="str">
        <f ca="1">IF(NOTA[[#This Row],[ID_H]]="","",IF(NOTA[[#This Row],[Column3]]=TRUE,NOTA[[#This Row],[QTY/ CTN]],INDEX([3]!db[QTY/ CTN],NOTA[[#This Row],[//DB]])))</f>
        <v/>
      </c>
      <c r="AT11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0" s="39" t="str">
        <f ca="1">IF(NOTA[[#This Row],[ID_H]]="","",MATCH(NOTA[[#This Row],[NB NOTA_C_QTY]],[4]!db[NB NOTA_C_QTY+F],0))</f>
        <v/>
      </c>
      <c r="AV1150" s="55" t="str">
        <f ca="1">IF(NOTA[[#This Row],[NB NOTA_C_QTY]]="","",ROW()-2)</f>
        <v/>
      </c>
    </row>
    <row r="1151" spans="1:48" ht="20.100000000000001" customHeight="1" x14ac:dyDescent="0.25">
      <c r="A11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39" t="str">
        <f>IF(NOTA[[#This Row],[ID_P]]="","",MATCH(NOTA[[#This Row],[ID_P]],[1]!B_MSK[N_ID],0))</f>
        <v/>
      </c>
      <c r="D1151" s="39" t="str">
        <f ca="1">IF(NOTA[[#This Row],[NAMA BARANG]]="","",INDEX(NOTA[ID],MATCH(,INDIRECT(ADDRESS(ROW(NOTA[ID]),COLUMN(NOTA[ID]))&amp;":"&amp;ADDRESS(ROW(),COLUMN(NOTA[ID]))),-1)))</f>
        <v/>
      </c>
      <c r="E1151" s="47"/>
      <c r="H1151" s="48"/>
      <c r="N1151" s="39"/>
      <c r="Q1151" s="43"/>
      <c r="R1151" s="49"/>
      <c r="S1151" s="50"/>
      <c r="U1151" s="51"/>
      <c r="V1151" s="46"/>
      <c r="W1151" s="51" t="str">
        <f>IF(NOTA[[#This Row],[HARGA/ CTN]]="",NOTA[[#This Row],[JUMLAH_H]],NOTA[[#This Row],[HARGA/ CTN]]*IF(NOTA[[#This Row],[C]]="",0,NOTA[[#This Row],[C]]))</f>
        <v/>
      </c>
      <c r="X1151" s="51" t="str">
        <f>IF(NOTA[[#This Row],[JUMLAH]]="","",NOTA[[#This Row],[JUMLAH]]*NOTA[[#This Row],[DISC 1]])</f>
        <v/>
      </c>
      <c r="Y1151" s="51" t="str">
        <f>IF(NOTA[[#This Row],[JUMLAH]]="","",(NOTA[[#This Row],[JUMLAH]]-NOTA[[#This Row],[DISC 1-]])*NOTA[[#This Row],[DISC 2]])</f>
        <v/>
      </c>
      <c r="Z1151" s="51" t="str">
        <f>IF(NOTA[[#This Row],[JUMLAH]]="","",NOTA[[#This Row],[DISC 1-]]+NOTA[[#This Row],[DISC 2-]])</f>
        <v/>
      </c>
      <c r="AA1151" s="51" t="str">
        <f>IF(NOTA[[#This Row],[JUMLAH]]="","",NOTA[[#This Row],[JUMLAH]]-NOTA[[#This Row],[DISC]])</f>
        <v/>
      </c>
      <c r="AB1151" s="51"/>
      <c r="AC1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1" s="51" t="str">
        <f>IF(OR(NOTA[[#This Row],[QTY]]="",NOTA[[#This Row],[HARGA SATUAN]]="",),"",NOTA[[#This Row],[QTY]]*NOTA[[#This Row],[HARGA SATUAN]])</f>
        <v/>
      </c>
      <c r="AG1151" s="40" t="str">
        <f ca="1">IF(NOTA[ID_H]="","",INDEX(NOTA[TANGGAL],MATCH(,INDIRECT(ADDRESS(ROW(NOTA[TANGGAL]),COLUMN(NOTA[TANGGAL]))&amp;":"&amp;ADDRESS(ROW(),COLUMN(NOTA[TANGGAL]))),-1)))</f>
        <v/>
      </c>
      <c r="AH1151" s="42" t="str">
        <f ca="1">IF(NOTA[[#This Row],[NAMA BARANG]]="","",INDEX(NOTA[SUPPLIER],MATCH(,INDIRECT(ADDRESS(ROW(NOTA[ID]),COLUMN(NOTA[ID]))&amp;":"&amp;ADDRESS(ROW(),COLUMN(NOTA[ID]))),-1)))</f>
        <v/>
      </c>
      <c r="AI1151" s="42" t="str">
        <f ca="1">IF(NOTA[[#This Row],[ID_H]]="","",IF(NOTA[[#This Row],[FAKTUR]]="",INDIRECT(ADDRESS(ROW()-1,COLUMN())),NOTA[[#This Row],[FAKTUR]]))</f>
        <v/>
      </c>
      <c r="AJ1151" s="39" t="str">
        <f ca="1">IF(NOTA[[#This Row],[ID]]="","",COUNTIF(NOTA[ID_H],NOTA[[#This Row],[ID_H]]))</f>
        <v/>
      </c>
      <c r="AK1151" s="39" t="str">
        <f ca="1">IF(NOTA[[#This Row],[TGL.NOTA]]="",IF(NOTA[[#This Row],[SUPPLIER_H]]="","",AK1150),MONTH(NOTA[[#This Row],[TGL.NOTA]]))</f>
        <v/>
      </c>
      <c r="AL1151" s="39" t="str">
        <f>LOWER(SUBSTITUTE(SUBSTITUTE(SUBSTITUTE(SUBSTITUTE(SUBSTITUTE(SUBSTITUTE(SUBSTITUTE(SUBSTITUTE(SUBSTITUTE(NOTA[NAMA BARANG]," ",),".",""),"-",""),"(",""),")",""),",",""),"/",""),"""",""),"+",""))</f>
        <v/>
      </c>
      <c r="AM11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39" t="str">
        <f>IF(NOTA[[#This Row],[CONCAT4]]="","",_xlfn.IFNA(MATCH(NOTA[[#This Row],[CONCAT4]],[2]!RAW[CONCAT_H],0),FALSE))</f>
        <v/>
      </c>
      <c r="AQ1151" s="39" t="str">
        <f>IF(NOTA[[#This Row],[CONCAT1]]="","",MATCH(NOTA[[#This Row],[CONCAT1]],[3]!db[NB NOTA_C],0))</f>
        <v/>
      </c>
      <c r="AR1151" s="39" t="str">
        <f>IF(NOTA[[#This Row],[QTY/ CTN]]="","",TRUE)</f>
        <v/>
      </c>
      <c r="AS1151" s="39" t="str">
        <f ca="1">IF(NOTA[[#This Row],[ID_H]]="","",IF(NOTA[[#This Row],[Column3]]=TRUE,NOTA[[#This Row],[QTY/ CTN]],INDEX([3]!db[QTY/ CTN],NOTA[[#This Row],[//DB]])))</f>
        <v/>
      </c>
      <c r="AT11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1" s="39" t="str">
        <f ca="1">IF(NOTA[[#This Row],[ID_H]]="","",MATCH(NOTA[[#This Row],[NB NOTA_C_QTY]],[4]!db[NB NOTA_C_QTY+F],0))</f>
        <v/>
      </c>
      <c r="AV1151" s="55" t="str">
        <f ca="1">IF(NOTA[[#This Row],[NB NOTA_C_QTY]]="","",ROW()-2)</f>
        <v/>
      </c>
    </row>
    <row r="1152" spans="1:48" ht="20.100000000000001" customHeight="1" x14ac:dyDescent="0.25">
      <c r="A11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39" t="str">
        <f>IF(NOTA[[#This Row],[ID_P]]="","",MATCH(NOTA[[#This Row],[ID_P]],[1]!B_MSK[N_ID],0))</f>
        <v/>
      </c>
      <c r="D1152" s="39" t="str">
        <f ca="1">IF(NOTA[[#This Row],[NAMA BARANG]]="","",INDEX(NOTA[ID],MATCH(,INDIRECT(ADDRESS(ROW(NOTA[ID]),COLUMN(NOTA[ID]))&amp;":"&amp;ADDRESS(ROW(),COLUMN(NOTA[ID]))),-1)))</f>
        <v/>
      </c>
      <c r="E1152" s="47"/>
      <c r="H1152" s="48"/>
      <c r="N1152" s="39"/>
      <c r="Q1152" s="43"/>
      <c r="R1152" s="49"/>
      <c r="S1152" s="50"/>
      <c r="U1152" s="51"/>
      <c r="V1152" s="46"/>
      <c r="W1152" s="51" t="str">
        <f>IF(NOTA[[#This Row],[HARGA/ CTN]]="",NOTA[[#This Row],[JUMLAH_H]],NOTA[[#This Row],[HARGA/ CTN]]*IF(NOTA[[#This Row],[C]]="",0,NOTA[[#This Row],[C]]))</f>
        <v/>
      </c>
      <c r="X1152" s="51" t="str">
        <f>IF(NOTA[[#This Row],[JUMLAH]]="","",NOTA[[#This Row],[JUMLAH]]*NOTA[[#This Row],[DISC 1]])</f>
        <v/>
      </c>
      <c r="Y1152" s="51" t="str">
        <f>IF(NOTA[[#This Row],[JUMLAH]]="","",(NOTA[[#This Row],[JUMLAH]]-NOTA[[#This Row],[DISC 1-]])*NOTA[[#This Row],[DISC 2]])</f>
        <v/>
      </c>
      <c r="Z1152" s="51" t="str">
        <f>IF(NOTA[[#This Row],[JUMLAH]]="","",NOTA[[#This Row],[DISC 1-]]+NOTA[[#This Row],[DISC 2-]])</f>
        <v/>
      </c>
      <c r="AA1152" s="51" t="str">
        <f>IF(NOTA[[#This Row],[JUMLAH]]="","",NOTA[[#This Row],[JUMLAH]]-NOTA[[#This Row],[DISC]])</f>
        <v/>
      </c>
      <c r="AB1152" s="51"/>
      <c r="AC1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51" t="str">
        <f>IF(OR(NOTA[[#This Row],[QTY]]="",NOTA[[#This Row],[HARGA SATUAN]]="",),"",NOTA[[#This Row],[QTY]]*NOTA[[#This Row],[HARGA SATUAN]])</f>
        <v/>
      </c>
      <c r="AG1152" s="40" t="str">
        <f ca="1">IF(NOTA[ID_H]="","",INDEX(NOTA[TANGGAL],MATCH(,INDIRECT(ADDRESS(ROW(NOTA[TANGGAL]),COLUMN(NOTA[TANGGAL]))&amp;":"&amp;ADDRESS(ROW(),COLUMN(NOTA[TANGGAL]))),-1)))</f>
        <v/>
      </c>
      <c r="AH1152" s="42" t="str">
        <f ca="1">IF(NOTA[[#This Row],[NAMA BARANG]]="","",INDEX(NOTA[SUPPLIER],MATCH(,INDIRECT(ADDRESS(ROW(NOTA[ID]),COLUMN(NOTA[ID]))&amp;":"&amp;ADDRESS(ROW(),COLUMN(NOTA[ID]))),-1)))</f>
        <v/>
      </c>
      <c r="AI1152" s="42" t="str">
        <f ca="1">IF(NOTA[[#This Row],[ID_H]]="","",IF(NOTA[[#This Row],[FAKTUR]]="",INDIRECT(ADDRESS(ROW()-1,COLUMN())),NOTA[[#This Row],[FAKTUR]]))</f>
        <v/>
      </c>
      <c r="AJ1152" s="39" t="str">
        <f ca="1">IF(NOTA[[#This Row],[ID]]="","",COUNTIF(NOTA[ID_H],NOTA[[#This Row],[ID_H]]))</f>
        <v/>
      </c>
      <c r="AK1152" s="39" t="str">
        <f ca="1">IF(NOTA[[#This Row],[TGL.NOTA]]="",IF(NOTA[[#This Row],[SUPPLIER_H]]="","",AK1151),MONTH(NOTA[[#This Row],[TGL.NOTA]]))</f>
        <v/>
      </c>
      <c r="AL1152" s="39" t="str">
        <f>LOWER(SUBSTITUTE(SUBSTITUTE(SUBSTITUTE(SUBSTITUTE(SUBSTITUTE(SUBSTITUTE(SUBSTITUTE(SUBSTITUTE(SUBSTITUTE(NOTA[NAMA BARANG]," ",),".",""),"-",""),"(",""),")",""),",",""),"/",""),"""",""),"+",""))</f>
        <v/>
      </c>
      <c r="AM11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39" t="str">
        <f>IF(NOTA[[#This Row],[CONCAT4]]="","",_xlfn.IFNA(MATCH(NOTA[[#This Row],[CONCAT4]],[2]!RAW[CONCAT_H],0),FALSE))</f>
        <v/>
      </c>
      <c r="AQ1152" s="39" t="str">
        <f>IF(NOTA[[#This Row],[CONCAT1]]="","",MATCH(NOTA[[#This Row],[CONCAT1]],[3]!db[NB NOTA_C],0))</f>
        <v/>
      </c>
      <c r="AR1152" s="39" t="str">
        <f>IF(NOTA[[#This Row],[QTY/ CTN]]="","",TRUE)</f>
        <v/>
      </c>
      <c r="AS1152" s="39" t="str">
        <f ca="1">IF(NOTA[[#This Row],[ID_H]]="","",IF(NOTA[[#This Row],[Column3]]=TRUE,NOTA[[#This Row],[QTY/ CTN]],INDEX([3]!db[QTY/ CTN],NOTA[[#This Row],[//DB]])))</f>
        <v/>
      </c>
      <c r="AT11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2" s="39" t="str">
        <f ca="1">IF(NOTA[[#This Row],[ID_H]]="","",MATCH(NOTA[[#This Row],[NB NOTA_C_QTY]],[4]!db[NB NOTA_C_QTY+F],0))</f>
        <v/>
      </c>
      <c r="AV1152" s="55" t="str">
        <f ca="1">IF(NOTA[[#This Row],[NB NOTA_C_QTY]]="","",ROW()-2)</f>
        <v/>
      </c>
    </row>
    <row r="1153" spans="1:48" ht="20.100000000000001" customHeight="1" x14ac:dyDescent="0.25">
      <c r="A11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3" s="39" t="str">
        <f>IF(NOTA[[#This Row],[ID_P]]="","",MATCH(NOTA[[#This Row],[ID_P]],[1]!B_MSK[N_ID],0))</f>
        <v/>
      </c>
      <c r="D1153" s="39" t="str">
        <f ca="1">IF(NOTA[[#This Row],[NAMA BARANG]]="","",INDEX(NOTA[ID],MATCH(,INDIRECT(ADDRESS(ROW(NOTA[ID]),COLUMN(NOTA[ID]))&amp;":"&amp;ADDRESS(ROW(),COLUMN(NOTA[ID]))),-1)))</f>
        <v/>
      </c>
      <c r="E1153" s="47"/>
      <c r="H1153" s="48"/>
      <c r="N1153" s="39"/>
      <c r="Q1153" s="43"/>
      <c r="R1153" s="49"/>
      <c r="S1153" s="50"/>
      <c r="U1153" s="51"/>
      <c r="V1153" s="46"/>
      <c r="W1153" s="51" t="str">
        <f>IF(NOTA[[#This Row],[HARGA/ CTN]]="",NOTA[[#This Row],[JUMLAH_H]],NOTA[[#This Row],[HARGA/ CTN]]*IF(NOTA[[#This Row],[C]]="",0,NOTA[[#This Row],[C]]))</f>
        <v/>
      </c>
      <c r="X1153" s="51" t="str">
        <f>IF(NOTA[[#This Row],[JUMLAH]]="","",NOTA[[#This Row],[JUMLAH]]*NOTA[[#This Row],[DISC 1]])</f>
        <v/>
      </c>
      <c r="Y1153" s="51" t="str">
        <f>IF(NOTA[[#This Row],[JUMLAH]]="","",(NOTA[[#This Row],[JUMLAH]]-NOTA[[#This Row],[DISC 1-]])*NOTA[[#This Row],[DISC 2]])</f>
        <v/>
      </c>
      <c r="Z1153" s="51" t="str">
        <f>IF(NOTA[[#This Row],[JUMLAH]]="","",NOTA[[#This Row],[DISC 1-]]+NOTA[[#This Row],[DISC 2-]])</f>
        <v/>
      </c>
      <c r="AA1153" s="51" t="str">
        <f>IF(NOTA[[#This Row],[JUMLAH]]="","",NOTA[[#This Row],[JUMLAH]]-NOTA[[#This Row],[DISC]])</f>
        <v/>
      </c>
      <c r="AB1153" s="51"/>
      <c r="AC1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3" s="51" t="str">
        <f>IF(OR(NOTA[[#This Row],[QTY]]="",NOTA[[#This Row],[HARGA SATUAN]]="",),"",NOTA[[#This Row],[QTY]]*NOTA[[#This Row],[HARGA SATUAN]])</f>
        <v/>
      </c>
      <c r="AG1153" s="40" t="str">
        <f ca="1">IF(NOTA[ID_H]="","",INDEX(NOTA[TANGGAL],MATCH(,INDIRECT(ADDRESS(ROW(NOTA[TANGGAL]),COLUMN(NOTA[TANGGAL]))&amp;":"&amp;ADDRESS(ROW(),COLUMN(NOTA[TANGGAL]))),-1)))</f>
        <v/>
      </c>
      <c r="AH1153" s="42" t="str">
        <f ca="1">IF(NOTA[[#This Row],[NAMA BARANG]]="","",INDEX(NOTA[SUPPLIER],MATCH(,INDIRECT(ADDRESS(ROW(NOTA[ID]),COLUMN(NOTA[ID]))&amp;":"&amp;ADDRESS(ROW(),COLUMN(NOTA[ID]))),-1)))</f>
        <v/>
      </c>
      <c r="AI1153" s="42" t="str">
        <f ca="1">IF(NOTA[[#This Row],[ID_H]]="","",IF(NOTA[[#This Row],[FAKTUR]]="",INDIRECT(ADDRESS(ROW()-1,COLUMN())),NOTA[[#This Row],[FAKTUR]]))</f>
        <v/>
      </c>
      <c r="AJ1153" s="39" t="str">
        <f ca="1">IF(NOTA[[#This Row],[ID]]="","",COUNTIF(NOTA[ID_H],NOTA[[#This Row],[ID_H]]))</f>
        <v/>
      </c>
      <c r="AK1153" s="39" t="str">
        <f ca="1">IF(NOTA[[#This Row],[TGL.NOTA]]="",IF(NOTA[[#This Row],[SUPPLIER_H]]="","",AK1152),MONTH(NOTA[[#This Row],[TGL.NOTA]]))</f>
        <v/>
      </c>
      <c r="AL1153" s="39" t="str">
        <f>LOWER(SUBSTITUTE(SUBSTITUTE(SUBSTITUTE(SUBSTITUTE(SUBSTITUTE(SUBSTITUTE(SUBSTITUTE(SUBSTITUTE(SUBSTITUTE(NOTA[NAMA BARANG]," ",),".",""),"-",""),"(",""),")",""),",",""),"/",""),"""",""),"+",""))</f>
        <v/>
      </c>
      <c r="AM11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3" s="39" t="str">
        <f>IF(NOTA[[#This Row],[CONCAT4]]="","",_xlfn.IFNA(MATCH(NOTA[[#This Row],[CONCAT4]],[2]!RAW[CONCAT_H],0),FALSE))</f>
        <v/>
      </c>
      <c r="AQ1153" s="39" t="str">
        <f>IF(NOTA[[#This Row],[CONCAT1]]="","",MATCH(NOTA[[#This Row],[CONCAT1]],[3]!db[NB NOTA_C],0))</f>
        <v/>
      </c>
      <c r="AR1153" s="39" t="str">
        <f>IF(NOTA[[#This Row],[QTY/ CTN]]="","",TRUE)</f>
        <v/>
      </c>
      <c r="AS1153" s="39" t="str">
        <f ca="1">IF(NOTA[[#This Row],[ID_H]]="","",IF(NOTA[[#This Row],[Column3]]=TRUE,NOTA[[#This Row],[QTY/ CTN]],INDEX([3]!db[QTY/ CTN],NOTA[[#This Row],[//DB]])))</f>
        <v/>
      </c>
      <c r="AT11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3" s="39" t="str">
        <f ca="1">IF(NOTA[[#This Row],[ID_H]]="","",MATCH(NOTA[[#This Row],[NB NOTA_C_QTY]],[4]!db[NB NOTA_C_QTY+F],0))</f>
        <v/>
      </c>
      <c r="AV1153" s="55" t="str">
        <f ca="1">IF(NOTA[[#This Row],[NB NOTA_C_QTY]]="","",ROW()-2)</f>
        <v/>
      </c>
    </row>
    <row r="1154" spans="1:48" ht="20.100000000000001" customHeight="1" x14ac:dyDescent="0.25">
      <c r="A11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39" t="str">
        <f>IF(NOTA[[#This Row],[ID_P]]="","",MATCH(NOTA[[#This Row],[ID_P]],[1]!B_MSK[N_ID],0))</f>
        <v/>
      </c>
      <c r="D1154" s="39" t="str">
        <f ca="1">IF(NOTA[[#This Row],[NAMA BARANG]]="","",INDEX(NOTA[ID],MATCH(,INDIRECT(ADDRESS(ROW(NOTA[ID]),COLUMN(NOTA[ID]))&amp;":"&amp;ADDRESS(ROW(),COLUMN(NOTA[ID]))),-1)))</f>
        <v/>
      </c>
      <c r="E1154" s="47"/>
      <c r="H1154" s="48"/>
      <c r="N1154" s="39"/>
      <c r="Q1154" s="43"/>
      <c r="R1154" s="49"/>
      <c r="S1154" s="50"/>
      <c r="U1154" s="51"/>
      <c r="V1154" s="46"/>
      <c r="W1154" s="51" t="str">
        <f>IF(NOTA[[#This Row],[HARGA/ CTN]]="",NOTA[[#This Row],[JUMLAH_H]],NOTA[[#This Row],[HARGA/ CTN]]*IF(NOTA[[#This Row],[C]]="",0,NOTA[[#This Row],[C]]))</f>
        <v/>
      </c>
      <c r="X1154" s="51" t="str">
        <f>IF(NOTA[[#This Row],[JUMLAH]]="","",NOTA[[#This Row],[JUMLAH]]*NOTA[[#This Row],[DISC 1]])</f>
        <v/>
      </c>
      <c r="Y1154" s="51" t="str">
        <f>IF(NOTA[[#This Row],[JUMLAH]]="","",(NOTA[[#This Row],[JUMLAH]]-NOTA[[#This Row],[DISC 1-]])*NOTA[[#This Row],[DISC 2]])</f>
        <v/>
      </c>
      <c r="Z1154" s="51" t="str">
        <f>IF(NOTA[[#This Row],[JUMLAH]]="","",NOTA[[#This Row],[DISC 1-]]+NOTA[[#This Row],[DISC 2-]])</f>
        <v/>
      </c>
      <c r="AA1154" s="51" t="str">
        <f>IF(NOTA[[#This Row],[JUMLAH]]="","",NOTA[[#This Row],[JUMLAH]]-NOTA[[#This Row],[DISC]])</f>
        <v/>
      </c>
      <c r="AB1154" s="51"/>
      <c r="AC1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51" t="str">
        <f>IF(OR(NOTA[[#This Row],[QTY]]="",NOTA[[#This Row],[HARGA SATUAN]]="",),"",NOTA[[#This Row],[QTY]]*NOTA[[#This Row],[HARGA SATUAN]])</f>
        <v/>
      </c>
      <c r="AG1154" s="40" t="str">
        <f ca="1">IF(NOTA[ID_H]="","",INDEX(NOTA[TANGGAL],MATCH(,INDIRECT(ADDRESS(ROW(NOTA[TANGGAL]),COLUMN(NOTA[TANGGAL]))&amp;":"&amp;ADDRESS(ROW(),COLUMN(NOTA[TANGGAL]))),-1)))</f>
        <v/>
      </c>
      <c r="AH1154" s="42" t="str">
        <f ca="1">IF(NOTA[[#This Row],[NAMA BARANG]]="","",INDEX(NOTA[SUPPLIER],MATCH(,INDIRECT(ADDRESS(ROW(NOTA[ID]),COLUMN(NOTA[ID]))&amp;":"&amp;ADDRESS(ROW(),COLUMN(NOTA[ID]))),-1)))</f>
        <v/>
      </c>
      <c r="AI1154" s="42" t="str">
        <f ca="1">IF(NOTA[[#This Row],[ID_H]]="","",IF(NOTA[[#This Row],[FAKTUR]]="",INDIRECT(ADDRESS(ROW()-1,COLUMN())),NOTA[[#This Row],[FAKTUR]]))</f>
        <v/>
      </c>
      <c r="AJ1154" s="39" t="str">
        <f ca="1">IF(NOTA[[#This Row],[ID]]="","",COUNTIF(NOTA[ID_H],NOTA[[#This Row],[ID_H]]))</f>
        <v/>
      </c>
      <c r="AK1154" s="39" t="str">
        <f ca="1">IF(NOTA[[#This Row],[TGL.NOTA]]="",IF(NOTA[[#This Row],[SUPPLIER_H]]="","",AK1153),MONTH(NOTA[[#This Row],[TGL.NOTA]]))</f>
        <v/>
      </c>
      <c r="AL1154" s="39" t="str">
        <f>LOWER(SUBSTITUTE(SUBSTITUTE(SUBSTITUTE(SUBSTITUTE(SUBSTITUTE(SUBSTITUTE(SUBSTITUTE(SUBSTITUTE(SUBSTITUTE(NOTA[NAMA BARANG]," ",),".",""),"-",""),"(",""),")",""),",",""),"/",""),"""",""),"+",""))</f>
        <v/>
      </c>
      <c r="AM11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39" t="str">
        <f>IF(NOTA[[#This Row],[CONCAT4]]="","",_xlfn.IFNA(MATCH(NOTA[[#This Row],[CONCAT4]],[2]!RAW[CONCAT_H],0),FALSE))</f>
        <v/>
      </c>
      <c r="AQ1154" s="39" t="str">
        <f>IF(NOTA[[#This Row],[CONCAT1]]="","",MATCH(NOTA[[#This Row],[CONCAT1]],[3]!db[NB NOTA_C],0))</f>
        <v/>
      </c>
      <c r="AR1154" s="39" t="str">
        <f>IF(NOTA[[#This Row],[QTY/ CTN]]="","",TRUE)</f>
        <v/>
      </c>
      <c r="AS1154" s="39" t="str">
        <f ca="1">IF(NOTA[[#This Row],[ID_H]]="","",IF(NOTA[[#This Row],[Column3]]=TRUE,NOTA[[#This Row],[QTY/ CTN]],INDEX([3]!db[QTY/ CTN],NOTA[[#This Row],[//DB]])))</f>
        <v/>
      </c>
      <c r="AT11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4" s="39" t="str">
        <f ca="1">IF(NOTA[[#This Row],[ID_H]]="","",MATCH(NOTA[[#This Row],[NB NOTA_C_QTY]],[4]!db[NB NOTA_C_QTY+F],0))</f>
        <v/>
      </c>
      <c r="AV1154" s="55" t="str">
        <f ca="1">IF(NOTA[[#This Row],[NB NOTA_C_QTY]]="","",ROW()-2)</f>
        <v/>
      </c>
    </row>
    <row r="1155" spans="1:48" ht="20.100000000000001" customHeight="1" x14ac:dyDescent="0.25">
      <c r="A11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5" s="39" t="str">
        <f>IF(NOTA[[#This Row],[ID_P]]="","",MATCH(NOTA[[#This Row],[ID_P]],[1]!B_MSK[N_ID],0))</f>
        <v/>
      </c>
      <c r="D1155" s="39" t="str">
        <f ca="1">IF(NOTA[[#This Row],[NAMA BARANG]]="","",INDEX(NOTA[ID],MATCH(,INDIRECT(ADDRESS(ROW(NOTA[ID]),COLUMN(NOTA[ID]))&amp;":"&amp;ADDRESS(ROW(),COLUMN(NOTA[ID]))),-1)))</f>
        <v/>
      </c>
      <c r="E1155" s="47"/>
      <c r="H1155" s="48"/>
      <c r="N1155" s="39"/>
      <c r="Q1155" s="43"/>
      <c r="R1155" s="49"/>
      <c r="S1155" s="50"/>
      <c r="U1155" s="51"/>
      <c r="V1155" s="46"/>
      <c r="W1155" s="51" t="str">
        <f>IF(NOTA[[#This Row],[HARGA/ CTN]]="",NOTA[[#This Row],[JUMLAH_H]],NOTA[[#This Row],[HARGA/ CTN]]*IF(NOTA[[#This Row],[C]]="",0,NOTA[[#This Row],[C]]))</f>
        <v/>
      </c>
      <c r="X1155" s="51" t="str">
        <f>IF(NOTA[[#This Row],[JUMLAH]]="","",NOTA[[#This Row],[JUMLAH]]*NOTA[[#This Row],[DISC 1]])</f>
        <v/>
      </c>
      <c r="Y1155" s="51" t="str">
        <f>IF(NOTA[[#This Row],[JUMLAH]]="","",(NOTA[[#This Row],[JUMLAH]]-NOTA[[#This Row],[DISC 1-]])*NOTA[[#This Row],[DISC 2]])</f>
        <v/>
      </c>
      <c r="Z1155" s="51" t="str">
        <f>IF(NOTA[[#This Row],[JUMLAH]]="","",NOTA[[#This Row],[DISC 1-]]+NOTA[[#This Row],[DISC 2-]])</f>
        <v/>
      </c>
      <c r="AA1155" s="51" t="str">
        <f>IF(NOTA[[#This Row],[JUMLAH]]="","",NOTA[[#This Row],[JUMLAH]]-NOTA[[#This Row],[DISC]])</f>
        <v/>
      </c>
      <c r="AB1155" s="51"/>
      <c r="AC1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5" s="51" t="str">
        <f>IF(OR(NOTA[[#This Row],[QTY]]="",NOTA[[#This Row],[HARGA SATUAN]]="",),"",NOTA[[#This Row],[QTY]]*NOTA[[#This Row],[HARGA SATUAN]])</f>
        <v/>
      </c>
      <c r="AG1155" s="40" t="str">
        <f ca="1">IF(NOTA[ID_H]="","",INDEX(NOTA[TANGGAL],MATCH(,INDIRECT(ADDRESS(ROW(NOTA[TANGGAL]),COLUMN(NOTA[TANGGAL]))&amp;":"&amp;ADDRESS(ROW(),COLUMN(NOTA[TANGGAL]))),-1)))</f>
        <v/>
      </c>
      <c r="AH1155" s="42" t="str">
        <f ca="1">IF(NOTA[[#This Row],[NAMA BARANG]]="","",INDEX(NOTA[SUPPLIER],MATCH(,INDIRECT(ADDRESS(ROW(NOTA[ID]),COLUMN(NOTA[ID]))&amp;":"&amp;ADDRESS(ROW(),COLUMN(NOTA[ID]))),-1)))</f>
        <v/>
      </c>
      <c r="AI1155" s="42" t="str">
        <f ca="1">IF(NOTA[[#This Row],[ID_H]]="","",IF(NOTA[[#This Row],[FAKTUR]]="",INDIRECT(ADDRESS(ROW()-1,COLUMN())),NOTA[[#This Row],[FAKTUR]]))</f>
        <v/>
      </c>
      <c r="AJ1155" s="39" t="str">
        <f ca="1">IF(NOTA[[#This Row],[ID]]="","",COUNTIF(NOTA[ID_H],NOTA[[#This Row],[ID_H]]))</f>
        <v/>
      </c>
      <c r="AK1155" s="39" t="str">
        <f ca="1">IF(NOTA[[#This Row],[TGL.NOTA]]="",IF(NOTA[[#This Row],[SUPPLIER_H]]="","",AK1154),MONTH(NOTA[[#This Row],[TGL.NOTA]]))</f>
        <v/>
      </c>
      <c r="AL1155" s="39" t="str">
        <f>LOWER(SUBSTITUTE(SUBSTITUTE(SUBSTITUTE(SUBSTITUTE(SUBSTITUTE(SUBSTITUTE(SUBSTITUTE(SUBSTITUTE(SUBSTITUTE(NOTA[NAMA BARANG]," ",),".",""),"-",""),"(",""),")",""),",",""),"/",""),"""",""),"+",""))</f>
        <v/>
      </c>
      <c r="AM11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5" s="39" t="str">
        <f>IF(NOTA[[#This Row],[CONCAT4]]="","",_xlfn.IFNA(MATCH(NOTA[[#This Row],[CONCAT4]],[2]!RAW[CONCAT_H],0),FALSE))</f>
        <v/>
      </c>
      <c r="AQ1155" s="39" t="str">
        <f>IF(NOTA[[#This Row],[CONCAT1]]="","",MATCH(NOTA[[#This Row],[CONCAT1]],[3]!db[NB NOTA_C],0))</f>
        <v/>
      </c>
      <c r="AR1155" s="39" t="str">
        <f>IF(NOTA[[#This Row],[QTY/ CTN]]="","",TRUE)</f>
        <v/>
      </c>
      <c r="AS1155" s="39" t="str">
        <f ca="1">IF(NOTA[[#This Row],[ID_H]]="","",IF(NOTA[[#This Row],[Column3]]=TRUE,NOTA[[#This Row],[QTY/ CTN]],INDEX([3]!db[QTY/ CTN],NOTA[[#This Row],[//DB]])))</f>
        <v/>
      </c>
      <c r="AT11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5" s="39" t="str">
        <f ca="1">IF(NOTA[[#This Row],[ID_H]]="","",MATCH(NOTA[[#This Row],[NB NOTA_C_QTY]],[4]!db[NB NOTA_C_QTY+F],0))</f>
        <v/>
      </c>
      <c r="AV1155" s="55" t="str">
        <f ca="1">IF(NOTA[[#This Row],[NB NOTA_C_QTY]]="","",ROW()-2)</f>
        <v/>
      </c>
    </row>
    <row r="1156" spans="1:48" ht="20.100000000000001" customHeight="1" x14ac:dyDescent="0.25">
      <c r="A11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39" t="str">
        <f>IF(NOTA[[#This Row],[ID_P]]="","",MATCH(NOTA[[#This Row],[ID_P]],[1]!B_MSK[N_ID],0))</f>
        <v/>
      </c>
      <c r="D1156" s="39" t="str">
        <f ca="1">IF(NOTA[[#This Row],[NAMA BARANG]]="","",INDEX(NOTA[ID],MATCH(,INDIRECT(ADDRESS(ROW(NOTA[ID]),COLUMN(NOTA[ID]))&amp;":"&amp;ADDRESS(ROW(),COLUMN(NOTA[ID]))),-1)))</f>
        <v/>
      </c>
      <c r="E1156" s="47"/>
      <c r="H1156" s="48"/>
      <c r="N1156" s="39"/>
      <c r="Q1156" s="43"/>
      <c r="R1156" s="49"/>
      <c r="S1156" s="50"/>
      <c r="U1156" s="51"/>
      <c r="V1156" s="46"/>
      <c r="W1156" s="51" t="str">
        <f>IF(NOTA[[#This Row],[HARGA/ CTN]]="",NOTA[[#This Row],[JUMLAH_H]],NOTA[[#This Row],[HARGA/ CTN]]*IF(NOTA[[#This Row],[C]]="",0,NOTA[[#This Row],[C]]))</f>
        <v/>
      </c>
      <c r="X1156" s="51" t="str">
        <f>IF(NOTA[[#This Row],[JUMLAH]]="","",NOTA[[#This Row],[JUMLAH]]*NOTA[[#This Row],[DISC 1]])</f>
        <v/>
      </c>
      <c r="Y1156" s="51" t="str">
        <f>IF(NOTA[[#This Row],[JUMLAH]]="","",(NOTA[[#This Row],[JUMLAH]]-NOTA[[#This Row],[DISC 1-]])*NOTA[[#This Row],[DISC 2]])</f>
        <v/>
      </c>
      <c r="Z1156" s="51" t="str">
        <f>IF(NOTA[[#This Row],[JUMLAH]]="","",NOTA[[#This Row],[DISC 1-]]+NOTA[[#This Row],[DISC 2-]])</f>
        <v/>
      </c>
      <c r="AA1156" s="51" t="str">
        <f>IF(NOTA[[#This Row],[JUMLAH]]="","",NOTA[[#This Row],[JUMLAH]]-NOTA[[#This Row],[DISC]])</f>
        <v/>
      </c>
      <c r="AB1156" s="51"/>
      <c r="AC1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6" s="51" t="str">
        <f>IF(OR(NOTA[[#This Row],[QTY]]="",NOTA[[#This Row],[HARGA SATUAN]]="",),"",NOTA[[#This Row],[QTY]]*NOTA[[#This Row],[HARGA SATUAN]])</f>
        <v/>
      </c>
      <c r="AG1156" s="40" t="str">
        <f ca="1">IF(NOTA[ID_H]="","",INDEX(NOTA[TANGGAL],MATCH(,INDIRECT(ADDRESS(ROW(NOTA[TANGGAL]),COLUMN(NOTA[TANGGAL]))&amp;":"&amp;ADDRESS(ROW(),COLUMN(NOTA[TANGGAL]))),-1)))</f>
        <v/>
      </c>
      <c r="AH1156" s="42" t="str">
        <f ca="1">IF(NOTA[[#This Row],[NAMA BARANG]]="","",INDEX(NOTA[SUPPLIER],MATCH(,INDIRECT(ADDRESS(ROW(NOTA[ID]),COLUMN(NOTA[ID]))&amp;":"&amp;ADDRESS(ROW(),COLUMN(NOTA[ID]))),-1)))</f>
        <v/>
      </c>
      <c r="AI1156" s="42" t="str">
        <f ca="1">IF(NOTA[[#This Row],[ID_H]]="","",IF(NOTA[[#This Row],[FAKTUR]]="",INDIRECT(ADDRESS(ROW()-1,COLUMN())),NOTA[[#This Row],[FAKTUR]]))</f>
        <v/>
      </c>
      <c r="AJ1156" s="39" t="str">
        <f ca="1">IF(NOTA[[#This Row],[ID]]="","",COUNTIF(NOTA[ID_H],NOTA[[#This Row],[ID_H]]))</f>
        <v/>
      </c>
      <c r="AK1156" s="39" t="str">
        <f ca="1">IF(NOTA[[#This Row],[TGL.NOTA]]="",IF(NOTA[[#This Row],[SUPPLIER_H]]="","",AK1155),MONTH(NOTA[[#This Row],[TGL.NOTA]]))</f>
        <v/>
      </c>
      <c r="AL1156" s="39" t="str">
        <f>LOWER(SUBSTITUTE(SUBSTITUTE(SUBSTITUTE(SUBSTITUTE(SUBSTITUTE(SUBSTITUTE(SUBSTITUTE(SUBSTITUTE(SUBSTITUTE(NOTA[NAMA BARANG]," ",),".",""),"-",""),"(",""),")",""),",",""),"/",""),"""",""),"+",""))</f>
        <v/>
      </c>
      <c r="AM11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39" t="str">
        <f>IF(NOTA[[#This Row],[CONCAT4]]="","",_xlfn.IFNA(MATCH(NOTA[[#This Row],[CONCAT4]],[2]!RAW[CONCAT_H],0),FALSE))</f>
        <v/>
      </c>
      <c r="AQ1156" s="39" t="str">
        <f>IF(NOTA[[#This Row],[CONCAT1]]="","",MATCH(NOTA[[#This Row],[CONCAT1]],[3]!db[NB NOTA_C],0))</f>
        <v/>
      </c>
      <c r="AR1156" s="39" t="str">
        <f>IF(NOTA[[#This Row],[QTY/ CTN]]="","",TRUE)</f>
        <v/>
      </c>
      <c r="AS1156" s="39" t="str">
        <f ca="1">IF(NOTA[[#This Row],[ID_H]]="","",IF(NOTA[[#This Row],[Column3]]=TRUE,NOTA[[#This Row],[QTY/ CTN]],INDEX([3]!db[QTY/ CTN],NOTA[[#This Row],[//DB]])))</f>
        <v/>
      </c>
      <c r="AT11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6" s="39" t="str">
        <f ca="1">IF(NOTA[[#This Row],[ID_H]]="","",MATCH(NOTA[[#This Row],[NB NOTA_C_QTY]],[4]!db[NB NOTA_C_QTY+F],0))</f>
        <v/>
      </c>
      <c r="AV1156" s="55" t="str">
        <f ca="1">IF(NOTA[[#This Row],[NB NOTA_C_QTY]]="","",ROW()-2)</f>
        <v/>
      </c>
    </row>
    <row r="1157" spans="1:48" ht="20.100000000000001" customHeight="1" x14ac:dyDescent="0.25">
      <c r="A11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39" t="str">
        <f>IF(NOTA[[#This Row],[ID_P]]="","",MATCH(NOTA[[#This Row],[ID_P]],[1]!B_MSK[N_ID],0))</f>
        <v/>
      </c>
      <c r="D1157" s="39" t="str">
        <f ca="1">IF(NOTA[[#This Row],[NAMA BARANG]]="","",INDEX(NOTA[ID],MATCH(,INDIRECT(ADDRESS(ROW(NOTA[ID]),COLUMN(NOTA[ID]))&amp;":"&amp;ADDRESS(ROW(),COLUMN(NOTA[ID]))),-1)))</f>
        <v/>
      </c>
      <c r="E1157" s="47"/>
      <c r="H1157" s="48"/>
      <c r="N1157" s="39"/>
      <c r="Q1157" s="43"/>
      <c r="R1157" s="49"/>
      <c r="S1157" s="50"/>
      <c r="U1157" s="51"/>
      <c r="V1157" s="46"/>
      <c r="W1157" s="51" t="str">
        <f>IF(NOTA[[#This Row],[HARGA/ CTN]]="",NOTA[[#This Row],[JUMLAH_H]],NOTA[[#This Row],[HARGA/ CTN]]*IF(NOTA[[#This Row],[C]]="",0,NOTA[[#This Row],[C]]))</f>
        <v/>
      </c>
      <c r="X1157" s="51" t="str">
        <f>IF(NOTA[[#This Row],[JUMLAH]]="","",NOTA[[#This Row],[JUMLAH]]*NOTA[[#This Row],[DISC 1]])</f>
        <v/>
      </c>
      <c r="Y1157" s="51" t="str">
        <f>IF(NOTA[[#This Row],[JUMLAH]]="","",(NOTA[[#This Row],[JUMLAH]]-NOTA[[#This Row],[DISC 1-]])*NOTA[[#This Row],[DISC 2]])</f>
        <v/>
      </c>
      <c r="Z1157" s="51" t="str">
        <f>IF(NOTA[[#This Row],[JUMLAH]]="","",NOTA[[#This Row],[DISC 1-]]+NOTA[[#This Row],[DISC 2-]])</f>
        <v/>
      </c>
      <c r="AA1157" s="51" t="str">
        <f>IF(NOTA[[#This Row],[JUMLAH]]="","",NOTA[[#This Row],[JUMLAH]]-NOTA[[#This Row],[DISC]])</f>
        <v/>
      </c>
      <c r="AB1157" s="51"/>
      <c r="AC1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7" s="51" t="str">
        <f>IF(OR(NOTA[[#This Row],[QTY]]="",NOTA[[#This Row],[HARGA SATUAN]]="",),"",NOTA[[#This Row],[QTY]]*NOTA[[#This Row],[HARGA SATUAN]])</f>
        <v/>
      </c>
      <c r="AG1157" s="40" t="str">
        <f ca="1">IF(NOTA[ID_H]="","",INDEX(NOTA[TANGGAL],MATCH(,INDIRECT(ADDRESS(ROW(NOTA[TANGGAL]),COLUMN(NOTA[TANGGAL]))&amp;":"&amp;ADDRESS(ROW(),COLUMN(NOTA[TANGGAL]))),-1)))</f>
        <v/>
      </c>
      <c r="AH1157" s="42" t="str">
        <f ca="1">IF(NOTA[[#This Row],[NAMA BARANG]]="","",INDEX(NOTA[SUPPLIER],MATCH(,INDIRECT(ADDRESS(ROW(NOTA[ID]),COLUMN(NOTA[ID]))&amp;":"&amp;ADDRESS(ROW(),COLUMN(NOTA[ID]))),-1)))</f>
        <v/>
      </c>
      <c r="AI1157" s="42" t="str">
        <f ca="1">IF(NOTA[[#This Row],[ID_H]]="","",IF(NOTA[[#This Row],[FAKTUR]]="",INDIRECT(ADDRESS(ROW()-1,COLUMN())),NOTA[[#This Row],[FAKTUR]]))</f>
        <v/>
      </c>
      <c r="AJ1157" s="39" t="str">
        <f ca="1">IF(NOTA[[#This Row],[ID]]="","",COUNTIF(NOTA[ID_H],NOTA[[#This Row],[ID_H]]))</f>
        <v/>
      </c>
      <c r="AK1157" s="39" t="str">
        <f ca="1">IF(NOTA[[#This Row],[TGL.NOTA]]="",IF(NOTA[[#This Row],[SUPPLIER_H]]="","",AK1156),MONTH(NOTA[[#This Row],[TGL.NOTA]]))</f>
        <v/>
      </c>
      <c r="AL1157" s="39" t="str">
        <f>LOWER(SUBSTITUTE(SUBSTITUTE(SUBSTITUTE(SUBSTITUTE(SUBSTITUTE(SUBSTITUTE(SUBSTITUTE(SUBSTITUTE(SUBSTITUTE(NOTA[NAMA BARANG]," ",),".",""),"-",""),"(",""),")",""),",",""),"/",""),"""",""),"+",""))</f>
        <v/>
      </c>
      <c r="AM11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39" t="str">
        <f>IF(NOTA[[#This Row],[CONCAT4]]="","",_xlfn.IFNA(MATCH(NOTA[[#This Row],[CONCAT4]],[2]!RAW[CONCAT_H],0),FALSE))</f>
        <v/>
      </c>
      <c r="AQ1157" s="39" t="str">
        <f>IF(NOTA[[#This Row],[CONCAT1]]="","",MATCH(NOTA[[#This Row],[CONCAT1]],[3]!db[NB NOTA_C],0))</f>
        <v/>
      </c>
      <c r="AR1157" s="39" t="str">
        <f>IF(NOTA[[#This Row],[QTY/ CTN]]="","",TRUE)</f>
        <v/>
      </c>
      <c r="AS1157" s="39" t="str">
        <f ca="1">IF(NOTA[[#This Row],[ID_H]]="","",IF(NOTA[[#This Row],[Column3]]=TRUE,NOTA[[#This Row],[QTY/ CTN]],INDEX([3]!db[QTY/ CTN],NOTA[[#This Row],[//DB]])))</f>
        <v/>
      </c>
      <c r="AT11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7" s="39" t="str">
        <f ca="1">IF(NOTA[[#This Row],[ID_H]]="","",MATCH(NOTA[[#This Row],[NB NOTA_C_QTY]],[4]!db[NB NOTA_C_QTY+F],0))</f>
        <v/>
      </c>
      <c r="AV1157" s="55" t="str">
        <f ca="1">IF(NOTA[[#This Row],[NB NOTA_C_QTY]]="","",ROW()-2)</f>
        <v/>
      </c>
    </row>
    <row r="1158" spans="1:48" ht="20.100000000000001" customHeight="1" x14ac:dyDescent="0.25">
      <c r="A11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39" t="str">
        <f>IF(NOTA[[#This Row],[ID_P]]="","",MATCH(NOTA[[#This Row],[ID_P]],[1]!B_MSK[N_ID],0))</f>
        <v/>
      </c>
      <c r="D1158" s="39" t="str">
        <f ca="1">IF(NOTA[[#This Row],[NAMA BARANG]]="","",INDEX(NOTA[ID],MATCH(,INDIRECT(ADDRESS(ROW(NOTA[ID]),COLUMN(NOTA[ID]))&amp;":"&amp;ADDRESS(ROW(),COLUMN(NOTA[ID]))),-1)))</f>
        <v/>
      </c>
      <c r="E1158" s="47"/>
      <c r="H1158" s="48"/>
      <c r="N1158" s="39"/>
      <c r="Q1158" s="43"/>
      <c r="R1158" s="49"/>
      <c r="S1158" s="50"/>
      <c r="U1158" s="51"/>
      <c r="V1158" s="46"/>
      <c r="W1158" s="51" t="str">
        <f>IF(NOTA[[#This Row],[HARGA/ CTN]]="",NOTA[[#This Row],[JUMLAH_H]],NOTA[[#This Row],[HARGA/ CTN]]*IF(NOTA[[#This Row],[C]]="",0,NOTA[[#This Row],[C]]))</f>
        <v/>
      </c>
      <c r="X1158" s="51" t="str">
        <f>IF(NOTA[[#This Row],[JUMLAH]]="","",NOTA[[#This Row],[JUMLAH]]*NOTA[[#This Row],[DISC 1]])</f>
        <v/>
      </c>
      <c r="Y1158" s="51" t="str">
        <f>IF(NOTA[[#This Row],[JUMLAH]]="","",(NOTA[[#This Row],[JUMLAH]]-NOTA[[#This Row],[DISC 1-]])*NOTA[[#This Row],[DISC 2]])</f>
        <v/>
      </c>
      <c r="Z1158" s="51" t="str">
        <f>IF(NOTA[[#This Row],[JUMLAH]]="","",NOTA[[#This Row],[DISC 1-]]+NOTA[[#This Row],[DISC 2-]])</f>
        <v/>
      </c>
      <c r="AA1158" s="51" t="str">
        <f>IF(NOTA[[#This Row],[JUMLAH]]="","",NOTA[[#This Row],[JUMLAH]]-NOTA[[#This Row],[DISC]])</f>
        <v/>
      </c>
      <c r="AB1158" s="51"/>
      <c r="AC1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8" s="51" t="str">
        <f>IF(OR(NOTA[[#This Row],[QTY]]="",NOTA[[#This Row],[HARGA SATUAN]]="",),"",NOTA[[#This Row],[QTY]]*NOTA[[#This Row],[HARGA SATUAN]])</f>
        <v/>
      </c>
      <c r="AG1158" s="40" t="str">
        <f ca="1">IF(NOTA[ID_H]="","",INDEX(NOTA[TANGGAL],MATCH(,INDIRECT(ADDRESS(ROW(NOTA[TANGGAL]),COLUMN(NOTA[TANGGAL]))&amp;":"&amp;ADDRESS(ROW(),COLUMN(NOTA[TANGGAL]))),-1)))</f>
        <v/>
      </c>
      <c r="AH1158" s="42" t="str">
        <f ca="1">IF(NOTA[[#This Row],[NAMA BARANG]]="","",INDEX(NOTA[SUPPLIER],MATCH(,INDIRECT(ADDRESS(ROW(NOTA[ID]),COLUMN(NOTA[ID]))&amp;":"&amp;ADDRESS(ROW(),COLUMN(NOTA[ID]))),-1)))</f>
        <v/>
      </c>
      <c r="AI1158" s="42" t="str">
        <f ca="1">IF(NOTA[[#This Row],[ID_H]]="","",IF(NOTA[[#This Row],[FAKTUR]]="",INDIRECT(ADDRESS(ROW()-1,COLUMN())),NOTA[[#This Row],[FAKTUR]]))</f>
        <v/>
      </c>
      <c r="AJ1158" s="39" t="str">
        <f ca="1">IF(NOTA[[#This Row],[ID]]="","",COUNTIF(NOTA[ID_H],NOTA[[#This Row],[ID_H]]))</f>
        <v/>
      </c>
      <c r="AK1158" s="39" t="str">
        <f ca="1">IF(NOTA[[#This Row],[TGL.NOTA]]="",IF(NOTA[[#This Row],[SUPPLIER_H]]="","",AK1157),MONTH(NOTA[[#This Row],[TGL.NOTA]]))</f>
        <v/>
      </c>
      <c r="AL1158" s="39" t="str">
        <f>LOWER(SUBSTITUTE(SUBSTITUTE(SUBSTITUTE(SUBSTITUTE(SUBSTITUTE(SUBSTITUTE(SUBSTITUTE(SUBSTITUTE(SUBSTITUTE(NOTA[NAMA BARANG]," ",),".",""),"-",""),"(",""),")",""),",",""),"/",""),"""",""),"+",""))</f>
        <v/>
      </c>
      <c r="AM11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39" t="str">
        <f>IF(NOTA[[#This Row],[CONCAT4]]="","",_xlfn.IFNA(MATCH(NOTA[[#This Row],[CONCAT4]],[2]!RAW[CONCAT_H],0),FALSE))</f>
        <v/>
      </c>
      <c r="AQ1158" s="39" t="str">
        <f>IF(NOTA[[#This Row],[CONCAT1]]="","",MATCH(NOTA[[#This Row],[CONCAT1]],[3]!db[NB NOTA_C],0))</f>
        <v/>
      </c>
      <c r="AR1158" s="39" t="str">
        <f>IF(NOTA[[#This Row],[QTY/ CTN]]="","",TRUE)</f>
        <v/>
      </c>
      <c r="AS1158" s="39" t="str">
        <f ca="1">IF(NOTA[[#This Row],[ID_H]]="","",IF(NOTA[[#This Row],[Column3]]=TRUE,NOTA[[#This Row],[QTY/ CTN]],INDEX([3]!db[QTY/ CTN],NOTA[[#This Row],[//DB]])))</f>
        <v/>
      </c>
      <c r="AT11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8" s="39" t="str">
        <f ca="1">IF(NOTA[[#This Row],[ID_H]]="","",MATCH(NOTA[[#This Row],[NB NOTA_C_QTY]],[4]!db[NB NOTA_C_QTY+F],0))</f>
        <v/>
      </c>
      <c r="AV1158" s="55" t="str">
        <f ca="1">IF(NOTA[[#This Row],[NB NOTA_C_QTY]]="","",ROW()-2)</f>
        <v/>
      </c>
    </row>
    <row r="1159" spans="1:48" ht="20.100000000000001" customHeight="1" x14ac:dyDescent="0.25">
      <c r="A11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39" t="str">
        <f>IF(NOTA[[#This Row],[ID_P]]="","",MATCH(NOTA[[#This Row],[ID_P]],[1]!B_MSK[N_ID],0))</f>
        <v/>
      </c>
      <c r="D1159" s="39" t="str">
        <f ca="1">IF(NOTA[[#This Row],[NAMA BARANG]]="","",INDEX(NOTA[ID],MATCH(,INDIRECT(ADDRESS(ROW(NOTA[ID]),COLUMN(NOTA[ID]))&amp;":"&amp;ADDRESS(ROW(),COLUMN(NOTA[ID]))),-1)))</f>
        <v/>
      </c>
      <c r="E1159" s="47"/>
      <c r="H1159" s="48"/>
      <c r="N1159" s="39"/>
      <c r="Q1159" s="43"/>
      <c r="R1159" s="49"/>
      <c r="S1159" s="50"/>
      <c r="U1159" s="51"/>
      <c r="V1159" s="46"/>
      <c r="W1159" s="51" t="str">
        <f>IF(NOTA[[#This Row],[HARGA/ CTN]]="",NOTA[[#This Row],[JUMLAH_H]],NOTA[[#This Row],[HARGA/ CTN]]*IF(NOTA[[#This Row],[C]]="",0,NOTA[[#This Row],[C]]))</f>
        <v/>
      </c>
      <c r="X1159" s="51" t="str">
        <f>IF(NOTA[[#This Row],[JUMLAH]]="","",NOTA[[#This Row],[JUMLAH]]*NOTA[[#This Row],[DISC 1]])</f>
        <v/>
      </c>
      <c r="Y1159" s="51" t="str">
        <f>IF(NOTA[[#This Row],[JUMLAH]]="","",(NOTA[[#This Row],[JUMLAH]]-NOTA[[#This Row],[DISC 1-]])*NOTA[[#This Row],[DISC 2]])</f>
        <v/>
      </c>
      <c r="Z1159" s="51" t="str">
        <f>IF(NOTA[[#This Row],[JUMLAH]]="","",NOTA[[#This Row],[DISC 1-]]+NOTA[[#This Row],[DISC 2-]])</f>
        <v/>
      </c>
      <c r="AA1159" s="51" t="str">
        <f>IF(NOTA[[#This Row],[JUMLAH]]="","",NOTA[[#This Row],[JUMLAH]]-NOTA[[#This Row],[DISC]])</f>
        <v/>
      </c>
      <c r="AB1159" s="51"/>
      <c r="AC1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9" s="51" t="str">
        <f>IF(OR(NOTA[[#This Row],[QTY]]="",NOTA[[#This Row],[HARGA SATUAN]]="",),"",NOTA[[#This Row],[QTY]]*NOTA[[#This Row],[HARGA SATUAN]])</f>
        <v/>
      </c>
      <c r="AG1159" s="40" t="str">
        <f ca="1">IF(NOTA[ID_H]="","",INDEX(NOTA[TANGGAL],MATCH(,INDIRECT(ADDRESS(ROW(NOTA[TANGGAL]),COLUMN(NOTA[TANGGAL]))&amp;":"&amp;ADDRESS(ROW(),COLUMN(NOTA[TANGGAL]))),-1)))</f>
        <v/>
      </c>
      <c r="AH1159" s="42" t="str">
        <f ca="1">IF(NOTA[[#This Row],[NAMA BARANG]]="","",INDEX(NOTA[SUPPLIER],MATCH(,INDIRECT(ADDRESS(ROW(NOTA[ID]),COLUMN(NOTA[ID]))&amp;":"&amp;ADDRESS(ROW(),COLUMN(NOTA[ID]))),-1)))</f>
        <v/>
      </c>
      <c r="AI1159" s="42" t="str">
        <f ca="1">IF(NOTA[[#This Row],[ID_H]]="","",IF(NOTA[[#This Row],[FAKTUR]]="",INDIRECT(ADDRESS(ROW()-1,COLUMN())),NOTA[[#This Row],[FAKTUR]]))</f>
        <v/>
      </c>
      <c r="AJ1159" s="39" t="str">
        <f ca="1">IF(NOTA[[#This Row],[ID]]="","",COUNTIF(NOTA[ID_H],NOTA[[#This Row],[ID_H]]))</f>
        <v/>
      </c>
      <c r="AK1159" s="39" t="str">
        <f ca="1">IF(NOTA[[#This Row],[TGL.NOTA]]="",IF(NOTA[[#This Row],[SUPPLIER_H]]="","",AK1158),MONTH(NOTA[[#This Row],[TGL.NOTA]]))</f>
        <v/>
      </c>
      <c r="AL1159" s="39" t="str">
        <f>LOWER(SUBSTITUTE(SUBSTITUTE(SUBSTITUTE(SUBSTITUTE(SUBSTITUTE(SUBSTITUTE(SUBSTITUTE(SUBSTITUTE(SUBSTITUTE(NOTA[NAMA BARANG]," ",),".",""),"-",""),"(",""),")",""),",",""),"/",""),"""",""),"+",""))</f>
        <v/>
      </c>
      <c r="AM11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39" t="str">
        <f>IF(NOTA[[#This Row],[CONCAT4]]="","",_xlfn.IFNA(MATCH(NOTA[[#This Row],[CONCAT4]],[2]!RAW[CONCAT_H],0),FALSE))</f>
        <v/>
      </c>
      <c r="AQ1159" s="39" t="str">
        <f>IF(NOTA[[#This Row],[CONCAT1]]="","",MATCH(NOTA[[#This Row],[CONCAT1]],[3]!db[NB NOTA_C],0))</f>
        <v/>
      </c>
      <c r="AR1159" s="39" t="str">
        <f>IF(NOTA[[#This Row],[QTY/ CTN]]="","",TRUE)</f>
        <v/>
      </c>
      <c r="AS1159" s="39" t="str">
        <f ca="1">IF(NOTA[[#This Row],[ID_H]]="","",IF(NOTA[[#This Row],[Column3]]=TRUE,NOTA[[#This Row],[QTY/ CTN]],INDEX([3]!db[QTY/ CTN],NOTA[[#This Row],[//DB]])))</f>
        <v/>
      </c>
      <c r="AT11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9" s="39" t="str">
        <f ca="1">IF(NOTA[[#This Row],[ID_H]]="","",MATCH(NOTA[[#This Row],[NB NOTA_C_QTY]],[4]!db[NB NOTA_C_QTY+F],0))</f>
        <v/>
      </c>
      <c r="AV1159" s="55" t="str">
        <f ca="1">IF(NOTA[[#This Row],[NB NOTA_C_QTY]]="","",ROW()-2)</f>
        <v/>
      </c>
    </row>
    <row r="1160" spans="1:48" ht="20.100000000000001" customHeight="1" x14ac:dyDescent="0.25">
      <c r="A11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39" t="str">
        <f>IF(NOTA[[#This Row],[ID_P]]="","",MATCH(NOTA[[#This Row],[ID_P]],[1]!B_MSK[N_ID],0))</f>
        <v/>
      </c>
      <c r="D1160" s="39" t="str">
        <f ca="1">IF(NOTA[[#This Row],[NAMA BARANG]]="","",INDEX(NOTA[ID],MATCH(,INDIRECT(ADDRESS(ROW(NOTA[ID]),COLUMN(NOTA[ID]))&amp;":"&amp;ADDRESS(ROW(),COLUMN(NOTA[ID]))),-1)))</f>
        <v/>
      </c>
      <c r="E1160" s="47"/>
      <c r="H1160" s="48"/>
      <c r="N1160" s="39"/>
      <c r="Q1160" s="43"/>
      <c r="R1160" s="49"/>
      <c r="S1160" s="50"/>
      <c r="U1160" s="51"/>
      <c r="V1160" s="46"/>
      <c r="W1160" s="51" t="str">
        <f>IF(NOTA[[#This Row],[HARGA/ CTN]]="",NOTA[[#This Row],[JUMLAH_H]],NOTA[[#This Row],[HARGA/ CTN]]*IF(NOTA[[#This Row],[C]]="",0,NOTA[[#This Row],[C]]))</f>
        <v/>
      </c>
      <c r="X1160" s="51" t="str">
        <f>IF(NOTA[[#This Row],[JUMLAH]]="","",NOTA[[#This Row],[JUMLAH]]*NOTA[[#This Row],[DISC 1]])</f>
        <v/>
      </c>
      <c r="Y1160" s="51" t="str">
        <f>IF(NOTA[[#This Row],[JUMLAH]]="","",(NOTA[[#This Row],[JUMLAH]]-NOTA[[#This Row],[DISC 1-]])*NOTA[[#This Row],[DISC 2]])</f>
        <v/>
      </c>
      <c r="Z1160" s="51" t="str">
        <f>IF(NOTA[[#This Row],[JUMLAH]]="","",NOTA[[#This Row],[DISC 1-]]+NOTA[[#This Row],[DISC 2-]])</f>
        <v/>
      </c>
      <c r="AA1160" s="51" t="str">
        <f>IF(NOTA[[#This Row],[JUMLAH]]="","",NOTA[[#This Row],[JUMLAH]]-NOTA[[#This Row],[DISC]])</f>
        <v/>
      </c>
      <c r="AB1160" s="51"/>
      <c r="AC11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0" s="51" t="str">
        <f>IF(OR(NOTA[[#This Row],[QTY]]="",NOTA[[#This Row],[HARGA SATUAN]]="",),"",NOTA[[#This Row],[QTY]]*NOTA[[#This Row],[HARGA SATUAN]])</f>
        <v/>
      </c>
      <c r="AG1160" s="40" t="str">
        <f ca="1">IF(NOTA[ID_H]="","",INDEX(NOTA[TANGGAL],MATCH(,INDIRECT(ADDRESS(ROW(NOTA[TANGGAL]),COLUMN(NOTA[TANGGAL]))&amp;":"&amp;ADDRESS(ROW(),COLUMN(NOTA[TANGGAL]))),-1)))</f>
        <v/>
      </c>
      <c r="AH1160" s="42" t="str">
        <f ca="1">IF(NOTA[[#This Row],[NAMA BARANG]]="","",INDEX(NOTA[SUPPLIER],MATCH(,INDIRECT(ADDRESS(ROW(NOTA[ID]),COLUMN(NOTA[ID]))&amp;":"&amp;ADDRESS(ROW(),COLUMN(NOTA[ID]))),-1)))</f>
        <v/>
      </c>
      <c r="AI1160" s="42" t="str">
        <f ca="1">IF(NOTA[[#This Row],[ID_H]]="","",IF(NOTA[[#This Row],[FAKTUR]]="",INDIRECT(ADDRESS(ROW()-1,COLUMN())),NOTA[[#This Row],[FAKTUR]]))</f>
        <v/>
      </c>
      <c r="AJ1160" s="39" t="str">
        <f ca="1">IF(NOTA[[#This Row],[ID]]="","",COUNTIF(NOTA[ID_H],NOTA[[#This Row],[ID_H]]))</f>
        <v/>
      </c>
      <c r="AK1160" s="39" t="str">
        <f ca="1">IF(NOTA[[#This Row],[TGL.NOTA]]="",IF(NOTA[[#This Row],[SUPPLIER_H]]="","",AK1159),MONTH(NOTA[[#This Row],[TGL.NOTA]]))</f>
        <v/>
      </c>
      <c r="AL1160" s="39" t="str">
        <f>LOWER(SUBSTITUTE(SUBSTITUTE(SUBSTITUTE(SUBSTITUTE(SUBSTITUTE(SUBSTITUTE(SUBSTITUTE(SUBSTITUTE(SUBSTITUTE(NOTA[NAMA BARANG]," ",),".",""),"-",""),"(",""),")",""),",",""),"/",""),"""",""),"+",""))</f>
        <v/>
      </c>
      <c r="AM11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39" t="str">
        <f>IF(NOTA[[#This Row],[CONCAT4]]="","",_xlfn.IFNA(MATCH(NOTA[[#This Row],[CONCAT4]],[2]!RAW[CONCAT_H],0),FALSE))</f>
        <v/>
      </c>
      <c r="AQ1160" s="39" t="str">
        <f>IF(NOTA[[#This Row],[CONCAT1]]="","",MATCH(NOTA[[#This Row],[CONCAT1]],[3]!db[NB NOTA_C],0))</f>
        <v/>
      </c>
      <c r="AR1160" s="39" t="str">
        <f>IF(NOTA[[#This Row],[QTY/ CTN]]="","",TRUE)</f>
        <v/>
      </c>
      <c r="AS1160" s="39" t="str">
        <f ca="1">IF(NOTA[[#This Row],[ID_H]]="","",IF(NOTA[[#This Row],[Column3]]=TRUE,NOTA[[#This Row],[QTY/ CTN]],INDEX([3]!db[QTY/ CTN],NOTA[[#This Row],[//DB]])))</f>
        <v/>
      </c>
      <c r="AT11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0" s="39" t="str">
        <f ca="1">IF(NOTA[[#This Row],[ID_H]]="","",MATCH(NOTA[[#This Row],[NB NOTA_C_QTY]],[4]!db[NB NOTA_C_QTY+F],0))</f>
        <v/>
      </c>
      <c r="AV1160" s="55" t="str">
        <f ca="1">IF(NOTA[[#This Row],[NB NOTA_C_QTY]]="","",ROW()-2)</f>
        <v/>
      </c>
    </row>
    <row r="1161" spans="1:48" ht="20.100000000000001" customHeight="1" x14ac:dyDescent="0.25">
      <c r="A11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39" t="str">
        <f>IF(NOTA[[#This Row],[ID_P]]="","",MATCH(NOTA[[#This Row],[ID_P]],[1]!B_MSK[N_ID],0))</f>
        <v/>
      </c>
      <c r="D1161" s="39" t="str">
        <f ca="1">IF(NOTA[[#This Row],[NAMA BARANG]]="","",INDEX(NOTA[ID],MATCH(,INDIRECT(ADDRESS(ROW(NOTA[ID]),COLUMN(NOTA[ID]))&amp;":"&amp;ADDRESS(ROW(),COLUMN(NOTA[ID]))),-1)))</f>
        <v/>
      </c>
      <c r="E1161" s="47"/>
      <c r="H1161" s="48"/>
      <c r="N1161" s="39"/>
      <c r="Q1161" s="43"/>
      <c r="R1161" s="49"/>
      <c r="S1161" s="50"/>
      <c r="U1161" s="51"/>
      <c r="V1161" s="46"/>
      <c r="W1161" s="51" t="str">
        <f>IF(NOTA[[#This Row],[HARGA/ CTN]]="",NOTA[[#This Row],[JUMLAH_H]],NOTA[[#This Row],[HARGA/ CTN]]*IF(NOTA[[#This Row],[C]]="",0,NOTA[[#This Row],[C]]))</f>
        <v/>
      </c>
      <c r="X1161" s="51" t="str">
        <f>IF(NOTA[[#This Row],[JUMLAH]]="","",NOTA[[#This Row],[JUMLAH]]*NOTA[[#This Row],[DISC 1]])</f>
        <v/>
      </c>
      <c r="Y1161" s="51" t="str">
        <f>IF(NOTA[[#This Row],[JUMLAH]]="","",(NOTA[[#This Row],[JUMLAH]]-NOTA[[#This Row],[DISC 1-]])*NOTA[[#This Row],[DISC 2]])</f>
        <v/>
      </c>
      <c r="Z1161" s="51" t="str">
        <f>IF(NOTA[[#This Row],[JUMLAH]]="","",NOTA[[#This Row],[DISC 1-]]+NOTA[[#This Row],[DISC 2-]])</f>
        <v/>
      </c>
      <c r="AA1161" s="51" t="str">
        <f>IF(NOTA[[#This Row],[JUMLAH]]="","",NOTA[[#This Row],[JUMLAH]]-NOTA[[#This Row],[DISC]])</f>
        <v/>
      </c>
      <c r="AB1161" s="51"/>
      <c r="AC1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1" s="51" t="str">
        <f>IF(OR(NOTA[[#This Row],[QTY]]="",NOTA[[#This Row],[HARGA SATUAN]]="",),"",NOTA[[#This Row],[QTY]]*NOTA[[#This Row],[HARGA SATUAN]])</f>
        <v/>
      </c>
      <c r="AG1161" s="40" t="str">
        <f ca="1">IF(NOTA[ID_H]="","",INDEX(NOTA[TANGGAL],MATCH(,INDIRECT(ADDRESS(ROW(NOTA[TANGGAL]),COLUMN(NOTA[TANGGAL]))&amp;":"&amp;ADDRESS(ROW(),COLUMN(NOTA[TANGGAL]))),-1)))</f>
        <v/>
      </c>
      <c r="AH1161" s="42" t="str">
        <f ca="1">IF(NOTA[[#This Row],[NAMA BARANG]]="","",INDEX(NOTA[SUPPLIER],MATCH(,INDIRECT(ADDRESS(ROW(NOTA[ID]),COLUMN(NOTA[ID]))&amp;":"&amp;ADDRESS(ROW(),COLUMN(NOTA[ID]))),-1)))</f>
        <v/>
      </c>
      <c r="AI1161" s="42" t="str">
        <f ca="1">IF(NOTA[[#This Row],[ID_H]]="","",IF(NOTA[[#This Row],[FAKTUR]]="",INDIRECT(ADDRESS(ROW()-1,COLUMN())),NOTA[[#This Row],[FAKTUR]]))</f>
        <v/>
      </c>
      <c r="AJ1161" s="39" t="str">
        <f ca="1">IF(NOTA[[#This Row],[ID]]="","",COUNTIF(NOTA[ID_H],NOTA[[#This Row],[ID_H]]))</f>
        <v/>
      </c>
      <c r="AK1161" s="39" t="str">
        <f ca="1">IF(NOTA[[#This Row],[TGL.NOTA]]="",IF(NOTA[[#This Row],[SUPPLIER_H]]="","",AK1160),MONTH(NOTA[[#This Row],[TGL.NOTA]]))</f>
        <v/>
      </c>
      <c r="AL1161" s="39" t="str">
        <f>LOWER(SUBSTITUTE(SUBSTITUTE(SUBSTITUTE(SUBSTITUTE(SUBSTITUTE(SUBSTITUTE(SUBSTITUTE(SUBSTITUTE(SUBSTITUTE(NOTA[NAMA BARANG]," ",),".",""),"-",""),"(",""),")",""),",",""),"/",""),"""",""),"+",""))</f>
        <v/>
      </c>
      <c r="AM11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39" t="str">
        <f>IF(NOTA[[#This Row],[CONCAT4]]="","",_xlfn.IFNA(MATCH(NOTA[[#This Row],[CONCAT4]],[2]!RAW[CONCAT_H],0),FALSE))</f>
        <v/>
      </c>
      <c r="AQ1161" s="39" t="str">
        <f>IF(NOTA[[#This Row],[CONCAT1]]="","",MATCH(NOTA[[#This Row],[CONCAT1]],[3]!db[NB NOTA_C],0))</f>
        <v/>
      </c>
      <c r="AR1161" s="39" t="str">
        <f>IF(NOTA[[#This Row],[QTY/ CTN]]="","",TRUE)</f>
        <v/>
      </c>
      <c r="AS1161" s="39" t="str">
        <f ca="1">IF(NOTA[[#This Row],[ID_H]]="","",IF(NOTA[[#This Row],[Column3]]=TRUE,NOTA[[#This Row],[QTY/ CTN]],INDEX([3]!db[QTY/ CTN],NOTA[[#This Row],[//DB]])))</f>
        <v/>
      </c>
      <c r="AT11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1" s="39" t="str">
        <f ca="1">IF(NOTA[[#This Row],[ID_H]]="","",MATCH(NOTA[[#This Row],[NB NOTA_C_QTY]],[4]!db[NB NOTA_C_QTY+F],0))</f>
        <v/>
      </c>
      <c r="AV1161" s="55" t="str">
        <f ca="1">IF(NOTA[[#This Row],[NB NOTA_C_QTY]]="","",ROW()-2)</f>
        <v/>
      </c>
    </row>
    <row r="1162" spans="1:48" ht="20.100000000000001" customHeight="1" x14ac:dyDescent="0.25">
      <c r="A11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39" t="str">
        <f>IF(NOTA[[#This Row],[ID_P]]="","",MATCH(NOTA[[#This Row],[ID_P]],[1]!B_MSK[N_ID],0))</f>
        <v/>
      </c>
      <c r="D1162" s="39" t="str">
        <f ca="1">IF(NOTA[[#This Row],[NAMA BARANG]]="","",INDEX(NOTA[ID],MATCH(,INDIRECT(ADDRESS(ROW(NOTA[ID]),COLUMN(NOTA[ID]))&amp;":"&amp;ADDRESS(ROW(),COLUMN(NOTA[ID]))),-1)))</f>
        <v/>
      </c>
      <c r="E1162" s="47"/>
      <c r="H1162" s="48"/>
      <c r="N1162" s="39"/>
      <c r="Q1162" s="43"/>
      <c r="R1162" s="49"/>
      <c r="S1162" s="50"/>
      <c r="U1162" s="51"/>
      <c r="V1162" s="46"/>
      <c r="W1162" s="51" t="str">
        <f>IF(NOTA[[#This Row],[HARGA/ CTN]]="",NOTA[[#This Row],[JUMLAH_H]],NOTA[[#This Row],[HARGA/ CTN]]*IF(NOTA[[#This Row],[C]]="",0,NOTA[[#This Row],[C]]))</f>
        <v/>
      </c>
      <c r="X1162" s="51" t="str">
        <f>IF(NOTA[[#This Row],[JUMLAH]]="","",NOTA[[#This Row],[JUMLAH]]*NOTA[[#This Row],[DISC 1]])</f>
        <v/>
      </c>
      <c r="Y1162" s="51" t="str">
        <f>IF(NOTA[[#This Row],[JUMLAH]]="","",(NOTA[[#This Row],[JUMLAH]]-NOTA[[#This Row],[DISC 1-]])*NOTA[[#This Row],[DISC 2]])</f>
        <v/>
      </c>
      <c r="Z1162" s="51" t="str">
        <f>IF(NOTA[[#This Row],[JUMLAH]]="","",NOTA[[#This Row],[DISC 1-]]+NOTA[[#This Row],[DISC 2-]])</f>
        <v/>
      </c>
      <c r="AA1162" s="51" t="str">
        <f>IF(NOTA[[#This Row],[JUMLAH]]="","",NOTA[[#This Row],[JUMLAH]]-NOTA[[#This Row],[DISC]])</f>
        <v/>
      </c>
      <c r="AB1162" s="51"/>
      <c r="AC1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2" s="51" t="str">
        <f>IF(OR(NOTA[[#This Row],[QTY]]="",NOTA[[#This Row],[HARGA SATUAN]]="",),"",NOTA[[#This Row],[QTY]]*NOTA[[#This Row],[HARGA SATUAN]])</f>
        <v/>
      </c>
      <c r="AG1162" s="40" t="str">
        <f ca="1">IF(NOTA[ID_H]="","",INDEX(NOTA[TANGGAL],MATCH(,INDIRECT(ADDRESS(ROW(NOTA[TANGGAL]),COLUMN(NOTA[TANGGAL]))&amp;":"&amp;ADDRESS(ROW(),COLUMN(NOTA[TANGGAL]))),-1)))</f>
        <v/>
      </c>
      <c r="AH1162" s="42" t="str">
        <f ca="1">IF(NOTA[[#This Row],[NAMA BARANG]]="","",INDEX(NOTA[SUPPLIER],MATCH(,INDIRECT(ADDRESS(ROW(NOTA[ID]),COLUMN(NOTA[ID]))&amp;":"&amp;ADDRESS(ROW(),COLUMN(NOTA[ID]))),-1)))</f>
        <v/>
      </c>
      <c r="AI1162" s="42" t="str">
        <f ca="1">IF(NOTA[[#This Row],[ID_H]]="","",IF(NOTA[[#This Row],[FAKTUR]]="",INDIRECT(ADDRESS(ROW()-1,COLUMN())),NOTA[[#This Row],[FAKTUR]]))</f>
        <v/>
      </c>
      <c r="AJ1162" s="39" t="str">
        <f ca="1">IF(NOTA[[#This Row],[ID]]="","",COUNTIF(NOTA[ID_H],NOTA[[#This Row],[ID_H]]))</f>
        <v/>
      </c>
      <c r="AK1162" s="39" t="str">
        <f ca="1">IF(NOTA[[#This Row],[TGL.NOTA]]="",IF(NOTA[[#This Row],[SUPPLIER_H]]="","",AK1161),MONTH(NOTA[[#This Row],[TGL.NOTA]]))</f>
        <v/>
      </c>
      <c r="AL1162" s="39" t="str">
        <f>LOWER(SUBSTITUTE(SUBSTITUTE(SUBSTITUTE(SUBSTITUTE(SUBSTITUTE(SUBSTITUTE(SUBSTITUTE(SUBSTITUTE(SUBSTITUTE(NOTA[NAMA BARANG]," ",),".",""),"-",""),"(",""),")",""),",",""),"/",""),"""",""),"+",""))</f>
        <v/>
      </c>
      <c r="AM11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39" t="str">
        <f>IF(NOTA[[#This Row],[CONCAT4]]="","",_xlfn.IFNA(MATCH(NOTA[[#This Row],[CONCAT4]],[2]!RAW[CONCAT_H],0),FALSE))</f>
        <v/>
      </c>
      <c r="AQ1162" s="39" t="str">
        <f>IF(NOTA[[#This Row],[CONCAT1]]="","",MATCH(NOTA[[#This Row],[CONCAT1]],[3]!db[NB NOTA_C],0))</f>
        <v/>
      </c>
      <c r="AR1162" s="39" t="str">
        <f>IF(NOTA[[#This Row],[QTY/ CTN]]="","",TRUE)</f>
        <v/>
      </c>
      <c r="AS1162" s="39" t="str">
        <f ca="1">IF(NOTA[[#This Row],[ID_H]]="","",IF(NOTA[[#This Row],[Column3]]=TRUE,NOTA[[#This Row],[QTY/ CTN]],INDEX([3]!db[QTY/ CTN],NOTA[[#This Row],[//DB]])))</f>
        <v/>
      </c>
      <c r="AT11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2" s="39" t="str">
        <f ca="1">IF(NOTA[[#This Row],[ID_H]]="","",MATCH(NOTA[[#This Row],[NB NOTA_C_QTY]],[4]!db[NB NOTA_C_QTY+F],0))</f>
        <v/>
      </c>
      <c r="AV1162" s="55" t="str">
        <f ca="1">IF(NOTA[[#This Row],[NB NOTA_C_QTY]]="","",ROW()-2)</f>
        <v/>
      </c>
    </row>
    <row r="1163" spans="1:48" ht="20.100000000000001" customHeight="1" x14ac:dyDescent="0.25">
      <c r="A11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39" t="str">
        <f>IF(NOTA[[#This Row],[ID_P]]="","",MATCH(NOTA[[#This Row],[ID_P]],[1]!B_MSK[N_ID],0))</f>
        <v/>
      </c>
      <c r="D1163" s="39" t="str">
        <f ca="1">IF(NOTA[[#This Row],[NAMA BARANG]]="","",INDEX(NOTA[ID],MATCH(,INDIRECT(ADDRESS(ROW(NOTA[ID]),COLUMN(NOTA[ID]))&amp;":"&amp;ADDRESS(ROW(),COLUMN(NOTA[ID]))),-1)))</f>
        <v/>
      </c>
      <c r="E1163" s="47"/>
      <c r="H1163" s="48"/>
      <c r="N1163" s="39"/>
      <c r="Q1163" s="43"/>
      <c r="R1163" s="49"/>
      <c r="S1163" s="50"/>
      <c r="U1163" s="51"/>
      <c r="V1163" s="46"/>
      <c r="W1163" s="51" t="str">
        <f>IF(NOTA[[#This Row],[HARGA/ CTN]]="",NOTA[[#This Row],[JUMLAH_H]],NOTA[[#This Row],[HARGA/ CTN]]*IF(NOTA[[#This Row],[C]]="",0,NOTA[[#This Row],[C]]))</f>
        <v/>
      </c>
      <c r="X1163" s="51" t="str">
        <f>IF(NOTA[[#This Row],[JUMLAH]]="","",NOTA[[#This Row],[JUMLAH]]*NOTA[[#This Row],[DISC 1]])</f>
        <v/>
      </c>
      <c r="Y1163" s="51" t="str">
        <f>IF(NOTA[[#This Row],[JUMLAH]]="","",(NOTA[[#This Row],[JUMLAH]]-NOTA[[#This Row],[DISC 1-]])*NOTA[[#This Row],[DISC 2]])</f>
        <v/>
      </c>
      <c r="Z1163" s="51" t="str">
        <f>IF(NOTA[[#This Row],[JUMLAH]]="","",NOTA[[#This Row],[DISC 1-]]+NOTA[[#This Row],[DISC 2-]])</f>
        <v/>
      </c>
      <c r="AA1163" s="51" t="str">
        <f>IF(NOTA[[#This Row],[JUMLAH]]="","",NOTA[[#This Row],[JUMLAH]]-NOTA[[#This Row],[DISC]])</f>
        <v/>
      </c>
      <c r="AB1163" s="51"/>
      <c r="AC1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51" t="str">
        <f>IF(OR(NOTA[[#This Row],[QTY]]="",NOTA[[#This Row],[HARGA SATUAN]]="",),"",NOTA[[#This Row],[QTY]]*NOTA[[#This Row],[HARGA SATUAN]])</f>
        <v/>
      </c>
      <c r="AG1163" s="40" t="str">
        <f ca="1">IF(NOTA[ID_H]="","",INDEX(NOTA[TANGGAL],MATCH(,INDIRECT(ADDRESS(ROW(NOTA[TANGGAL]),COLUMN(NOTA[TANGGAL]))&amp;":"&amp;ADDRESS(ROW(),COLUMN(NOTA[TANGGAL]))),-1)))</f>
        <v/>
      </c>
      <c r="AH1163" s="42" t="str">
        <f ca="1">IF(NOTA[[#This Row],[NAMA BARANG]]="","",INDEX(NOTA[SUPPLIER],MATCH(,INDIRECT(ADDRESS(ROW(NOTA[ID]),COLUMN(NOTA[ID]))&amp;":"&amp;ADDRESS(ROW(),COLUMN(NOTA[ID]))),-1)))</f>
        <v/>
      </c>
      <c r="AI1163" s="42" t="str">
        <f ca="1">IF(NOTA[[#This Row],[ID_H]]="","",IF(NOTA[[#This Row],[FAKTUR]]="",INDIRECT(ADDRESS(ROW()-1,COLUMN())),NOTA[[#This Row],[FAKTUR]]))</f>
        <v/>
      </c>
      <c r="AJ1163" s="39" t="str">
        <f ca="1">IF(NOTA[[#This Row],[ID]]="","",COUNTIF(NOTA[ID_H],NOTA[[#This Row],[ID_H]]))</f>
        <v/>
      </c>
      <c r="AK1163" s="39" t="str">
        <f ca="1">IF(NOTA[[#This Row],[TGL.NOTA]]="",IF(NOTA[[#This Row],[SUPPLIER_H]]="","",AK1162),MONTH(NOTA[[#This Row],[TGL.NOTA]]))</f>
        <v/>
      </c>
      <c r="AL1163" s="39" t="str">
        <f>LOWER(SUBSTITUTE(SUBSTITUTE(SUBSTITUTE(SUBSTITUTE(SUBSTITUTE(SUBSTITUTE(SUBSTITUTE(SUBSTITUTE(SUBSTITUTE(NOTA[NAMA BARANG]," ",),".",""),"-",""),"(",""),")",""),",",""),"/",""),"""",""),"+",""))</f>
        <v/>
      </c>
      <c r="AM11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39" t="str">
        <f>IF(NOTA[[#This Row],[CONCAT4]]="","",_xlfn.IFNA(MATCH(NOTA[[#This Row],[CONCAT4]],[2]!RAW[CONCAT_H],0),FALSE))</f>
        <v/>
      </c>
      <c r="AQ1163" s="39" t="str">
        <f>IF(NOTA[[#This Row],[CONCAT1]]="","",MATCH(NOTA[[#This Row],[CONCAT1]],[3]!db[NB NOTA_C],0))</f>
        <v/>
      </c>
      <c r="AR1163" s="39" t="str">
        <f>IF(NOTA[[#This Row],[QTY/ CTN]]="","",TRUE)</f>
        <v/>
      </c>
      <c r="AS1163" s="39" t="str">
        <f ca="1">IF(NOTA[[#This Row],[ID_H]]="","",IF(NOTA[[#This Row],[Column3]]=TRUE,NOTA[[#This Row],[QTY/ CTN]],INDEX([3]!db[QTY/ CTN],NOTA[[#This Row],[//DB]])))</f>
        <v/>
      </c>
      <c r="AT11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3" s="39" t="str">
        <f ca="1">IF(NOTA[[#This Row],[ID_H]]="","",MATCH(NOTA[[#This Row],[NB NOTA_C_QTY]],[4]!db[NB NOTA_C_QTY+F],0))</f>
        <v/>
      </c>
      <c r="AV1163" s="55" t="str">
        <f ca="1">IF(NOTA[[#This Row],[NB NOTA_C_QTY]]="","",ROW()-2)</f>
        <v/>
      </c>
    </row>
    <row r="1164" spans="1:48" ht="20.100000000000001" customHeight="1" x14ac:dyDescent="0.25">
      <c r="A11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4" s="39" t="str">
        <f>IF(NOTA[[#This Row],[ID_P]]="","",MATCH(NOTA[[#This Row],[ID_P]],[1]!B_MSK[N_ID],0))</f>
        <v/>
      </c>
      <c r="D1164" s="39" t="str">
        <f ca="1">IF(NOTA[[#This Row],[NAMA BARANG]]="","",INDEX(NOTA[ID],MATCH(,INDIRECT(ADDRESS(ROW(NOTA[ID]),COLUMN(NOTA[ID]))&amp;":"&amp;ADDRESS(ROW(),COLUMN(NOTA[ID]))),-1)))</f>
        <v/>
      </c>
      <c r="E1164" s="47"/>
      <c r="H1164" s="48"/>
      <c r="N1164" s="39"/>
      <c r="Q1164" s="43"/>
      <c r="R1164" s="49"/>
      <c r="S1164" s="50"/>
      <c r="U1164" s="51"/>
      <c r="V1164" s="46"/>
      <c r="W1164" s="51" t="str">
        <f>IF(NOTA[[#This Row],[HARGA/ CTN]]="",NOTA[[#This Row],[JUMLAH_H]],NOTA[[#This Row],[HARGA/ CTN]]*IF(NOTA[[#This Row],[C]]="",0,NOTA[[#This Row],[C]]))</f>
        <v/>
      </c>
      <c r="X1164" s="51" t="str">
        <f>IF(NOTA[[#This Row],[JUMLAH]]="","",NOTA[[#This Row],[JUMLAH]]*NOTA[[#This Row],[DISC 1]])</f>
        <v/>
      </c>
      <c r="Y1164" s="51" t="str">
        <f>IF(NOTA[[#This Row],[JUMLAH]]="","",(NOTA[[#This Row],[JUMLAH]]-NOTA[[#This Row],[DISC 1-]])*NOTA[[#This Row],[DISC 2]])</f>
        <v/>
      </c>
      <c r="Z1164" s="51" t="str">
        <f>IF(NOTA[[#This Row],[JUMLAH]]="","",NOTA[[#This Row],[DISC 1-]]+NOTA[[#This Row],[DISC 2-]])</f>
        <v/>
      </c>
      <c r="AA1164" s="51" t="str">
        <f>IF(NOTA[[#This Row],[JUMLAH]]="","",NOTA[[#This Row],[JUMLAH]]-NOTA[[#This Row],[DISC]])</f>
        <v/>
      </c>
      <c r="AB1164" s="51"/>
      <c r="AC1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4" s="51" t="str">
        <f>IF(OR(NOTA[[#This Row],[QTY]]="",NOTA[[#This Row],[HARGA SATUAN]]="",),"",NOTA[[#This Row],[QTY]]*NOTA[[#This Row],[HARGA SATUAN]])</f>
        <v/>
      </c>
      <c r="AG1164" s="40" t="str">
        <f ca="1">IF(NOTA[ID_H]="","",INDEX(NOTA[TANGGAL],MATCH(,INDIRECT(ADDRESS(ROW(NOTA[TANGGAL]),COLUMN(NOTA[TANGGAL]))&amp;":"&amp;ADDRESS(ROW(),COLUMN(NOTA[TANGGAL]))),-1)))</f>
        <v/>
      </c>
      <c r="AH1164" s="42" t="str">
        <f ca="1">IF(NOTA[[#This Row],[NAMA BARANG]]="","",INDEX(NOTA[SUPPLIER],MATCH(,INDIRECT(ADDRESS(ROW(NOTA[ID]),COLUMN(NOTA[ID]))&amp;":"&amp;ADDRESS(ROW(),COLUMN(NOTA[ID]))),-1)))</f>
        <v/>
      </c>
      <c r="AI1164" s="42" t="str">
        <f ca="1">IF(NOTA[[#This Row],[ID_H]]="","",IF(NOTA[[#This Row],[FAKTUR]]="",INDIRECT(ADDRESS(ROW()-1,COLUMN())),NOTA[[#This Row],[FAKTUR]]))</f>
        <v/>
      </c>
      <c r="AJ1164" s="39" t="str">
        <f ca="1">IF(NOTA[[#This Row],[ID]]="","",COUNTIF(NOTA[ID_H],NOTA[[#This Row],[ID_H]]))</f>
        <v/>
      </c>
      <c r="AK1164" s="39" t="str">
        <f ca="1">IF(NOTA[[#This Row],[TGL.NOTA]]="",IF(NOTA[[#This Row],[SUPPLIER_H]]="","",AK1163),MONTH(NOTA[[#This Row],[TGL.NOTA]]))</f>
        <v/>
      </c>
      <c r="AL1164" s="39" t="str">
        <f>LOWER(SUBSTITUTE(SUBSTITUTE(SUBSTITUTE(SUBSTITUTE(SUBSTITUTE(SUBSTITUTE(SUBSTITUTE(SUBSTITUTE(SUBSTITUTE(NOTA[NAMA BARANG]," ",),".",""),"-",""),"(",""),")",""),",",""),"/",""),"""",""),"+",""))</f>
        <v/>
      </c>
      <c r="AM11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4" s="39" t="str">
        <f>IF(NOTA[[#This Row],[CONCAT4]]="","",_xlfn.IFNA(MATCH(NOTA[[#This Row],[CONCAT4]],[2]!RAW[CONCAT_H],0),FALSE))</f>
        <v/>
      </c>
      <c r="AQ1164" s="39" t="str">
        <f>IF(NOTA[[#This Row],[CONCAT1]]="","",MATCH(NOTA[[#This Row],[CONCAT1]],[3]!db[NB NOTA_C],0))</f>
        <v/>
      </c>
      <c r="AR1164" s="39" t="str">
        <f>IF(NOTA[[#This Row],[QTY/ CTN]]="","",TRUE)</f>
        <v/>
      </c>
      <c r="AS1164" s="39" t="str">
        <f ca="1">IF(NOTA[[#This Row],[ID_H]]="","",IF(NOTA[[#This Row],[Column3]]=TRUE,NOTA[[#This Row],[QTY/ CTN]],INDEX([3]!db[QTY/ CTN],NOTA[[#This Row],[//DB]])))</f>
        <v/>
      </c>
      <c r="AT11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4" s="39" t="str">
        <f ca="1">IF(NOTA[[#This Row],[ID_H]]="","",MATCH(NOTA[[#This Row],[NB NOTA_C_QTY]],[4]!db[NB NOTA_C_QTY+F],0))</f>
        <v/>
      </c>
      <c r="AV1164" s="55" t="str">
        <f ca="1">IF(NOTA[[#This Row],[NB NOTA_C_QTY]]="","",ROW()-2)</f>
        <v/>
      </c>
    </row>
    <row r="1165" spans="1:48" ht="20.100000000000001" customHeight="1" x14ac:dyDescent="0.25">
      <c r="A11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39" t="str">
        <f>IF(NOTA[[#This Row],[ID_P]]="","",MATCH(NOTA[[#This Row],[ID_P]],[1]!B_MSK[N_ID],0))</f>
        <v/>
      </c>
      <c r="D1165" s="39" t="str">
        <f ca="1">IF(NOTA[[#This Row],[NAMA BARANG]]="","",INDEX(NOTA[ID],MATCH(,INDIRECT(ADDRESS(ROW(NOTA[ID]),COLUMN(NOTA[ID]))&amp;":"&amp;ADDRESS(ROW(),COLUMN(NOTA[ID]))),-1)))</f>
        <v/>
      </c>
      <c r="E1165" s="47"/>
      <c r="H1165" s="48"/>
      <c r="N1165" s="39"/>
      <c r="Q1165" s="43"/>
      <c r="R1165" s="49"/>
      <c r="S1165" s="50"/>
      <c r="U1165" s="51"/>
      <c r="V1165" s="46"/>
      <c r="W1165" s="51" t="str">
        <f>IF(NOTA[[#This Row],[HARGA/ CTN]]="",NOTA[[#This Row],[JUMLAH_H]],NOTA[[#This Row],[HARGA/ CTN]]*IF(NOTA[[#This Row],[C]]="",0,NOTA[[#This Row],[C]]))</f>
        <v/>
      </c>
      <c r="X1165" s="51" t="str">
        <f>IF(NOTA[[#This Row],[JUMLAH]]="","",NOTA[[#This Row],[JUMLAH]]*NOTA[[#This Row],[DISC 1]])</f>
        <v/>
      </c>
      <c r="Y1165" s="51" t="str">
        <f>IF(NOTA[[#This Row],[JUMLAH]]="","",(NOTA[[#This Row],[JUMLAH]]-NOTA[[#This Row],[DISC 1-]])*NOTA[[#This Row],[DISC 2]])</f>
        <v/>
      </c>
      <c r="Z1165" s="51" t="str">
        <f>IF(NOTA[[#This Row],[JUMLAH]]="","",NOTA[[#This Row],[DISC 1-]]+NOTA[[#This Row],[DISC 2-]])</f>
        <v/>
      </c>
      <c r="AA1165" s="51" t="str">
        <f>IF(NOTA[[#This Row],[JUMLAH]]="","",NOTA[[#This Row],[JUMLAH]]-NOTA[[#This Row],[DISC]])</f>
        <v/>
      </c>
      <c r="AB1165" s="51"/>
      <c r="AC1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5" s="51" t="str">
        <f>IF(OR(NOTA[[#This Row],[QTY]]="",NOTA[[#This Row],[HARGA SATUAN]]="",),"",NOTA[[#This Row],[QTY]]*NOTA[[#This Row],[HARGA SATUAN]])</f>
        <v/>
      </c>
      <c r="AG1165" s="40" t="str">
        <f ca="1">IF(NOTA[ID_H]="","",INDEX(NOTA[TANGGAL],MATCH(,INDIRECT(ADDRESS(ROW(NOTA[TANGGAL]),COLUMN(NOTA[TANGGAL]))&amp;":"&amp;ADDRESS(ROW(),COLUMN(NOTA[TANGGAL]))),-1)))</f>
        <v/>
      </c>
      <c r="AH1165" s="42" t="str">
        <f ca="1">IF(NOTA[[#This Row],[NAMA BARANG]]="","",INDEX(NOTA[SUPPLIER],MATCH(,INDIRECT(ADDRESS(ROW(NOTA[ID]),COLUMN(NOTA[ID]))&amp;":"&amp;ADDRESS(ROW(),COLUMN(NOTA[ID]))),-1)))</f>
        <v/>
      </c>
      <c r="AI1165" s="42" t="str">
        <f ca="1">IF(NOTA[[#This Row],[ID_H]]="","",IF(NOTA[[#This Row],[FAKTUR]]="",INDIRECT(ADDRESS(ROW()-1,COLUMN())),NOTA[[#This Row],[FAKTUR]]))</f>
        <v/>
      </c>
      <c r="AJ1165" s="39" t="str">
        <f ca="1">IF(NOTA[[#This Row],[ID]]="","",COUNTIF(NOTA[ID_H],NOTA[[#This Row],[ID_H]]))</f>
        <v/>
      </c>
      <c r="AK1165" s="39" t="str">
        <f ca="1">IF(NOTA[[#This Row],[TGL.NOTA]]="",IF(NOTA[[#This Row],[SUPPLIER_H]]="","",AK1164),MONTH(NOTA[[#This Row],[TGL.NOTA]]))</f>
        <v/>
      </c>
      <c r="AL1165" s="39" t="str">
        <f>LOWER(SUBSTITUTE(SUBSTITUTE(SUBSTITUTE(SUBSTITUTE(SUBSTITUTE(SUBSTITUTE(SUBSTITUTE(SUBSTITUTE(SUBSTITUTE(NOTA[NAMA BARANG]," ",),".",""),"-",""),"(",""),")",""),",",""),"/",""),"""",""),"+",""))</f>
        <v/>
      </c>
      <c r="AM11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39" t="str">
        <f>IF(NOTA[[#This Row],[CONCAT4]]="","",_xlfn.IFNA(MATCH(NOTA[[#This Row],[CONCAT4]],[2]!RAW[CONCAT_H],0),FALSE))</f>
        <v/>
      </c>
      <c r="AQ1165" s="39" t="str">
        <f>IF(NOTA[[#This Row],[CONCAT1]]="","",MATCH(NOTA[[#This Row],[CONCAT1]],[3]!db[NB NOTA_C],0))</f>
        <v/>
      </c>
      <c r="AR1165" s="39" t="str">
        <f>IF(NOTA[[#This Row],[QTY/ CTN]]="","",TRUE)</f>
        <v/>
      </c>
      <c r="AS1165" s="39" t="str">
        <f ca="1">IF(NOTA[[#This Row],[ID_H]]="","",IF(NOTA[[#This Row],[Column3]]=TRUE,NOTA[[#This Row],[QTY/ CTN]],INDEX([3]!db[QTY/ CTN],NOTA[[#This Row],[//DB]])))</f>
        <v/>
      </c>
      <c r="AT11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5" s="39" t="str">
        <f ca="1">IF(NOTA[[#This Row],[ID_H]]="","",MATCH(NOTA[[#This Row],[NB NOTA_C_QTY]],[4]!db[NB NOTA_C_QTY+F],0))</f>
        <v/>
      </c>
      <c r="AV1165" s="55" t="str">
        <f ca="1">IF(NOTA[[#This Row],[NB NOTA_C_QTY]]="","",ROW()-2)</f>
        <v/>
      </c>
    </row>
    <row r="1166" spans="1:48" ht="20.100000000000001" customHeight="1" x14ac:dyDescent="0.25">
      <c r="A11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39" t="str">
        <f>IF(NOTA[[#This Row],[ID_P]]="","",MATCH(NOTA[[#This Row],[ID_P]],[1]!B_MSK[N_ID],0))</f>
        <v/>
      </c>
      <c r="D1166" s="39" t="str">
        <f ca="1">IF(NOTA[[#This Row],[NAMA BARANG]]="","",INDEX(NOTA[ID],MATCH(,INDIRECT(ADDRESS(ROW(NOTA[ID]),COLUMN(NOTA[ID]))&amp;":"&amp;ADDRESS(ROW(),COLUMN(NOTA[ID]))),-1)))</f>
        <v/>
      </c>
      <c r="E1166" s="47"/>
      <c r="H1166" s="48"/>
      <c r="N1166" s="39"/>
      <c r="Q1166" s="43"/>
      <c r="R1166" s="49"/>
      <c r="S1166" s="50"/>
      <c r="U1166" s="51"/>
      <c r="V1166" s="46"/>
      <c r="W1166" s="51" t="str">
        <f>IF(NOTA[[#This Row],[HARGA/ CTN]]="",NOTA[[#This Row],[JUMLAH_H]],NOTA[[#This Row],[HARGA/ CTN]]*IF(NOTA[[#This Row],[C]]="",0,NOTA[[#This Row],[C]]))</f>
        <v/>
      </c>
      <c r="X1166" s="51" t="str">
        <f>IF(NOTA[[#This Row],[JUMLAH]]="","",NOTA[[#This Row],[JUMLAH]]*NOTA[[#This Row],[DISC 1]])</f>
        <v/>
      </c>
      <c r="Y1166" s="51" t="str">
        <f>IF(NOTA[[#This Row],[JUMLAH]]="","",(NOTA[[#This Row],[JUMLAH]]-NOTA[[#This Row],[DISC 1-]])*NOTA[[#This Row],[DISC 2]])</f>
        <v/>
      </c>
      <c r="Z1166" s="51" t="str">
        <f>IF(NOTA[[#This Row],[JUMLAH]]="","",NOTA[[#This Row],[DISC 1-]]+NOTA[[#This Row],[DISC 2-]])</f>
        <v/>
      </c>
      <c r="AA1166" s="51" t="str">
        <f>IF(NOTA[[#This Row],[JUMLAH]]="","",NOTA[[#This Row],[JUMLAH]]-NOTA[[#This Row],[DISC]])</f>
        <v/>
      </c>
      <c r="AB1166" s="51"/>
      <c r="AC1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6" s="51" t="str">
        <f>IF(OR(NOTA[[#This Row],[QTY]]="",NOTA[[#This Row],[HARGA SATUAN]]="",),"",NOTA[[#This Row],[QTY]]*NOTA[[#This Row],[HARGA SATUAN]])</f>
        <v/>
      </c>
      <c r="AG1166" s="40" t="str">
        <f ca="1">IF(NOTA[ID_H]="","",INDEX(NOTA[TANGGAL],MATCH(,INDIRECT(ADDRESS(ROW(NOTA[TANGGAL]),COLUMN(NOTA[TANGGAL]))&amp;":"&amp;ADDRESS(ROW(),COLUMN(NOTA[TANGGAL]))),-1)))</f>
        <v/>
      </c>
      <c r="AH1166" s="42" t="str">
        <f ca="1">IF(NOTA[[#This Row],[NAMA BARANG]]="","",INDEX(NOTA[SUPPLIER],MATCH(,INDIRECT(ADDRESS(ROW(NOTA[ID]),COLUMN(NOTA[ID]))&amp;":"&amp;ADDRESS(ROW(),COLUMN(NOTA[ID]))),-1)))</f>
        <v/>
      </c>
      <c r="AI1166" s="42" t="str">
        <f ca="1">IF(NOTA[[#This Row],[ID_H]]="","",IF(NOTA[[#This Row],[FAKTUR]]="",INDIRECT(ADDRESS(ROW()-1,COLUMN())),NOTA[[#This Row],[FAKTUR]]))</f>
        <v/>
      </c>
      <c r="AJ1166" s="39" t="str">
        <f ca="1">IF(NOTA[[#This Row],[ID]]="","",COUNTIF(NOTA[ID_H],NOTA[[#This Row],[ID_H]]))</f>
        <v/>
      </c>
      <c r="AK1166" s="39" t="str">
        <f ca="1">IF(NOTA[[#This Row],[TGL.NOTA]]="",IF(NOTA[[#This Row],[SUPPLIER_H]]="","",AK1165),MONTH(NOTA[[#This Row],[TGL.NOTA]]))</f>
        <v/>
      </c>
      <c r="AL1166" s="39" t="str">
        <f>LOWER(SUBSTITUTE(SUBSTITUTE(SUBSTITUTE(SUBSTITUTE(SUBSTITUTE(SUBSTITUTE(SUBSTITUTE(SUBSTITUTE(SUBSTITUTE(NOTA[NAMA BARANG]," ",),".",""),"-",""),"(",""),")",""),",",""),"/",""),"""",""),"+",""))</f>
        <v/>
      </c>
      <c r="AM11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39" t="str">
        <f>IF(NOTA[[#This Row],[CONCAT4]]="","",_xlfn.IFNA(MATCH(NOTA[[#This Row],[CONCAT4]],[2]!RAW[CONCAT_H],0),FALSE))</f>
        <v/>
      </c>
      <c r="AQ1166" s="39" t="str">
        <f>IF(NOTA[[#This Row],[CONCAT1]]="","",MATCH(NOTA[[#This Row],[CONCAT1]],[3]!db[NB NOTA_C],0))</f>
        <v/>
      </c>
      <c r="AR1166" s="39" t="str">
        <f>IF(NOTA[[#This Row],[QTY/ CTN]]="","",TRUE)</f>
        <v/>
      </c>
      <c r="AS1166" s="39" t="str">
        <f ca="1">IF(NOTA[[#This Row],[ID_H]]="","",IF(NOTA[[#This Row],[Column3]]=TRUE,NOTA[[#This Row],[QTY/ CTN]],INDEX([3]!db[QTY/ CTN],NOTA[[#This Row],[//DB]])))</f>
        <v/>
      </c>
      <c r="AT11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6" s="39" t="str">
        <f ca="1">IF(NOTA[[#This Row],[ID_H]]="","",MATCH(NOTA[[#This Row],[NB NOTA_C_QTY]],[4]!db[NB NOTA_C_QTY+F],0))</f>
        <v/>
      </c>
      <c r="AV1166" s="55" t="str">
        <f ca="1">IF(NOTA[[#This Row],[NB NOTA_C_QTY]]="","",ROW()-2)</f>
        <v/>
      </c>
    </row>
    <row r="1167" spans="1:48" ht="20.100000000000001" customHeight="1" x14ac:dyDescent="0.25">
      <c r="A11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39" t="str">
        <f>IF(NOTA[[#This Row],[ID_P]]="","",MATCH(NOTA[[#This Row],[ID_P]],[1]!B_MSK[N_ID],0))</f>
        <v/>
      </c>
      <c r="D1167" s="39" t="str">
        <f ca="1">IF(NOTA[[#This Row],[NAMA BARANG]]="","",INDEX(NOTA[ID],MATCH(,INDIRECT(ADDRESS(ROW(NOTA[ID]),COLUMN(NOTA[ID]))&amp;":"&amp;ADDRESS(ROW(),COLUMN(NOTA[ID]))),-1)))</f>
        <v/>
      </c>
      <c r="E1167" s="47"/>
      <c r="H1167" s="48"/>
      <c r="N1167" s="39"/>
      <c r="Q1167" s="43"/>
      <c r="R1167" s="49"/>
      <c r="S1167" s="50"/>
      <c r="U1167" s="51"/>
      <c r="V1167" s="46"/>
      <c r="W1167" s="51" t="str">
        <f>IF(NOTA[[#This Row],[HARGA/ CTN]]="",NOTA[[#This Row],[JUMLAH_H]],NOTA[[#This Row],[HARGA/ CTN]]*IF(NOTA[[#This Row],[C]]="",0,NOTA[[#This Row],[C]]))</f>
        <v/>
      </c>
      <c r="X1167" s="51" t="str">
        <f>IF(NOTA[[#This Row],[JUMLAH]]="","",NOTA[[#This Row],[JUMLAH]]*NOTA[[#This Row],[DISC 1]])</f>
        <v/>
      </c>
      <c r="Y1167" s="51" t="str">
        <f>IF(NOTA[[#This Row],[JUMLAH]]="","",(NOTA[[#This Row],[JUMLAH]]-NOTA[[#This Row],[DISC 1-]])*NOTA[[#This Row],[DISC 2]])</f>
        <v/>
      </c>
      <c r="Z1167" s="51" t="str">
        <f>IF(NOTA[[#This Row],[JUMLAH]]="","",NOTA[[#This Row],[DISC 1-]]+NOTA[[#This Row],[DISC 2-]])</f>
        <v/>
      </c>
      <c r="AA1167" s="51" t="str">
        <f>IF(NOTA[[#This Row],[JUMLAH]]="","",NOTA[[#This Row],[JUMLAH]]-NOTA[[#This Row],[DISC]])</f>
        <v/>
      </c>
      <c r="AB1167" s="51"/>
      <c r="AC1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7" s="51" t="str">
        <f>IF(OR(NOTA[[#This Row],[QTY]]="",NOTA[[#This Row],[HARGA SATUAN]]="",),"",NOTA[[#This Row],[QTY]]*NOTA[[#This Row],[HARGA SATUAN]])</f>
        <v/>
      </c>
      <c r="AG1167" s="40" t="str">
        <f ca="1">IF(NOTA[ID_H]="","",INDEX(NOTA[TANGGAL],MATCH(,INDIRECT(ADDRESS(ROW(NOTA[TANGGAL]),COLUMN(NOTA[TANGGAL]))&amp;":"&amp;ADDRESS(ROW(),COLUMN(NOTA[TANGGAL]))),-1)))</f>
        <v/>
      </c>
      <c r="AH1167" s="42" t="str">
        <f ca="1">IF(NOTA[[#This Row],[NAMA BARANG]]="","",INDEX(NOTA[SUPPLIER],MATCH(,INDIRECT(ADDRESS(ROW(NOTA[ID]),COLUMN(NOTA[ID]))&amp;":"&amp;ADDRESS(ROW(),COLUMN(NOTA[ID]))),-1)))</f>
        <v/>
      </c>
      <c r="AI1167" s="42" t="str">
        <f ca="1">IF(NOTA[[#This Row],[ID_H]]="","",IF(NOTA[[#This Row],[FAKTUR]]="",INDIRECT(ADDRESS(ROW()-1,COLUMN())),NOTA[[#This Row],[FAKTUR]]))</f>
        <v/>
      </c>
      <c r="AJ1167" s="39" t="str">
        <f ca="1">IF(NOTA[[#This Row],[ID]]="","",COUNTIF(NOTA[ID_H],NOTA[[#This Row],[ID_H]]))</f>
        <v/>
      </c>
      <c r="AK1167" s="39" t="str">
        <f ca="1">IF(NOTA[[#This Row],[TGL.NOTA]]="",IF(NOTA[[#This Row],[SUPPLIER_H]]="","",AK1166),MONTH(NOTA[[#This Row],[TGL.NOTA]]))</f>
        <v/>
      </c>
      <c r="AL1167" s="39" t="str">
        <f>LOWER(SUBSTITUTE(SUBSTITUTE(SUBSTITUTE(SUBSTITUTE(SUBSTITUTE(SUBSTITUTE(SUBSTITUTE(SUBSTITUTE(SUBSTITUTE(NOTA[NAMA BARANG]," ",),".",""),"-",""),"(",""),")",""),",",""),"/",""),"""",""),"+",""))</f>
        <v/>
      </c>
      <c r="AM11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39" t="str">
        <f>IF(NOTA[[#This Row],[CONCAT4]]="","",_xlfn.IFNA(MATCH(NOTA[[#This Row],[CONCAT4]],[2]!RAW[CONCAT_H],0),FALSE))</f>
        <v/>
      </c>
      <c r="AQ1167" s="39" t="str">
        <f>IF(NOTA[[#This Row],[CONCAT1]]="","",MATCH(NOTA[[#This Row],[CONCAT1]],[3]!db[NB NOTA_C],0))</f>
        <v/>
      </c>
      <c r="AR1167" s="39" t="str">
        <f>IF(NOTA[[#This Row],[QTY/ CTN]]="","",TRUE)</f>
        <v/>
      </c>
      <c r="AS1167" s="39" t="str">
        <f ca="1">IF(NOTA[[#This Row],[ID_H]]="","",IF(NOTA[[#This Row],[Column3]]=TRUE,NOTA[[#This Row],[QTY/ CTN]],INDEX([3]!db[QTY/ CTN],NOTA[[#This Row],[//DB]])))</f>
        <v/>
      </c>
      <c r="AT11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7" s="39" t="str">
        <f ca="1">IF(NOTA[[#This Row],[ID_H]]="","",MATCH(NOTA[[#This Row],[NB NOTA_C_QTY]],[4]!db[NB NOTA_C_QTY+F],0))</f>
        <v/>
      </c>
      <c r="AV1167" s="55" t="str">
        <f ca="1">IF(NOTA[[#This Row],[NB NOTA_C_QTY]]="","",ROW()-2)</f>
        <v/>
      </c>
    </row>
    <row r="1168" spans="1:48" ht="20.100000000000001" customHeight="1" x14ac:dyDescent="0.25">
      <c r="A11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39" t="str">
        <f>IF(NOTA[[#This Row],[ID_P]]="","",MATCH(NOTA[[#This Row],[ID_P]],[1]!B_MSK[N_ID],0))</f>
        <v/>
      </c>
      <c r="D1168" s="39" t="str">
        <f ca="1">IF(NOTA[[#This Row],[NAMA BARANG]]="","",INDEX(NOTA[ID],MATCH(,INDIRECT(ADDRESS(ROW(NOTA[ID]),COLUMN(NOTA[ID]))&amp;":"&amp;ADDRESS(ROW(),COLUMN(NOTA[ID]))),-1)))</f>
        <v/>
      </c>
      <c r="E1168" s="47"/>
      <c r="H1168" s="48"/>
      <c r="N1168" s="39"/>
      <c r="Q1168" s="43"/>
      <c r="R1168" s="49"/>
      <c r="S1168" s="50"/>
      <c r="U1168" s="51"/>
      <c r="V1168" s="46"/>
      <c r="W1168" s="51" t="str">
        <f>IF(NOTA[[#This Row],[HARGA/ CTN]]="",NOTA[[#This Row],[JUMLAH_H]],NOTA[[#This Row],[HARGA/ CTN]]*IF(NOTA[[#This Row],[C]]="",0,NOTA[[#This Row],[C]]))</f>
        <v/>
      </c>
      <c r="X1168" s="51" t="str">
        <f>IF(NOTA[[#This Row],[JUMLAH]]="","",NOTA[[#This Row],[JUMLAH]]*NOTA[[#This Row],[DISC 1]])</f>
        <v/>
      </c>
      <c r="Y1168" s="51" t="str">
        <f>IF(NOTA[[#This Row],[JUMLAH]]="","",(NOTA[[#This Row],[JUMLAH]]-NOTA[[#This Row],[DISC 1-]])*NOTA[[#This Row],[DISC 2]])</f>
        <v/>
      </c>
      <c r="Z1168" s="51" t="str">
        <f>IF(NOTA[[#This Row],[JUMLAH]]="","",NOTA[[#This Row],[DISC 1-]]+NOTA[[#This Row],[DISC 2-]])</f>
        <v/>
      </c>
      <c r="AA1168" s="51" t="str">
        <f>IF(NOTA[[#This Row],[JUMLAH]]="","",NOTA[[#This Row],[JUMLAH]]-NOTA[[#This Row],[DISC]])</f>
        <v/>
      </c>
      <c r="AB1168" s="51"/>
      <c r="AC11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8" s="51" t="str">
        <f>IF(OR(NOTA[[#This Row],[QTY]]="",NOTA[[#This Row],[HARGA SATUAN]]="",),"",NOTA[[#This Row],[QTY]]*NOTA[[#This Row],[HARGA SATUAN]])</f>
        <v/>
      </c>
      <c r="AG1168" s="40" t="str">
        <f ca="1">IF(NOTA[ID_H]="","",INDEX(NOTA[TANGGAL],MATCH(,INDIRECT(ADDRESS(ROW(NOTA[TANGGAL]),COLUMN(NOTA[TANGGAL]))&amp;":"&amp;ADDRESS(ROW(),COLUMN(NOTA[TANGGAL]))),-1)))</f>
        <v/>
      </c>
      <c r="AH1168" s="42" t="str">
        <f ca="1">IF(NOTA[[#This Row],[NAMA BARANG]]="","",INDEX(NOTA[SUPPLIER],MATCH(,INDIRECT(ADDRESS(ROW(NOTA[ID]),COLUMN(NOTA[ID]))&amp;":"&amp;ADDRESS(ROW(),COLUMN(NOTA[ID]))),-1)))</f>
        <v/>
      </c>
      <c r="AI1168" s="42" t="str">
        <f ca="1">IF(NOTA[[#This Row],[ID_H]]="","",IF(NOTA[[#This Row],[FAKTUR]]="",INDIRECT(ADDRESS(ROW()-1,COLUMN())),NOTA[[#This Row],[FAKTUR]]))</f>
        <v/>
      </c>
      <c r="AJ1168" s="39" t="str">
        <f ca="1">IF(NOTA[[#This Row],[ID]]="","",COUNTIF(NOTA[ID_H],NOTA[[#This Row],[ID_H]]))</f>
        <v/>
      </c>
      <c r="AK1168" s="39" t="str">
        <f ca="1">IF(NOTA[[#This Row],[TGL.NOTA]]="",IF(NOTA[[#This Row],[SUPPLIER_H]]="","",AK1167),MONTH(NOTA[[#This Row],[TGL.NOTA]]))</f>
        <v/>
      </c>
      <c r="AL1168" s="39" t="str">
        <f>LOWER(SUBSTITUTE(SUBSTITUTE(SUBSTITUTE(SUBSTITUTE(SUBSTITUTE(SUBSTITUTE(SUBSTITUTE(SUBSTITUTE(SUBSTITUTE(NOTA[NAMA BARANG]," ",),".",""),"-",""),"(",""),")",""),",",""),"/",""),"""",""),"+",""))</f>
        <v/>
      </c>
      <c r="AM11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39" t="str">
        <f>IF(NOTA[[#This Row],[CONCAT4]]="","",_xlfn.IFNA(MATCH(NOTA[[#This Row],[CONCAT4]],[2]!RAW[CONCAT_H],0),FALSE))</f>
        <v/>
      </c>
      <c r="AQ1168" s="39" t="str">
        <f>IF(NOTA[[#This Row],[CONCAT1]]="","",MATCH(NOTA[[#This Row],[CONCAT1]],[3]!db[NB NOTA_C],0))</f>
        <v/>
      </c>
      <c r="AR1168" s="39" t="str">
        <f>IF(NOTA[[#This Row],[QTY/ CTN]]="","",TRUE)</f>
        <v/>
      </c>
      <c r="AS1168" s="39" t="str">
        <f ca="1">IF(NOTA[[#This Row],[ID_H]]="","",IF(NOTA[[#This Row],[Column3]]=TRUE,NOTA[[#This Row],[QTY/ CTN]],INDEX([3]!db[QTY/ CTN],NOTA[[#This Row],[//DB]])))</f>
        <v/>
      </c>
      <c r="AT11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8" s="39" t="str">
        <f ca="1">IF(NOTA[[#This Row],[ID_H]]="","",MATCH(NOTA[[#This Row],[NB NOTA_C_QTY]],[4]!db[NB NOTA_C_QTY+F],0))</f>
        <v/>
      </c>
      <c r="AV1168" s="55" t="str">
        <f ca="1">IF(NOTA[[#This Row],[NB NOTA_C_QTY]]="","",ROW()-2)</f>
        <v/>
      </c>
    </row>
    <row r="1169" spans="1:48" ht="20.100000000000001" customHeight="1" x14ac:dyDescent="0.25">
      <c r="A11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39" t="str">
        <f>IF(NOTA[[#This Row],[ID_P]]="","",MATCH(NOTA[[#This Row],[ID_P]],[1]!B_MSK[N_ID],0))</f>
        <v/>
      </c>
      <c r="D1169" s="39" t="str">
        <f ca="1">IF(NOTA[[#This Row],[NAMA BARANG]]="","",INDEX(NOTA[ID],MATCH(,INDIRECT(ADDRESS(ROW(NOTA[ID]),COLUMN(NOTA[ID]))&amp;":"&amp;ADDRESS(ROW(),COLUMN(NOTA[ID]))),-1)))</f>
        <v/>
      </c>
      <c r="E1169" s="47"/>
      <c r="H1169" s="48"/>
      <c r="N1169" s="39"/>
      <c r="Q1169" s="43"/>
      <c r="R1169" s="49"/>
      <c r="S1169" s="50"/>
      <c r="U1169" s="51"/>
      <c r="V1169" s="46"/>
      <c r="W1169" s="51" t="str">
        <f>IF(NOTA[[#This Row],[HARGA/ CTN]]="",NOTA[[#This Row],[JUMLAH_H]],NOTA[[#This Row],[HARGA/ CTN]]*IF(NOTA[[#This Row],[C]]="",0,NOTA[[#This Row],[C]]))</f>
        <v/>
      </c>
      <c r="X1169" s="51" t="str">
        <f>IF(NOTA[[#This Row],[JUMLAH]]="","",NOTA[[#This Row],[JUMLAH]]*NOTA[[#This Row],[DISC 1]])</f>
        <v/>
      </c>
      <c r="Y1169" s="51" t="str">
        <f>IF(NOTA[[#This Row],[JUMLAH]]="","",(NOTA[[#This Row],[JUMLAH]]-NOTA[[#This Row],[DISC 1-]])*NOTA[[#This Row],[DISC 2]])</f>
        <v/>
      </c>
      <c r="Z1169" s="51" t="str">
        <f>IF(NOTA[[#This Row],[JUMLAH]]="","",NOTA[[#This Row],[DISC 1-]]+NOTA[[#This Row],[DISC 2-]])</f>
        <v/>
      </c>
      <c r="AA1169" s="51" t="str">
        <f>IF(NOTA[[#This Row],[JUMLAH]]="","",NOTA[[#This Row],[JUMLAH]]-NOTA[[#This Row],[DISC]])</f>
        <v/>
      </c>
      <c r="AB1169" s="51"/>
      <c r="AC1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9" s="51" t="str">
        <f>IF(OR(NOTA[[#This Row],[QTY]]="",NOTA[[#This Row],[HARGA SATUAN]]="",),"",NOTA[[#This Row],[QTY]]*NOTA[[#This Row],[HARGA SATUAN]])</f>
        <v/>
      </c>
      <c r="AG1169" s="40" t="str">
        <f ca="1">IF(NOTA[ID_H]="","",INDEX(NOTA[TANGGAL],MATCH(,INDIRECT(ADDRESS(ROW(NOTA[TANGGAL]),COLUMN(NOTA[TANGGAL]))&amp;":"&amp;ADDRESS(ROW(),COLUMN(NOTA[TANGGAL]))),-1)))</f>
        <v/>
      </c>
      <c r="AH1169" s="42" t="str">
        <f ca="1">IF(NOTA[[#This Row],[NAMA BARANG]]="","",INDEX(NOTA[SUPPLIER],MATCH(,INDIRECT(ADDRESS(ROW(NOTA[ID]),COLUMN(NOTA[ID]))&amp;":"&amp;ADDRESS(ROW(),COLUMN(NOTA[ID]))),-1)))</f>
        <v/>
      </c>
      <c r="AI1169" s="42" t="str">
        <f ca="1">IF(NOTA[[#This Row],[ID_H]]="","",IF(NOTA[[#This Row],[FAKTUR]]="",INDIRECT(ADDRESS(ROW()-1,COLUMN())),NOTA[[#This Row],[FAKTUR]]))</f>
        <v/>
      </c>
      <c r="AJ1169" s="39" t="str">
        <f ca="1">IF(NOTA[[#This Row],[ID]]="","",COUNTIF(NOTA[ID_H],NOTA[[#This Row],[ID_H]]))</f>
        <v/>
      </c>
      <c r="AK1169" s="39" t="str">
        <f ca="1">IF(NOTA[[#This Row],[TGL.NOTA]]="",IF(NOTA[[#This Row],[SUPPLIER_H]]="","",AK1168),MONTH(NOTA[[#This Row],[TGL.NOTA]]))</f>
        <v/>
      </c>
      <c r="AL1169" s="39" t="str">
        <f>LOWER(SUBSTITUTE(SUBSTITUTE(SUBSTITUTE(SUBSTITUTE(SUBSTITUTE(SUBSTITUTE(SUBSTITUTE(SUBSTITUTE(SUBSTITUTE(NOTA[NAMA BARANG]," ",),".",""),"-",""),"(",""),")",""),",",""),"/",""),"""",""),"+",""))</f>
        <v/>
      </c>
      <c r="AM11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39" t="str">
        <f>IF(NOTA[[#This Row],[CONCAT4]]="","",_xlfn.IFNA(MATCH(NOTA[[#This Row],[CONCAT4]],[2]!RAW[CONCAT_H],0),FALSE))</f>
        <v/>
      </c>
      <c r="AQ1169" s="39" t="str">
        <f>IF(NOTA[[#This Row],[CONCAT1]]="","",MATCH(NOTA[[#This Row],[CONCAT1]],[3]!db[NB NOTA_C],0))</f>
        <v/>
      </c>
      <c r="AR1169" s="39" t="str">
        <f>IF(NOTA[[#This Row],[QTY/ CTN]]="","",TRUE)</f>
        <v/>
      </c>
      <c r="AS1169" s="39" t="str">
        <f ca="1">IF(NOTA[[#This Row],[ID_H]]="","",IF(NOTA[[#This Row],[Column3]]=TRUE,NOTA[[#This Row],[QTY/ CTN]],INDEX([3]!db[QTY/ CTN],NOTA[[#This Row],[//DB]])))</f>
        <v/>
      </c>
      <c r="AT11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9" s="39" t="str">
        <f ca="1">IF(NOTA[[#This Row],[ID_H]]="","",MATCH(NOTA[[#This Row],[NB NOTA_C_QTY]],[4]!db[NB NOTA_C_QTY+F],0))</f>
        <v/>
      </c>
      <c r="AV1169" s="55" t="str">
        <f ca="1">IF(NOTA[[#This Row],[NB NOTA_C_QTY]]="","",ROW()-2)</f>
        <v/>
      </c>
    </row>
    <row r="1170" spans="1:48" ht="20.100000000000001" customHeight="1" x14ac:dyDescent="0.25">
      <c r="A11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39" t="str">
        <f>IF(NOTA[[#This Row],[ID_P]]="","",MATCH(NOTA[[#This Row],[ID_P]],[1]!B_MSK[N_ID],0))</f>
        <v/>
      </c>
      <c r="D1170" s="39" t="str">
        <f ca="1">IF(NOTA[[#This Row],[NAMA BARANG]]="","",INDEX(NOTA[ID],MATCH(,INDIRECT(ADDRESS(ROW(NOTA[ID]),COLUMN(NOTA[ID]))&amp;":"&amp;ADDRESS(ROW(),COLUMN(NOTA[ID]))),-1)))</f>
        <v/>
      </c>
      <c r="E1170" s="47"/>
      <c r="H1170" s="48"/>
      <c r="N1170" s="39"/>
      <c r="Q1170" s="43"/>
      <c r="R1170" s="49"/>
      <c r="S1170" s="50"/>
      <c r="U1170" s="51"/>
      <c r="V1170" s="46"/>
      <c r="W1170" s="51" t="str">
        <f>IF(NOTA[[#This Row],[HARGA/ CTN]]="",NOTA[[#This Row],[JUMLAH_H]],NOTA[[#This Row],[HARGA/ CTN]]*IF(NOTA[[#This Row],[C]]="",0,NOTA[[#This Row],[C]]))</f>
        <v/>
      </c>
      <c r="X1170" s="51" t="str">
        <f>IF(NOTA[[#This Row],[JUMLAH]]="","",NOTA[[#This Row],[JUMLAH]]*NOTA[[#This Row],[DISC 1]])</f>
        <v/>
      </c>
      <c r="Y1170" s="51" t="str">
        <f>IF(NOTA[[#This Row],[JUMLAH]]="","",(NOTA[[#This Row],[JUMLAH]]-NOTA[[#This Row],[DISC 1-]])*NOTA[[#This Row],[DISC 2]])</f>
        <v/>
      </c>
      <c r="Z1170" s="51" t="str">
        <f>IF(NOTA[[#This Row],[JUMLAH]]="","",NOTA[[#This Row],[DISC 1-]]+NOTA[[#This Row],[DISC 2-]])</f>
        <v/>
      </c>
      <c r="AA1170" s="51" t="str">
        <f>IF(NOTA[[#This Row],[JUMLAH]]="","",NOTA[[#This Row],[JUMLAH]]-NOTA[[#This Row],[DISC]])</f>
        <v/>
      </c>
      <c r="AB1170" s="51"/>
      <c r="AC1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0" s="51" t="str">
        <f>IF(OR(NOTA[[#This Row],[QTY]]="",NOTA[[#This Row],[HARGA SATUAN]]="",),"",NOTA[[#This Row],[QTY]]*NOTA[[#This Row],[HARGA SATUAN]])</f>
        <v/>
      </c>
      <c r="AG1170" s="40" t="str">
        <f ca="1">IF(NOTA[ID_H]="","",INDEX(NOTA[TANGGAL],MATCH(,INDIRECT(ADDRESS(ROW(NOTA[TANGGAL]),COLUMN(NOTA[TANGGAL]))&amp;":"&amp;ADDRESS(ROW(),COLUMN(NOTA[TANGGAL]))),-1)))</f>
        <v/>
      </c>
      <c r="AH1170" s="42" t="str">
        <f ca="1">IF(NOTA[[#This Row],[NAMA BARANG]]="","",INDEX(NOTA[SUPPLIER],MATCH(,INDIRECT(ADDRESS(ROW(NOTA[ID]),COLUMN(NOTA[ID]))&amp;":"&amp;ADDRESS(ROW(),COLUMN(NOTA[ID]))),-1)))</f>
        <v/>
      </c>
      <c r="AI1170" s="42" t="str">
        <f ca="1">IF(NOTA[[#This Row],[ID_H]]="","",IF(NOTA[[#This Row],[FAKTUR]]="",INDIRECT(ADDRESS(ROW()-1,COLUMN())),NOTA[[#This Row],[FAKTUR]]))</f>
        <v/>
      </c>
      <c r="AJ1170" s="39" t="str">
        <f ca="1">IF(NOTA[[#This Row],[ID]]="","",COUNTIF(NOTA[ID_H],NOTA[[#This Row],[ID_H]]))</f>
        <v/>
      </c>
      <c r="AK1170" s="39" t="str">
        <f ca="1">IF(NOTA[[#This Row],[TGL.NOTA]]="",IF(NOTA[[#This Row],[SUPPLIER_H]]="","",AK1169),MONTH(NOTA[[#This Row],[TGL.NOTA]]))</f>
        <v/>
      </c>
      <c r="AL1170" s="39" t="str">
        <f>LOWER(SUBSTITUTE(SUBSTITUTE(SUBSTITUTE(SUBSTITUTE(SUBSTITUTE(SUBSTITUTE(SUBSTITUTE(SUBSTITUTE(SUBSTITUTE(NOTA[NAMA BARANG]," ",),".",""),"-",""),"(",""),")",""),",",""),"/",""),"""",""),"+",""))</f>
        <v/>
      </c>
      <c r="AM11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39" t="str">
        <f>IF(NOTA[[#This Row],[CONCAT4]]="","",_xlfn.IFNA(MATCH(NOTA[[#This Row],[CONCAT4]],[2]!RAW[CONCAT_H],0),FALSE))</f>
        <v/>
      </c>
      <c r="AQ1170" s="39" t="str">
        <f>IF(NOTA[[#This Row],[CONCAT1]]="","",MATCH(NOTA[[#This Row],[CONCAT1]],[3]!db[NB NOTA_C],0))</f>
        <v/>
      </c>
      <c r="AR1170" s="39" t="str">
        <f>IF(NOTA[[#This Row],[QTY/ CTN]]="","",TRUE)</f>
        <v/>
      </c>
      <c r="AS1170" s="39" t="str">
        <f ca="1">IF(NOTA[[#This Row],[ID_H]]="","",IF(NOTA[[#This Row],[Column3]]=TRUE,NOTA[[#This Row],[QTY/ CTN]],INDEX([3]!db[QTY/ CTN],NOTA[[#This Row],[//DB]])))</f>
        <v/>
      </c>
      <c r="AT11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0" s="39" t="str">
        <f ca="1">IF(NOTA[[#This Row],[ID_H]]="","",MATCH(NOTA[[#This Row],[NB NOTA_C_QTY]],[4]!db[NB NOTA_C_QTY+F],0))</f>
        <v/>
      </c>
      <c r="AV1170" s="55" t="str">
        <f ca="1">IF(NOTA[[#This Row],[NB NOTA_C_QTY]]="","",ROW()-2)</f>
        <v/>
      </c>
    </row>
    <row r="1171" spans="1:48" ht="20.100000000000001" customHeight="1" x14ac:dyDescent="0.25">
      <c r="A11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39" t="str">
        <f>IF(NOTA[[#This Row],[ID_P]]="","",MATCH(NOTA[[#This Row],[ID_P]],[1]!B_MSK[N_ID],0))</f>
        <v/>
      </c>
      <c r="D1171" s="39" t="str">
        <f ca="1">IF(NOTA[[#This Row],[NAMA BARANG]]="","",INDEX(NOTA[ID],MATCH(,INDIRECT(ADDRESS(ROW(NOTA[ID]),COLUMN(NOTA[ID]))&amp;":"&amp;ADDRESS(ROW(),COLUMN(NOTA[ID]))),-1)))</f>
        <v/>
      </c>
      <c r="E1171" s="47"/>
      <c r="H1171" s="48"/>
      <c r="N1171" s="39"/>
      <c r="Q1171" s="43"/>
      <c r="R1171" s="49"/>
      <c r="S1171" s="50"/>
      <c r="U1171" s="51"/>
      <c r="V1171" s="46"/>
      <c r="W1171" s="51" t="str">
        <f>IF(NOTA[[#This Row],[HARGA/ CTN]]="",NOTA[[#This Row],[JUMLAH_H]],NOTA[[#This Row],[HARGA/ CTN]]*IF(NOTA[[#This Row],[C]]="",0,NOTA[[#This Row],[C]]))</f>
        <v/>
      </c>
      <c r="X1171" s="51" t="str">
        <f>IF(NOTA[[#This Row],[JUMLAH]]="","",NOTA[[#This Row],[JUMLAH]]*NOTA[[#This Row],[DISC 1]])</f>
        <v/>
      </c>
      <c r="Y1171" s="51" t="str">
        <f>IF(NOTA[[#This Row],[JUMLAH]]="","",(NOTA[[#This Row],[JUMLAH]]-NOTA[[#This Row],[DISC 1-]])*NOTA[[#This Row],[DISC 2]])</f>
        <v/>
      </c>
      <c r="Z1171" s="51" t="str">
        <f>IF(NOTA[[#This Row],[JUMLAH]]="","",NOTA[[#This Row],[DISC 1-]]+NOTA[[#This Row],[DISC 2-]])</f>
        <v/>
      </c>
      <c r="AA1171" s="51" t="str">
        <f>IF(NOTA[[#This Row],[JUMLAH]]="","",NOTA[[#This Row],[JUMLAH]]-NOTA[[#This Row],[DISC]])</f>
        <v/>
      </c>
      <c r="AB1171" s="51"/>
      <c r="AC1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1" s="51" t="str">
        <f>IF(OR(NOTA[[#This Row],[QTY]]="",NOTA[[#This Row],[HARGA SATUAN]]="",),"",NOTA[[#This Row],[QTY]]*NOTA[[#This Row],[HARGA SATUAN]])</f>
        <v/>
      </c>
      <c r="AG1171" s="40" t="str">
        <f ca="1">IF(NOTA[ID_H]="","",INDEX(NOTA[TANGGAL],MATCH(,INDIRECT(ADDRESS(ROW(NOTA[TANGGAL]),COLUMN(NOTA[TANGGAL]))&amp;":"&amp;ADDRESS(ROW(),COLUMN(NOTA[TANGGAL]))),-1)))</f>
        <v/>
      </c>
      <c r="AH1171" s="42" t="str">
        <f ca="1">IF(NOTA[[#This Row],[NAMA BARANG]]="","",INDEX(NOTA[SUPPLIER],MATCH(,INDIRECT(ADDRESS(ROW(NOTA[ID]),COLUMN(NOTA[ID]))&amp;":"&amp;ADDRESS(ROW(),COLUMN(NOTA[ID]))),-1)))</f>
        <v/>
      </c>
      <c r="AI1171" s="42" t="str">
        <f ca="1">IF(NOTA[[#This Row],[ID_H]]="","",IF(NOTA[[#This Row],[FAKTUR]]="",INDIRECT(ADDRESS(ROW()-1,COLUMN())),NOTA[[#This Row],[FAKTUR]]))</f>
        <v/>
      </c>
      <c r="AJ1171" s="39" t="str">
        <f ca="1">IF(NOTA[[#This Row],[ID]]="","",COUNTIF(NOTA[ID_H],NOTA[[#This Row],[ID_H]]))</f>
        <v/>
      </c>
      <c r="AK1171" s="39" t="str">
        <f ca="1">IF(NOTA[[#This Row],[TGL.NOTA]]="",IF(NOTA[[#This Row],[SUPPLIER_H]]="","",AK1170),MONTH(NOTA[[#This Row],[TGL.NOTA]]))</f>
        <v/>
      </c>
      <c r="AL1171" s="39" t="str">
        <f>LOWER(SUBSTITUTE(SUBSTITUTE(SUBSTITUTE(SUBSTITUTE(SUBSTITUTE(SUBSTITUTE(SUBSTITUTE(SUBSTITUTE(SUBSTITUTE(NOTA[NAMA BARANG]," ",),".",""),"-",""),"(",""),")",""),",",""),"/",""),"""",""),"+",""))</f>
        <v/>
      </c>
      <c r="AM11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39" t="str">
        <f>IF(NOTA[[#This Row],[CONCAT4]]="","",_xlfn.IFNA(MATCH(NOTA[[#This Row],[CONCAT4]],[2]!RAW[CONCAT_H],0),FALSE))</f>
        <v/>
      </c>
      <c r="AQ1171" s="39" t="str">
        <f>IF(NOTA[[#This Row],[CONCAT1]]="","",MATCH(NOTA[[#This Row],[CONCAT1]],[3]!db[NB NOTA_C],0))</f>
        <v/>
      </c>
      <c r="AR1171" s="39" t="str">
        <f>IF(NOTA[[#This Row],[QTY/ CTN]]="","",TRUE)</f>
        <v/>
      </c>
      <c r="AS1171" s="39" t="str">
        <f ca="1">IF(NOTA[[#This Row],[ID_H]]="","",IF(NOTA[[#This Row],[Column3]]=TRUE,NOTA[[#This Row],[QTY/ CTN]],INDEX([3]!db[QTY/ CTN],NOTA[[#This Row],[//DB]])))</f>
        <v/>
      </c>
      <c r="AT11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1" s="39" t="str">
        <f ca="1">IF(NOTA[[#This Row],[ID_H]]="","",MATCH(NOTA[[#This Row],[NB NOTA_C_QTY]],[4]!db[NB NOTA_C_QTY+F],0))</f>
        <v/>
      </c>
      <c r="AV1171" s="55" t="str">
        <f ca="1">IF(NOTA[[#This Row],[NB NOTA_C_QTY]]="","",ROW()-2)</f>
        <v/>
      </c>
    </row>
    <row r="1172" spans="1:48" ht="20.100000000000001" customHeight="1" x14ac:dyDescent="0.25">
      <c r="A11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39" t="str">
        <f>IF(NOTA[[#This Row],[ID_P]]="","",MATCH(NOTA[[#This Row],[ID_P]],[1]!B_MSK[N_ID],0))</f>
        <v/>
      </c>
      <c r="D1172" s="39" t="str">
        <f ca="1">IF(NOTA[[#This Row],[NAMA BARANG]]="","",INDEX(NOTA[ID],MATCH(,INDIRECT(ADDRESS(ROW(NOTA[ID]),COLUMN(NOTA[ID]))&amp;":"&amp;ADDRESS(ROW(),COLUMN(NOTA[ID]))),-1)))</f>
        <v/>
      </c>
      <c r="E1172" s="47"/>
      <c r="H1172" s="48"/>
      <c r="N1172" s="39"/>
      <c r="Q1172" s="43"/>
      <c r="R1172" s="49"/>
      <c r="S1172" s="50"/>
      <c r="U1172" s="51"/>
      <c r="V1172" s="46"/>
      <c r="W1172" s="51" t="str">
        <f>IF(NOTA[[#This Row],[HARGA/ CTN]]="",NOTA[[#This Row],[JUMLAH_H]],NOTA[[#This Row],[HARGA/ CTN]]*IF(NOTA[[#This Row],[C]]="",0,NOTA[[#This Row],[C]]))</f>
        <v/>
      </c>
      <c r="X1172" s="51" t="str">
        <f>IF(NOTA[[#This Row],[JUMLAH]]="","",NOTA[[#This Row],[JUMLAH]]*NOTA[[#This Row],[DISC 1]])</f>
        <v/>
      </c>
      <c r="Y1172" s="51" t="str">
        <f>IF(NOTA[[#This Row],[JUMLAH]]="","",(NOTA[[#This Row],[JUMLAH]]-NOTA[[#This Row],[DISC 1-]])*NOTA[[#This Row],[DISC 2]])</f>
        <v/>
      </c>
      <c r="Z1172" s="51" t="str">
        <f>IF(NOTA[[#This Row],[JUMLAH]]="","",NOTA[[#This Row],[DISC 1-]]+NOTA[[#This Row],[DISC 2-]])</f>
        <v/>
      </c>
      <c r="AA1172" s="51" t="str">
        <f>IF(NOTA[[#This Row],[JUMLAH]]="","",NOTA[[#This Row],[JUMLAH]]-NOTA[[#This Row],[DISC]])</f>
        <v/>
      </c>
      <c r="AB1172" s="51"/>
      <c r="AC1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2" s="51" t="str">
        <f>IF(OR(NOTA[[#This Row],[QTY]]="",NOTA[[#This Row],[HARGA SATUAN]]="",),"",NOTA[[#This Row],[QTY]]*NOTA[[#This Row],[HARGA SATUAN]])</f>
        <v/>
      </c>
      <c r="AG1172" s="40" t="str">
        <f ca="1">IF(NOTA[ID_H]="","",INDEX(NOTA[TANGGAL],MATCH(,INDIRECT(ADDRESS(ROW(NOTA[TANGGAL]),COLUMN(NOTA[TANGGAL]))&amp;":"&amp;ADDRESS(ROW(),COLUMN(NOTA[TANGGAL]))),-1)))</f>
        <v/>
      </c>
      <c r="AH1172" s="42" t="str">
        <f ca="1">IF(NOTA[[#This Row],[NAMA BARANG]]="","",INDEX(NOTA[SUPPLIER],MATCH(,INDIRECT(ADDRESS(ROW(NOTA[ID]),COLUMN(NOTA[ID]))&amp;":"&amp;ADDRESS(ROW(),COLUMN(NOTA[ID]))),-1)))</f>
        <v/>
      </c>
      <c r="AI1172" s="42" t="str">
        <f ca="1">IF(NOTA[[#This Row],[ID_H]]="","",IF(NOTA[[#This Row],[FAKTUR]]="",INDIRECT(ADDRESS(ROW()-1,COLUMN())),NOTA[[#This Row],[FAKTUR]]))</f>
        <v/>
      </c>
      <c r="AJ1172" s="39" t="str">
        <f ca="1">IF(NOTA[[#This Row],[ID]]="","",COUNTIF(NOTA[ID_H],NOTA[[#This Row],[ID_H]]))</f>
        <v/>
      </c>
      <c r="AK1172" s="39" t="str">
        <f ca="1">IF(NOTA[[#This Row],[TGL.NOTA]]="",IF(NOTA[[#This Row],[SUPPLIER_H]]="","",AK1171),MONTH(NOTA[[#This Row],[TGL.NOTA]]))</f>
        <v/>
      </c>
      <c r="AL1172" s="39" t="str">
        <f>LOWER(SUBSTITUTE(SUBSTITUTE(SUBSTITUTE(SUBSTITUTE(SUBSTITUTE(SUBSTITUTE(SUBSTITUTE(SUBSTITUTE(SUBSTITUTE(NOTA[NAMA BARANG]," ",),".",""),"-",""),"(",""),")",""),",",""),"/",""),"""",""),"+",""))</f>
        <v/>
      </c>
      <c r="AM11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39" t="str">
        <f>IF(NOTA[[#This Row],[CONCAT4]]="","",_xlfn.IFNA(MATCH(NOTA[[#This Row],[CONCAT4]],[2]!RAW[CONCAT_H],0),FALSE))</f>
        <v/>
      </c>
      <c r="AQ1172" s="39" t="str">
        <f>IF(NOTA[[#This Row],[CONCAT1]]="","",MATCH(NOTA[[#This Row],[CONCAT1]],[3]!db[NB NOTA_C],0))</f>
        <v/>
      </c>
      <c r="AR1172" s="39" t="str">
        <f>IF(NOTA[[#This Row],[QTY/ CTN]]="","",TRUE)</f>
        <v/>
      </c>
      <c r="AS1172" s="39" t="str">
        <f ca="1">IF(NOTA[[#This Row],[ID_H]]="","",IF(NOTA[[#This Row],[Column3]]=TRUE,NOTA[[#This Row],[QTY/ CTN]],INDEX([3]!db[QTY/ CTN],NOTA[[#This Row],[//DB]])))</f>
        <v/>
      </c>
      <c r="AT11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2" s="39" t="str">
        <f ca="1">IF(NOTA[[#This Row],[ID_H]]="","",MATCH(NOTA[[#This Row],[NB NOTA_C_QTY]],[4]!db[NB NOTA_C_QTY+F],0))</f>
        <v/>
      </c>
      <c r="AV1172" s="55" t="str">
        <f ca="1">IF(NOTA[[#This Row],[NB NOTA_C_QTY]]="","",ROW()-2)</f>
        <v/>
      </c>
    </row>
    <row r="1173" spans="1:48" ht="20.100000000000001" customHeight="1" x14ac:dyDescent="0.25">
      <c r="A11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39" t="str">
        <f>IF(NOTA[[#This Row],[ID_P]]="","",MATCH(NOTA[[#This Row],[ID_P]],[1]!B_MSK[N_ID],0))</f>
        <v/>
      </c>
      <c r="D1173" s="39" t="str">
        <f ca="1">IF(NOTA[[#This Row],[NAMA BARANG]]="","",INDEX(NOTA[ID],MATCH(,INDIRECT(ADDRESS(ROW(NOTA[ID]),COLUMN(NOTA[ID]))&amp;":"&amp;ADDRESS(ROW(),COLUMN(NOTA[ID]))),-1)))</f>
        <v/>
      </c>
      <c r="E1173" s="47"/>
      <c r="H1173" s="48"/>
      <c r="N1173" s="39"/>
      <c r="Q1173" s="43"/>
      <c r="R1173" s="49"/>
      <c r="S1173" s="50"/>
      <c r="U1173" s="51"/>
      <c r="V1173" s="46"/>
      <c r="W1173" s="51" t="str">
        <f>IF(NOTA[[#This Row],[HARGA/ CTN]]="",NOTA[[#This Row],[JUMLAH_H]],NOTA[[#This Row],[HARGA/ CTN]]*IF(NOTA[[#This Row],[C]]="",0,NOTA[[#This Row],[C]]))</f>
        <v/>
      </c>
      <c r="X1173" s="51" t="str">
        <f>IF(NOTA[[#This Row],[JUMLAH]]="","",NOTA[[#This Row],[JUMLAH]]*NOTA[[#This Row],[DISC 1]])</f>
        <v/>
      </c>
      <c r="Y1173" s="51" t="str">
        <f>IF(NOTA[[#This Row],[JUMLAH]]="","",(NOTA[[#This Row],[JUMLAH]]-NOTA[[#This Row],[DISC 1-]])*NOTA[[#This Row],[DISC 2]])</f>
        <v/>
      </c>
      <c r="Z1173" s="51" t="str">
        <f>IF(NOTA[[#This Row],[JUMLAH]]="","",NOTA[[#This Row],[DISC 1-]]+NOTA[[#This Row],[DISC 2-]])</f>
        <v/>
      </c>
      <c r="AA1173" s="51" t="str">
        <f>IF(NOTA[[#This Row],[JUMLAH]]="","",NOTA[[#This Row],[JUMLAH]]-NOTA[[#This Row],[DISC]])</f>
        <v/>
      </c>
      <c r="AB1173" s="51"/>
      <c r="AC1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51" t="str">
        <f>IF(OR(NOTA[[#This Row],[QTY]]="",NOTA[[#This Row],[HARGA SATUAN]]="",),"",NOTA[[#This Row],[QTY]]*NOTA[[#This Row],[HARGA SATUAN]])</f>
        <v/>
      </c>
      <c r="AG1173" s="40" t="str">
        <f ca="1">IF(NOTA[ID_H]="","",INDEX(NOTA[TANGGAL],MATCH(,INDIRECT(ADDRESS(ROW(NOTA[TANGGAL]),COLUMN(NOTA[TANGGAL]))&amp;":"&amp;ADDRESS(ROW(),COLUMN(NOTA[TANGGAL]))),-1)))</f>
        <v/>
      </c>
      <c r="AH1173" s="42" t="str">
        <f ca="1">IF(NOTA[[#This Row],[NAMA BARANG]]="","",INDEX(NOTA[SUPPLIER],MATCH(,INDIRECT(ADDRESS(ROW(NOTA[ID]),COLUMN(NOTA[ID]))&amp;":"&amp;ADDRESS(ROW(),COLUMN(NOTA[ID]))),-1)))</f>
        <v/>
      </c>
      <c r="AI1173" s="42" t="str">
        <f ca="1">IF(NOTA[[#This Row],[ID_H]]="","",IF(NOTA[[#This Row],[FAKTUR]]="",INDIRECT(ADDRESS(ROW()-1,COLUMN())),NOTA[[#This Row],[FAKTUR]]))</f>
        <v/>
      </c>
      <c r="AJ1173" s="39" t="str">
        <f ca="1">IF(NOTA[[#This Row],[ID]]="","",COUNTIF(NOTA[ID_H],NOTA[[#This Row],[ID_H]]))</f>
        <v/>
      </c>
      <c r="AK1173" s="39" t="str">
        <f ca="1">IF(NOTA[[#This Row],[TGL.NOTA]]="",IF(NOTA[[#This Row],[SUPPLIER_H]]="","",AK1172),MONTH(NOTA[[#This Row],[TGL.NOTA]]))</f>
        <v/>
      </c>
      <c r="AL1173" s="39" t="str">
        <f>LOWER(SUBSTITUTE(SUBSTITUTE(SUBSTITUTE(SUBSTITUTE(SUBSTITUTE(SUBSTITUTE(SUBSTITUTE(SUBSTITUTE(SUBSTITUTE(NOTA[NAMA BARANG]," ",),".",""),"-",""),"(",""),")",""),",",""),"/",""),"""",""),"+",""))</f>
        <v/>
      </c>
      <c r="AM11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39" t="str">
        <f>IF(NOTA[[#This Row],[CONCAT4]]="","",_xlfn.IFNA(MATCH(NOTA[[#This Row],[CONCAT4]],[2]!RAW[CONCAT_H],0),FALSE))</f>
        <v/>
      </c>
      <c r="AQ1173" s="39" t="str">
        <f>IF(NOTA[[#This Row],[CONCAT1]]="","",MATCH(NOTA[[#This Row],[CONCAT1]],[3]!db[NB NOTA_C],0))</f>
        <v/>
      </c>
      <c r="AR1173" s="39" t="str">
        <f>IF(NOTA[[#This Row],[QTY/ CTN]]="","",TRUE)</f>
        <v/>
      </c>
      <c r="AS1173" s="39" t="str">
        <f ca="1">IF(NOTA[[#This Row],[ID_H]]="","",IF(NOTA[[#This Row],[Column3]]=TRUE,NOTA[[#This Row],[QTY/ CTN]],INDEX([3]!db[QTY/ CTN],NOTA[[#This Row],[//DB]])))</f>
        <v/>
      </c>
      <c r="AT11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3" s="39" t="str">
        <f ca="1">IF(NOTA[[#This Row],[ID_H]]="","",MATCH(NOTA[[#This Row],[NB NOTA_C_QTY]],[4]!db[NB NOTA_C_QTY+F],0))</f>
        <v/>
      </c>
      <c r="AV1173" s="55" t="str">
        <f ca="1">IF(NOTA[[#This Row],[NB NOTA_C_QTY]]="","",ROW()-2)</f>
        <v/>
      </c>
    </row>
    <row r="1174" spans="1:48" ht="20.100000000000001" customHeight="1" x14ac:dyDescent="0.25">
      <c r="A11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4" s="39" t="str">
        <f>IF(NOTA[[#This Row],[ID_P]]="","",MATCH(NOTA[[#This Row],[ID_P]],[1]!B_MSK[N_ID],0))</f>
        <v/>
      </c>
      <c r="D1174" s="39" t="str">
        <f ca="1">IF(NOTA[[#This Row],[NAMA BARANG]]="","",INDEX(NOTA[ID],MATCH(,INDIRECT(ADDRESS(ROW(NOTA[ID]),COLUMN(NOTA[ID]))&amp;":"&amp;ADDRESS(ROW(),COLUMN(NOTA[ID]))),-1)))</f>
        <v/>
      </c>
      <c r="E1174" s="47"/>
      <c r="H1174" s="48"/>
      <c r="N1174" s="39"/>
      <c r="Q1174" s="43"/>
      <c r="R1174" s="49"/>
      <c r="S1174" s="50"/>
      <c r="U1174" s="51"/>
      <c r="V1174" s="46"/>
      <c r="W1174" s="51" t="str">
        <f>IF(NOTA[[#This Row],[HARGA/ CTN]]="",NOTA[[#This Row],[JUMLAH_H]],NOTA[[#This Row],[HARGA/ CTN]]*IF(NOTA[[#This Row],[C]]="",0,NOTA[[#This Row],[C]]))</f>
        <v/>
      </c>
      <c r="X1174" s="51" t="str">
        <f>IF(NOTA[[#This Row],[JUMLAH]]="","",NOTA[[#This Row],[JUMLAH]]*NOTA[[#This Row],[DISC 1]])</f>
        <v/>
      </c>
      <c r="Y1174" s="51" t="str">
        <f>IF(NOTA[[#This Row],[JUMLAH]]="","",(NOTA[[#This Row],[JUMLAH]]-NOTA[[#This Row],[DISC 1-]])*NOTA[[#This Row],[DISC 2]])</f>
        <v/>
      </c>
      <c r="Z1174" s="51" t="str">
        <f>IF(NOTA[[#This Row],[JUMLAH]]="","",NOTA[[#This Row],[DISC 1-]]+NOTA[[#This Row],[DISC 2-]])</f>
        <v/>
      </c>
      <c r="AA1174" s="51" t="str">
        <f>IF(NOTA[[#This Row],[JUMLAH]]="","",NOTA[[#This Row],[JUMLAH]]-NOTA[[#This Row],[DISC]])</f>
        <v/>
      </c>
      <c r="AB1174" s="51"/>
      <c r="AC1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4" s="51" t="str">
        <f>IF(OR(NOTA[[#This Row],[QTY]]="",NOTA[[#This Row],[HARGA SATUAN]]="",),"",NOTA[[#This Row],[QTY]]*NOTA[[#This Row],[HARGA SATUAN]])</f>
        <v/>
      </c>
      <c r="AG1174" s="40" t="str">
        <f ca="1">IF(NOTA[ID_H]="","",INDEX(NOTA[TANGGAL],MATCH(,INDIRECT(ADDRESS(ROW(NOTA[TANGGAL]),COLUMN(NOTA[TANGGAL]))&amp;":"&amp;ADDRESS(ROW(),COLUMN(NOTA[TANGGAL]))),-1)))</f>
        <v/>
      </c>
      <c r="AH1174" s="42" t="str">
        <f ca="1">IF(NOTA[[#This Row],[NAMA BARANG]]="","",INDEX(NOTA[SUPPLIER],MATCH(,INDIRECT(ADDRESS(ROW(NOTA[ID]),COLUMN(NOTA[ID]))&amp;":"&amp;ADDRESS(ROW(),COLUMN(NOTA[ID]))),-1)))</f>
        <v/>
      </c>
      <c r="AI1174" s="42" t="str">
        <f ca="1">IF(NOTA[[#This Row],[ID_H]]="","",IF(NOTA[[#This Row],[FAKTUR]]="",INDIRECT(ADDRESS(ROW()-1,COLUMN())),NOTA[[#This Row],[FAKTUR]]))</f>
        <v/>
      </c>
      <c r="AJ1174" s="39" t="str">
        <f ca="1">IF(NOTA[[#This Row],[ID]]="","",COUNTIF(NOTA[ID_H],NOTA[[#This Row],[ID_H]]))</f>
        <v/>
      </c>
      <c r="AK1174" s="39" t="str">
        <f ca="1">IF(NOTA[[#This Row],[TGL.NOTA]]="",IF(NOTA[[#This Row],[SUPPLIER_H]]="","",AK1173),MONTH(NOTA[[#This Row],[TGL.NOTA]]))</f>
        <v/>
      </c>
      <c r="AL1174" s="39" t="str">
        <f>LOWER(SUBSTITUTE(SUBSTITUTE(SUBSTITUTE(SUBSTITUTE(SUBSTITUTE(SUBSTITUTE(SUBSTITUTE(SUBSTITUTE(SUBSTITUTE(NOTA[NAMA BARANG]," ",),".",""),"-",""),"(",""),")",""),",",""),"/",""),"""",""),"+",""))</f>
        <v/>
      </c>
      <c r="AM11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4" s="39" t="str">
        <f>IF(NOTA[[#This Row],[CONCAT4]]="","",_xlfn.IFNA(MATCH(NOTA[[#This Row],[CONCAT4]],[2]!RAW[CONCAT_H],0),FALSE))</f>
        <v/>
      </c>
      <c r="AQ1174" s="39" t="str">
        <f>IF(NOTA[[#This Row],[CONCAT1]]="","",MATCH(NOTA[[#This Row],[CONCAT1]],[3]!db[NB NOTA_C],0))</f>
        <v/>
      </c>
      <c r="AR1174" s="39" t="str">
        <f>IF(NOTA[[#This Row],[QTY/ CTN]]="","",TRUE)</f>
        <v/>
      </c>
      <c r="AS1174" s="39" t="str">
        <f ca="1">IF(NOTA[[#This Row],[ID_H]]="","",IF(NOTA[[#This Row],[Column3]]=TRUE,NOTA[[#This Row],[QTY/ CTN]],INDEX([3]!db[QTY/ CTN],NOTA[[#This Row],[//DB]])))</f>
        <v/>
      </c>
      <c r="AT11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4" s="39" t="str">
        <f ca="1">IF(NOTA[[#This Row],[ID_H]]="","",MATCH(NOTA[[#This Row],[NB NOTA_C_QTY]],[4]!db[NB NOTA_C_QTY+F],0))</f>
        <v/>
      </c>
      <c r="AV1174" s="55" t="str">
        <f ca="1">IF(NOTA[[#This Row],[NB NOTA_C_QTY]]="","",ROW()-2)</f>
        <v/>
      </c>
    </row>
    <row r="1175" spans="1:48" ht="20.100000000000001" customHeight="1" x14ac:dyDescent="0.25">
      <c r="A11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39" t="str">
        <f>IF(NOTA[[#This Row],[ID_P]]="","",MATCH(NOTA[[#This Row],[ID_P]],[1]!B_MSK[N_ID],0))</f>
        <v/>
      </c>
      <c r="D1175" s="39" t="str">
        <f ca="1">IF(NOTA[[#This Row],[NAMA BARANG]]="","",INDEX(NOTA[ID],MATCH(,INDIRECT(ADDRESS(ROW(NOTA[ID]),COLUMN(NOTA[ID]))&amp;":"&amp;ADDRESS(ROW(),COLUMN(NOTA[ID]))),-1)))</f>
        <v/>
      </c>
      <c r="E1175" s="47"/>
      <c r="H1175" s="48"/>
      <c r="N1175" s="39"/>
      <c r="Q1175" s="43"/>
      <c r="R1175" s="49"/>
      <c r="S1175" s="50"/>
      <c r="U1175" s="51"/>
      <c r="V1175" s="46"/>
      <c r="W1175" s="51" t="str">
        <f>IF(NOTA[[#This Row],[HARGA/ CTN]]="",NOTA[[#This Row],[JUMLAH_H]],NOTA[[#This Row],[HARGA/ CTN]]*IF(NOTA[[#This Row],[C]]="",0,NOTA[[#This Row],[C]]))</f>
        <v/>
      </c>
      <c r="X1175" s="51" t="str">
        <f>IF(NOTA[[#This Row],[JUMLAH]]="","",NOTA[[#This Row],[JUMLAH]]*NOTA[[#This Row],[DISC 1]])</f>
        <v/>
      </c>
      <c r="Y1175" s="51" t="str">
        <f>IF(NOTA[[#This Row],[JUMLAH]]="","",(NOTA[[#This Row],[JUMLAH]]-NOTA[[#This Row],[DISC 1-]])*NOTA[[#This Row],[DISC 2]])</f>
        <v/>
      </c>
      <c r="Z1175" s="51" t="str">
        <f>IF(NOTA[[#This Row],[JUMLAH]]="","",NOTA[[#This Row],[DISC 1-]]+NOTA[[#This Row],[DISC 2-]])</f>
        <v/>
      </c>
      <c r="AA1175" s="51" t="str">
        <f>IF(NOTA[[#This Row],[JUMLAH]]="","",NOTA[[#This Row],[JUMLAH]]-NOTA[[#This Row],[DISC]])</f>
        <v/>
      </c>
      <c r="AB1175" s="51"/>
      <c r="AC1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5" s="51" t="str">
        <f>IF(OR(NOTA[[#This Row],[QTY]]="",NOTA[[#This Row],[HARGA SATUAN]]="",),"",NOTA[[#This Row],[QTY]]*NOTA[[#This Row],[HARGA SATUAN]])</f>
        <v/>
      </c>
      <c r="AG1175" s="40" t="str">
        <f ca="1">IF(NOTA[ID_H]="","",INDEX(NOTA[TANGGAL],MATCH(,INDIRECT(ADDRESS(ROW(NOTA[TANGGAL]),COLUMN(NOTA[TANGGAL]))&amp;":"&amp;ADDRESS(ROW(),COLUMN(NOTA[TANGGAL]))),-1)))</f>
        <v/>
      </c>
      <c r="AH1175" s="42" t="str">
        <f ca="1">IF(NOTA[[#This Row],[NAMA BARANG]]="","",INDEX(NOTA[SUPPLIER],MATCH(,INDIRECT(ADDRESS(ROW(NOTA[ID]),COLUMN(NOTA[ID]))&amp;":"&amp;ADDRESS(ROW(),COLUMN(NOTA[ID]))),-1)))</f>
        <v/>
      </c>
      <c r="AI1175" s="42" t="str">
        <f ca="1">IF(NOTA[[#This Row],[ID_H]]="","",IF(NOTA[[#This Row],[FAKTUR]]="",INDIRECT(ADDRESS(ROW()-1,COLUMN())),NOTA[[#This Row],[FAKTUR]]))</f>
        <v/>
      </c>
      <c r="AJ1175" s="39" t="str">
        <f ca="1">IF(NOTA[[#This Row],[ID]]="","",COUNTIF(NOTA[ID_H],NOTA[[#This Row],[ID_H]]))</f>
        <v/>
      </c>
      <c r="AK1175" s="39" t="str">
        <f ca="1">IF(NOTA[[#This Row],[TGL.NOTA]]="",IF(NOTA[[#This Row],[SUPPLIER_H]]="","",AK1174),MONTH(NOTA[[#This Row],[TGL.NOTA]]))</f>
        <v/>
      </c>
      <c r="AL1175" s="39" t="str">
        <f>LOWER(SUBSTITUTE(SUBSTITUTE(SUBSTITUTE(SUBSTITUTE(SUBSTITUTE(SUBSTITUTE(SUBSTITUTE(SUBSTITUTE(SUBSTITUTE(NOTA[NAMA BARANG]," ",),".",""),"-",""),"(",""),")",""),",",""),"/",""),"""",""),"+",""))</f>
        <v/>
      </c>
      <c r="AM11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39" t="str">
        <f>IF(NOTA[[#This Row],[CONCAT4]]="","",_xlfn.IFNA(MATCH(NOTA[[#This Row],[CONCAT4]],[2]!RAW[CONCAT_H],0),FALSE))</f>
        <v/>
      </c>
      <c r="AQ1175" s="39" t="str">
        <f>IF(NOTA[[#This Row],[CONCAT1]]="","",MATCH(NOTA[[#This Row],[CONCAT1]],[3]!db[NB NOTA_C],0))</f>
        <v/>
      </c>
      <c r="AR1175" s="39" t="str">
        <f>IF(NOTA[[#This Row],[QTY/ CTN]]="","",TRUE)</f>
        <v/>
      </c>
      <c r="AS1175" s="39" t="str">
        <f ca="1">IF(NOTA[[#This Row],[ID_H]]="","",IF(NOTA[[#This Row],[Column3]]=TRUE,NOTA[[#This Row],[QTY/ CTN]],INDEX([3]!db[QTY/ CTN],NOTA[[#This Row],[//DB]])))</f>
        <v/>
      </c>
      <c r="AT11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5" s="39" t="str">
        <f ca="1">IF(NOTA[[#This Row],[ID_H]]="","",MATCH(NOTA[[#This Row],[NB NOTA_C_QTY]],[4]!db[NB NOTA_C_QTY+F],0))</f>
        <v/>
      </c>
      <c r="AV1175" s="55" t="str">
        <f ca="1">IF(NOTA[[#This Row],[NB NOTA_C_QTY]]="","",ROW()-2)</f>
        <v/>
      </c>
    </row>
    <row r="1176" spans="1:48" ht="20.100000000000001" customHeight="1" x14ac:dyDescent="0.25">
      <c r="A11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39" t="str">
        <f>IF(NOTA[[#This Row],[ID_P]]="","",MATCH(NOTA[[#This Row],[ID_P]],[1]!B_MSK[N_ID],0))</f>
        <v/>
      </c>
      <c r="D1176" s="39" t="str">
        <f ca="1">IF(NOTA[[#This Row],[NAMA BARANG]]="","",INDEX(NOTA[ID],MATCH(,INDIRECT(ADDRESS(ROW(NOTA[ID]),COLUMN(NOTA[ID]))&amp;":"&amp;ADDRESS(ROW(),COLUMN(NOTA[ID]))),-1)))</f>
        <v/>
      </c>
      <c r="E1176" s="47"/>
      <c r="H1176" s="48"/>
      <c r="N1176" s="39"/>
      <c r="Q1176" s="43"/>
      <c r="R1176" s="49"/>
      <c r="S1176" s="50"/>
      <c r="U1176" s="51"/>
      <c r="V1176" s="46"/>
      <c r="W1176" s="51" t="str">
        <f>IF(NOTA[[#This Row],[HARGA/ CTN]]="",NOTA[[#This Row],[JUMLAH_H]],NOTA[[#This Row],[HARGA/ CTN]]*IF(NOTA[[#This Row],[C]]="",0,NOTA[[#This Row],[C]]))</f>
        <v/>
      </c>
      <c r="X1176" s="51" t="str">
        <f>IF(NOTA[[#This Row],[JUMLAH]]="","",NOTA[[#This Row],[JUMLAH]]*NOTA[[#This Row],[DISC 1]])</f>
        <v/>
      </c>
      <c r="Y1176" s="51" t="str">
        <f>IF(NOTA[[#This Row],[JUMLAH]]="","",(NOTA[[#This Row],[JUMLAH]]-NOTA[[#This Row],[DISC 1-]])*NOTA[[#This Row],[DISC 2]])</f>
        <v/>
      </c>
      <c r="Z1176" s="51" t="str">
        <f>IF(NOTA[[#This Row],[JUMLAH]]="","",NOTA[[#This Row],[DISC 1-]]+NOTA[[#This Row],[DISC 2-]])</f>
        <v/>
      </c>
      <c r="AA1176" s="51" t="str">
        <f>IF(NOTA[[#This Row],[JUMLAH]]="","",NOTA[[#This Row],[JUMLAH]]-NOTA[[#This Row],[DISC]])</f>
        <v/>
      </c>
      <c r="AB1176" s="51"/>
      <c r="AC1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51" t="str">
        <f>IF(OR(NOTA[[#This Row],[QTY]]="",NOTA[[#This Row],[HARGA SATUAN]]="",),"",NOTA[[#This Row],[QTY]]*NOTA[[#This Row],[HARGA SATUAN]])</f>
        <v/>
      </c>
      <c r="AG1176" s="40" t="str">
        <f ca="1">IF(NOTA[ID_H]="","",INDEX(NOTA[TANGGAL],MATCH(,INDIRECT(ADDRESS(ROW(NOTA[TANGGAL]),COLUMN(NOTA[TANGGAL]))&amp;":"&amp;ADDRESS(ROW(),COLUMN(NOTA[TANGGAL]))),-1)))</f>
        <v/>
      </c>
      <c r="AH1176" s="42" t="str">
        <f ca="1">IF(NOTA[[#This Row],[NAMA BARANG]]="","",INDEX(NOTA[SUPPLIER],MATCH(,INDIRECT(ADDRESS(ROW(NOTA[ID]),COLUMN(NOTA[ID]))&amp;":"&amp;ADDRESS(ROW(),COLUMN(NOTA[ID]))),-1)))</f>
        <v/>
      </c>
      <c r="AI1176" s="42" t="str">
        <f ca="1">IF(NOTA[[#This Row],[ID_H]]="","",IF(NOTA[[#This Row],[FAKTUR]]="",INDIRECT(ADDRESS(ROW()-1,COLUMN())),NOTA[[#This Row],[FAKTUR]]))</f>
        <v/>
      </c>
      <c r="AJ1176" s="39" t="str">
        <f ca="1">IF(NOTA[[#This Row],[ID]]="","",COUNTIF(NOTA[ID_H],NOTA[[#This Row],[ID_H]]))</f>
        <v/>
      </c>
      <c r="AK1176" s="39" t="str">
        <f ca="1">IF(NOTA[[#This Row],[TGL.NOTA]]="",IF(NOTA[[#This Row],[SUPPLIER_H]]="","",AK1175),MONTH(NOTA[[#This Row],[TGL.NOTA]]))</f>
        <v/>
      </c>
      <c r="AL1176" s="39" t="str">
        <f>LOWER(SUBSTITUTE(SUBSTITUTE(SUBSTITUTE(SUBSTITUTE(SUBSTITUTE(SUBSTITUTE(SUBSTITUTE(SUBSTITUTE(SUBSTITUTE(NOTA[NAMA BARANG]," ",),".",""),"-",""),"(",""),")",""),",",""),"/",""),"""",""),"+",""))</f>
        <v/>
      </c>
      <c r="AM11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39" t="str">
        <f>IF(NOTA[[#This Row],[CONCAT4]]="","",_xlfn.IFNA(MATCH(NOTA[[#This Row],[CONCAT4]],[2]!RAW[CONCAT_H],0),FALSE))</f>
        <v/>
      </c>
      <c r="AQ1176" s="39" t="str">
        <f>IF(NOTA[[#This Row],[CONCAT1]]="","",MATCH(NOTA[[#This Row],[CONCAT1]],[3]!db[NB NOTA_C],0))</f>
        <v/>
      </c>
      <c r="AR1176" s="39" t="str">
        <f>IF(NOTA[[#This Row],[QTY/ CTN]]="","",TRUE)</f>
        <v/>
      </c>
      <c r="AS1176" s="39" t="str">
        <f ca="1">IF(NOTA[[#This Row],[ID_H]]="","",IF(NOTA[[#This Row],[Column3]]=TRUE,NOTA[[#This Row],[QTY/ CTN]],INDEX([3]!db[QTY/ CTN],NOTA[[#This Row],[//DB]])))</f>
        <v/>
      </c>
      <c r="AT11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6" s="39" t="str">
        <f ca="1">IF(NOTA[[#This Row],[ID_H]]="","",MATCH(NOTA[[#This Row],[NB NOTA_C_QTY]],[4]!db[NB NOTA_C_QTY+F],0))</f>
        <v/>
      </c>
      <c r="AV1176" s="55" t="str">
        <f ca="1">IF(NOTA[[#This Row],[NB NOTA_C_QTY]]="","",ROW()-2)</f>
        <v/>
      </c>
    </row>
    <row r="1177" spans="1:48" ht="20.100000000000001" customHeight="1" x14ac:dyDescent="0.25">
      <c r="A11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7" s="39" t="str">
        <f>IF(NOTA[[#This Row],[ID_P]]="","",MATCH(NOTA[[#This Row],[ID_P]],[1]!B_MSK[N_ID],0))</f>
        <v/>
      </c>
      <c r="D1177" s="39" t="str">
        <f ca="1">IF(NOTA[[#This Row],[NAMA BARANG]]="","",INDEX(NOTA[ID],MATCH(,INDIRECT(ADDRESS(ROW(NOTA[ID]),COLUMN(NOTA[ID]))&amp;":"&amp;ADDRESS(ROW(),COLUMN(NOTA[ID]))),-1)))</f>
        <v/>
      </c>
      <c r="E1177" s="47"/>
      <c r="H1177" s="48"/>
      <c r="N1177" s="39"/>
      <c r="Q1177" s="43"/>
      <c r="R1177" s="49"/>
      <c r="S1177" s="50"/>
      <c r="U1177" s="51"/>
      <c r="V1177" s="46"/>
      <c r="W1177" s="51" t="str">
        <f>IF(NOTA[[#This Row],[HARGA/ CTN]]="",NOTA[[#This Row],[JUMLAH_H]],NOTA[[#This Row],[HARGA/ CTN]]*IF(NOTA[[#This Row],[C]]="",0,NOTA[[#This Row],[C]]))</f>
        <v/>
      </c>
      <c r="X1177" s="51" t="str">
        <f>IF(NOTA[[#This Row],[JUMLAH]]="","",NOTA[[#This Row],[JUMLAH]]*NOTA[[#This Row],[DISC 1]])</f>
        <v/>
      </c>
      <c r="Y1177" s="51" t="str">
        <f>IF(NOTA[[#This Row],[JUMLAH]]="","",(NOTA[[#This Row],[JUMLAH]]-NOTA[[#This Row],[DISC 1-]])*NOTA[[#This Row],[DISC 2]])</f>
        <v/>
      </c>
      <c r="Z1177" s="51" t="str">
        <f>IF(NOTA[[#This Row],[JUMLAH]]="","",NOTA[[#This Row],[DISC 1-]]+NOTA[[#This Row],[DISC 2-]])</f>
        <v/>
      </c>
      <c r="AA1177" s="51" t="str">
        <f>IF(NOTA[[#This Row],[JUMLAH]]="","",NOTA[[#This Row],[JUMLAH]]-NOTA[[#This Row],[DISC]])</f>
        <v/>
      </c>
      <c r="AB1177" s="51"/>
      <c r="AC1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7" s="51" t="str">
        <f>IF(OR(NOTA[[#This Row],[QTY]]="",NOTA[[#This Row],[HARGA SATUAN]]="",),"",NOTA[[#This Row],[QTY]]*NOTA[[#This Row],[HARGA SATUAN]])</f>
        <v/>
      </c>
      <c r="AG1177" s="40" t="str">
        <f ca="1">IF(NOTA[ID_H]="","",INDEX(NOTA[TANGGAL],MATCH(,INDIRECT(ADDRESS(ROW(NOTA[TANGGAL]),COLUMN(NOTA[TANGGAL]))&amp;":"&amp;ADDRESS(ROW(),COLUMN(NOTA[TANGGAL]))),-1)))</f>
        <v/>
      </c>
      <c r="AH1177" s="42" t="str">
        <f ca="1">IF(NOTA[[#This Row],[NAMA BARANG]]="","",INDEX(NOTA[SUPPLIER],MATCH(,INDIRECT(ADDRESS(ROW(NOTA[ID]),COLUMN(NOTA[ID]))&amp;":"&amp;ADDRESS(ROW(),COLUMN(NOTA[ID]))),-1)))</f>
        <v/>
      </c>
      <c r="AI1177" s="42" t="str">
        <f ca="1">IF(NOTA[[#This Row],[ID_H]]="","",IF(NOTA[[#This Row],[FAKTUR]]="",INDIRECT(ADDRESS(ROW()-1,COLUMN())),NOTA[[#This Row],[FAKTUR]]))</f>
        <v/>
      </c>
      <c r="AJ1177" s="39" t="str">
        <f ca="1">IF(NOTA[[#This Row],[ID]]="","",COUNTIF(NOTA[ID_H],NOTA[[#This Row],[ID_H]]))</f>
        <v/>
      </c>
      <c r="AK1177" s="39" t="str">
        <f ca="1">IF(NOTA[[#This Row],[TGL.NOTA]]="",IF(NOTA[[#This Row],[SUPPLIER_H]]="","",AK1176),MONTH(NOTA[[#This Row],[TGL.NOTA]]))</f>
        <v/>
      </c>
      <c r="AL1177" s="39" t="str">
        <f>LOWER(SUBSTITUTE(SUBSTITUTE(SUBSTITUTE(SUBSTITUTE(SUBSTITUTE(SUBSTITUTE(SUBSTITUTE(SUBSTITUTE(SUBSTITUTE(NOTA[NAMA BARANG]," ",),".",""),"-",""),"(",""),")",""),",",""),"/",""),"""",""),"+",""))</f>
        <v/>
      </c>
      <c r="AM11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7" s="39" t="str">
        <f>IF(NOTA[[#This Row],[CONCAT4]]="","",_xlfn.IFNA(MATCH(NOTA[[#This Row],[CONCAT4]],[2]!RAW[CONCAT_H],0),FALSE))</f>
        <v/>
      </c>
      <c r="AQ1177" s="39" t="str">
        <f>IF(NOTA[[#This Row],[CONCAT1]]="","",MATCH(NOTA[[#This Row],[CONCAT1]],[3]!db[NB NOTA_C],0))</f>
        <v/>
      </c>
      <c r="AR1177" s="39" t="str">
        <f>IF(NOTA[[#This Row],[QTY/ CTN]]="","",TRUE)</f>
        <v/>
      </c>
      <c r="AS1177" s="39" t="str">
        <f ca="1">IF(NOTA[[#This Row],[ID_H]]="","",IF(NOTA[[#This Row],[Column3]]=TRUE,NOTA[[#This Row],[QTY/ CTN]],INDEX([3]!db[QTY/ CTN],NOTA[[#This Row],[//DB]])))</f>
        <v/>
      </c>
      <c r="AT11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7" s="39" t="str">
        <f ca="1">IF(NOTA[[#This Row],[ID_H]]="","",MATCH(NOTA[[#This Row],[NB NOTA_C_QTY]],[4]!db[NB NOTA_C_QTY+F],0))</f>
        <v/>
      </c>
      <c r="AV1177" s="55" t="str">
        <f ca="1">IF(NOTA[[#This Row],[NB NOTA_C_QTY]]="","",ROW()-2)</f>
        <v/>
      </c>
    </row>
    <row r="1178" spans="1:48" ht="20.100000000000001" customHeight="1" x14ac:dyDescent="0.25">
      <c r="A11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39" t="str">
        <f>IF(NOTA[[#This Row],[ID_P]]="","",MATCH(NOTA[[#This Row],[ID_P]],[1]!B_MSK[N_ID],0))</f>
        <v/>
      </c>
      <c r="D1178" s="39" t="str">
        <f ca="1">IF(NOTA[[#This Row],[NAMA BARANG]]="","",INDEX(NOTA[ID],MATCH(,INDIRECT(ADDRESS(ROW(NOTA[ID]),COLUMN(NOTA[ID]))&amp;":"&amp;ADDRESS(ROW(),COLUMN(NOTA[ID]))),-1)))</f>
        <v/>
      </c>
      <c r="E1178" s="47"/>
      <c r="H1178" s="48"/>
      <c r="N1178" s="39"/>
      <c r="Q1178" s="43"/>
      <c r="R1178" s="49"/>
      <c r="S1178" s="50"/>
      <c r="U1178" s="51"/>
      <c r="V1178" s="46"/>
      <c r="W1178" s="51" t="str">
        <f>IF(NOTA[[#This Row],[HARGA/ CTN]]="",NOTA[[#This Row],[JUMLAH_H]],NOTA[[#This Row],[HARGA/ CTN]]*IF(NOTA[[#This Row],[C]]="",0,NOTA[[#This Row],[C]]))</f>
        <v/>
      </c>
      <c r="X1178" s="51" t="str">
        <f>IF(NOTA[[#This Row],[JUMLAH]]="","",NOTA[[#This Row],[JUMLAH]]*NOTA[[#This Row],[DISC 1]])</f>
        <v/>
      </c>
      <c r="Y1178" s="51" t="str">
        <f>IF(NOTA[[#This Row],[JUMLAH]]="","",(NOTA[[#This Row],[JUMLAH]]-NOTA[[#This Row],[DISC 1-]])*NOTA[[#This Row],[DISC 2]])</f>
        <v/>
      </c>
      <c r="Z1178" s="51" t="str">
        <f>IF(NOTA[[#This Row],[JUMLAH]]="","",NOTA[[#This Row],[DISC 1-]]+NOTA[[#This Row],[DISC 2-]])</f>
        <v/>
      </c>
      <c r="AA1178" s="51" t="str">
        <f>IF(NOTA[[#This Row],[JUMLAH]]="","",NOTA[[#This Row],[JUMLAH]]-NOTA[[#This Row],[DISC]])</f>
        <v/>
      </c>
      <c r="AB1178" s="51"/>
      <c r="AC11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51" t="str">
        <f>IF(OR(NOTA[[#This Row],[QTY]]="",NOTA[[#This Row],[HARGA SATUAN]]="",),"",NOTA[[#This Row],[QTY]]*NOTA[[#This Row],[HARGA SATUAN]])</f>
        <v/>
      </c>
      <c r="AG1178" s="40" t="str">
        <f ca="1">IF(NOTA[ID_H]="","",INDEX(NOTA[TANGGAL],MATCH(,INDIRECT(ADDRESS(ROW(NOTA[TANGGAL]),COLUMN(NOTA[TANGGAL]))&amp;":"&amp;ADDRESS(ROW(),COLUMN(NOTA[TANGGAL]))),-1)))</f>
        <v/>
      </c>
      <c r="AH1178" s="42" t="str">
        <f ca="1">IF(NOTA[[#This Row],[NAMA BARANG]]="","",INDEX(NOTA[SUPPLIER],MATCH(,INDIRECT(ADDRESS(ROW(NOTA[ID]),COLUMN(NOTA[ID]))&amp;":"&amp;ADDRESS(ROW(),COLUMN(NOTA[ID]))),-1)))</f>
        <v/>
      </c>
      <c r="AI1178" s="42" t="str">
        <f ca="1">IF(NOTA[[#This Row],[ID_H]]="","",IF(NOTA[[#This Row],[FAKTUR]]="",INDIRECT(ADDRESS(ROW()-1,COLUMN())),NOTA[[#This Row],[FAKTUR]]))</f>
        <v/>
      </c>
      <c r="AJ1178" s="39" t="str">
        <f ca="1">IF(NOTA[[#This Row],[ID]]="","",COUNTIF(NOTA[ID_H],NOTA[[#This Row],[ID_H]]))</f>
        <v/>
      </c>
      <c r="AK1178" s="39" t="str">
        <f ca="1">IF(NOTA[[#This Row],[TGL.NOTA]]="",IF(NOTA[[#This Row],[SUPPLIER_H]]="","",AK1177),MONTH(NOTA[[#This Row],[TGL.NOTA]]))</f>
        <v/>
      </c>
      <c r="AL1178" s="39" t="str">
        <f>LOWER(SUBSTITUTE(SUBSTITUTE(SUBSTITUTE(SUBSTITUTE(SUBSTITUTE(SUBSTITUTE(SUBSTITUTE(SUBSTITUTE(SUBSTITUTE(NOTA[NAMA BARANG]," ",),".",""),"-",""),"(",""),")",""),",",""),"/",""),"""",""),"+",""))</f>
        <v/>
      </c>
      <c r="AM11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39" t="str">
        <f>IF(NOTA[[#This Row],[CONCAT4]]="","",_xlfn.IFNA(MATCH(NOTA[[#This Row],[CONCAT4]],[2]!RAW[CONCAT_H],0),FALSE))</f>
        <v/>
      </c>
      <c r="AQ1178" s="39" t="str">
        <f>IF(NOTA[[#This Row],[CONCAT1]]="","",MATCH(NOTA[[#This Row],[CONCAT1]],[3]!db[NB NOTA_C],0))</f>
        <v/>
      </c>
      <c r="AR1178" s="39" t="str">
        <f>IF(NOTA[[#This Row],[QTY/ CTN]]="","",TRUE)</f>
        <v/>
      </c>
      <c r="AS1178" s="39" t="str">
        <f ca="1">IF(NOTA[[#This Row],[ID_H]]="","",IF(NOTA[[#This Row],[Column3]]=TRUE,NOTA[[#This Row],[QTY/ CTN]],INDEX([3]!db[QTY/ CTN],NOTA[[#This Row],[//DB]])))</f>
        <v/>
      </c>
      <c r="AT11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8" s="39" t="str">
        <f ca="1">IF(NOTA[[#This Row],[ID_H]]="","",MATCH(NOTA[[#This Row],[NB NOTA_C_QTY]],[4]!db[NB NOTA_C_QTY+F],0))</f>
        <v/>
      </c>
      <c r="AV1178" s="55" t="str">
        <f ca="1">IF(NOTA[[#This Row],[NB NOTA_C_QTY]]="","",ROW()-2)</f>
        <v/>
      </c>
    </row>
    <row r="1179" spans="1:48" ht="20.100000000000001" customHeight="1" x14ac:dyDescent="0.25">
      <c r="A11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9" s="39" t="str">
        <f>IF(NOTA[[#This Row],[ID_P]]="","",MATCH(NOTA[[#This Row],[ID_P]],[1]!B_MSK[N_ID],0))</f>
        <v/>
      </c>
      <c r="D1179" s="39" t="str">
        <f ca="1">IF(NOTA[[#This Row],[NAMA BARANG]]="","",INDEX(NOTA[ID],MATCH(,INDIRECT(ADDRESS(ROW(NOTA[ID]),COLUMN(NOTA[ID]))&amp;":"&amp;ADDRESS(ROW(),COLUMN(NOTA[ID]))),-1)))</f>
        <v/>
      </c>
      <c r="E1179" s="47"/>
      <c r="H1179" s="48"/>
      <c r="N1179" s="39"/>
      <c r="Q1179" s="43"/>
      <c r="R1179" s="49"/>
      <c r="S1179" s="50"/>
      <c r="U1179" s="51"/>
      <c r="V1179" s="46"/>
      <c r="W1179" s="51" t="str">
        <f>IF(NOTA[[#This Row],[HARGA/ CTN]]="",NOTA[[#This Row],[JUMLAH_H]],NOTA[[#This Row],[HARGA/ CTN]]*IF(NOTA[[#This Row],[C]]="",0,NOTA[[#This Row],[C]]))</f>
        <v/>
      </c>
      <c r="X1179" s="51" t="str">
        <f>IF(NOTA[[#This Row],[JUMLAH]]="","",NOTA[[#This Row],[JUMLAH]]*NOTA[[#This Row],[DISC 1]])</f>
        <v/>
      </c>
      <c r="Y1179" s="51" t="str">
        <f>IF(NOTA[[#This Row],[JUMLAH]]="","",(NOTA[[#This Row],[JUMLAH]]-NOTA[[#This Row],[DISC 1-]])*NOTA[[#This Row],[DISC 2]])</f>
        <v/>
      </c>
      <c r="Z1179" s="51" t="str">
        <f>IF(NOTA[[#This Row],[JUMLAH]]="","",NOTA[[#This Row],[DISC 1-]]+NOTA[[#This Row],[DISC 2-]])</f>
        <v/>
      </c>
      <c r="AA1179" s="51" t="str">
        <f>IF(NOTA[[#This Row],[JUMLAH]]="","",NOTA[[#This Row],[JUMLAH]]-NOTA[[#This Row],[DISC]])</f>
        <v/>
      </c>
      <c r="AB1179" s="51"/>
      <c r="AC1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9" s="51" t="str">
        <f>IF(OR(NOTA[[#This Row],[QTY]]="",NOTA[[#This Row],[HARGA SATUAN]]="",),"",NOTA[[#This Row],[QTY]]*NOTA[[#This Row],[HARGA SATUAN]])</f>
        <v/>
      </c>
      <c r="AG1179" s="40" t="str">
        <f ca="1">IF(NOTA[ID_H]="","",INDEX(NOTA[TANGGAL],MATCH(,INDIRECT(ADDRESS(ROW(NOTA[TANGGAL]),COLUMN(NOTA[TANGGAL]))&amp;":"&amp;ADDRESS(ROW(),COLUMN(NOTA[TANGGAL]))),-1)))</f>
        <v/>
      </c>
      <c r="AH1179" s="42" t="str">
        <f ca="1">IF(NOTA[[#This Row],[NAMA BARANG]]="","",INDEX(NOTA[SUPPLIER],MATCH(,INDIRECT(ADDRESS(ROW(NOTA[ID]),COLUMN(NOTA[ID]))&amp;":"&amp;ADDRESS(ROW(),COLUMN(NOTA[ID]))),-1)))</f>
        <v/>
      </c>
      <c r="AI1179" s="42" t="str">
        <f ca="1">IF(NOTA[[#This Row],[ID_H]]="","",IF(NOTA[[#This Row],[FAKTUR]]="",INDIRECT(ADDRESS(ROW()-1,COLUMN())),NOTA[[#This Row],[FAKTUR]]))</f>
        <v/>
      </c>
      <c r="AJ1179" s="39" t="str">
        <f ca="1">IF(NOTA[[#This Row],[ID]]="","",COUNTIF(NOTA[ID_H],NOTA[[#This Row],[ID_H]]))</f>
        <v/>
      </c>
      <c r="AK1179" s="39" t="str">
        <f ca="1">IF(NOTA[[#This Row],[TGL.NOTA]]="",IF(NOTA[[#This Row],[SUPPLIER_H]]="","",AK1178),MONTH(NOTA[[#This Row],[TGL.NOTA]]))</f>
        <v/>
      </c>
      <c r="AL1179" s="39" t="str">
        <f>LOWER(SUBSTITUTE(SUBSTITUTE(SUBSTITUTE(SUBSTITUTE(SUBSTITUTE(SUBSTITUTE(SUBSTITUTE(SUBSTITUTE(SUBSTITUTE(NOTA[NAMA BARANG]," ",),".",""),"-",""),"(",""),")",""),",",""),"/",""),"""",""),"+",""))</f>
        <v/>
      </c>
      <c r="AM11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9" s="39" t="str">
        <f>IF(NOTA[[#This Row],[CONCAT4]]="","",_xlfn.IFNA(MATCH(NOTA[[#This Row],[CONCAT4]],[2]!RAW[CONCAT_H],0),FALSE))</f>
        <v/>
      </c>
      <c r="AQ1179" s="39" t="str">
        <f>IF(NOTA[[#This Row],[CONCAT1]]="","",MATCH(NOTA[[#This Row],[CONCAT1]],[3]!db[NB NOTA_C],0))</f>
        <v/>
      </c>
      <c r="AR1179" s="39" t="str">
        <f>IF(NOTA[[#This Row],[QTY/ CTN]]="","",TRUE)</f>
        <v/>
      </c>
      <c r="AS1179" s="39" t="str">
        <f ca="1">IF(NOTA[[#This Row],[ID_H]]="","",IF(NOTA[[#This Row],[Column3]]=TRUE,NOTA[[#This Row],[QTY/ CTN]],INDEX([3]!db[QTY/ CTN],NOTA[[#This Row],[//DB]])))</f>
        <v/>
      </c>
      <c r="AT11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9" s="39" t="str">
        <f ca="1">IF(NOTA[[#This Row],[ID_H]]="","",MATCH(NOTA[[#This Row],[NB NOTA_C_QTY]],[4]!db[NB NOTA_C_QTY+F],0))</f>
        <v/>
      </c>
      <c r="AV1179" s="55" t="str">
        <f ca="1">IF(NOTA[[#This Row],[NB NOTA_C_QTY]]="","",ROW()-2)</f>
        <v/>
      </c>
    </row>
    <row r="1180" spans="1:48" ht="20.100000000000001" customHeight="1" x14ac:dyDescent="0.25">
      <c r="A11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39" t="str">
        <f>IF(NOTA[[#This Row],[ID_P]]="","",MATCH(NOTA[[#This Row],[ID_P]],[1]!B_MSK[N_ID],0))</f>
        <v/>
      </c>
      <c r="D1180" s="39" t="str">
        <f ca="1">IF(NOTA[[#This Row],[NAMA BARANG]]="","",INDEX(NOTA[ID],MATCH(,INDIRECT(ADDRESS(ROW(NOTA[ID]),COLUMN(NOTA[ID]))&amp;":"&amp;ADDRESS(ROW(),COLUMN(NOTA[ID]))),-1)))</f>
        <v/>
      </c>
      <c r="E1180" s="47"/>
      <c r="H1180" s="48"/>
      <c r="N1180" s="39"/>
      <c r="Q1180" s="43"/>
      <c r="R1180" s="49"/>
      <c r="S1180" s="50"/>
      <c r="U1180" s="51"/>
      <c r="V1180" s="46"/>
      <c r="W1180" s="51" t="str">
        <f>IF(NOTA[[#This Row],[HARGA/ CTN]]="",NOTA[[#This Row],[JUMLAH_H]],NOTA[[#This Row],[HARGA/ CTN]]*IF(NOTA[[#This Row],[C]]="",0,NOTA[[#This Row],[C]]))</f>
        <v/>
      </c>
      <c r="X1180" s="51" t="str">
        <f>IF(NOTA[[#This Row],[JUMLAH]]="","",NOTA[[#This Row],[JUMLAH]]*NOTA[[#This Row],[DISC 1]])</f>
        <v/>
      </c>
      <c r="Y1180" s="51" t="str">
        <f>IF(NOTA[[#This Row],[JUMLAH]]="","",(NOTA[[#This Row],[JUMLAH]]-NOTA[[#This Row],[DISC 1-]])*NOTA[[#This Row],[DISC 2]])</f>
        <v/>
      </c>
      <c r="Z1180" s="51" t="str">
        <f>IF(NOTA[[#This Row],[JUMLAH]]="","",NOTA[[#This Row],[DISC 1-]]+NOTA[[#This Row],[DISC 2-]])</f>
        <v/>
      </c>
      <c r="AA1180" s="51" t="str">
        <f>IF(NOTA[[#This Row],[JUMLAH]]="","",NOTA[[#This Row],[JUMLAH]]-NOTA[[#This Row],[DISC]])</f>
        <v/>
      </c>
      <c r="AB1180" s="51"/>
      <c r="AC1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0" s="51" t="str">
        <f>IF(OR(NOTA[[#This Row],[QTY]]="",NOTA[[#This Row],[HARGA SATUAN]]="",),"",NOTA[[#This Row],[QTY]]*NOTA[[#This Row],[HARGA SATUAN]])</f>
        <v/>
      </c>
      <c r="AG1180" s="40" t="str">
        <f ca="1">IF(NOTA[ID_H]="","",INDEX(NOTA[TANGGAL],MATCH(,INDIRECT(ADDRESS(ROW(NOTA[TANGGAL]),COLUMN(NOTA[TANGGAL]))&amp;":"&amp;ADDRESS(ROW(),COLUMN(NOTA[TANGGAL]))),-1)))</f>
        <v/>
      </c>
      <c r="AH1180" s="42" t="str">
        <f ca="1">IF(NOTA[[#This Row],[NAMA BARANG]]="","",INDEX(NOTA[SUPPLIER],MATCH(,INDIRECT(ADDRESS(ROW(NOTA[ID]),COLUMN(NOTA[ID]))&amp;":"&amp;ADDRESS(ROW(),COLUMN(NOTA[ID]))),-1)))</f>
        <v/>
      </c>
      <c r="AI1180" s="42" t="str">
        <f ca="1">IF(NOTA[[#This Row],[ID_H]]="","",IF(NOTA[[#This Row],[FAKTUR]]="",INDIRECT(ADDRESS(ROW()-1,COLUMN())),NOTA[[#This Row],[FAKTUR]]))</f>
        <v/>
      </c>
      <c r="AJ1180" s="39" t="str">
        <f ca="1">IF(NOTA[[#This Row],[ID]]="","",COUNTIF(NOTA[ID_H],NOTA[[#This Row],[ID_H]]))</f>
        <v/>
      </c>
      <c r="AK1180" s="39" t="str">
        <f ca="1">IF(NOTA[[#This Row],[TGL.NOTA]]="",IF(NOTA[[#This Row],[SUPPLIER_H]]="","",AK1179),MONTH(NOTA[[#This Row],[TGL.NOTA]]))</f>
        <v/>
      </c>
      <c r="AL1180" s="39" t="str">
        <f>LOWER(SUBSTITUTE(SUBSTITUTE(SUBSTITUTE(SUBSTITUTE(SUBSTITUTE(SUBSTITUTE(SUBSTITUTE(SUBSTITUTE(SUBSTITUTE(NOTA[NAMA BARANG]," ",),".",""),"-",""),"(",""),")",""),",",""),"/",""),"""",""),"+",""))</f>
        <v/>
      </c>
      <c r="AM11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39" t="str">
        <f>IF(NOTA[[#This Row],[CONCAT4]]="","",_xlfn.IFNA(MATCH(NOTA[[#This Row],[CONCAT4]],[2]!RAW[CONCAT_H],0),FALSE))</f>
        <v/>
      </c>
      <c r="AQ1180" s="39" t="str">
        <f>IF(NOTA[[#This Row],[CONCAT1]]="","",MATCH(NOTA[[#This Row],[CONCAT1]],[3]!db[NB NOTA_C],0))</f>
        <v/>
      </c>
      <c r="AR1180" s="39" t="str">
        <f>IF(NOTA[[#This Row],[QTY/ CTN]]="","",TRUE)</f>
        <v/>
      </c>
      <c r="AS1180" s="39" t="str">
        <f ca="1">IF(NOTA[[#This Row],[ID_H]]="","",IF(NOTA[[#This Row],[Column3]]=TRUE,NOTA[[#This Row],[QTY/ CTN]],INDEX([3]!db[QTY/ CTN],NOTA[[#This Row],[//DB]])))</f>
        <v/>
      </c>
      <c r="AT11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0" s="39" t="str">
        <f ca="1">IF(NOTA[[#This Row],[ID_H]]="","",MATCH(NOTA[[#This Row],[NB NOTA_C_QTY]],[4]!db[NB NOTA_C_QTY+F],0))</f>
        <v/>
      </c>
      <c r="AV1180" s="55" t="str">
        <f ca="1">IF(NOTA[[#This Row],[NB NOTA_C_QTY]]="","",ROW()-2)</f>
        <v/>
      </c>
    </row>
    <row r="1181" spans="1:48" ht="20.100000000000001" customHeight="1" x14ac:dyDescent="0.25">
      <c r="A11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39" t="str">
        <f>IF(NOTA[[#This Row],[ID_P]]="","",MATCH(NOTA[[#This Row],[ID_P]],[1]!B_MSK[N_ID],0))</f>
        <v/>
      </c>
      <c r="D1181" s="39" t="str">
        <f ca="1">IF(NOTA[[#This Row],[NAMA BARANG]]="","",INDEX(NOTA[ID],MATCH(,INDIRECT(ADDRESS(ROW(NOTA[ID]),COLUMN(NOTA[ID]))&amp;":"&amp;ADDRESS(ROW(),COLUMN(NOTA[ID]))),-1)))</f>
        <v/>
      </c>
      <c r="E1181" s="47"/>
      <c r="H1181" s="48"/>
      <c r="N1181" s="39"/>
      <c r="Q1181" s="43"/>
      <c r="R1181" s="49"/>
      <c r="S1181" s="50"/>
      <c r="U1181" s="51"/>
      <c r="V1181" s="46"/>
      <c r="W1181" s="51" t="str">
        <f>IF(NOTA[[#This Row],[HARGA/ CTN]]="",NOTA[[#This Row],[JUMLAH_H]],NOTA[[#This Row],[HARGA/ CTN]]*IF(NOTA[[#This Row],[C]]="",0,NOTA[[#This Row],[C]]))</f>
        <v/>
      </c>
      <c r="X1181" s="51" t="str">
        <f>IF(NOTA[[#This Row],[JUMLAH]]="","",NOTA[[#This Row],[JUMLAH]]*NOTA[[#This Row],[DISC 1]])</f>
        <v/>
      </c>
      <c r="Y1181" s="51" t="str">
        <f>IF(NOTA[[#This Row],[JUMLAH]]="","",(NOTA[[#This Row],[JUMLAH]]-NOTA[[#This Row],[DISC 1-]])*NOTA[[#This Row],[DISC 2]])</f>
        <v/>
      </c>
      <c r="Z1181" s="51" t="str">
        <f>IF(NOTA[[#This Row],[JUMLAH]]="","",NOTA[[#This Row],[DISC 1-]]+NOTA[[#This Row],[DISC 2-]])</f>
        <v/>
      </c>
      <c r="AA1181" s="51" t="str">
        <f>IF(NOTA[[#This Row],[JUMLAH]]="","",NOTA[[#This Row],[JUMLAH]]-NOTA[[#This Row],[DISC]])</f>
        <v/>
      </c>
      <c r="AB1181" s="51"/>
      <c r="AC1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1" s="51" t="str">
        <f>IF(OR(NOTA[[#This Row],[QTY]]="",NOTA[[#This Row],[HARGA SATUAN]]="",),"",NOTA[[#This Row],[QTY]]*NOTA[[#This Row],[HARGA SATUAN]])</f>
        <v/>
      </c>
      <c r="AG1181" s="40" t="str">
        <f ca="1">IF(NOTA[ID_H]="","",INDEX(NOTA[TANGGAL],MATCH(,INDIRECT(ADDRESS(ROW(NOTA[TANGGAL]),COLUMN(NOTA[TANGGAL]))&amp;":"&amp;ADDRESS(ROW(),COLUMN(NOTA[TANGGAL]))),-1)))</f>
        <v/>
      </c>
      <c r="AH1181" s="42" t="str">
        <f ca="1">IF(NOTA[[#This Row],[NAMA BARANG]]="","",INDEX(NOTA[SUPPLIER],MATCH(,INDIRECT(ADDRESS(ROW(NOTA[ID]),COLUMN(NOTA[ID]))&amp;":"&amp;ADDRESS(ROW(),COLUMN(NOTA[ID]))),-1)))</f>
        <v/>
      </c>
      <c r="AI1181" s="42" t="str">
        <f ca="1">IF(NOTA[[#This Row],[ID_H]]="","",IF(NOTA[[#This Row],[FAKTUR]]="",INDIRECT(ADDRESS(ROW()-1,COLUMN())),NOTA[[#This Row],[FAKTUR]]))</f>
        <v/>
      </c>
      <c r="AJ1181" s="39" t="str">
        <f ca="1">IF(NOTA[[#This Row],[ID]]="","",COUNTIF(NOTA[ID_H],NOTA[[#This Row],[ID_H]]))</f>
        <v/>
      </c>
      <c r="AK1181" s="39" t="str">
        <f ca="1">IF(NOTA[[#This Row],[TGL.NOTA]]="",IF(NOTA[[#This Row],[SUPPLIER_H]]="","",AK1180),MONTH(NOTA[[#This Row],[TGL.NOTA]]))</f>
        <v/>
      </c>
      <c r="AL1181" s="39" t="str">
        <f>LOWER(SUBSTITUTE(SUBSTITUTE(SUBSTITUTE(SUBSTITUTE(SUBSTITUTE(SUBSTITUTE(SUBSTITUTE(SUBSTITUTE(SUBSTITUTE(NOTA[NAMA BARANG]," ",),".",""),"-",""),"(",""),")",""),",",""),"/",""),"""",""),"+",""))</f>
        <v/>
      </c>
      <c r="AM11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39" t="str">
        <f>IF(NOTA[[#This Row],[CONCAT4]]="","",_xlfn.IFNA(MATCH(NOTA[[#This Row],[CONCAT4]],[2]!RAW[CONCAT_H],0),FALSE))</f>
        <v/>
      </c>
      <c r="AQ1181" s="39" t="str">
        <f>IF(NOTA[[#This Row],[CONCAT1]]="","",MATCH(NOTA[[#This Row],[CONCAT1]],[3]!db[NB NOTA_C],0))</f>
        <v/>
      </c>
      <c r="AR1181" s="39" t="str">
        <f>IF(NOTA[[#This Row],[QTY/ CTN]]="","",TRUE)</f>
        <v/>
      </c>
      <c r="AS1181" s="39" t="str">
        <f ca="1">IF(NOTA[[#This Row],[ID_H]]="","",IF(NOTA[[#This Row],[Column3]]=TRUE,NOTA[[#This Row],[QTY/ CTN]],INDEX([3]!db[QTY/ CTN],NOTA[[#This Row],[//DB]])))</f>
        <v/>
      </c>
      <c r="AT11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1" s="39" t="str">
        <f ca="1">IF(NOTA[[#This Row],[ID_H]]="","",MATCH(NOTA[[#This Row],[NB NOTA_C_QTY]],[4]!db[NB NOTA_C_QTY+F],0))</f>
        <v/>
      </c>
      <c r="AV1181" s="55" t="str">
        <f ca="1">IF(NOTA[[#This Row],[NB NOTA_C_QTY]]="","",ROW()-2)</f>
        <v/>
      </c>
    </row>
    <row r="1182" spans="1:48" ht="20.100000000000001" customHeight="1" x14ac:dyDescent="0.25">
      <c r="A11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39" t="str">
        <f>IF(NOTA[[#This Row],[ID_P]]="","",MATCH(NOTA[[#This Row],[ID_P]],[1]!B_MSK[N_ID],0))</f>
        <v/>
      </c>
      <c r="D1182" s="39" t="str">
        <f ca="1">IF(NOTA[[#This Row],[NAMA BARANG]]="","",INDEX(NOTA[ID],MATCH(,INDIRECT(ADDRESS(ROW(NOTA[ID]),COLUMN(NOTA[ID]))&amp;":"&amp;ADDRESS(ROW(),COLUMN(NOTA[ID]))),-1)))</f>
        <v/>
      </c>
      <c r="E1182" s="47"/>
      <c r="H1182" s="48"/>
      <c r="N1182" s="39"/>
      <c r="Q1182" s="43"/>
      <c r="R1182" s="49"/>
      <c r="S1182" s="50"/>
      <c r="U1182" s="51"/>
      <c r="V1182" s="46"/>
      <c r="W1182" s="51" t="str">
        <f>IF(NOTA[[#This Row],[HARGA/ CTN]]="",NOTA[[#This Row],[JUMLAH_H]],NOTA[[#This Row],[HARGA/ CTN]]*IF(NOTA[[#This Row],[C]]="",0,NOTA[[#This Row],[C]]))</f>
        <v/>
      </c>
      <c r="X1182" s="51" t="str">
        <f>IF(NOTA[[#This Row],[JUMLAH]]="","",NOTA[[#This Row],[JUMLAH]]*NOTA[[#This Row],[DISC 1]])</f>
        <v/>
      </c>
      <c r="Y1182" s="51" t="str">
        <f>IF(NOTA[[#This Row],[JUMLAH]]="","",(NOTA[[#This Row],[JUMLAH]]-NOTA[[#This Row],[DISC 1-]])*NOTA[[#This Row],[DISC 2]])</f>
        <v/>
      </c>
      <c r="Z1182" s="51" t="str">
        <f>IF(NOTA[[#This Row],[JUMLAH]]="","",NOTA[[#This Row],[DISC 1-]]+NOTA[[#This Row],[DISC 2-]])</f>
        <v/>
      </c>
      <c r="AA1182" s="51" t="str">
        <f>IF(NOTA[[#This Row],[JUMLAH]]="","",NOTA[[#This Row],[JUMLAH]]-NOTA[[#This Row],[DISC]])</f>
        <v/>
      </c>
      <c r="AB1182" s="51"/>
      <c r="AC1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2" s="51" t="str">
        <f>IF(OR(NOTA[[#This Row],[QTY]]="",NOTA[[#This Row],[HARGA SATUAN]]="",),"",NOTA[[#This Row],[QTY]]*NOTA[[#This Row],[HARGA SATUAN]])</f>
        <v/>
      </c>
      <c r="AG1182" s="40" t="str">
        <f ca="1">IF(NOTA[ID_H]="","",INDEX(NOTA[TANGGAL],MATCH(,INDIRECT(ADDRESS(ROW(NOTA[TANGGAL]),COLUMN(NOTA[TANGGAL]))&amp;":"&amp;ADDRESS(ROW(),COLUMN(NOTA[TANGGAL]))),-1)))</f>
        <v/>
      </c>
      <c r="AH1182" s="42" t="str">
        <f ca="1">IF(NOTA[[#This Row],[NAMA BARANG]]="","",INDEX(NOTA[SUPPLIER],MATCH(,INDIRECT(ADDRESS(ROW(NOTA[ID]),COLUMN(NOTA[ID]))&amp;":"&amp;ADDRESS(ROW(),COLUMN(NOTA[ID]))),-1)))</f>
        <v/>
      </c>
      <c r="AI1182" s="42" t="str">
        <f ca="1">IF(NOTA[[#This Row],[ID_H]]="","",IF(NOTA[[#This Row],[FAKTUR]]="",INDIRECT(ADDRESS(ROW()-1,COLUMN())),NOTA[[#This Row],[FAKTUR]]))</f>
        <v/>
      </c>
      <c r="AJ1182" s="39" t="str">
        <f ca="1">IF(NOTA[[#This Row],[ID]]="","",COUNTIF(NOTA[ID_H],NOTA[[#This Row],[ID_H]]))</f>
        <v/>
      </c>
      <c r="AK1182" s="39" t="str">
        <f ca="1">IF(NOTA[[#This Row],[TGL.NOTA]]="",IF(NOTA[[#This Row],[SUPPLIER_H]]="","",AK1181),MONTH(NOTA[[#This Row],[TGL.NOTA]]))</f>
        <v/>
      </c>
      <c r="AL1182" s="39" t="str">
        <f>LOWER(SUBSTITUTE(SUBSTITUTE(SUBSTITUTE(SUBSTITUTE(SUBSTITUTE(SUBSTITUTE(SUBSTITUTE(SUBSTITUTE(SUBSTITUTE(NOTA[NAMA BARANG]," ",),".",""),"-",""),"(",""),")",""),",",""),"/",""),"""",""),"+",""))</f>
        <v/>
      </c>
      <c r="AM11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39" t="str">
        <f>IF(NOTA[[#This Row],[CONCAT4]]="","",_xlfn.IFNA(MATCH(NOTA[[#This Row],[CONCAT4]],[2]!RAW[CONCAT_H],0),FALSE))</f>
        <v/>
      </c>
      <c r="AQ1182" s="39" t="str">
        <f>IF(NOTA[[#This Row],[CONCAT1]]="","",MATCH(NOTA[[#This Row],[CONCAT1]],[3]!db[NB NOTA_C],0))</f>
        <v/>
      </c>
      <c r="AR1182" s="39" t="str">
        <f>IF(NOTA[[#This Row],[QTY/ CTN]]="","",TRUE)</f>
        <v/>
      </c>
      <c r="AS1182" s="39" t="str">
        <f ca="1">IF(NOTA[[#This Row],[ID_H]]="","",IF(NOTA[[#This Row],[Column3]]=TRUE,NOTA[[#This Row],[QTY/ CTN]],INDEX([3]!db[QTY/ CTN],NOTA[[#This Row],[//DB]])))</f>
        <v/>
      </c>
      <c r="AT11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2" s="39" t="str">
        <f ca="1">IF(NOTA[[#This Row],[ID_H]]="","",MATCH(NOTA[[#This Row],[NB NOTA_C_QTY]],[4]!db[NB NOTA_C_QTY+F],0))</f>
        <v/>
      </c>
      <c r="AV1182" s="55" t="str">
        <f ca="1">IF(NOTA[[#This Row],[NB NOTA_C_QTY]]="","",ROW()-2)</f>
        <v/>
      </c>
    </row>
    <row r="1183" spans="1:48" ht="20.100000000000001" customHeight="1" x14ac:dyDescent="0.25">
      <c r="A11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39" t="str">
        <f>IF(NOTA[[#This Row],[ID_P]]="","",MATCH(NOTA[[#This Row],[ID_P]],[1]!B_MSK[N_ID],0))</f>
        <v/>
      </c>
      <c r="D1183" s="39" t="str">
        <f ca="1">IF(NOTA[[#This Row],[NAMA BARANG]]="","",INDEX(NOTA[ID],MATCH(,INDIRECT(ADDRESS(ROW(NOTA[ID]),COLUMN(NOTA[ID]))&amp;":"&amp;ADDRESS(ROW(),COLUMN(NOTA[ID]))),-1)))</f>
        <v/>
      </c>
      <c r="E1183" s="47"/>
      <c r="H1183" s="48"/>
      <c r="N1183" s="39"/>
      <c r="Q1183" s="43"/>
      <c r="R1183" s="49"/>
      <c r="S1183" s="50"/>
      <c r="U1183" s="51"/>
      <c r="V1183" s="46"/>
      <c r="W1183" s="51" t="str">
        <f>IF(NOTA[[#This Row],[HARGA/ CTN]]="",NOTA[[#This Row],[JUMLAH_H]],NOTA[[#This Row],[HARGA/ CTN]]*IF(NOTA[[#This Row],[C]]="",0,NOTA[[#This Row],[C]]))</f>
        <v/>
      </c>
      <c r="X1183" s="51" t="str">
        <f>IF(NOTA[[#This Row],[JUMLAH]]="","",NOTA[[#This Row],[JUMLAH]]*NOTA[[#This Row],[DISC 1]])</f>
        <v/>
      </c>
      <c r="Y1183" s="51" t="str">
        <f>IF(NOTA[[#This Row],[JUMLAH]]="","",(NOTA[[#This Row],[JUMLAH]]-NOTA[[#This Row],[DISC 1-]])*NOTA[[#This Row],[DISC 2]])</f>
        <v/>
      </c>
      <c r="Z1183" s="51" t="str">
        <f>IF(NOTA[[#This Row],[JUMLAH]]="","",NOTA[[#This Row],[DISC 1-]]+NOTA[[#This Row],[DISC 2-]])</f>
        <v/>
      </c>
      <c r="AA1183" s="51" t="str">
        <f>IF(NOTA[[#This Row],[JUMLAH]]="","",NOTA[[#This Row],[JUMLAH]]-NOTA[[#This Row],[DISC]])</f>
        <v/>
      </c>
      <c r="AB1183" s="51"/>
      <c r="AC1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51" t="str">
        <f>IF(OR(NOTA[[#This Row],[QTY]]="",NOTA[[#This Row],[HARGA SATUAN]]="",),"",NOTA[[#This Row],[QTY]]*NOTA[[#This Row],[HARGA SATUAN]])</f>
        <v/>
      </c>
      <c r="AG1183" s="40" t="str">
        <f ca="1">IF(NOTA[ID_H]="","",INDEX(NOTA[TANGGAL],MATCH(,INDIRECT(ADDRESS(ROW(NOTA[TANGGAL]),COLUMN(NOTA[TANGGAL]))&amp;":"&amp;ADDRESS(ROW(),COLUMN(NOTA[TANGGAL]))),-1)))</f>
        <v/>
      </c>
      <c r="AH1183" s="42" t="str">
        <f ca="1">IF(NOTA[[#This Row],[NAMA BARANG]]="","",INDEX(NOTA[SUPPLIER],MATCH(,INDIRECT(ADDRESS(ROW(NOTA[ID]),COLUMN(NOTA[ID]))&amp;":"&amp;ADDRESS(ROW(),COLUMN(NOTA[ID]))),-1)))</f>
        <v/>
      </c>
      <c r="AI1183" s="42" t="str">
        <f ca="1">IF(NOTA[[#This Row],[ID_H]]="","",IF(NOTA[[#This Row],[FAKTUR]]="",INDIRECT(ADDRESS(ROW()-1,COLUMN())),NOTA[[#This Row],[FAKTUR]]))</f>
        <v/>
      </c>
      <c r="AJ1183" s="39" t="str">
        <f ca="1">IF(NOTA[[#This Row],[ID]]="","",COUNTIF(NOTA[ID_H],NOTA[[#This Row],[ID_H]]))</f>
        <v/>
      </c>
      <c r="AK1183" s="39" t="str">
        <f ca="1">IF(NOTA[[#This Row],[TGL.NOTA]]="",IF(NOTA[[#This Row],[SUPPLIER_H]]="","",AK1182),MONTH(NOTA[[#This Row],[TGL.NOTA]]))</f>
        <v/>
      </c>
      <c r="AL1183" s="39" t="str">
        <f>LOWER(SUBSTITUTE(SUBSTITUTE(SUBSTITUTE(SUBSTITUTE(SUBSTITUTE(SUBSTITUTE(SUBSTITUTE(SUBSTITUTE(SUBSTITUTE(NOTA[NAMA BARANG]," ",),".",""),"-",""),"(",""),")",""),",",""),"/",""),"""",""),"+",""))</f>
        <v/>
      </c>
      <c r="AM11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39" t="str">
        <f>IF(NOTA[[#This Row],[CONCAT4]]="","",_xlfn.IFNA(MATCH(NOTA[[#This Row],[CONCAT4]],[2]!RAW[CONCAT_H],0),FALSE))</f>
        <v/>
      </c>
      <c r="AQ1183" s="39" t="str">
        <f>IF(NOTA[[#This Row],[CONCAT1]]="","",MATCH(NOTA[[#This Row],[CONCAT1]],[3]!db[NB NOTA_C],0))</f>
        <v/>
      </c>
      <c r="AR1183" s="39" t="str">
        <f>IF(NOTA[[#This Row],[QTY/ CTN]]="","",TRUE)</f>
        <v/>
      </c>
      <c r="AS1183" s="39" t="str">
        <f ca="1">IF(NOTA[[#This Row],[ID_H]]="","",IF(NOTA[[#This Row],[Column3]]=TRUE,NOTA[[#This Row],[QTY/ CTN]],INDEX([3]!db[QTY/ CTN],NOTA[[#This Row],[//DB]])))</f>
        <v/>
      </c>
      <c r="AT11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3" s="39" t="str">
        <f ca="1">IF(NOTA[[#This Row],[ID_H]]="","",MATCH(NOTA[[#This Row],[NB NOTA_C_QTY]],[4]!db[NB NOTA_C_QTY+F],0))</f>
        <v/>
      </c>
      <c r="AV1183" s="55" t="str">
        <f ca="1">IF(NOTA[[#This Row],[NB NOTA_C_QTY]]="","",ROW()-2)</f>
        <v/>
      </c>
    </row>
    <row r="1184" spans="1:48" ht="20.100000000000001" customHeight="1" x14ac:dyDescent="0.25">
      <c r="A11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4" s="39" t="str">
        <f>IF(NOTA[[#This Row],[ID_P]]="","",MATCH(NOTA[[#This Row],[ID_P]],[1]!B_MSK[N_ID],0))</f>
        <v/>
      </c>
      <c r="D1184" s="39" t="str">
        <f ca="1">IF(NOTA[[#This Row],[NAMA BARANG]]="","",INDEX(NOTA[ID],MATCH(,INDIRECT(ADDRESS(ROW(NOTA[ID]),COLUMN(NOTA[ID]))&amp;":"&amp;ADDRESS(ROW(),COLUMN(NOTA[ID]))),-1)))</f>
        <v/>
      </c>
      <c r="E1184" s="47"/>
      <c r="H1184" s="48"/>
      <c r="N1184" s="39"/>
      <c r="Q1184" s="43"/>
      <c r="R1184" s="49"/>
      <c r="S1184" s="50"/>
      <c r="U1184" s="51"/>
      <c r="V1184" s="46"/>
      <c r="W1184" s="51" t="str">
        <f>IF(NOTA[[#This Row],[HARGA/ CTN]]="",NOTA[[#This Row],[JUMLAH_H]],NOTA[[#This Row],[HARGA/ CTN]]*IF(NOTA[[#This Row],[C]]="",0,NOTA[[#This Row],[C]]))</f>
        <v/>
      </c>
      <c r="X1184" s="51" t="str">
        <f>IF(NOTA[[#This Row],[JUMLAH]]="","",NOTA[[#This Row],[JUMLAH]]*NOTA[[#This Row],[DISC 1]])</f>
        <v/>
      </c>
      <c r="Y1184" s="51" t="str">
        <f>IF(NOTA[[#This Row],[JUMLAH]]="","",(NOTA[[#This Row],[JUMLAH]]-NOTA[[#This Row],[DISC 1-]])*NOTA[[#This Row],[DISC 2]])</f>
        <v/>
      </c>
      <c r="Z1184" s="51" t="str">
        <f>IF(NOTA[[#This Row],[JUMLAH]]="","",NOTA[[#This Row],[DISC 1-]]+NOTA[[#This Row],[DISC 2-]])</f>
        <v/>
      </c>
      <c r="AA1184" s="51" t="str">
        <f>IF(NOTA[[#This Row],[JUMLAH]]="","",NOTA[[#This Row],[JUMLAH]]-NOTA[[#This Row],[DISC]])</f>
        <v/>
      </c>
      <c r="AB1184" s="51"/>
      <c r="AC1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4" s="51" t="str">
        <f>IF(OR(NOTA[[#This Row],[QTY]]="",NOTA[[#This Row],[HARGA SATUAN]]="",),"",NOTA[[#This Row],[QTY]]*NOTA[[#This Row],[HARGA SATUAN]])</f>
        <v/>
      </c>
      <c r="AG1184" s="40" t="str">
        <f ca="1">IF(NOTA[ID_H]="","",INDEX(NOTA[TANGGAL],MATCH(,INDIRECT(ADDRESS(ROW(NOTA[TANGGAL]),COLUMN(NOTA[TANGGAL]))&amp;":"&amp;ADDRESS(ROW(),COLUMN(NOTA[TANGGAL]))),-1)))</f>
        <v/>
      </c>
      <c r="AH1184" s="42" t="str">
        <f ca="1">IF(NOTA[[#This Row],[NAMA BARANG]]="","",INDEX(NOTA[SUPPLIER],MATCH(,INDIRECT(ADDRESS(ROW(NOTA[ID]),COLUMN(NOTA[ID]))&amp;":"&amp;ADDRESS(ROW(),COLUMN(NOTA[ID]))),-1)))</f>
        <v/>
      </c>
      <c r="AI1184" s="42" t="str">
        <f ca="1">IF(NOTA[[#This Row],[ID_H]]="","",IF(NOTA[[#This Row],[FAKTUR]]="",INDIRECT(ADDRESS(ROW()-1,COLUMN())),NOTA[[#This Row],[FAKTUR]]))</f>
        <v/>
      </c>
      <c r="AJ1184" s="39" t="str">
        <f ca="1">IF(NOTA[[#This Row],[ID]]="","",COUNTIF(NOTA[ID_H],NOTA[[#This Row],[ID_H]]))</f>
        <v/>
      </c>
      <c r="AK1184" s="39" t="str">
        <f ca="1">IF(NOTA[[#This Row],[TGL.NOTA]]="",IF(NOTA[[#This Row],[SUPPLIER_H]]="","",AK1183),MONTH(NOTA[[#This Row],[TGL.NOTA]]))</f>
        <v/>
      </c>
      <c r="AL1184" s="39" t="str">
        <f>LOWER(SUBSTITUTE(SUBSTITUTE(SUBSTITUTE(SUBSTITUTE(SUBSTITUTE(SUBSTITUTE(SUBSTITUTE(SUBSTITUTE(SUBSTITUTE(NOTA[NAMA BARANG]," ",),".",""),"-",""),"(",""),")",""),",",""),"/",""),"""",""),"+",""))</f>
        <v/>
      </c>
      <c r="AM11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4" s="39" t="str">
        <f>IF(NOTA[[#This Row],[CONCAT4]]="","",_xlfn.IFNA(MATCH(NOTA[[#This Row],[CONCAT4]],[2]!RAW[CONCAT_H],0),FALSE))</f>
        <v/>
      </c>
      <c r="AQ1184" s="39" t="str">
        <f>IF(NOTA[[#This Row],[CONCAT1]]="","",MATCH(NOTA[[#This Row],[CONCAT1]],[3]!db[NB NOTA_C],0))</f>
        <v/>
      </c>
      <c r="AR1184" s="39" t="str">
        <f>IF(NOTA[[#This Row],[QTY/ CTN]]="","",TRUE)</f>
        <v/>
      </c>
      <c r="AS1184" s="39" t="str">
        <f ca="1">IF(NOTA[[#This Row],[ID_H]]="","",IF(NOTA[[#This Row],[Column3]]=TRUE,NOTA[[#This Row],[QTY/ CTN]],INDEX([3]!db[QTY/ CTN],NOTA[[#This Row],[//DB]])))</f>
        <v/>
      </c>
      <c r="AT11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4" s="39" t="str">
        <f ca="1">IF(NOTA[[#This Row],[ID_H]]="","",MATCH(NOTA[[#This Row],[NB NOTA_C_QTY]],[4]!db[NB NOTA_C_QTY+F],0))</f>
        <v/>
      </c>
      <c r="AV1184" s="55" t="str">
        <f ca="1">IF(NOTA[[#This Row],[NB NOTA_C_QTY]]="","",ROW()-2)</f>
        <v/>
      </c>
    </row>
    <row r="1185" spans="1:48" ht="20.100000000000001" customHeight="1" x14ac:dyDescent="0.25">
      <c r="A11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39" t="str">
        <f>IF(NOTA[[#This Row],[ID_P]]="","",MATCH(NOTA[[#This Row],[ID_P]],[1]!B_MSK[N_ID],0))</f>
        <v/>
      </c>
      <c r="D1185" s="39" t="str">
        <f ca="1">IF(NOTA[[#This Row],[NAMA BARANG]]="","",INDEX(NOTA[ID],MATCH(,INDIRECT(ADDRESS(ROW(NOTA[ID]),COLUMN(NOTA[ID]))&amp;":"&amp;ADDRESS(ROW(),COLUMN(NOTA[ID]))),-1)))</f>
        <v/>
      </c>
      <c r="E1185" s="47"/>
      <c r="H1185" s="48"/>
      <c r="N1185" s="39"/>
      <c r="Q1185" s="43"/>
      <c r="R1185" s="49"/>
      <c r="S1185" s="50"/>
      <c r="U1185" s="51"/>
      <c r="V1185" s="46"/>
      <c r="W1185" s="51" t="str">
        <f>IF(NOTA[[#This Row],[HARGA/ CTN]]="",NOTA[[#This Row],[JUMLAH_H]],NOTA[[#This Row],[HARGA/ CTN]]*IF(NOTA[[#This Row],[C]]="",0,NOTA[[#This Row],[C]]))</f>
        <v/>
      </c>
      <c r="X1185" s="51" t="str">
        <f>IF(NOTA[[#This Row],[JUMLAH]]="","",NOTA[[#This Row],[JUMLAH]]*NOTA[[#This Row],[DISC 1]])</f>
        <v/>
      </c>
      <c r="Y1185" s="51" t="str">
        <f>IF(NOTA[[#This Row],[JUMLAH]]="","",(NOTA[[#This Row],[JUMLAH]]-NOTA[[#This Row],[DISC 1-]])*NOTA[[#This Row],[DISC 2]])</f>
        <v/>
      </c>
      <c r="Z1185" s="51" t="str">
        <f>IF(NOTA[[#This Row],[JUMLAH]]="","",NOTA[[#This Row],[DISC 1-]]+NOTA[[#This Row],[DISC 2-]])</f>
        <v/>
      </c>
      <c r="AA1185" s="51" t="str">
        <f>IF(NOTA[[#This Row],[JUMLAH]]="","",NOTA[[#This Row],[JUMLAH]]-NOTA[[#This Row],[DISC]])</f>
        <v/>
      </c>
      <c r="AB1185" s="51"/>
      <c r="AC1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5" s="51" t="str">
        <f>IF(OR(NOTA[[#This Row],[QTY]]="",NOTA[[#This Row],[HARGA SATUAN]]="",),"",NOTA[[#This Row],[QTY]]*NOTA[[#This Row],[HARGA SATUAN]])</f>
        <v/>
      </c>
      <c r="AG1185" s="40" t="str">
        <f ca="1">IF(NOTA[ID_H]="","",INDEX(NOTA[TANGGAL],MATCH(,INDIRECT(ADDRESS(ROW(NOTA[TANGGAL]),COLUMN(NOTA[TANGGAL]))&amp;":"&amp;ADDRESS(ROW(),COLUMN(NOTA[TANGGAL]))),-1)))</f>
        <v/>
      </c>
      <c r="AH1185" s="42" t="str">
        <f ca="1">IF(NOTA[[#This Row],[NAMA BARANG]]="","",INDEX(NOTA[SUPPLIER],MATCH(,INDIRECT(ADDRESS(ROW(NOTA[ID]),COLUMN(NOTA[ID]))&amp;":"&amp;ADDRESS(ROW(),COLUMN(NOTA[ID]))),-1)))</f>
        <v/>
      </c>
      <c r="AI1185" s="42" t="str">
        <f ca="1">IF(NOTA[[#This Row],[ID_H]]="","",IF(NOTA[[#This Row],[FAKTUR]]="",INDIRECT(ADDRESS(ROW()-1,COLUMN())),NOTA[[#This Row],[FAKTUR]]))</f>
        <v/>
      </c>
      <c r="AJ1185" s="39" t="str">
        <f ca="1">IF(NOTA[[#This Row],[ID]]="","",COUNTIF(NOTA[ID_H],NOTA[[#This Row],[ID_H]]))</f>
        <v/>
      </c>
      <c r="AK1185" s="39" t="str">
        <f ca="1">IF(NOTA[[#This Row],[TGL.NOTA]]="",IF(NOTA[[#This Row],[SUPPLIER_H]]="","",AK1184),MONTH(NOTA[[#This Row],[TGL.NOTA]]))</f>
        <v/>
      </c>
      <c r="AL1185" s="39" t="str">
        <f>LOWER(SUBSTITUTE(SUBSTITUTE(SUBSTITUTE(SUBSTITUTE(SUBSTITUTE(SUBSTITUTE(SUBSTITUTE(SUBSTITUTE(SUBSTITUTE(NOTA[NAMA BARANG]," ",),".",""),"-",""),"(",""),")",""),",",""),"/",""),"""",""),"+",""))</f>
        <v/>
      </c>
      <c r="AM11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39" t="str">
        <f>IF(NOTA[[#This Row],[CONCAT4]]="","",_xlfn.IFNA(MATCH(NOTA[[#This Row],[CONCAT4]],[2]!RAW[CONCAT_H],0),FALSE))</f>
        <v/>
      </c>
      <c r="AQ1185" s="39" t="str">
        <f>IF(NOTA[[#This Row],[CONCAT1]]="","",MATCH(NOTA[[#This Row],[CONCAT1]],[3]!db[NB NOTA_C],0))</f>
        <v/>
      </c>
      <c r="AR1185" s="39" t="str">
        <f>IF(NOTA[[#This Row],[QTY/ CTN]]="","",TRUE)</f>
        <v/>
      </c>
      <c r="AS1185" s="39" t="str">
        <f ca="1">IF(NOTA[[#This Row],[ID_H]]="","",IF(NOTA[[#This Row],[Column3]]=TRUE,NOTA[[#This Row],[QTY/ CTN]],INDEX([3]!db[QTY/ CTN],NOTA[[#This Row],[//DB]])))</f>
        <v/>
      </c>
      <c r="AT11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5" s="39" t="str">
        <f ca="1">IF(NOTA[[#This Row],[ID_H]]="","",MATCH(NOTA[[#This Row],[NB NOTA_C_QTY]],[4]!db[NB NOTA_C_QTY+F],0))</f>
        <v/>
      </c>
      <c r="AV1185" s="55" t="str">
        <f ca="1">IF(NOTA[[#This Row],[NB NOTA_C_QTY]]="","",ROW()-2)</f>
        <v/>
      </c>
    </row>
    <row r="1186" spans="1:48" ht="20.100000000000001" customHeight="1" x14ac:dyDescent="0.25">
      <c r="A11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39" t="str">
        <f>IF(NOTA[[#This Row],[ID_P]]="","",MATCH(NOTA[[#This Row],[ID_P]],[1]!B_MSK[N_ID],0))</f>
        <v/>
      </c>
      <c r="D1186" s="39" t="str">
        <f ca="1">IF(NOTA[[#This Row],[NAMA BARANG]]="","",INDEX(NOTA[ID],MATCH(,INDIRECT(ADDRESS(ROW(NOTA[ID]),COLUMN(NOTA[ID]))&amp;":"&amp;ADDRESS(ROW(),COLUMN(NOTA[ID]))),-1)))</f>
        <v/>
      </c>
      <c r="E1186" s="47"/>
      <c r="H1186" s="48"/>
      <c r="N1186" s="39"/>
      <c r="Q1186" s="43"/>
      <c r="R1186" s="49"/>
      <c r="S1186" s="50"/>
      <c r="U1186" s="51"/>
      <c r="V1186" s="46"/>
      <c r="W1186" s="51" t="str">
        <f>IF(NOTA[[#This Row],[HARGA/ CTN]]="",NOTA[[#This Row],[JUMLAH_H]],NOTA[[#This Row],[HARGA/ CTN]]*IF(NOTA[[#This Row],[C]]="",0,NOTA[[#This Row],[C]]))</f>
        <v/>
      </c>
      <c r="X1186" s="51" t="str">
        <f>IF(NOTA[[#This Row],[JUMLAH]]="","",NOTA[[#This Row],[JUMLAH]]*NOTA[[#This Row],[DISC 1]])</f>
        <v/>
      </c>
      <c r="Y1186" s="51" t="str">
        <f>IF(NOTA[[#This Row],[JUMLAH]]="","",(NOTA[[#This Row],[JUMLAH]]-NOTA[[#This Row],[DISC 1-]])*NOTA[[#This Row],[DISC 2]])</f>
        <v/>
      </c>
      <c r="Z1186" s="51" t="str">
        <f>IF(NOTA[[#This Row],[JUMLAH]]="","",NOTA[[#This Row],[DISC 1-]]+NOTA[[#This Row],[DISC 2-]])</f>
        <v/>
      </c>
      <c r="AA1186" s="51" t="str">
        <f>IF(NOTA[[#This Row],[JUMLAH]]="","",NOTA[[#This Row],[JUMLAH]]-NOTA[[#This Row],[DISC]])</f>
        <v/>
      </c>
      <c r="AB1186" s="51"/>
      <c r="AC1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51" t="str">
        <f>IF(OR(NOTA[[#This Row],[QTY]]="",NOTA[[#This Row],[HARGA SATUAN]]="",),"",NOTA[[#This Row],[QTY]]*NOTA[[#This Row],[HARGA SATUAN]])</f>
        <v/>
      </c>
      <c r="AG1186" s="40" t="str">
        <f ca="1">IF(NOTA[ID_H]="","",INDEX(NOTA[TANGGAL],MATCH(,INDIRECT(ADDRESS(ROW(NOTA[TANGGAL]),COLUMN(NOTA[TANGGAL]))&amp;":"&amp;ADDRESS(ROW(),COLUMN(NOTA[TANGGAL]))),-1)))</f>
        <v/>
      </c>
      <c r="AH1186" s="42" t="str">
        <f ca="1">IF(NOTA[[#This Row],[NAMA BARANG]]="","",INDEX(NOTA[SUPPLIER],MATCH(,INDIRECT(ADDRESS(ROW(NOTA[ID]),COLUMN(NOTA[ID]))&amp;":"&amp;ADDRESS(ROW(),COLUMN(NOTA[ID]))),-1)))</f>
        <v/>
      </c>
      <c r="AI1186" s="42" t="str">
        <f ca="1">IF(NOTA[[#This Row],[ID_H]]="","",IF(NOTA[[#This Row],[FAKTUR]]="",INDIRECT(ADDRESS(ROW()-1,COLUMN())),NOTA[[#This Row],[FAKTUR]]))</f>
        <v/>
      </c>
      <c r="AJ1186" s="39" t="str">
        <f ca="1">IF(NOTA[[#This Row],[ID]]="","",COUNTIF(NOTA[ID_H],NOTA[[#This Row],[ID_H]]))</f>
        <v/>
      </c>
      <c r="AK1186" s="39" t="str">
        <f ca="1">IF(NOTA[[#This Row],[TGL.NOTA]]="",IF(NOTA[[#This Row],[SUPPLIER_H]]="","",AK1185),MONTH(NOTA[[#This Row],[TGL.NOTA]]))</f>
        <v/>
      </c>
      <c r="AL1186" s="39" t="str">
        <f>LOWER(SUBSTITUTE(SUBSTITUTE(SUBSTITUTE(SUBSTITUTE(SUBSTITUTE(SUBSTITUTE(SUBSTITUTE(SUBSTITUTE(SUBSTITUTE(NOTA[NAMA BARANG]," ",),".",""),"-",""),"(",""),")",""),",",""),"/",""),"""",""),"+",""))</f>
        <v/>
      </c>
      <c r="AM11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39" t="str">
        <f>IF(NOTA[[#This Row],[CONCAT4]]="","",_xlfn.IFNA(MATCH(NOTA[[#This Row],[CONCAT4]],[2]!RAW[CONCAT_H],0),FALSE))</f>
        <v/>
      </c>
      <c r="AQ1186" s="39" t="str">
        <f>IF(NOTA[[#This Row],[CONCAT1]]="","",MATCH(NOTA[[#This Row],[CONCAT1]],[3]!db[NB NOTA_C],0))</f>
        <v/>
      </c>
      <c r="AR1186" s="39" t="str">
        <f>IF(NOTA[[#This Row],[QTY/ CTN]]="","",TRUE)</f>
        <v/>
      </c>
      <c r="AS1186" s="39" t="str">
        <f ca="1">IF(NOTA[[#This Row],[ID_H]]="","",IF(NOTA[[#This Row],[Column3]]=TRUE,NOTA[[#This Row],[QTY/ CTN]],INDEX([3]!db[QTY/ CTN],NOTA[[#This Row],[//DB]])))</f>
        <v/>
      </c>
      <c r="AT11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6" s="39" t="str">
        <f ca="1">IF(NOTA[[#This Row],[ID_H]]="","",MATCH(NOTA[[#This Row],[NB NOTA_C_QTY]],[4]!db[NB NOTA_C_QTY+F],0))</f>
        <v/>
      </c>
      <c r="AV1186" s="55" t="str">
        <f ca="1">IF(NOTA[[#This Row],[NB NOTA_C_QTY]]="","",ROW()-2)</f>
        <v/>
      </c>
    </row>
    <row r="1187" spans="1:48" ht="20.100000000000001" customHeight="1" x14ac:dyDescent="0.25">
      <c r="A11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7" s="39" t="str">
        <f>IF(NOTA[[#This Row],[ID_P]]="","",MATCH(NOTA[[#This Row],[ID_P]],[1]!B_MSK[N_ID],0))</f>
        <v/>
      </c>
      <c r="D1187" s="39" t="str">
        <f ca="1">IF(NOTA[[#This Row],[NAMA BARANG]]="","",INDEX(NOTA[ID],MATCH(,INDIRECT(ADDRESS(ROW(NOTA[ID]),COLUMN(NOTA[ID]))&amp;":"&amp;ADDRESS(ROW(),COLUMN(NOTA[ID]))),-1)))</f>
        <v/>
      </c>
      <c r="E1187" s="47"/>
      <c r="H1187" s="48"/>
      <c r="N1187" s="39"/>
      <c r="Q1187" s="43"/>
      <c r="R1187" s="49"/>
      <c r="S1187" s="50"/>
      <c r="U1187" s="51"/>
      <c r="V1187" s="46"/>
      <c r="W1187" s="51" t="str">
        <f>IF(NOTA[[#This Row],[HARGA/ CTN]]="",NOTA[[#This Row],[JUMLAH_H]],NOTA[[#This Row],[HARGA/ CTN]]*IF(NOTA[[#This Row],[C]]="",0,NOTA[[#This Row],[C]]))</f>
        <v/>
      </c>
      <c r="X1187" s="51" t="str">
        <f>IF(NOTA[[#This Row],[JUMLAH]]="","",NOTA[[#This Row],[JUMLAH]]*NOTA[[#This Row],[DISC 1]])</f>
        <v/>
      </c>
      <c r="Y1187" s="51" t="str">
        <f>IF(NOTA[[#This Row],[JUMLAH]]="","",(NOTA[[#This Row],[JUMLAH]]-NOTA[[#This Row],[DISC 1-]])*NOTA[[#This Row],[DISC 2]])</f>
        <v/>
      </c>
      <c r="Z1187" s="51" t="str">
        <f>IF(NOTA[[#This Row],[JUMLAH]]="","",NOTA[[#This Row],[DISC 1-]]+NOTA[[#This Row],[DISC 2-]])</f>
        <v/>
      </c>
      <c r="AA1187" s="51" t="str">
        <f>IF(NOTA[[#This Row],[JUMLAH]]="","",NOTA[[#This Row],[JUMLAH]]-NOTA[[#This Row],[DISC]])</f>
        <v/>
      </c>
      <c r="AB1187" s="51"/>
      <c r="AC11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7" s="51" t="str">
        <f>IF(OR(NOTA[[#This Row],[QTY]]="",NOTA[[#This Row],[HARGA SATUAN]]="",),"",NOTA[[#This Row],[QTY]]*NOTA[[#This Row],[HARGA SATUAN]])</f>
        <v/>
      </c>
      <c r="AG1187" s="40" t="str">
        <f ca="1">IF(NOTA[ID_H]="","",INDEX(NOTA[TANGGAL],MATCH(,INDIRECT(ADDRESS(ROW(NOTA[TANGGAL]),COLUMN(NOTA[TANGGAL]))&amp;":"&amp;ADDRESS(ROW(),COLUMN(NOTA[TANGGAL]))),-1)))</f>
        <v/>
      </c>
      <c r="AH1187" s="42" t="str">
        <f ca="1">IF(NOTA[[#This Row],[NAMA BARANG]]="","",INDEX(NOTA[SUPPLIER],MATCH(,INDIRECT(ADDRESS(ROW(NOTA[ID]),COLUMN(NOTA[ID]))&amp;":"&amp;ADDRESS(ROW(),COLUMN(NOTA[ID]))),-1)))</f>
        <v/>
      </c>
      <c r="AI1187" s="42" t="str">
        <f ca="1">IF(NOTA[[#This Row],[ID_H]]="","",IF(NOTA[[#This Row],[FAKTUR]]="",INDIRECT(ADDRESS(ROW()-1,COLUMN())),NOTA[[#This Row],[FAKTUR]]))</f>
        <v/>
      </c>
      <c r="AJ1187" s="39" t="str">
        <f ca="1">IF(NOTA[[#This Row],[ID]]="","",COUNTIF(NOTA[ID_H],NOTA[[#This Row],[ID_H]]))</f>
        <v/>
      </c>
      <c r="AK1187" s="39" t="str">
        <f ca="1">IF(NOTA[[#This Row],[TGL.NOTA]]="",IF(NOTA[[#This Row],[SUPPLIER_H]]="","",AK1186),MONTH(NOTA[[#This Row],[TGL.NOTA]]))</f>
        <v/>
      </c>
      <c r="AL1187" s="39" t="str">
        <f>LOWER(SUBSTITUTE(SUBSTITUTE(SUBSTITUTE(SUBSTITUTE(SUBSTITUTE(SUBSTITUTE(SUBSTITUTE(SUBSTITUTE(SUBSTITUTE(NOTA[NAMA BARANG]," ",),".",""),"-",""),"(",""),")",""),",",""),"/",""),"""",""),"+",""))</f>
        <v/>
      </c>
      <c r="AM11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7" s="39" t="str">
        <f>IF(NOTA[[#This Row],[CONCAT4]]="","",_xlfn.IFNA(MATCH(NOTA[[#This Row],[CONCAT4]],[2]!RAW[CONCAT_H],0),FALSE))</f>
        <v/>
      </c>
      <c r="AQ1187" s="39" t="str">
        <f>IF(NOTA[[#This Row],[CONCAT1]]="","",MATCH(NOTA[[#This Row],[CONCAT1]],[3]!db[NB NOTA_C],0))</f>
        <v/>
      </c>
      <c r="AR1187" s="39" t="str">
        <f>IF(NOTA[[#This Row],[QTY/ CTN]]="","",TRUE)</f>
        <v/>
      </c>
      <c r="AS1187" s="39" t="str">
        <f ca="1">IF(NOTA[[#This Row],[ID_H]]="","",IF(NOTA[[#This Row],[Column3]]=TRUE,NOTA[[#This Row],[QTY/ CTN]],INDEX([3]!db[QTY/ CTN],NOTA[[#This Row],[//DB]])))</f>
        <v/>
      </c>
      <c r="AT11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7" s="39" t="str">
        <f ca="1">IF(NOTA[[#This Row],[ID_H]]="","",MATCH(NOTA[[#This Row],[NB NOTA_C_QTY]],[4]!db[NB NOTA_C_QTY+F],0))</f>
        <v/>
      </c>
      <c r="AV1187" s="55" t="str">
        <f ca="1">IF(NOTA[[#This Row],[NB NOTA_C_QTY]]="","",ROW()-2)</f>
        <v/>
      </c>
    </row>
    <row r="1188" spans="1:48" ht="20.100000000000001" customHeight="1" x14ac:dyDescent="0.25">
      <c r="A11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39" t="str">
        <f>IF(NOTA[[#This Row],[ID_P]]="","",MATCH(NOTA[[#This Row],[ID_P]],[1]!B_MSK[N_ID],0))</f>
        <v/>
      </c>
      <c r="D1188" s="39" t="str">
        <f ca="1">IF(NOTA[[#This Row],[NAMA BARANG]]="","",INDEX(NOTA[ID],MATCH(,INDIRECT(ADDRESS(ROW(NOTA[ID]),COLUMN(NOTA[ID]))&amp;":"&amp;ADDRESS(ROW(),COLUMN(NOTA[ID]))),-1)))</f>
        <v/>
      </c>
      <c r="E1188" s="47"/>
      <c r="H1188" s="48"/>
      <c r="N1188" s="39"/>
      <c r="Q1188" s="43"/>
      <c r="R1188" s="49"/>
      <c r="S1188" s="50"/>
      <c r="U1188" s="51"/>
      <c r="V1188" s="46"/>
      <c r="W1188" s="51" t="str">
        <f>IF(NOTA[[#This Row],[HARGA/ CTN]]="",NOTA[[#This Row],[JUMLAH_H]],NOTA[[#This Row],[HARGA/ CTN]]*IF(NOTA[[#This Row],[C]]="",0,NOTA[[#This Row],[C]]))</f>
        <v/>
      </c>
      <c r="X1188" s="51" t="str">
        <f>IF(NOTA[[#This Row],[JUMLAH]]="","",NOTA[[#This Row],[JUMLAH]]*NOTA[[#This Row],[DISC 1]])</f>
        <v/>
      </c>
      <c r="Y1188" s="51" t="str">
        <f>IF(NOTA[[#This Row],[JUMLAH]]="","",(NOTA[[#This Row],[JUMLAH]]-NOTA[[#This Row],[DISC 1-]])*NOTA[[#This Row],[DISC 2]])</f>
        <v/>
      </c>
      <c r="Z1188" s="51" t="str">
        <f>IF(NOTA[[#This Row],[JUMLAH]]="","",NOTA[[#This Row],[DISC 1-]]+NOTA[[#This Row],[DISC 2-]])</f>
        <v/>
      </c>
      <c r="AA1188" s="51" t="str">
        <f>IF(NOTA[[#This Row],[JUMLAH]]="","",NOTA[[#This Row],[JUMLAH]]-NOTA[[#This Row],[DISC]])</f>
        <v/>
      </c>
      <c r="AB1188" s="51"/>
      <c r="AC1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51" t="str">
        <f>IF(OR(NOTA[[#This Row],[QTY]]="",NOTA[[#This Row],[HARGA SATUAN]]="",),"",NOTA[[#This Row],[QTY]]*NOTA[[#This Row],[HARGA SATUAN]])</f>
        <v/>
      </c>
      <c r="AG1188" s="40" t="str">
        <f ca="1">IF(NOTA[ID_H]="","",INDEX(NOTA[TANGGAL],MATCH(,INDIRECT(ADDRESS(ROW(NOTA[TANGGAL]),COLUMN(NOTA[TANGGAL]))&amp;":"&amp;ADDRESS(ROW(),COLUMN(NOTA[TANGGAL]))),-1)))</f>
        <v/>
      </c>
      <c r="AH1188" s="42" t="str">
        <f ca="1">IF(NOTA[[#This Row],[NAMA BARANG]]="","",INDEX(NOTA[SUPPLIER],MATCH(,INDIRECT(ADDRESS(ROW(NOTA[ID]),COLUMN(NOTA[ID]))&amp;":"&amp;ADDRESS(ROW(),COLUMN(NOTA[ID]))),-1)))</f>
        <v/>
      </c>
      <c r="AI1188" s="42" t="str">
        <f ca="1">IF(NOTA[[#This Row],[ID_H]]="","",IF(NOTA[[#This Row],[FAKTUR]]="",INDIRECT(ADDRESS(ROW()-1,COLUMN())),NOTA[[#This Row],[FAKTUR]]))</f>
        <v/>
      </c>
      <c r="AJ1188" s="39" t="str">
        <f ca="1">IF(NOTA[[#This Row],[ID]]="","",COUNTIF(NOTA[ID_H],NOTA[[#This Row],[ID_H]]))</f>
        <v/>
      </c>
      <c r="AK1188" s="39" t="str">
        <f ca="1">IF(NOTA[[#This Row],[TGL.NOTA]]="",IF(NOTA[[#This Row],[SUPPLIER_H]]="","",AK1187),MONTH(NOTA[[#This Row],[TGL.NOTA]]))</f>
        <v/>
      </c>
      <c r="AL1188" s="39" t="str">
        <f>LOWER(SUBSTITUTE(SUBSTITUTE(SUBSTITUTE(SUBSTITUTE(SUBSTITUTE(SUBSTITUTE(SUBSTITUTE(SUBSTITUTE(SUBSTITUTE(NOTA[NAMA BARANG]," ",),".",""),"-",""),"(",""),")",""),",",""),"/",""),"""",""),"+",""))</f>
        <v/>
      </c>
      <c r="AM11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39" t="str">
        <f>IF(NOTA[[#This Row],[CONCAT4]]="","",_xlfn.IFNA(MATCH(NOTA[[#This Row],[CONCAT4]],[2]!RAW[CONCAT_H],0),FALSE))</f>
        <v/>
      </c>
      <c r="AQ1188" s="39" t="str">
        <f>IF(NOTA[[#This Row],[CONCAT1]]="","",MATCH(NOTA[[#This Row],[CONCAT1]],[3]!db[NB NOTA_C],0))</f>
        <v/>
      </c>
      <c r="AR1188" s="39" t="str">
        <f>IF(NOTA[[#This Row],[QTY/ CTN]]="","",TRUE)</f>
        <v/>
      </c>
      <c r="AS1188" s="39" t="str">
        <f ca="1">IF(NOTA[[#This Row],[ID_H]]="","",IF(NOTA[[#This Row],[Column3]]=TRUE,NOTA[[#This Row],[QTY/ CTN]],INDEX([3]!db[QTY/ CTN],NOTA[[#This Row],[//DB]])))</f>
        <v/>
      </c>
      <c r="AT11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8" s="39" t="str">
        <f ca="1">IF(NOTA[[#This Row],[ID_H]]="","",MATCH(NOTA[[#This Row],[NB NOTA_C_QTY]],[4]!db[NB NOTA_C_QTY+F],0))</f>
        <v/>
      </c>
      <c r="AV1188" s="55" t="str">
        <f ca="1">IF(NOTA[[#This Row],[NB NOTA_C_QTY]]="","",ROW()-2)</f>
        <v/>
      </c>
    </row>
    <row r="1189" spans="1:48" ht="20.100000000000001" customHeight="1" x14ac:dyDescent="0.25">
      <c r="A11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39" t="str">
        <f>IF(NOTA[[#This Row],[ID_P]]="","",MATCH(NOTA[[#This Row],[ID_P]],[1]!B_MSK[N_ID],0))</f>
        <v/>
      </c>
      <c r="D1189" s="39" t="str">
        <f ca="1">IF(NOTA[[#This Row],[NAMA BARANG]]="","",INDEX(NOTA[ID],MATCH(,INDIRECT(ADDRESS(ROW(NOTA[ID]),COLUMN(NOTA[ID]))&amp;":"&amp;ADDRESS(ROW(),COLUMN(NOTA[ID]))),-1)))</f>
        <v/>
      </c>
      <c r="E1189" s="47"/>
      <c r="H1189" s="48"/>
      <c r="N1189" s="39"/>
      <c r="Q1189" s="43"/>
      <c r="R1189" s="49"/>
      <c r="S1189" s="50"/>
      <c r="U1189" s="51"/>
      <c r="V1189" s="46"/>
      <c r="W1189" s="51" t="str">
        <f>IF(NOTA[[#This Row],[HARGA/ CTN]]="",NOTA[[#This Row],[JUMLAH_H]],NOTA[[#This Row],[HARGA/ CTN]]*IF(NOTA[[#This Row],[C]]="",0,NOTA[[#This Row],[C]]))</f>
        <v/>
      </c>
      <c r="X1189" s="51" t="str">
        <f>IF(NOTA[[#This Row],[JUMLAH]]="","",NOTA[[#This Row],[JUMLAH]]*NOTA[[#This Row],[DISC 1]])</f>
        <v/>
      </c>
      <c r="Y1189" s="51" t="str">
        <f>IF(NOTA[[#This Row],[JUMLAH]]="","",(NOTA[[#This Row],[JUMLAH]]-NOTA[[#This Row],[DISC 1-]])*NOTA[[#This Row],[DISC 2]])</f>
        <v/>
      </c>
      <c r="Z1189" s="51" t="str">
        <f>IF(NOTA[[#This Row],[JUMLAH]]="","",NOTA[[#This Row],[DISC 1-]]+NOTA[[#This Row],[DISC 2-]])</f>
        <v/>
      </c>
      <c r="AA1189" s="51" t="str">
        <f>IF(NOTA[[#This Row],[JUMLAH]]="","",NOTA[[#This Row],[JUMLAH]]-NOTA[[#This Row],[DISC]])</f>
        <v/>
      </c>
      <c r="AB1189" s="51"/>
      <c r="AC1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51" t="str">
        <f>IF(OR(NOTA[[#This Row],[QTY]]="",NOTA[[#This Row],[HARGA SATUAN]]="",),"",NOTA[[#This Row],[QTY]]*NOTA[[#This Row],[HARGA SATUAN]])</f>
        <v/>
      </c>
      <c r="AG1189" s="40" t="str">
        <f ca="1">IF(NOTA[ID_H]="","",INDEX(NOTA[TANGGAL],MATCH(,INDIRECT(ADDRESS(ROW(NOTA[TANGGAL]),COLUMN(NOTA[TANGGAL]))&amp;":"&amp;ADDRESS(ROW(),COLUMN(NOTA[TANGGAL]))),-1)))</f>
        <v/>
      </c>
      <c r="AH1189" s="42" t="str">
        <f ca="1">IF(NOTA[[#This Row],[NAMA BARANG]]="","",INDEX(NOTA[SUPPLIER],MATCH(,INDIRECT(ADDRESS(ROW(NOTA[ID]),COLUMN(NOTA[ID]))&amp;":"&amp;ADDRESS(ROW(),COLUMN(NOTA[ID]))),-1)))</f>
        <v/>
      </c>
      <c r="AI1189" s="42" t="str">
        <f ca="1">IF(NOTA[[#This Row],[ID_H]]="","",IF(NOTA[[#This Row],[FAKTUR]]="",INDIRECT(ADDRESS(ROW()-1,COLUMN())),NOTA[[#This Row],[FAKTUR]]))</f>
        <v/>
      </c>
      <c r="AJ1189" s="39" t="str">
        <f ca="1">IF(NOTA[[#This Row],[ID]]="","",COUNTIF(NOTA[ID_H],NOTA[[#This Row],[ID_H]]))</f>
        <v/>
      </c>
      <c r="AK1189" s="39" t="str">
        <f ca="1">IF(NOTA[[#This Row],[TGL.NOTA]]="",IF(NOTA[[#This Row],[SUPPLIER_H]]="","",AK1188),MONTH(NOTA[[#This Row],[TGL.NOTA]]))</f>
        <v/>
      </c>
      <c r="AL1189" s="39" t="str">
        <f>LOWER(SUBSTITUTE(SUBSTITUTE(SUBSTITUTE(SUBSTITUTE(SUBSTITUTE(SUBSTITUTE(SUBSTITUTE(SUBSTITUTE(SUBSTITUTE(NOTA[NAMA BARANG]," ",),".",""),"-",""),"(",""),")",""),",",""),"/",""),"""",""),"+",""))</f>
        <v/>
      </c>
      <c r="AM11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39" t="str">
        <f>IF(NOTA[[#This Row],[CONCAT4]]="","",_xlfn.IFNA(MATCH(NOTA[[#This Row],[CONCAT4]],[2]!RAW[CONCAT_H],0),FALSE))</f>
        <v/>
      </c>
      <c r="AQ1189" s="39" t="str">
        <f>IF(NOTA[[#This Row],[CONCAT1]]="","",MATCH(NOTA[[#This Row],[CONCAT1]],[3]!db[NB NOTA_C],0))</f>
        <v/>
      </c>
      <c r="AR1189" s="39" t="str">
        <f>IF(NOTA[[#This Row],[QTY/ CTN]]="","",TRUE)</f>
        <v/>
      </c>
      <c r="AS1189" s="39" t="str">
        <f ca="1">IF(NOTA[[#This Row],[ID_H]]="","",IF(NOTA[[#This Row],[Column3]]=TRUE,NOTA[[#This Row],[QTY/ CTN]],INDEX([3]!db[QTY/ CTN],NOTA[[#This Row],[//DB]])))</f>
        <v/>
      </c>
      <c r="AT11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9" s="39" t="str">
        <f ca="1">IF(NOTA[[#This Row],[ID_H]]="","",MATCH(NOTA[[#This Row],[NB NOTA_C_QTY]],[4]!db[NB NOTA_C_QTY+F],0))</f>
        <v/>
      </c>
      <c r="AV1189" s="55" t="str">
        <f ca="1">IF(NOTA[[#This Row],[NB NOTA_C_QTY]]="","",ROW()-2)</f>
        <v/>
      </c>
    </row>
    <row r="1190" spans="1:48" ht="20.100000000000001" customHeight="1" x14ac:dyDescent="0.25">
      <c r="A11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39" t="str">
        <f>IF(NOTA[[#This Row],[ID_P]]="","",MATCH(NOTA[[#This Row],[ID_P]],[1]!B_MSK[N_ID],0))</f>
        <v/>
      </c>
      <c r="D1190" s="39" t="str">
        <f ca="1">IF(NOTA[[#This Row],[NAMA BARANG]]="","",INDEX(NOTA[ID],MATCH(,INDIRECT(ADDRESS(ROW(NOTA[ID]),COLUMN(NOTA[ID]))&amp;":"&amp;ADDRESS(ROW(),COLUMN(NOTA[ID]))),-1)))</f>
        <v/>
      </c>
      <c r="E1190" s="47"/>
      <c r="H1190" s="48"/>
      <c r="N1190" s="39"/>
      <c r="Q1190" s="43"/>
      <c r="R1190" s="49"/>
      <c r="S1190" s="50"/>
      <c r="U1190" s="51"/>
      <c r="V1190" s="46"/>
      <c r="W1190" s="51" t="str">
        <f>IF(NOTA[[#This Row],[HARGA/ CTN]]="",NOTA[[#This Row],[JUMLAH_H]],NOTA[[#This Row],[HARGA/ CTN]]*IF(NOTA[[#This Row],[C]]="",0,NOTA[[#This Row],[C]]))</f>
        <v/>
      </c>
      <c r="X1190" s="51" t="str">
        <f>IF(NOTA[[#This Row],[JUMLAH]]="","",NOTA[[#This Row],[JUMLAH]]*NOTA[[#This Row],[DISC 1]])</f>
        <v/>
      </c>
      <c r="Y1190" s="51" t="str">
        <f>IF(NOTA[[#This Row],[JUMLAH]]="","",(NOTA[[#This Row],[JUMLAH]]-NOTA[[#This Row],[DISC 1-]])*NOTA[[#This Row],[DISC 2]])</f>
        <v/>
      </c>
      <c r="Z1190" s="51" t="str">
        <f>IF(NOTA[[#This Row],[JUMLAH]]="","",NOTA[[#This Row],[DISC 1-]]+NOTA[[#This Row],[DISC 2-]])</f>
        <v/>
      </c>
      <c r="AA1190" s="51" t="str">
        <f>IF(NOTA[[#This Row],[JUMLAH]]="","",NOTA[[#This Row],[JUMLAH]]-NOTA[[#This Row],[DISC]])</f>
        <v/>
      </c>
      <c r="AB1190" s="51"/>
      <c r="AC1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51" t="str">
        <f>IF(OR(NOTA[[#This Row],[QTY]]="",NOTA[[#This Row],[HARGA SATUAN]]="",),"",NOTA[[#This Row],[QTY]]*NOTA[[#This Row],[HARGA SATUAN]])</f>
        <v/>
      </c>
      <c r="AG1190" s="40" t="str">
        <f ca="1">IF(NOTA[ID_H]="","",INDEX(NOTA[TANGGAL],MATCH(,INDIRECT(ADDRESS(ROW(NOTA[TANGGAL]),COLUMN(NOTA[TANGGAL]))&amp;":"&amp;ADDRESS(ROW(),COLUMN(NOTA[TANGGAL]))),-1)))</f>
        <v/>
      </c>
      <c r="AH1190" s="42" t="str">
        <f ca="1">IF(NOTA[[#This Row],[NAMA BARANG]]="","",INDEX(NOTA[SUPPLIER],MATCH(,INDIRECT(ADDRESS(ROW(NOTA[ID]),COLUMN(NOTA[ID]))&amp;":"&amp;ADDRESS(ROW(),COLUMN(NOTA[ID]))),-1)))</f>
        <v/>
      </c>
      <c r="AI1190" s="42" t="str">
        <f ca="1">IF(NOTA[[#This Row],[ID_H]]="","",IF(NOTA[[#This Row],[FAKTUR]]="",INDIRECT(ADDRESS(ROW()-1,COLUMN())),NOTA[[#This Row],[FAKTUR]]))</f>
        <v/>
      </c>
      <c r="AJ1190" s="39" t="str">
        <f ca="1">IF(NOTA[[#This Row],[ID]]="","",COUNTIF(NOTA[ID_H],NOTA[[#This Row],[ID_H]]))</f>
        <v/>
      </c>
      <c r="AK1190" s="39" t="str">
        <f ca="1">IF(NOTA[[#This Row],[TGL.NOTA]]="",IF(NOTA[[#This Row],[SUPPLIER_H]]="","",AK1189),MONTH(NOTA[[#This Row],[TGL.NOTA]]))</f>
        <v/>
      </c>
      <c r="AL1190" s="39" t="str">
        <f>LOWER(SUBSTITUTE(SUBSTITUTE(SUBSTITUTE(SUBSTITUTE(SUBSTITUTE(SUBSTITUTE(SUBSTITUTE(SUBSTITUTE(SUBSTITUTE(NOTA[NAMA BARANG]," ",),".",""),"-",""),"(",""),")",""),",",""),"/",""),"""",""),"+",""))</f>
        <v/>
      </c>
      <c r="AM11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39" t="str">
        <f>IF(NOTA[[#This Row],[CONCAT4]]="","",_xlfn.IFNA(MATCH(NOTA[[#This Row],[CONCAT4]],[2]!RAW[CONCAT_H],0),FALSE))</f>
        <v/>
      </c>
      <c r="AQ1190" s="39" t="str">
        <f>IF(NOTA[[#This Row],[CONCAT1]]="","",MATCH(NOTA[[#This Row],[CONCAT1]],[3]!db[NB NOTA_C],0))</f>
        <v/>
      </c>
      <c r="AR1190" s="39" t="str">
        <f>IF(NOTA[[#This Row],[QTY/ CTN]]="","",TRUE)</f>
        <v/>
      </c>
      <c r="AS1190" s="39" t="str">
        <f ca="1">IF(NOTA[[#This Row],[ID_H]]="","",IF(NOTA[[#This Row],[Column3]]=TRUE,NOTA[[#This Row],[QTY/ CTN]],INDEX([3]!db[QTY/ CTN],NOTA[[#This Row],[//DB]])))</f>
        <v/>
      </c>
      <c r="AT11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0" s="39" t="str">
        <f ca="1">IF(NOTA[[#This Row],[ID_H]]="","",MATCH(NOTA[[#This Row],[NB NOTA_C_QTY]],[4]!db[NB NOTA_C_QTY+F],0))</f>
        <v/>
      </c>
      <c r="AV1190" s="55" t="str">
        <f ca="1">IF(NOTA[[#This Row],[NB NOTA_C_QTY]]="","",ROW()-2)</f>
        <v/>
      </c>
    </row>
    <row r="1191" spans="1:48" ht="20.100000000000001" customHeight="1" x14ac:dyDescent="0.25">
      <c r="A11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39" t="str">
        <f>IF(NOTA[[#This Row],[ID_P]]="","",MATCH(NOTA[[#This Row],[ID_P]],[1]!B_MSK[N_ID],0))</f>
        <v/>
      </c>
      <c r="D1191" s="39" t="str">
        <f ca="1">IF(NOTA[[#This Row],[NAMA BARANG]]="","",INDEX(NOTA[ID],MATCH(,INDIRECT(ADDRESS(ROW(NOTA[ID]),COLUMN(NOTA[ID]))&amp;":"&amp;ADDRESS(ROW(),COLUMN(NOTA[ID]))),-1)))</f>
        <v/>
      </c>
      <c r="E1191" s="47"/>
      <c r="H1191" s="48"/>
      <c r="N1191" s="39"/>
      <c r="Q1191" s="43"/>
      <c r="R1191" s="49"/>
      <c r="S1191" s="50"/>
      <c r="U1191" s="51"/>
      <c r="V1191" s="46"/>
      <c r="W1191" s="51" t="str">
        <f>IF(NOTA[[#This Row],[HARGA/ CTN]]="",NOTA[[#This Row],[JUMLAH_H]],NOTA[[#This Row],[HARGA/ CTN]]*IF(NOTA[[#This Row],[C]]="",0,NOTA[[#This Row],[C]]))</f>
        <v/>
      </c>
      <c r="X1191" s="51" t="str">
        <f>IF(NOTA[[#This Row],[JUMLAH]]="","",NOTA[[#This Row],[JUMLAH]]*NOTA[[#This Row],[DISC 1]])</f>
        <v/>
      </c>
      <c r="Y1191" s="51" t="str">
        <f>IF(NOTA[[#This Row],[JUMLAH]]="","",(NOTA[[#This Row],[JUMLAH]]-NOTA[[#This Row],[DISC 1-]])*NOTA[[#This Row],[DISC 2]])</f>
        <v/>
      </c>
      <c r="Z1191" s="51" t="str">
        <f>IF(NOTA[[#This Row],[JUMLAH]]="","",NOTA[[#This Row],[DISC 1-]]+NOTA[[#This Row],[DISC 2-]])</f>
        <v/>
      </c>
      <c r="AA1191" s="51" t="str">
        <f>IF(NOTA[[#This Row],[JUMLAH]]="","",NOTA[[#This Row],[JUMLAH]]-NOTA[[#This Row],[DISC]])</f>
        <v/>
      </c>
      <c r="AB1191" s="51"/>
      <c r="AC1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51" t="str">
        <f>IF(OR(NOTA[[#This Row],[QTY]]="",NOTA[[#This Row],[HARGA SATUAN]]="",),"",NOTA[[#This Row],[QTY]]*NOTA[[#This Row],[HARGA SATUAN]])</f>
        <v/>
      </c>
      <c r="AG1191" s="40" t="str">
        <f ca="1">IF(NOTA[ID_H]="","",INDEX(NOTA[TANGGAL],MATCH(,INDIRECT(ADDRESS(ROW(NOTA[TANGGAL]),COLUMN(NOTA[TANGGAL]))&amp;":"&amp;ADDRESS(ROW(),COLUMN(NOTA[TANGGAL]))),-1)))</f>
        <v/>
      </c>
      <c r="AH1191" s="42" t="str">
        <f ca="1">IF(NOTA[[#This Row],[NAMA BARANG]]="","",INDEX(NOTA[SUPPLIER],MATCH(,INDIRECT(ADDRESS(ROW(NOTA[ID]),COLUMN(NOTA[ID]))&amp;":"&amp;ADDRESS(ROW(),COLUMN(NOTA[ID]))),-1)))</f>
        <v/>
      </c>
      <c r="AI1191" s="42" t="str">
        <f ca="1">IF(NOTA[[#This Row],[ID_H]]="","",IF(NOTA[[#This Row],[FAKTUR]]="",INDIRECT(ADDRESS(ROW()-1,COLUMN())),NOTA[[#This Row],[FAKTUR]]))</f>
        <v/>
      </c>
      <c r="AJ1191" s="39" t="str">
        <f ca="1">IF(NOTA[[#This Row],[ID]]="","",COUNTIF(NOTA[ID_H],NOTA[[#This Row],[ID_H]]))</f>
        <v/>
      </c>
      <c r="AK1191" s="39" t="str">
        <f ca="1">IF(NOTA[[#This Row],[TGL.NOTA]]="",IF(NOTA[[#This Row],[SUPPLIER_H]]="","",AK1190),MONTH(NOTA[[#This Row],[TGL.NOTA]]))</f>
        <v/>
      </c>
      <c r="AL1191" s="39" t="str">
        <f>LOWER(SUBSTITUTE(SUBSTITUTE(SUBSTITUTE(SUBSTITUTE(SUBSTITUTE(SUBSTITUTE(SUBSTITUTE(SUBSTITUTE(SUBSTITUTE(NOTA[NAMA BARANG]," ",),".",""),"-",""),"(",""),")",""),",",""),"/",""),"""",""),"+",""))</f>
        <v/>
      </c>
      <c r="AM11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39" t="str">
        <f>IF(NOTA[[#This Row],[CONCAT4]]="","",_xlfn.IFNA(MATCH(NOTA[[#This Row],[CONCAT4]],[2]!RAW[CONCAT_H],0),FALSE))</f>
        <v/>
      </c>
      <c r="AQ1191" s="39" t="str">
        <f>IF(NOTA[[#This Row],[CONCAT1]]="","",MATCH(NOTA[[#This Row],[CONCAT1]],[3]!db[NB NOTA_C],0))</f>
        <v/>
      </c>
      <c r="AR1191" s="39" t="str">
        <f>IF(NOTA[[#This Row],[QTY/ CTN]]="","",TRUE)</f>
        <v/>
      </c>
      <c r="AS1191" s="39" t="str">
        <f ca="1">IF(NOTA[[#This Row],[ID_H]]="","",IF(NOTA[[#This Row],[Column3]]=TRUE,NOTA[[#This Row],[QTY/ CTN]],INDEX([3]!db[QTY/ CTN],NOTA[[#This Row],[//DB]])))</f>
        <v/>
      </c>
      <c r="AT11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1" s="39" t="str">
        <f ca="1">IF(NOTA[[#This Row],[ID_H]]="","",MATCH(NOTA[[#This Row],[NB NOTA_C_QTY]],[4]!db[NB NOTA_C_QTY+F],0))</f>
        <v/>
      </c>
      <c r="AV1191" s="55" t="str">
        <f ca="1">IF(NOTA[[#This Row],[NB NOTA_C_QTY]]="","",ROW()-2)</f>
        <v/>
      </c>
    </row>
    <row r="1192" spans="1:48" ht="20.100000000000001" customHeight="1" x14ac:dyDescent="0.25">
      <c r="A11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2" s="39" t="str">
        <f>IF(NOTA[[#This Row],[ID_P]]="","",MATCH(NOTA[[#This Row],[ID_P]],[1]!B_MSK[N_ID],0))</f>
        <v/>
      </c>
      <c r="D1192" s="39" t="str">
        <f ca="1">IF(NOTA[[#This Row],[NAMA BARANG]]="","",INDEX(NOTA[ID],MATCH(,INDIRECT(ADDRESS(ROW(NOTA[ID]),COLUMN(NOTA[ID]))&amp;":"&amp;ADDRESS(ROW(),COLUMN(NOTA[ID]))),-1)))</f>
        <v/>
      </c>
      <c r="E1192" s="47"/>
      <c r="H1192" s="48"/>
      <c r="N1192" s="39"/>
      <c r="Q1192" s="43"/>
      <c r="R1192" s="49"/>
      <c r="S1192" s="50"/>
      <c r="U1192" s="51"/>
      <c r="V1192" s="46"/>
      <c r="W1192" s="51" t="str">
        <f>IF(NOTA[[#This Row],[HARGA/ CTN]]="",NOTA[[#This Row],[JUMLAH_H]],NOTA[[#This Row],[HARGA/ CTN]]*IF(NOTA[[#This Row],[C]]="",0,NOTA[[#This Row],[C]]))</f>
        <v/>
      </c>
      <c r="X1192" s="51" t="str">
        <f>IF(NOTA[[#This Row],[JUMLAH]]="","",NOTA[[#This Row],[JUMLAH]]*NOTA[[#This Row],[DISC 1]])</f>
        <v/>
      </c>
      <c r="Y1192" s="51" t="str">
        <f>IF(NOTA[[#This Row],[JUMLAH]]="","",(NOTA[[#This Row],[JUMLAH]]-NOTA[[#This Row],[DISC 1-]])*NOTA[[#This Row],[DISC 2]])</f>
        <v/>
      </c>
      <c r="Z1192" s="51" t="str">
        <f>IF(NOTA[[#This Row],[JUMLAH]]="","",NOTA[[#This Row],[DISC 1-]]+NOTA[[#This Row],[DISC 2-]])</f>
        <v/>
      </c>
      <c r="AA1192" s="51" t="str">
        <f>IF(NOTA[[#This Row],[JUMLAH]]="","",NOTA[[#This Row],[JUMLAH]]-NOTA[[#This Row],[DISC]])</f>
        <v/>
      </c>
      <c r="AB1192" s="51"/>
      <c r="AC1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2" s="51" t="str">
        <f>IF(OR(NOTA[[#This Row],[QTY]]="",NOTA[[#This Row],[HARGA SATUAN]]="",),"",NOTA[[#This Row],[QTY]]*NOTA[[#This Row],[HARGA SATUAN]])</f>
        <v/>
      </c>
      <c r="AG1192" s="40" t="str">
        <f ca="1">IF(NOTA[ID_H]="","",INDEX(NOTA[TANGGAL],MATCH(,INDIRECT(ADDRESS(ROW(NOTA[TANGGAL]),COLUMN(NOTA[TANGGAL]))&amp;":"&amp;ADDRESS(ROW(),COLUMN(NOTA[TANGGAL]))),-1)))</f>
        <v/>
      </c>
      <c r="AH1192" s="42" t="str">
        <f ca="1">IF(NOTA[[#This Row],[NAMA BARANG]]="","",INDEX(NOTA[SUPPLIER],MATCH(,INDIRECT(ADDRESS(ROW(NOTA[ID]),COLUMN(NOTA[ID]))&amp;":"&amp;ADDRESS(ROW(),COLUMN(NOTA[ID]))),-1)))</f>
        <v/>
      </c>
      <c r="AI1192" s="42" t="str">
        <f ca="1">IF(NOTA[[#This Row],[ID_H]]="","",IF(NOTA[[#This Row],[FAKTUR]]="",INDIRECT(ADDRESS(ROW()-1,COLUMN())),NOTA[[#This Row],[FAKTUR]]))</f>
        <v/>
      </c>
      <c r="AJ1192" s="39" t="str">
        <f ca="1">IF(NOTA[[#This Row],[ID]]="","",COUNTIF(NOTA[ID_H],NOTA[[#This Row],[ID_H]]))</f>
        <v/>
      </c>
      <c r="AK1192" s="39" t="str">
        <f ca="1">IF(NOTA[[#This Row],[TGL.NOTA]]="",IF(NOTA[[#This Row],[SUPPLIER_H]]="","",AK1191),MONTH(NOTA[[#This Row],[TGL.NOTA]]))</f>
        <v/>
      </c>
      <c r="AL1192" s="39" t="str">
        <f>LOWER(SUBSTITUTE(SUBSTITUTE(SUBSTITUTE(SUBSTITUTE(SUBSTITUTE(SUBSTITUTE(SUBSTITUTE(SUBSTITUTE(SUBSTITUTE(NOTA[NAMA BARANG]," ",),".",""),"-",""),"(",""),")",""),",",""),"/",""),"""",""),"+",""))</f>
        <v/>
      </c>
      <c r="AM11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2" s="39" t="str">
        <f>IF(NOTA[[#This Row],[CONCAT4]]="","",_xlfn.IFNA(MATCH(NOTA[[#This Row],[CONCAT4]],[2]!RAW[CONCAT_H],0),FALSE))</f>
        <v/>
      </c>
      <c r="AQ1192" s="39" t="str">
        <f>IF(NOTA[[#This Row],[CONCAT1]]="","",MATCH(NOTA[[#This Row],[CONCAT1]],[3]!db[NB NOTA_C],0))</f>
        <v/>
      </c>
      <c r="AR1192" s="39" t="str">
        <f>IF(NOTA[[#This Row],[QTY/ CTN]]="","",TRUE)</f>
        <v/>
      </c>
      <c r="AS1192" s="39" t="str">
        <f ca="1">IF(NOTA[[#This Row],[ID_H]]="","",IF(NOTA[[#This Row],[Column3]]=TRUE,NOTA[[#This Row],[QTY/ CTN]],INDEX([3]!db[QTY/ CTN],NOTA[[#This Row],[//DB]])))</f>
        <v/>
      </c>
      <c r="AT11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2" s="39" t="str">
        <f ca="1">IF(NOTA[[#This Row],[ID_H]]="","",MATCH(NOTA[[#This Row],[NB NOTA_C_QTY]],[4]!db[NB NOTA_C_QTY+F],0))</f>
        <v/>
      </c>
      <c r="AV1192" s="55" t="str">
        <f ca="1">IF(NOTA[[#This Row],[NB NOTA_C_QTY]]="","",ROW()-2)</f>
        <v/>
      </c>
    </row>
    <row r="1193" spans="1:48" ht="20.100000000000001" customHeight="1" x14ac:dyDescent="0.25">
      <c r="A11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3" s="39" t="str">
        <f>IF(NOTA[[#This Row],[ID_P]]="","",MATCH(NOTA[[#This Row],[ID_P]],[1]!B_MSK[N_ID],0))</f>
        <v/>
      </c>
      <c r="D1193" s="39" t="str">
        <f ca="1">IF(NOTA[[#This Row],[NAMA BARANG]]="","",INDEX(NOTA[ID],MATCH(,INDIRECT(ADDRESS(ROW(NOTA[ID]),COLUMN(NOTA[ID]))&amp;":"&amp;ADDRESS(ROW(),COLUMN(NOTA[ID]))),-1)))</f>
        <v/>
      </c>
      <c r="E1193" s="47"/>
      <c r="H1193" s="48"/>
      <c r="N1193" s="39"/>
      <c r="Q1193" s="43"/>
      <c r="R1193" s="49"/>
      <c r="S1193" s="50"/>
      <c r="U1193" s="51"/>
      <c r="V1193" s="46"/>
      <c r="W1193" s="51" t="str">
        <f>IF(NOTA[[#This Row],[HARGA/ CTN]]="",NOTA[[#This Row],[JUMLAH_H]],NOTA[[#This Row],[HARGA/ CTN]]*IF(NOTA[[#This Row],[C]]="",0,NOTA[[#This Row],[C]]))</f>
        <v/>
      </c>
      <c r="X1193" s="51" t="str">
        <f>IF(NOTA[[#This Row],[JUMLAH]]="","",NOTA[[#This Row],[JUMLAH]]*NOTA[[#This Row],[DISC 1]])</f>
        <v/>
      </c>
      <c r="Y1193" s="51" t="str">
        <f>IF(NOTA[[#This Row],[JUMLAH]]="","",(NOTA[[#This Row],[JUMLAH]]-NOTA[[#This Row],[DISC 1-]])*NOTA[[#This Row],[DISC 2]])</f>
        <v/>
      </c>
      <c r="Z1193" s="51" t="str">
        <f>IF(NOTA[[#This Row],[JUMLAH]]="","",NOTA[[#This Row],[DISC 1-]]+NOTA[[#This Row],[DISC 2-]])</f>
        <v/>
      </c>
      <c r="AA1193" s="51" t="str">
        <f>IF(NOTA[[#This Row],[JUMLAH]]="","",NOTA[[#This Row],[JUMLAH]]-NOTA[[#This Row],[DISC]])</f>
        <v/>
      </c>
      <c r="AB1193" s="51"/>
      <c r="AC11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3" s="51" t="str">
        <f>IF(OR(NOTA[[#This Row],[QTY]]="",NOTA[[#This Row],[HARGA SATUAN]]="",),"",NOTA[[#This Row],[QTY]]*NOTA[[#This Row],[HARGA SATUAN]])</f>
        <v/>
      </c>
      <c r="AG1193" s="40" t="str">
        <f ca="1">IF(NOTA[ID_H]="","",INDEX(NOTA[TANGGAL],MATCH(,INDIRECT(ADDRESS(ROW(NOTA[TANGGAL]),COLUMN(NOTA[TANGGAL]))&amp;":"&amp;ADDRESS(ROW(),COLUMN(NOTA[TANGGAL]))),-1)))</f>
        <v/>
      </c>
      <c r="AH1193" s="42" t="str">
        <f ca="1">IF(NOTA[[#This Row],[NAMA BARANG]]="","",INDEX(NOTA[SUPPLIER],MATCH(,INDIRECT(ADDRESS(ROW(NOTA[ID]),COLUMN(NOTA[ID]))&amp;":"&amp;ADDRESS(ROW(),COLUMN(NOTA[ID]))),-1)))</f>
        <v/>
      </c>
      <c r="AI1193" s="42" t="str">
        <f ca="1">IF(NOTA[[#This Row],[ID_H]]="","",IF(NOTA[[#This Row],[FAKTUR]]="",INDIRECT(ADDRESS(ROW()-1,COLUMN())),NOTA[[#This Row],[FAKTUR]]))</f>
        <v/>
      </c>
      <c r="AJ1193" s="39" t="str">
        <f ca="1">IF(NOTA[[#This Row],[ID]]="","",COUNTIF(NOTA[ID_H],NOTA[[#This Row],[ID_H]]))</f>
        <v/>
      </c>
      <c r="AK1193" s="39" t="str">
        <f ca="1">IF(NOTA[[#This Row],[TGL.NOTA]]="",IF(NOTA[[#This Row],[SUPPLIER_H]]="","",AK1192),MONTH(NOTA[[#This Row],[TGL.NOTA]]))</f>
        <v/>
      </c>
      <c r="AL1193" s="39" t="str">
        <f>LOWER(SUBSTITUTE(SUBSTITUTE(SUBSTITUTE(SUBSTITUTE(SUBSTITUTE(SUBSTITUTE(SUBSTITUTE(SUBSTITUTE(SUBSTITUTE(NOTA[NAMA BARANG]," ",),".",""),"-",""),"(",""),")",""),",",""),"/",""),"""",""),"+",""))</f>
        <v/>
      </c>
      <c r="AM11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3" s="39" t="str">
        <f>IF(NOTA[[#This Row],[CONCAT4]]="","",_xlfn.IFNA(MATCH(NOTA[[#This Row],[CONCAT4]],[2]!RAW[CONCAT_H],0),FALSE))</f>
        <v/>
      </c>
      <c r="AQ1193" s="39" t="str">
        <f>IF(NOTA[[#This Row],[CONCAT1]]="","",MATCH(NOTA[[#This Row],[CONCAT1]],[3]!db[NB NOTA_C],0))</f>
        <v/>
      </c>
      <c r="AR1193" s="39" t="str">
        <f>IF(NOTA[[#This Row],[QTY/ CTN]]="","",TRUE)</f>
        <v/>
      </c>
      <c r="AS1193" s="39" t="str">
        <f ca="1">IF(NOTA[[#This Row],[ID_H]]="","",IF(NOTA[[#This Row],[Column3]]=TRUE,NOTA[[#This Row],[QTY/ CTN]],INDEX([3]!db[QTY/ CTN],NOTA[[#This Row],[//DB]])))</f>
        <v/>
      </c>
      <c r="AT11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3" s="39" t="str">
        <f ca="1">IF(NOTA[[#This Row],[ID_H]]="","",MATCH(NOTA[[#This Row],[NB NOTA_C_QTY]],[4]!db[NB NOTA_C_QTY+F],0))</f>
        <v/>
      </c>
      <c r="AV1193" s="55" t="str">
        <f ca="1">IF(NOTA[[#This Row],[NB NOTA_C_QTY]]="","",ROW()-2)</f>
        <v/>
      </c>
    </row>
    <row r="1194" spans="1:48" ht="20.100000000000001" customHeight="1" x14ac:dyDescent="0.25">
      <c r="A11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4" s="39" t="str">
        <f>IF(NOTA[[#This Row],[ID_P]]="","",MATCH(NOTA[[#This Row],[ID_P]],[1]!B_MSK[N_ID],0))</f>
        <v/>
      </c>
      <c r="D1194" s="39" t="str">
        <f ca="1">IF(NOTA[[#This Row],[NAMA BARANG]]="","",INDEX(NOTA[ID],MATCH(,INDIRECT(ADDRESS(ROW(NOTA[ID]),COLUMN(NOTA[ID]))&amp;":"&amp;ADDRESS(ROW(),COLUMN(NOTA[ID]))),-1)))</f>
        <v/>
      </c>
      <c r="E1194" s="47"/>
      <c r="H1194" s="48"/>
      <c r="N1194" s="39"/>
      <c r="Q1194" s="43"/>
      <c r="R1194" s="49"/>
      <c r="S1194" s="50"/>
      <c r="U1194" s="51"/>
      <c r="V1194" s="46"/>
      <c r="W1194" s="51" t="str">
        <f>IF(NOTA[[#This Row],[HARGA/ CTN]]="",NOTA[[#This Row],[JUMLAH_H]],NOTA[[#This Row],[HARGA/ CTN]]*IF(NOTA[[#This Row],[C]]="",0,NOTA[[#This Row],[C]]))</f>
        <v/>
      </c>
      <c r="X1194" s="51" t="str">
        <f>IF(NOTA[[#This Row],[JUMLAH]]="","",NOTA[[#This Row],[JUMLAH]]*NOTA[[#This Row],[DISC 1]])</f>
        <v/>
      </c>
      <c r="Y1194" s="51" t="str">
        <f>IF(NOTA[[#This Row],[JUMLAH]]="","",(NOTA[[#This Row],[JUMLAH]]-NOTA[[#This Row],[DISC 1-]])*NOTA[[#This Row],[DISC 2]])</f>
        <v/>
      </c>
      <c r="Z1194" s="51" t="str">
        <f>IF(NOTA[[#This Row],[JUMLAH]]="","",NOTA[[#This Row],[DISC 1-]]+NOTA[[#This Row],[DISC 2-]])</f>
        <v/>
      </c>
      <c r="AA1194" s="51" t="str">
        <f>IF(NOTA[[#This Row],[JUMLAH]]="","",NOTA[[#This Row],[JUMLAH]]-NOTA[[#This Row],[DISC]])</f>
        <v/>
      </c>
      <c r="AB1194" s="51"/>
      <c r="AC1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4" s="51" t="str">
        <f>IF(OR(NOTA[[#This Row],[QTY]]="",NOTA[[#This Row],[HARGA SATUAN]]="",),"",NOTA[[#This Row],[QTY]]*NOTA[[#This Row],[HARGA SATUAN]])</f>
        <v/>
      </c>
      <c r="AG1194" s="40" t="str">
        <f ca="1">IF(NOTA[ID_H]="","",INDEX(NOTA[TANGGAL],MATCH(,INDIRECT(ADDRESS(ROW(NOTA[TANGGAL]),COLUMN(NOTA[TANGGAL]))&amp;":"&amp;ADDRESS(ROW(),COLUMN(NOTA[TANGGAL]))),-1)))</f>
        <v/>
      </c>
      <c r="AH1194" s="42" t="str">
        <f ca="1">IF(NOTA[[#This Row],[NAMA BARANG]]="","",INDEX(NOTA[SUPPLIER],MATCH(,INDIRECT(ADDRESS(ROW(NOTA[ID]),COLUMN(NOTA[ID]))&amp;":"&amp;ADDRESS(ROW(),COLUMN(NOTA[ID]))),-1)))</f>
        <v/>
      </c>
      <c r="AI1194" s="42" t="str">
        <f ca="1">IF(NOTA[[#This Row],[ID_H]]="","",IF(NOTA[[#This Row],[FAKTUR]]="",INDIRECT(ADDRESS(ROW()-1,COLUMN())),NOTA[[#This Row],[FAKTUR]]))</f>
        <v/>
      </c>
      <c r="AJ1194" s="39" t="str">
        <f ca="1">IF(NOTA[[#This Row],[ID]]="","",COUNTIF(NOTA[ID_H],NOTA[[#This Row],[ID_H]]))</f>
        <v/>
      </c>
      <c r="AK1194" s="39" t="str">
        <f ca="1">IF(NOTA[[#This Row],[TGL.NOTA]]="",IF(NOTA[[#This Row],[SUPPLIER_H]]="","",AK1193),MONTH(NOTA[[#This Row],[TGL.NOTA]]))</f>
        <v/>
      </c>
      <c r="AL1194" s="39" t="str">
        <f>LOWER(SUBSTITUTE(SUBSTITUTE(SUBSTITUTE(SUBSTITUTE(SUBSTITUTE(SUBSTITUTE(SUBSTITUTE(SUBSTITUTE(SUBSTITUTE(NOTA[NAMA BARANG]," ",),".",""),"-",""),"(",""),")",""),",",""),"/",""),"""",""),"+",""))</f>
        <v/>
      </c>
      <c r="AM11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4" s="39" t="str">
        <f>IF(NOTA[[#This Row],[CONCAT4]]="","",_xlfn.IFNA(MATCH(NOTA[[#This Row],[CONCAT4]],[2]!RAW[CONCAT_H],0),FALSE))</f>
        <v/>
      </c>
      <c r="AQ1194" s="39" t="str">
        <f>IF(NOTA[[#This Row],[CONCAT1]]="","",MATCH(NOTA[[#This Row],[CONCAT1]],[3]!db[NB NOTA_C],0))</f>
        <v/>
      </c>
      <c r="AR1194" s="39" t="str">
        <f>IF(NOTA[[#This Row],[QTY/ CTN]]="","",TRUE)</f>
        <v/>
      </c>
      <c r="AS1194" s="39" t="str">
        <f ca="1">IF(NOTA[[#This Row],[ID_H]]="","",IF(NOTA[[#This Row],[Column3]]=TRUE,NOTA[[#This Row],[QTY/ CTN]],INDEX([3]!db[QTY/ CTN],NOTA[[#This Row],[//DB]])))</f>
        <v/>
      </c>
      <c r="AT11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4" s="39" t="str">
        <f ca="1">IF(NOTA[[#This Row],[ID_H]]="","",MATCH(NOTA[[#This Row],[NB NOTA_C_QTY]],[4]!db[NB NOTA_C_QTY+F],0))</f>
        <v/>
      </c>
      <c r="AV1194" s="55" t="str">
        <f ca="1">IF(NOTA[[#This Row],[NB NOTA_C_QTY]]="","",ROW()-2)</f>
        <v/>
      </c>
    </row>
    <row r="1195" spans="1:48" ht="20.100000000000001" customHeight="1" x14ac:dyDescent="0.25">
      <c r="A11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5" s="39" t="str">
        <f>IF(NOTA[[#This Row],[ID_P]]="","",MATCH(NOTA[[#This Row],[ID_P]],[1]!B_MSK[N_ID],0))</f>
        <v/>
      </c>
      <c r="D1195" s="39" t="str">
        <f ca="1">IF(NOTA[[#This Row],[NAMA BARANG]]="","",INDEX(NOTA[ID],MATCH(,INDIRECT(ADDRESS(ROW(NOTA[ID]),COLUMN(NOTA[ID]))&amp;":"&amp;ADDRESS(ROW(),COLUMN(NOTA[ID]))),-1)))</f>
        <v/>
      </c>
      <c r="E1195" s="47"/>
      <c r="H1195" s="48"/>
      <c r="N1195" s="39"/>
      <c r="Q1195" s="43"/>
      <c r="R1195" s="49"/>
      <c r="S1195" s="50"/>
      <c r="U1195" s="51"/>
      <c r="V1195" s="46"/>
      <c r="W1195" s="51" t="str">
        <f>IF(NOTA[[#This Row],[HARGA/ CTN]]="",NOTA[[#This Row],[JUMLAH_H]],NOTA[[#This Row],[HARGA/ CTN]]*IF(NOTA[[#This Row],[C]]="",0,NOTA[[#This Row],[C]]))</f>
        <v/>
      </c>
      <c r="X1195" s="51" t="str">
        <f>IF(NOTA[[#This Row],[JUMLAH]]="","",NOTA[[#This Row],[JUMLAH]]*NOTA[[#This Row],[DISC 1]])</f>
        <v/>
      </c>
      <c r="Y1195" s="51" t="str">
        <f>IF(NOTA[[#This Row],[JUMLAH]]="","",(NOTA[[#This Row],[JUMLAH]]-NOTA[[#This Row],[DISC 1-]])*NOTA[[#This Row],[DISC 2]])</f>
        <v/>
      </c>
      <c r="Z1195" s="51" t="str">
        <f>IF(NOTA[[#This Row],[JUMLAH]]="","",NOTA[[#This Row],[DISC 1-]]+NOTA[[#This Row],[DISC 2-]])</f>
        <v/>
      </c>
      <c r="AA1195" s="51" t="str">
        <f>IF(NOTA[[#This Row],[JUMLAH]]="","",NOTA[[#This Row],[JUMLAH]]-NOTA[[#This Row],[DISC]])</f>
        <v/>
      </c>
      <c r="AB1195" s="51"/>
      <c r="AC1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5" s="51" t="str">
        <f>IF(OR(NOTA[[#This Row],[QTY]]="",NOTA[[#This Row],[HARGA SATUAN]]="",),"",NOTA[[#This Row],[QTY]]*NOTA[[#This Row],[HARGA SATUAN]])</f>
        <v/>
      </c>
      <c r="AG1195" s="40" t="str">
        <f ca="1">IF(NOTA[ID_H]="","",INDEX(NOTA[TANGGAL],MATCH(,INDIRECT(ADDRESS(ROW(NOTA[TANGGAL]),COLUMN(NOTA[TANGGAL]))&amp;":"&amp;ADDRESS(ROW(),COLUMN(NOTA[TANGGAL]))),-1)))</f>
        <v/>
      </c>
      <c r="AH1195" s="42" t="str">
        <f ca="1">IF(NOTA[[#This Row],[NAMA BARANG]]="","",INDEX(NOTA[SUPPLIER],MATCH(,INDIRECT(ADDRESS(ROW(NOTA[ID]),COLUMN(NOTA[ID]))&amp;":"&amp;ADDRESS(ROW(),COLUMN(NOTA[ID]))),-1)))</f>
        <v/>
      </c>
      <c r="AI1195" s="42" t="str">
        <f ca="1">IF(NOTA[[#This Row],[ID_H]]="","",IF(NOTA[[#This Row],[FAKTUR]]="",INDIRECT(ADDRESS(ROW()-1,COLUMN())),NOTA[[#This Row],[FAKTUR]]))</f>
        <v/>
      </c>
      <c r="AJ1195" s="39" t="str">
        <f ca="1">IF(NOTA[[#This Row],[ID]]="","",COUNTIF(NOTA[ID_H],NOTA[[#This Row],[ID_H]]))</f>
        <v/>
      </c>
      <c r="AK1195" s="39" t="str">
        <f ca="1">IF(NOTA[[#This Row],[TGL.NOTA]]="",IF(NOTA[[#This Row],[SUPPLIER_H]]="","",AK1194),MONTH(NOTA[[#This Row],[TGL.NOTA]]))</f>
        <v/>
      </c>
      <c r="AL1195" s="39" t="str">
        <f>LOWER(SUBSTITUTE(SUBSTITUTE(SUBSTITUTE(SUBSTITUTE(SUBSTITUTE(SUBSTITUTE(SUBSTITUTE(SUBSTITUTE(SUBSTITUTE(NOTA[NAMA BARANG]," ",),".",""),"-",""),"(",""),")",""),",",""),"/",""),"""",""),"+",""))</f>
        <v/>
      </c>
      <c r="AM11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5" s="39" t="str">
        <f>IF(NOTA[[#This Row],[CONCAT4]]="","",_xlfn.IFNA(MATCH(NOTA[[#This Row],[CONCAT4]],[2]!RAW[CONCAT_H],0),FALSE))</f>
        <v/>
      </c>
      <c r="AQ1195" s="39" t="str">
        <f>IF(NOTA[[#This Row],[CONCAT1]]="","",MATCH(NOTA[[#This Row],[CONCAT1]],[3]!db[NB NOTA_C],0))</f>
        <v/>
      </c>
      <c r="AR1195" s="39" t="str">
        <f>IF(NOTA[[#This Row],[QTY/ CTN]]="","",TRUE)</f>
        <v/>
      </c>
      <c r="AS1195" s="39" t="str">
        <f ca="1">IF(NOTA[[#This Row],[ID_H]]="","",IF(NOTA[[#This Row],[Column3]]=TRUE,NOTA[[#This Row],[QTY/ CTN]],INDEX([3]!db[QTY/ CTN],NOTA[[#This Row],[//DB]])))</f>
        <v/>
      </c>
      <c r="AT11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5" s="39" t="str">
        <f ca="1">IF(NOTA[[#This Row],[ID_H]]="","",MATCH(NOTA[[#This Row],[NB NOTA_C_QTY]],[4]!db[NB NOTA_C_QTY+F],0))</f>
        <v/>
      </c>
      <c r="AV1195" s="55" t="str">
        <f ca="1">IF(NOTA[[#This Row],[NB NOTA_C_QTY]]="","",ROW()-2)</f>
        <v/>
      </c>
    </row>
    <row r="1196" spans="1:48" ht="20.100000000000001" customHeight="1" x14ac:dyDescent="0.25">
      <c r="A11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6" s="39" t="str">
        <f>IF(NOTA[[#This Row],[ID_P]]="","",MATCH(NOTA[[#This Row],[ID_P]],[1]!B_MSK[N_ID],0))</f>
        <v/>
      </c>
      <c r="D1196" s="39" t="str">
        <f ca="1">IF(NOTA[[#This Row],[NAMA BARANG]]="","",INDEX(NOTA[ID],MATCH(,INDIRECT(ADDRESS(ROW(NOTA[ID]),COLUMN(NOTA[ID]))&amp;":"&amp;ADDRESS(ROW(),COLUMN(NOTA[ID]))),-1)))</f>
        <v/>
      </c>
      <c r="E1196" s="47"/>
      <c r="H1196" s="48"/>
      <c r="N1196" s="39"/>
      <c r="Q1196" s="43"/>
      <c r="R1196" s="49"/>
      <c r="S1196" s="50"/>
      <c r="U1196" s="51"/>
      <c r="V1196" s="46"/>
      <c r="W1196" s="51" t="str">
        <f>IF(NOTA[[#This Row],[HARGA/ CTN]]="",NOTA[[#This Row],[JUMLAH_H]],NOTA[[#This Row],[HARGA/ CTN]]*IF(NOTA[[#This Row],[C]]="",0,NOTA[[#This Row],[C]]))</f>
        <v/>
      </c>
      <c r="X1196" s="51" t="str">
        <f>IF(NOTA[[#This Row],[JUMLAH]]="","",NOTA[[#This Row],[JUMLAH]]*NOTA[[#This Row],[DISC 1]])</f>
        <v/>
      </c>
      <c r="Y1196" s="51" t="str">
        <f>IF(NOTA[[#This Row],[JUMLAH]]="","",(NOTA[[#This Row],[JUMLAH]]-NOTA[[#This Row],[DISC 1-]])*NOTA[[#This Row],[DISC 2]])</f>
        <v/>
      </c>
      <c r="Z1196" s="51" t="str">
        <f>IF(NOTA[[#This Row],[JUMLAH]]="","",NOTA[[#This Row],[DISC 1-]]+NOTA[[#This Row],[DISC 2-]])</f>
        <v/>
      </c>
      <c r="AA1196" s="51" t="str">
        <f>IF(NOTA[[#This Row],[JUMLAH]]="","",NOTA[[#This Row],[JUMLAH]]-NOTA[[#This Row],[DISC]])</f>
        <v/>
      </c>
      <c r="AB1196" s="51"/>
      <c r="AC1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6" s="51" t="str">
        <f>IF(OR(NOTA[[#This Row],[QTY]]="",NOTA[[#This Row],[HARGA SATUAN]]="",),"",NOTA[[#This Row],[QTY]]*NOTA[[#This Row],[HARGA SATUAN]])</f>
        <v/>
      </c>
      <c r="AG1196" s="40" t="str">
        <f ca="1">IF(NOTA[ID_H]="","",INDEX(NOTA[TANGGAL],MATCH(,INDIRECT(ADDRESS(ROW(NOTA[TANGGAL]),COLUMN(NOTA[TANGGAL]))&amp;":"&amp;ADDRESS(ROW(),COLUMN(NOTA[TANGGAL]))),-1)))</f>
        <v/>
      </c>
      <c r="AH1196" s="42" t="str">
        <f ca="1">IF(NOTA[[#This Row],[NAMA BARANG]]="","",INDEX(NOTA[SUPPLIER],MATCH(,INDIRECT(ADDRESS(ROW(NOTA[ID]),COLUMN(NOTA[ID]))&amp;":"&amp;ADDRESS(ROW(),COLUMN(NOTA[ID]))),-1)))</f>
        <v/>
      </c>
      <c r="AI1196" s="42" t="str">
        <f ca="1">IF(NOTA[[#This Row],[ID_H]]="","",IF(NOTA[[#This Row],[FAKTUR]]="",INDIRECT(ADDRESS(ROW()-1,COLUMN())),NOTA[[#This Row],[FAKTUR]]))</f>
        <v/>
      </c>
      <c r="AJ1196" s="39" t="str">
        <f ca="1">IF(NOTA[[#This Row],[ID]]="","",COUNTIF(NOTA[ID_H],NOTA[[#This Row],[ID_H]]))</f>
        <v/>
      </c>
      <c r="AK1196" s="39" t="str">
        <f ca="1">IF(NOTA[[#This Row],[TGL.NOTA]]="",IF(NOTA[[#This Row],[SUPPLIER_H]]="","",AK1195),MONTH(NOTA[[#This Row],[TGL.NOTA]]))</f>
        <v/>
      </c>
      <c r="AL1196" s="39" t="str">
        <f>LOWER(SUBSTITUTE(SUBSTITUTE(SUBSTITUTE(SUBSTITUTE(SUBSTITUTE(SUBSTITUTE(SUBSTITUTE(SUBSTITUTE(SUBSTITUTE(NOTA[NAMA BARANG]," ",),".",""),"-",""),"(",""),")",""),",",""),"/",""),"""",""),"+",""))</f>
        <v/>
      </c>
      <c r="AM11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6" s="39" t="str">
        <f>IF(NOTA[[#This Row],[CONCAT4]]="","",_xlfn.IFNA(MATCH(NOTA[[#This Row],[CONCAT4]],[2]!RAW[CONCAT_H],0),FALSE))</f>
        <v/>
      </c>
      <c r="AQ1196" s="39" t="str">
        <f>IF(NOTA[[#This Row],[CONCAT1]]="","",MATCH(NOTA[[#This Row],[CONCAT1]],[3]!db[NB NOTA_C],0))</f>
        <v/>
      </c>
      <c r="AR1196" s="39" t="str">
        <f>IF(NOTA[[#This Row],[QTY/ CTN]]="","",TRUE)</f>
        <v/>
      </c>
      <c r="AS1196" s="39" t="str">
        <f ca="1">IF(NOTA[[#This Row],[ID_H]]="","",IF(NOTA[[#This Row],[Column3]]=TRUE,NOTA[[#This Row],[QTY/ CTN]],INDEX([3]!db[QTY/ CTN],NOTA[[#This Row],[//DB]])))</f>
        <v/>
      </c>
      <c r="AT11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6" s="39" t="str">
        <f ca="1">IF(NOTA[[#This Row],[ID_H]]="","",MATCH(NOTA[[#This Row],[NB NOTA_C_QTY]],[4]!db[NB NOTA_C_QTY+F],0))</f>
        <v/>
      </c>
      <c r="AV1196" s="55" t="str">
        <f ca="1">IF(NOTA[[#This Row],[NB NOTA_C_QTY]]="","",ROW()-2)</f>
        <v/>
      </c>
    </row>
    <row r="1197" spans="1:48" ht="20.100000000000001" customHeight="1" x14ac:dyDescent="0.25">
      <c r="A11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7" s="39" t="str">
        <f>IF(NOTA[[#This Row],[ID_P]]="","",MATCH(NOTA[[#This Row],[ID_P]],[1]!B_MSK[N_ID],0))</f>
        <v/>
      </c>
      <c r="D1197" s="39" t="str">
        <f ca="1">IF(NOTA[[#This Row],[NAMA BARANG]]="","",INDEX(NOTA[ID],MATCH(,INDIRECT(ADDRESS(ROW(NOTA[ID]),COLUMN(NOTA[ID]))&amp;":"&amp;ADDRESS(ROW(),COLUMN(NOTA[ID]))),-1)))</f>
        <v/>
      </c>
      <c r="E1197" s="47"/>
      <c r="H1197" s="48"/>
      <c r="N1197" s="39"/>
      <c r="Q1197" s="43"/>
      <c r="R1197" s="49"/>
      <c r="S1197" s="50"/>
      <c r="U1197" s="51"/>
      <c r="V1197" s="46"/>
      <c r="W1197" s="51" t="str">
        <f>IF(NOTA[[#This Row],[HARGA/ CTN]]="",NOTA[[#This Row],[JUMLAH_H]],NOTA[[#This Row],[HARGA/ CTN]]*IF(NOTA[[#This Row],[C]]="",0,NOTA[[#This Row],[C]]))</f>
        <v/>
      </c>
      <c r="X1197" s="51" t="str">
        <f>IF(NOTA[[#This Row],[JUMLAH]]="","",NOTA[[#This Row],[JUMLAH]]*NOTA[[#This Row],[DISC 1]])</f>
        <v/>
      </c>
      <c r="Y1197" s="51" t="str">
        <f>IF(NOTA[[#This Row],[JUMLAH]]="","",(NOTA[[#This Row],[JUMLAH]]-NOTA[[#This Row],[DISC 1-]])*NOTA[[#This Row],[DISC 2]])</f>
        <v/>
      </c>
      <c r="Z1197" s="51" t="str">
        <f>IF(NOTA[[#This Row],[JUMLAH]]="","",NOTA[[#This Row],[DISC 1-]]+NOTA[[#This Row],[DISC 2-]])</f>
        <v/>
      </c>
      <c r="AA1197" s="51" t="str">
        <f>IF(NOTA[[#This Row],[JUMLAH]]="","",NOTA[[#This Row],[JUMLAH]]-NOTA[[#This Row],[DISC]])</f>
        <v/>
      </c>
      <c r="AB1197" s="51"/>
      <c r="AC1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7" s="51" t="str">
        <f>IF(OR(NOTA[[#This Row],[QTY]]="",NOTA[[#This Row],[HARGA SATUAN]]="",),"",NOTA[[#This Row],[QTY]]*NOTA[[#This Row],[HARGA SATUAN]])</f>
        <v/>
      </c>
      <c r="AG1197" s="40" t="str">
        <f ca="1">IF(NOTA[ID_H]="","",INDEX(NOTA[TANGGAL],MATCH(,INDIRECT(ADDRESS(ROW(NOTA[TANGGAL]),COLUMN(NOTA[TANGGAL]))&amp;":"&amp;ADDRESS(ROW(),COLUMN(NOTA[TANGGAL]))),-1)))</f>
        <v/>
      </c>
      <c r="AH1197" s="42" t="str">
        <f ca="1">IF(NOTA[[#This Row],[NAMA BARANG]]="","",INDEX(NOTA[SUPPLIER],MATCH(,INDIRECT(ADDRESS(ROW(NOTA[ID]),COLUMN(NOTA[ID]))&amp;":"&amp;ADDRESS(ROW(),COLUMN(NOTA[ID]))),-1)))</f>
        <v/>
      </c>
      <c r="AI1197" s="42" t="str">
        <f ca="1">IF(NOTA[[#This Row],[ID_H]]="","",IF(NOTA[[#This Row],[FAKTUR]]="",INDIRECT(ADDRESS(ROW()-1,COLUMN())),NOTA[[#This Row],[FAKTUR]]))</f>
        <v/>
      </c>
      <c r="AJ1197" s="39" t="str">
        <f ca="1">IF(NOTA[[#This Row],[ID]]="","",COUNTIF(NOTA[ID_H],NOTA[[#This Row],[ID_H]]))</f>
        <v/>
      </c>
      <c r="AK1197" s="39" t="str">
        <f ca="1">IF(NOTA[[#This Row],[TGL.NOTA]]="",IF(NOTA[[#This Row],[SUPPLIER_H]]="","",AK1196),MONTH(NOTA[[#This Row],[TGL.NOTA]]))</f>
        <v/>
      </c>
      <c r="AL1197" s="39" t="str">
        <f>LOWER(SUBSTITUTE(SUBSTITUTE(SUBSTITUTE(SUBSTITUTE(SUBSTITUTE(SUBSTITUTE(SUBSTITUTE(SUBSTITUTE(SUBSTITUTE(NOTA[NAMA BARANG]," ",),".",""),"-",""),"(",""),")",""),",",""),"/",""),"""",""),"+",""))</f>
        <v/>
      </c>
      <c r="AM11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7" s="39" t="str">
        <f>IF(NOTA[[#This Row],[CONCAT4]]="","",_xlfn.IFNA(MATCH(NOTA[[#This Row],[CONCAT4]],[2]!RAW[CONCAT_H],0),FALSE))</f>
        <v/>
      </c>
      <c r="AQ1197" s="39" t="str">
        <f>IF(NOTA[[#This Row],[CONCAT1]]="","",MATCH(NOTA[[#This Row],[CONCAT1]],[3]!db[NB NOTA_C],0))</f>
        <v/>
      </c>
      <c r="AR1197" s="39" t="str">
        <f>IF(NOTA[[#This Row],[QTY/ CTN]]="","",TRUE)</f>
        <v/>
      </c>
      <c r="AS1197" s="39" t="str">
        <f ca="1">IF(NOTA[[#This Row],[ID_H]]="","",IF(NOTA[[#This Row],[Column3]]=TRUE,NOTA[[#This Row],[QTY/ CTN]],INDEX([3]!db[QTY/ CTN],NOTA[[#This Row],[//DB]])))</f>
        <v/>
      </c>
      <c r="AT11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7" s="39" t="str">
        <f ca="1">IF(NOTA[[#This Row],[ID_H]]="","",MATCH(NOTA[[#This Row],[NB NOTA_C_QTY]],[4]!db[NB NOTA_C_QTY+F],0))</f>
        <v/>
      </c>
      <c r="AV1197" s="55" t="str">
        <f ca="1">IF(NOTA[[#This Row],[NB NOTA_C_QTY]]="","",ROW()-2)</f>
        <v/>
      </c>
    </row>
    <row r="1198" spans="1:48" ht="20.100000000000001" customHeight="1" x14ac:dyDescent="0.25">
      <c r="A11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8" s="39" t="str">
        <f>IF(NOTA[[#This Row],[ID_P]]="","",MATCH(NOTA[[#This Row],[ID_P]],[1]!B_MSK[N_ID],0))</f>
        <v/>
      </c>
      <c r="D1198" s="39" t="str">
        <f ca="1">IF(NOTA[[#This Row],[NAMA BARANG]]="","",INDEX(NOTA[ID],MATCH(,INDIRECT(ADDRESS(ROW(NOTA[ID]),COLUMN(NOTA[ID]))&amp;":"&amp;ADDRESS(ROW(),COLUMN(NOTA[ID]))),-1)))</f>
        <v/>
      </c>
      <c r="E1198" s="47"/>
      <c r="H1198" s="48"/>
      <c r="N1198" s="39"/>
      <c r="Q1198" s="43"/>
      <c r="R1198" s="49"/>
      <c r="S1198" s="50"/>
      <c r="U1198" s="51"/>
      <c r="V1198" s="46"/>
      <c r="W1198" s="51" t="str">
        <f>IF(NOTA[[#This Row],[HARGA/ CTN]]="",NOTA[[#This Row],[JUMLAH_H]],NOTA[[#This Row],[HARGA/ CTN]]*IF(NOTA[[#This Row],[C]]="",0,NOTA[[#This Row],[C]]))</f>
        <v/>
      </c>
      <c r="X1198" s="51" t="str">
        <f>IF(NOTA[[#This Row],[JUMLAH]]="","",NOTA[[#This Row],[JUMLAH]]*NOTA[[#This Row],[DISC 1]])</f>
        <v/>
      </c>
      <c r="Y1198" s="51" t="str">
        <f>IF(NOTA[[#This Row],[JUMLAH]]="","",(NOTA[[#This Row],[JUMLAH]]-NOTA[[#This Row],[DISC 1-]])*NOTA[[#This Row],[DISC 2]])</f>
        <v/>
      </c>
      <c r="Z1198" s="51" t="str">
        <f>IF(NOTA[[#This Row],[JUMLAH]]="","",NOTA[[#This Row],[DISC 1-]]+NOTA[[#This Row],[DISC 2-]])</f>
        <v/>
      </c>
      <c r="AA1198" s="51" t="str">
        <f>IF(NOTA[[#This Row],[JUMLAH]]="","",NOTA[[#This Row],[JUMLAH]]-NOTA[[#This Row],[DISC]])</f>
        <v/>
      </c>
      <c r="AB1198" s="51"/>
      <c r="AC1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8" s="51" t="str">
        <f>IF(OR(NOTA[[#This Row],[QTY]]="",NOTA[[#This Row],[HARGA SATUAN]]="",),"",NOTA[[#This Row],[QTY]]*NOTA[[#This Row],[HARGA SATUAN]])</f>
        <v/>
      </c>
      <c r="AG1198" s="40" t="str">
        <f ca="1">IF(NOTA[ID_H]="","",INDEX(NOTA[TANGGAL],MATCH(,INDIRECT(ADDRESS(ROW(NOTA[TANGGAL]),COLUMN(NOTA[TANGGAL]))&amp;":"&amp;ADDRESS(ROW(),COLUMN(NOTA[TANGGAL]))),-1)))</f>
        <v/>
      </c>
      <c r="AH1198" s="42" t="str">
        <f ca="1">IF(NOTA[[#This Row],[NAMA BARANG]]="","",INDEX(NOTA[SUPPLIER],MATCH(,INDIRECT(ADDRESS(ROW(NOTA[ID]),COLUMN(NOTA[ID]))&amp;":"&amp;ADDRESS(ROW(),COLUMN(NOTA[ID]))),-1)))</f>
        <v/>
      </c>
      <c r="AI1198" s="42" t="str">
        <f ca="1">IF(NOTA[[#This Row],[ID_H]]="","",IF(NOTA[[#This Row],[FAKTUR]]="",INDIRECT(ADDRESS(ROW()-1,COLUMN())),NOTA[[#This Row],[FAKTUR]]))</f>
        <v/>
      </c>
      <c r="AJ1198" s="39" t="str">
        <f ca="1">IF(NOTA[[#This Row],[ID]]="","",COUNTIF(NOTA[ID_H],NOTA[[#This Row],[ID_H]]))</f>
        <v/>
      </c>
      <c r="AK1198" s="39" t="str">
        <f ca="1">IF(NOTA[[#This Row],[TGL.NOTA]]="",IF(NOTA[[#This Row],[SUPPLIER_H]]="","",AK1197),MONTH(NOTA[[#This Row],[TGL.NOTA]]))</f>
        <v/>
      </c>
      <c r="AL1198" s="39" t="str">
        <f>LOWER(SUBSTITUTE(SUBSTITUTE(SUBSTITUTE(SUBSTITUTE(SUBSTITUTE(SUBSTITUTE(SUBSTITUTE(SUBSTITUTE(SUBSTITUTE(NOTA[NAMA BARANG]," ",),".",""),"-",""),"(",""),")",""),",",""),"/",""),"""",""),"+",""))</f>
        <v/>
      </c>
      <c r="AM11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8" s="39" t="str">
        <f>IF(NOTA[[#This Row],[CONCAT4]]="","",_xlfn.IFNA(MATCH(NOTA[[#This Row],[CONCAT4]],[2]!RAW[CONCAT_H],0),FALSE))</f>
        <v/>
      </c>
      <c r="AQ1198" s="39" t="str">
        <f>IF(NOTA[[#This Row],[CONCAT1]]="","",MATCH(NOTA[[#This Row],[CONCAT1]],[3]!db[NB NOTA_C],0))</f>
        <v/>
      </c>
      <c r="AR1198" s="39" t="str">
        <f>IF(NOTA[[#This Row],[QTY/ CTN]]="","",TRUE)</f>
        <v/>
      </c>
      <c r="AS1198" s="39" t="str">
        <f ca="1">IF(NOTA[[#This Row],[ID_H]]="","",IF(NOTA[[#This Row],[Column3]]=TRUE,NOTA[[#This Row],[QTY/ CTN]],INDEX([3]!db[QTY/ CTN],NOTA[[#This Row],[//DB]])))</f>
        <v/>
      </c>
      <c r="AT11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8" s="39" t="str">
        <f ca="1">IF(NOTA[[#This Row],[ID_H]]="","",MATCH(NOTA[[#This Row],[NB NOTA_C_QTY]],[4]!db[NB NOTA_C_QTY+F],0))</f>
        <v/>
      </c>
      <c r="AV1198" s="55" t="str">
        <f ca="1">IF(NOTA[[#This Row],[NB NOTA_C_QTY]]="","",ROW()-2)</f>
        <v/>
      </c>
    </row>
    <row r="1199" spans="1:48" ht="20.100000000000001" customHeight="1" x14ac:dyDescent="0.25">
      <c r="A11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9" s="39" t="str">
        <f>IF(NOTA[[#This Row],[ID_P]]="","",MATCH(NOTA[[#This Row],[ID_P]],[1]!B_MSK[N_ID],0))</f>
        <v/>
      </c>
      <c r="D1199" s="39" t="str">
        <f ca="1">IF(NOTA[[#This Row],[NAMA BARANG]]="","",INDEX(NOTA[ID],MATCH(,INDIRECT(ADDRESS(ROW(NOTA[ID]),COLUMN(NOTA[ID]))&amp;":"&amp;ADDRESS(ROW(),COLUMN(NOTA[ID]))),-1)))</f>
        <v/>
      </c>
      <c r="E1199" s="47"/>
      <c r="H1199" s="48"/>
      <c r="N1199" s="39"/>
      <c r="Q1199" s="43"/>
      <c r="R1199" s="49"/>
      <c r="S1199" s="50"/>
      <c r="U1199" s="51"/>
      <c r="V1199" s="46"/>
      <c r="W1199" s="51" t="str">
        <f>IF(NOTA[[#This Row],[HARGA/ CTN]]="",NOTA[[#This Row],[JUMLAH_H]],NOTA[[#This Row],[HARGA/ CTN]]*IF(NOTA[[#This Row],[C]]="",0,NOTA[[#This Row],[C]]))</f>
        <v/>
      </c>
      <c r="X1199" s="51" t="str">
        <f>IF(NOTA[[#This Row],[JUMLAH]]="","",NOTA[[#This Row],[JUMLAH]]*NOTA[[#This Row],[DISC 1]])</f>
        <v/>
      </c>
      <c r="Y1199" s="51" t="str">
        <f>IF(NOTA[[#This Row],[JUMLAH]]="","",(NOTA[[#This Row],[JUMLAH]]-NOTA[[#This Row],[DISC 1-]])*NOTA[[#This Row],[DISC 2]])</f>
        <v/>
      </c>
      <c r="Z1199" s="51" t="str">
        <f>IF(NOTA[[#This Row],[JUMLAH]]="","",NOTA[[#This Row],[DISC 1-]]+NOTA[[#This Row],[DISC 2-]])</f>
        <v/>
      </c>
      <c r="AA1199" s="51" t="str">
        <f>IF(NOTA[[#This Row],[JUMLAH]]="","",NOTA[[#This Row],[JUMLAH]]-NOTA[[#This Row],[DISC]])</f>
        <v/>
      </c>
      <c r="AB1199" s="51"/>
      <c r="AC1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9" s="51" t="str">
        <f>IF(OR(NOTA[[#This Row],[QTY]]="",NOTA[[#This Row],[HARGA SATUAN]]="",),"",NOTA[[#This Row],[QTY]]*NOTA[[#This Row],[HARGA SATUAN]])</f>
        <v/>
      </c>
      <c r="AG1199" s="40" t="str">
        <f ca="1">IF(NOTA[ID_H]="","",INDEX(NOTA[TANGGAL],MATCH(,INDIRECT(ADDRESS(ROW(NOTA[TANGGAL]),COLUMN(NOTA[TANGGAL]))&amp;":"&amp;ADDRESS(ROW(),COLUMN(NOTA[TANGGAL]))),-1)))</f>
        <v/>
      </c>
      <c r="AH1199" s="42" t="str">
        <f ca="1">IF(NOTA[[#This Row],[NAMA BARANG]]="","",INDEX(NOTA[SUPPLIER],MATCH(,INDIRECT(ADDRESS(ROW(NOTA[ID]),COLUMN(NOTA[ID]))&amp;":"&amp;ADDRESS(ROW(),COLUMN(NOTA[ID]))),-1)))</f>
        <v/>
      </c>
      <c r="AI1199" s="42" t="str">
        <f ca="1">IF(NOTA[[#This Row],[ID_H]]="","",IF(NOTA[[#This Row],[FAKTUR]]="",INDIRECT(ADDRESS(ROW()-1,COLUMN())),NOTA[[#This Row],[FAKTUR]]))</f>
        <v/>
      </c>
      <c r="AJ1199" s="39" t="str">
        <f ca="1">IF(NOTA[[#This Row],[ID]]="","",COUNTIF(NOTA[ID_H],NOTA[[#This Row],[ID_H]]))</f>
        <v/>
      </c>
      <c r="AK1199" s="39" t="str">
        <f ca="1">IF(NOTA[[#This Row],[TGL.NOTA]]="",IF(NOTA[[#This Row],[SUPPLIER_H]]="","",AK1198),MONTH(NOTA[[#This Row],[TGL.NOTA]]))</f>
        <v/>
      </c>
      <c r="AL1199" s="39" t="str">
        <f>LOWER(SUBSTITUTE(SUBSTITUTE(SUBSTITUTE(SUBSTITUTE(SUBSTITUTE(SUBSTITUTE(SUBSTITUTE(SUBSTITUTE(SUBSTITUTE(NOTA[NAMA BARANG]," ",),".",""),"-",""),"(",""),")",""),",",""),"/",""),"""",""),"+",""))</f>
        <v/>
      </c>
      <c r="AM11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9" s="39" t="str">
        <f>IF(NOTA[[#This Row],[CONCAT4]]="","",_xlfn.IFNA(MATCH(NOTA[[#This Row],[CONCAT4]],[2]!RAW[CONCAT_H],0),FALSE))</f>
        <v/>
      </c>
      <c r="AQ1199" s="39" t="str">
        <f>IF(NOTA[[#This Row],[CONCAT1]]="","",MATCH(NOTA[[#This Row],[CONCAT1]],[3]!db[NB NOTA_C],0))</f>
        <v/>
      </c>
      <c r="AR1199" s="39" t="str">
        <f>IF(NOTA[[#This Row],[QTY/ CTN]]="","",TRUE)</f>
        <v/>
      </c>
      <c r="AS1199" s="39" t="str">
        <f ca="1">IF(NOTA[[#This Row],[ID_H]]="","",IF(NOTA[[#This Row],[Column3]]=TRUE,NOTA[[#This Row],[QTY/ CTN]],INDEX([3]!db[QTY/ CTN],NOTA[[#This Row],[//DB]])))</f>
        <v/>
      </c>
      <c r="AT11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9" s="39" t="str">
        <f ca="1">IF(NOTA[[#This Row],[ID_H]]="","",MATCH(NOTA[[#This Row],[NB NOTA_C_QTY]],[4]!db[NB NOTA_C_QTY+F],0))</f>
        <v/>
      </c>
      <c r="AV1199" s="55" t="str">
        <f ca="1">IF(NOTA[[#This Row],[NB NOTA_C_QTY]]="","",ROW()-2)</f>
        <v/>
      </c>
    </row>
    <row r="1200" spans="1:48" ht="20.100000000000001" customHeight="1" x14ac:dyDescent="0.25">
      <c r="A12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0" s="39" t="str">
        <f>IF(NOTA[[#This Row],[ID_P]]="","",MATCH(NOTA[[#This Row],[ID_P]],[1]!B_MSK[N_ID],0))</f>
        <v/>
      </c>
      <c r="D1200" s="39" t="str">
        <f ca="1">IF(NOTA[[#This Row],[NAMA BARANG]]="","",INDEX(NOTA[ID],MATCH(,INDIRECT(ADDRESS(ROW(NOTA[ID]),COLUMN(NOTA[ID]))&amp;":"&amp;ADDRESS(ROW(),COLUMN(NOTA[ID]))),-1)))</f>
        <v/>
      </c>
      <c r="E1200" s="47"/>
      <c r="H1200" s="48"/>
      <c r="N1200" s="39"/>
      <c r="Q1200" s="43"/>
      <c r="R1200" s="49"/>
      <c r="S1200" s="50"/>
      <c r="U1200" s="51"/>
      <c r="V1200" s="46"/>
      <c r="W1200" s="51" t="str">
        <f>IF(NOTA[[#This Row],[HARGA/ CTN]]="",NOTA[[#This Row],[JUMLAH_H]],NOTA[[#This Row],[HARGA/ CTN]]*IF(NOTA[[#This Row],[C]]="",0,NOTA[[#This Row],[C]]))</f>
        <v/>
      </c>
      <c r="X1200" s="51" t="str">
        <f>IF(NOTA[[#This Row],[JUMLAH]]="","",NOTA[[#This Row],[JUMLAH]]*NOTA[[#This Row],[DISC 1]])</f>
        <v/>
      </c>
      <c r="Y1200" s="51" t="str">
        <f>IF(NOTA[[#This Row],[JUMLAH]]="","",(NOTA[[#This Row],[JUMLAH]]-NOTA[[#This Row],[DISC 1-]])*NOTA[[#This Row],[DISC 2]])</f>
        <v/>
      </c>
      <c r="Z1200" s="51" t="str">
        <f>IF(NOTA[[#This Row],[JUMLAH]]="","",NOTA[[#This Row],[DISC 1-]]+NOTA[[#This Row],[DISC 2-]])</f>
        <v/>
      </c>
      <c r="AA1200" s="51" t="str">
        <f>IF(NOTA[[#This Row],[JUMLAH]]="","",NOTA[[#This Row],[JUMLAH]]-NOTA[[#This Row],[DISC]])</f>
        <v/>
      </c>
      <c r="AB1200" s="51"/>
      <c r="AC1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0" s="51" t="str">
        <f>IF(OR(NOTA[[#This Row],[QTY]]="",NOTA[[#This Row],[HARGA SATUAN]]="",),"",NOTA[[#This Row],[QTY]]*NOTA[[#This Row],[HARGA SATUAN]])</f>
        <v/>
      </c>
      <c r="AG1200" s="40" t="str">
        <f ca="1">IF(NOTA[ID_H]="","",INDEX(NOTA[TANGGAL],MATCH(,INDIRECT(ADDRESS(ROW(NOTA[TANGGAL]),COLUMN(NOTA[TANGGAL]))&amp;":"&amp;ADDRESS(ROW(),COLUMN(NOTA[TANGGAL]))),-1)))</f>
        <v/>
      </c>
      <c r="AH1200" s="42" t="str">
        <f ca="1">IF(NOTA[[#This Row],[NAMA BARANG]]="","",INDEX(NOTA[SUPPLIER],MATCH(,INDIRECT(ADDRESS(ROW(NOTA[ID]),COLUMN(NOTA[ID]))&amp;":"&amp;ADDRESS(ROW(),COLUMN(NOTA[ID]))),-1)))</f>
        <v/>
      </c>
      <c r="AI1200" s="42" t="str">
        <f ca="1">IF(NOTA[[#This Row],[ID_H]]="","",IF(NOTA[[#This Row],[FAKTUR]]="",INDIRECT(ADDRESS(ROW()-1,COLUMN())),NOTA[[#This Row],[FAKTUR]]))</f>
        <v/>
      </c>
      <c r="AJ1200" s="39" t="str">
        <f ca="1">IF(NOTA[[#This Row],[ID]]="","",COUNTIF(NOTA[ID_H],NOTA[[#This Row],[ID_H]]))</f>
        <v/>
      </c>
      <c r="AK1200" s="39" t="str">
        <f ca="1">IF(NOTA[[#This Row],[TGL.NOTA]]="",IF(NOTA[[#This Row],[SUPPLIER_H]]="","",AK1199),MONTH(NOTA[[#This Row],[TGL.NOTA]]))</f>
        <v/>
      </c>
      <c r="AL1200" s="39" t="str">
        <f>LOWER(SUBSTITUTE(SUBSTITUTE(SUBSTITUTE(SUBSTITUTE(SUBSTITUTE(SUBSTITUTE(SUBSTITUTE(SUBSTITUTE(SUBSTITUTE(NOTA[NAMA BARANG]," ",),".",""),"-",""),"(",""),")",""),",",""),"/",""),"""",""),"+",""))</f>
        <v/>
      </c>
      <c r="AM12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0" s="39" t="str">
        <f>IF(NOTA[[#This Row],[CONCAT4]]="","",_xlfn.IFNA(MATCH(NOTA[[#This Row],[CONCAT4]],[2]!RAW[CONCAT_H],0),FALSE))</f>
        <v/>
      </c>
      <c r="AQ1200" s="39" t="str">
        <f>IF(NOTA[[#This Row],[CONCAT1]]="","",MATCH(NOTA[[#This Row],[CONCAT1]],[3]!db[NB NOTA_C],0))</f>
        <v/>
      </c>
      <c r="AR1200" s="39" t="str">
        <f>IF(NOTA[[#This Row],[QTY/ CTN]]="","",TRUE)</f>
        <v/>
      </c>
      <c r="AS1200" s="39" t="str">
        <f ca="1">IF(NOTA[[#This Row],[ID_H]]="","",IF(NOTA[[#This Row],[Column3]]=TRUE,NOTA[[#This Row],[QTY/ CTN]],INDEX([3]!db[QTY/ CTN],NOTA[[#This Row],[//DB]])))</f>
        <v/>
      </c>
      <c r="AT12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0" s="39" t="str">
        <f ca="1">IF(NOTA[[#This Row],[ID_H]]="","",MATCH(NOTA[[#This Row],[NB NOTA_C_QTY]],[4]!db[NB NOTA_C_QTY+F],0))</f>
        <v/>
      </c>
      <c r="AV1200" s="55" t="str">
        <f ca="1">IF(NOTA[[#This Row],[NB NOTA_C_QTY]]="","",ROW()-2)</f>
        <v/>
      </c>
    </row>
    <row r="1201" spans="1:48" ht="20.100000000000001" customHeight="1" x14ac:dyDescent="0.25">
      <c r="A12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1" s="39" t="str">
        <f>IF(NOTA[[#This Row],[ID_P]]="","",MATCH(NOTA[[#This Row],[ID_P]],[1]!B_MSK[N_ID],0))</f>
        <v/>
      </c>
      <c r="D1201" s="39" t="str">
        <f ca="1">IF(NOTA[[#This Row],[NAMA BARANG]]="","",INDEX(NOTA[ID],MATCH(,INDIRECT(ADDRESS(ROW(NOTA[ID]),COLUMN(NOTA[ID]))&amp;":"&amp;ADDRESS(ROW(),COLUMN(NOTA[ID]))),-1)))</f>
        <v/>
      </c>
      <c r="E1201" s="47"/>
      <c r="H1201" s="48"/>
      <c r="N1201" s="39"/>
      <c r="Q1201" s="43"/>
      <c r="R1201" s="49"/>
      <c r="S1201" s="50"/>
      <c r="U1201" s="51"/>
      <c r="V1201" s="46"/>
      <c r="W1201" s="51" t="str">
        <f>IF(NOTA[[#This Row],[HARGA/ CTN]]="",NOTA[[#This Row],[JUMLAH_H]],NOTA[[#This Row],[HARGA/ CTN]]*IF(NOTA[[#This Row],[C]]="",0,NOTA[[#This Row],[C]]))</f>
        <v/>
      </c>
      <c r="X1201" s="51" t="str">
        <f>IF(NOTA[[#This Row],[JUMLAH]]="","",NOTA[[#This Row],[JUMLAH]]*NOTA[[#This Row],[DISC 1]])</f>
        <v/>
      </c>
      <c r="Y1201" s="51" t="str">
        <f>IF(NOTA[[#This Row],[JUMLAH]]="","",(NOTA[[#This Row],[JUMLAH]]-NOTA[[#This Row],[DISC 1-]])*NOTA[[#This Row],[DISC 2]])</f>
        <v/>
      </c>
      <c r="Z1201" s="51" t="str">
        <f>IF(NOTA[[#This Row],[JUMLAH]]="","",NOTA[[#This Row],[DISC 1-]]+NOTA[[#This Row],[DISC 2-]])</f>
        <v/>
      </c>
      <c r="AA1201" s="51" t="str">
        <f>IF(NOTA[[#This Row],[JUMLAH]]="","",NOTA[[#This Row],[JUMLAH]]-NOTA[[#This Row],[DISC]])</f>
        <v/>
      </c>
      <c r="AB1201" s="51"/>
      <c r="AC1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1" s="51" t="str">
        <f>IF(OR(NOTA[[#This Row],[QTY]]="",NOTA[[#This Row],[HARGA SATUAN]]="",),"",NOTA[[#This Row],[QTY]]*NOTA[[#This Row],[HARGA SATUAN]])</f>
        <v/>
      </c>
      <c r="AG1201" s="40" t="str">
        <f ca="1">IF(NOTA[ID_H]="","",INDEX(NOTA[TANGGAL],MATCH(,INDIRECT(ADDRESS(ROW(NOTA[TANGGAL]),COLUMN(NOTA[TANGGAL]))&amp;":"&amp;ADDRESS(ROW(),COLUMN(NOTA[TANGGAL]))),-1)))</f>
        <v/>
      </c>
      <c r="AH1201" s="42" t="str">
        <f ca="1">IF(NOTA[[#This Row],[NAMA BARANG]]="","",INDEX(NOTA[SUPPLIER],MATCH(,INDIRECT(ADDRESS(ROW(NOTA[ID]),COLUMN(NOTA[ID]))&amp;":"&amp;ADDRESS(ROW(),COLUMN(NOTA[ID]))),-1)))</f>
        <v/>
      </c>
      <c r="AI1201" s="42" t="str">
        <f ca="1">IF(NOTA[[#This Row],[ID_H]]="","",IF(NOTA[[#This Row],[FAKTUR]]="",INDIRECT(ADDRESS(ROW()-1,COLUMN())),NOTA[[#This Row],[FAKTUR]]))</f>
        <v/>
      </c>
      <c r="AJ1201" s="39" t="str">
        <f ca="1">IF(NOTA[[#This Row],[ID]]="","",COUNTIF(NOTA[ID_H],NOTA[[#This Row],[ID_H]]))</f>
        <v/>
      </c>
      <c r="AK1201" s="39" t="str">
        <f ca="1">IF(NOTA[[#This Row],[TGL.NOTA]]="",IF(NOTA[[#This Row],[SUPPLIER_H]]="","",AK1200),MONTH(NOTA[[#This Row],[TGL.NOTA]]))</f>
        <v/>
      </c>
      <c r="AL1201" s="39" t="str">
        <f>LOWER(SUBSTITUTE(SUBSTITUTE(SUBSTITUTE(SUBSTITUTE(SUBSTITUTE(SUBSTITUTE(SUBSTITUTE(SUBSTITUTE(SUBSTITUTE(NOTA[NAMA BARANG]," ",),".",""),"-",""),"(",""),")",""),",",""),"/",""),"""",""),"+",""))</f>
        <v/>
      </c>
      <c r="AM12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1" s="39" t="str">
        <f>IF(NOTA[[#This Row],[CONCAT4]]="","",_xlfn.IFNA(MATCH(NOTA[[#This Row],[CONCAT4]],[2]!RAW[CONCAT_H],0),FALSE))</f>
        <v/>
      </c>
      <c r="AQ1201" s="39" t="str">
        <f>IF(NOTA[[#This Row],[CONCAT1]]="","",MATCH(NOTA[[#This Row],[CONCAT1]],[3]!db[NB NOTA_C],0))</f>
        <v/>
      </c>
      <c r="AR1201" s="39" t="str">
        <f>IF(NOTA[[#This Row],[QTY/ CTN]]="","",TRUE)</f>
        <v/>
      </c>
      <c r="AS1201" s="39" t="str">
        <f ca="1">IF(NOTA[[#This Row],[ID_H]]="","",IF(NOTA[[#This Row],[Column3]]=TRUE,NOTA[[#This Row],[QTY/ CTN]],INDEX([3]!db[QTY/ CTN],NOTA[[#This Row],[//DB]])))</f>
        <v/>
      </c>
      <c r="AT12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1" s="39" t="str">
        <f ca="1">IF(NOTA[[#This Row],[ID_H]]="","",MATCH(NOTA[[#This Row],[NB NOTA_C_QTY]],[4]!db[NB NOTA_C_QTY+F],0))</f>
        <v/>
      </c>
      <c r="AV1201" s="55" t="str">
        <f ca="1">IF(NOTA[[#This Row],[NB NOTA_C_QTY]]="","",ROW()-2)</f>
        <v/>
      </c>
    </row>
    <row r="1202" spans="1:48" ht="20.100000000000001" customHeight="1" x14ac:dyDescent="0.25">
      <c r="A12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2" s="39" t="str">
        <f>IF(NOTA[[#This Row],[ID_P]]="","",MATCH(NOTA[[#This Row],[ID_P]],[1]!B_MSK[N_ID],0))</f>
        <v/>
      </c>
      <c r="D1202" s="39" t="str">
        <f ca="1">IF(NOTA[[#This Row],[NAMA BARANG]]="","",INDEX(NOTA[ID],MATCH(,INDIRECT(ADDRESS(ROW(NOTA[ID]),COLUMN(NOTA[ID]))&amp;":"&amp;ADDRESS(ROW(),COLUMN(NOTA[ID]))),-1)))</f>
        <v/>
      </c>
      <c r="E1202" s="47"/>
      <c r="H1202" s="48"/>
      <c r="N1202" s="39"/>
      <c r="Q1202" s="43"/>
      <c r="R1202" s="49"/>
      <c r="S1202" s="50"/>
      <c r="U1202" s="51"/>
      <c r="V1202" s="46"/>
      <c r="W1202" s="51" t="str">
        <f>IF(NOTA[[#This Row],[HARGA/ CTN]]="",NOTA[[#This Row],[JUMLAH_H]],NOTA[[#This Row],[HARGA/ CTN]]*IF(NOTA[[#This Row],[C]]="",0,NOTA[[#This Row],[C]]))</f>
        <v/>
      </c>
      <c r="X1202" s="51" t="str">
        <f>IF(NOTA[[#This Row],[JUMLAH]]="","",NOTA[[#This Row],[JUMLAH]]*NOTA[[#This Row],[DISC 1]])</f>
        <v/>
      </c>
      <c r="Y1202" s="51" t="str">
        <f>IF(NOTA[[#This Row],[JUMLAH]]="","",(NOTA[[#This Row],[JUMLAH]]-NOTA[[#This Row],[DISC 1-]])*NOTA[[#This Row],[DISC 2]])</f>
        <v/>
      </c>
      <c r="Z1202" s="51" t="str">
        <f>IF(NOTA[[#This Row],[JUMLAH]]="","",NOTA[[#This Row],[DISC 1-]]+NOTA[[#This Row],[DISC 2-]])</f>
        <v/>
      </c>
      <c r="AA1202" s="51" t="str">
        <f>IF(NOTA[[#This Row],[JUMLAH]]="","",NOTA[[#This Row],[JUMLAH]]-NOTA[[#This Row],[DISC]])</f>
        <v/>
      </c>
      <c r="AB1202" s="51"/>
      <c r="AC12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2" s="51" t="str">
        <f>IF(OR(NOTA[[#This Row],[QTY]]="",NOTA[[#This Row],[HARGA SATUAN]]="",),"",NOTA[[#This Row],[QTY]]*NOTA[[#This Row],[HARGA SATUAN]])</f>
        <v/>
      </c>
      <c r="AG1202" s="40" t="str">
        <f ca="1">IF(NOTA[ID_H]="","",INDEX(NOTA[TANGGAL],MATCH(,INDIRECT(ADDRESS(ROW(NOTA[TANGGAL]),COLUMN(NOTA[TANGGAL]))&amp;":"&amp;ADDRESS(ROW(),COLUMN(NOTA[TANGGAL]))),-1)))</f>
        <v/>
      </c>
      <c r="AH1202" s="42" t="str">
        <f ca="1">IF(NOTA[[#This Row],[NAMA BARANG]]="","",INDEX(NOTA[SUPPLIER],MATCH(,INDIRECT(ADDRESS(ROW(NOTA[ID]),COLUMN(NOTA[ID]))&amp;":"&amp;ADDRESS(ROW(),COLUMN(NOTA[ID]))),-1)))</f>
        <v/>
      </c>
      <c r="AI1202" s="42" t="str">
        <f ca="1">IF(NOTA[[#This Row],[ID_H]]="","",IF(NOTA[[#This Row],[FAKTUR]]="",INDIRECT(ADDRESS(ROW()-1,COLUMN())),NOTA[[#This Row],[FAKTUR]]))</f>
        <v/>
      </c>
      <c r="AJ1202" s="39" t="str">
        <f ca="1">IF(NOTA[[#This Row],[ID]]="","",COUNTIF(NOTA[ID_H],NOTA[[#This Row],[ID_H]]))</f>
        <v/>
      </c>
      <c r="AK1202" s="39" t="str">
        <f ca="1">IF(NOTA[[#This Row],[TGL.NOTA]]="",IF(NOTA[[#This Row],[SUPPLIER_H]]="","",AK1201),MONTH(NOTA[[#This Row],[TGL.NOTA]]))</f>
        <v/>
      </c>
      <c r="AL1202" s="39" t="str">
        <f>LOWER(SUBSTITUTE(SUBSTITUTE(SUBSTITUTE(SUBSTITUTE(SUBSTITUTE(SUBSTITUTE(SUBSTITUTE(SUBSTITUTE(SUBSTITUTE(NOTA[NAMA BARANG]," ",),".",""),"-",""),"(",""),")",""),",",""),"/",""),"""",""),"+",""))</f>
        <v/>
      </c>
      <c r="AM12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2" s="39" t="str">
        <f>IF(NOTA[[#This Row],[CONCAT4]]="","",_xlfn.IFNA(MATCH(NOTA[[#This Row],[CONCAT4]],[2]!RAW[CONCAT_H],0),FALSE))</f>
        <v/>
      </c>
      <c r="AQ1202" s="39" t="str">
        <f>IF(NOTA[[#This Row],[CONCAT1]]="","",MATCH(NOTA[[#This Row],[CONCAT1]],[3]!db[NB NOTA_C],0))</f>
        <v/>
      </c>
      <c r="AR1202" s="39" t="str">
        <f>IF(NOTA[[#This Row],[QTY/ CTN]]="","",TRUE)</f>
        <v/>
      </c>
      <c r="AS1202" s="39" t="str">
        <f ca="1">IF(NOTA[[#This Row],[ID_H]]="","",IF(NOTA[[#This Row],[Column3]]=TRUE,NOTA[[#This Row],[QTY/ CTN]],INDEX([3]!db[QTY/ CTN],NOTA[[#This Row],[//DB]])))</f>
        <v/>
      </c>
      <c r="AT12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2" s="39" t="str">
        <f ca="1">IF(NOTA[[#This Row],[ID_H]]="","",MATCH(NOTA[[#This Row],[NB NOTA_C_QTY]],[4]!db[NB NOTA_C_QTY+F],0))</f>
        <v/>
      </c>
      <c r="AV1202" s="55" t="str">
        <f ca="1">IF(NOTA[[#This Row],[NB NOTA_C_QTY]]="","",ROW()-2)</f>
        <v/>
      </c>
    </row>
    <row r="1203" spans="1:48" ht="20.100000000000001" customHeight="1" x14ac:dyDescent="0.25">
      <c r="A12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3" s="39" t="str">
        <f>IF(NOTA[[#This Row],[ID_P]]="","",MATCH(NOTA[[#This Row],[ID_P]],[1]!B_MSK[N_ID],0))</f>
        <v/>
      </c>
      <c r="D1203" s="39" t="str">
        <f ca="1">IF(NOTA[[#This Row],[NAMA BARANG]]="","",INDEX(NOTA[ID],MATCH(,INDIRECT(ADDRESS(ROW(NOTA[ID]),COLUMN(NOTA[ID]))&amp;":"&amp;ADDRESS(ROW(),COLUMN(NOTA[ID]))),-1)))</f>
        <v/>
      </c>
      <c r="E1203" s="47"/>
      <c r="H1203" s="48"/>
      <c r="N1203" s="39"/>
      <c r="Q1203" s="43"/>
      <c r="R1203" s="49"/>
      <c r="S1203" s="50"/>
      <c r="U1203" s="51"/>
      <c r="V1203" s="46"/>
      <c r="W1203" s="51" t="str">
        <f>IF(NOTA[[#This Row],[HARGA/ CTN]]="",NOTA[[#This Row],[JUMLAH_H]],NOTA[[#This Row],[HARGA/ CTN]]*IF(NOTA[[#This Row],[C]]="",0,NOTA[[#This Row],[C]]))</f>
        <v/>
      </c>
      <c r="X1203" s="51" t="str">
        <f>IF(NOTA[[#This Row],[JUMLAH]]="","",NOTA[[#This Row],[JUMLAH]]*NOTA[[#This Row],[DISC 1]])</f>
        <v/>
      </c>
      <c r="Y1203" s="51" t="str">
        <f>IF(NOTA[[#This Row],[JUMLAH]]="","",(NOTA[[#This Row],[JUMLAH]]-NOTA[[#This Row],[DISC 1-]])*NOTA[[#This Row],[DISC 2]])</f>
        <v/>
      </c>
      <c r="Z1203" s="51" t="str">
        <f>IF(NOTA[[#This Row],[JUMLAH]]="","",NOTA[[#This Row],[DISC 1-]]+NOTA[[#This Row],[DISC 2-]])</f>
        <v/>
      </c>
      <c r="AA1203" s="51" t="str">
        <f>IF(NOTA[[#This Row],[JUMLAH]]="","",NOTA[[#This Row],[JUMLAH]]-NOTA[[#This Row],[DISC]])</f>
        <v/>
      </c>
      <c r="AB1203" s="51"/>
      <c r="AC1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3" s="51" t="str">
        <f>IF(OR(NOTA[[#This Row],[QTY]]="",NOTA[[#This Row],[HARGA SATUAN]]="",),"",NOTA[[#This Row],[QTY]]*NOTA[[#This Row],[HARGA SATUAN]])</f>
        <v/>
      </c>
      <c r="AG1203" s="40" t="str">
        <f ca="1">IF(NOTA[ID_H]="","",INDEX(NOTA[TANGGAL],MATCH(,INDIRECT(ADDRESS(ROW(NOTA[TANGGAL]),COLUMN(NOTA[TANGGAL]))&amp;":"&amp;ADDRESS(ROW(),COLUMN(NOTA[TANGGAL]))),-1)))</f>
        <v/>
      </c>
      <c r="AH1203" s="42" t="str">
        <f ca="1">IF(NOTA[[#This Row],[NAMA BARANG]]="","",INDEX(NOTA[SUPPLIER],MATCH(,INDIRECT(ADDRESS(ROW(NOTA[ID]),COLUMN(NOTA[ID]))&amp;":"&amp;ADDRESS(ROW(),COLUMN(NOTA[ID]))),-1)))</f>
        <v/>
      </c>
      <c r="AI1203" s="42" t="str">
        <f ca="1">IF(NOTA[[#This Row],[ID_H]]="","",IF(NOTA[[#This Row],[FAKTUR]]="",INDIRECT(ADDRESS(ROW()-1,COLUMN())),NOTA[[#This Row],[FAKTUR]]))</f>
        <v/>
      </c>
      <c r="AJ1203" s="39" t="str">
        <f ca="1">IF(NOTA[[#This Row],[ID]]="","",COUNTIF(NOTA[ID_H],NOTA[[#This Row],[ID_H]]))</f>
        <v/>
      </c>
      <c r="AK1203" s="39" t="str">
        <f ca="1">IF(NOTA[[#This Row],[TGL.NOTA]]="",IF(NOTA[[#This Row],[SUPPLIER_H]]="","",AK1202),MONTH(NOTA[[#This Row],[TGL.NOTA]]))</f>
        <v/>
      </c>
      <c r="AL1203" s="39" t="str">
        <f>LOWER(SUBSTITUTE(SUBSTITUTE(SUBSTITUTE(SUBSTITUTE(SUBSTITUTE(SUBSTITUTE(SUBSTITUTE(SUBSTITUTE(SUBSTITUTE(NOTA[NAMA BARANG]," ",),".",""),"-",""),"(",""),")",""),",",""),"/",""),"""",""),"+",""))</f>
        <v/>
      </c>
      <c r="AM12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3" s="39" t="str">
        <f>IF(NOTA[[#This Row],[CONCAT4]]="","",_xlfn.IFNA(MATCH(NOTA[[#This Row],[CONCAT4]],[2]!RAW[CONCAT_H],0),FALSE))</f>
        <v/>
      </c>
      <c r="AQ1203" s="39" t="str">
        <f>IF(NOTA[[#This Row],[CONCAT1]]="","",MATCH(NOTA[[#This Row],[CONCAT1]],[3]!db[NB NOTA_C],0))</f>
        <v/>
      </c>
      <c r="AR1203" s="39" t="str">
        <f>IF(NOTA[[#This Row],[QTY/ CTN]]="","",TRUE)</f>
        <v/>
      </c>
      <c r="AS1203" s="39" t="str">
        <f ca="1">IF(NOTA[[#This Row],[ID_H]]="","",IF(NOTA[[#This Row],[Column3]]=TRUE,NOTA[[#This Row],[QTY/ CTN]],INDEX([3]!db[QTY/ CTN],NOTA[[#This Row],[//DB]])))</f>
        <v/>
      </c>
      <c r="AT12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3" s="39" t="str">
        <f ca="1">IF(NOTA[[#This Row],[ID_H]]="","",MATCH(NOTA[[#This Row],[NB NOTA_C_QTY]],[4]!db[NB NOTA_C_QTY+F],0))</f>
        <v/>
      </c>
      <c r="AV1203" s="55" t="str">
        <f ca="1">IF(NOTA[[#This Row],[NB NOTA_C_QTY]]="","",ROW()-2)</f>
        <v/>
      </c>
    </row>
    <row r="1204" spans="1:48" ht="20.100000000000001" customHeight="1" x14ac:dyDescent="0.25">
      <c r="A12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4" s="39" t="str">
        <f>IF(NOTA[[#This Row],[ID_P]]="","",MATCH(NOTA[[#This Row],[ID_P]],[1]!B_MSK[N_ID],0))</f>
        <v/>
      </c>
      <c r="D1204" s="39" t="str">
        <f ca="1">IF(NOTA[[#This Row],[NAMA BARANG]]="","",INDEX(NOTA[ID],MATCH(,INDIRECT(ADDRESS(ROW(NOTA[ID]),COLUMN(NOTA[ID]))&amp;":"&amp;ADDRESS(ROW(),COLUMN(NOTA[ID]))),-1)))</f>
        <v/>
      </c>
      <c r="E1204" s="47"/>
      <c r="H1204" s="48"/>
      <c r="N1204" s="39"/>
      <c r="Q1204" s="43"/>
      <c r="R1204" s="49"/>
      <c r="S1204" s="50"/>
      <c r="U1204" s="51"/>
      <c r="V1204" s="46"/>
      <c r="W1204" s="51" t="str">
        <f>IF(NOTA[[#This Row],[HARGA/ CTN]]="",NOTA[[#This Row],[JUMLAH_H]],NOTA[[#This Row],[HARGA/ CTN]]*IF(NOTA[[#This Row],[C]]="",0,NOTA[[#This Row],[C]]))</f>
        <v/>
      </c>
      <c r="X1204" s="51" t="str">
        <f>IF(NOTA[[#This Row],[JUMLAH]]="","",NOTA[[#This Row],[JUMLAH]]*NOTA[[#This Row],[DISC 1]])</f>
        <v/>
      </c>
      <c r="Y1204" s="51" t="str">
        <f>IF(NOTA[[#This Row],[JUMLAH]]="","",(NOTA[[#This Row],[JUMLAH]]-NOTA[[#This Row],[DISC 1-]])*NOTA[[#This Row],[DISC 2]])</f>
        <v/>
      </c>
      <c r="Z1204" s="51" t="str">
        <f>IF(NOTA[[#This Row],[JUMLAH]]="","",NOTA[[#This Row],[DISC 1-]]+NOTA[[#This Row],[DISC 2-]])</f>
        <v/>
      </c>
      <c r="AA1204" s="51" t="str">
        <f>IF(NOTA[[#This Row],[JUMLAH]]="","",NOTA[[#This Row],[JUMLAH]]-NOTA[[#This Row],[DISC]])</f>
        <v/>
      </c>
      <c r="AB1204" s="51"/>
      <c r="AC1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4" s="51" t="str">
        <f>IF(OR(NOTA[[#This Row],[QTY]]="",NOTA[[#This Row],[HARGA SATUAN]]="",),"",NOTA[[#This Row],[QTY]]*NOTA[[#This Row],[HARGA SATUAN]])</f>
        <v/>
      </c>
      <c r="AG1204" s="40" t="str">
        <f ca="1">IF(NOTA[ID_H]="","",INDEX(NOTA[TANGGAL],MATCH(,INDIRECT(ADDRESS(ROW(NOTA[TANGGAL]),COLUMN(NOTA[TANGGAL]))&amp;":"&amp;ADDRESS(ROW(),COLUMN(NOTA[TANGGAL]))),-1)))</f>
        <v/>
      </c>
      <c r="AH1204" s="42" t="str">
        <f ca="1">IF(NOTA[[#This Row],[NAMA BARANG]]="","",INDEX(NOTA[SUPPLIER],MATCH(,INDIRECT(ADDRESS(ROW(NOTA[ID]),COLUMN(NOTA[ID]))&amp;":"&amp;ADDRESS(ROW(),COLUMN(NOTA[ID]))),-1)))</f>
        <v/>
      </c>
      <c r="AI1204" s="42" t="str">
        <f ca="1">IF(NOTA[[#This Row],[ID_H]]="","",IF(NOTA[[#This Row],[FAKTUR]]="",INDIRECT(ADDRESS(ROW()-1,COLUMN())),NOTA[[#This Row],[FAKTUR]]))</f>
        <v/>
      </c>
      <c r="AJ1204" s="39" t="str">
        <f ca="1">IF(NOTA[[#This Row],[ID]]="","",COUNTIF(NOTA[ID_H],NOTA[[#This Row],[ID_H]]))</f>
        <v/>
      </c>
      <c r="AK1204" s="39" t="str">
        <f ca="1">IF(NOTA[[#This Row],[TGL.NOTA]]="",IF(NOTA[[#This Row],[SUPPLIER_H]]="","",AK1203),MONTH(NOTA[[#This Row],[TGL.NOTA]]))</f>
        <v/>
      </c>
      <c r="AL1204" s="39" t="str">
        <f>LOWER(SUBSTITUTE(SUBSTITUTE(SUBSTITUTE(SUBSTITUTE(SUBSTITUTE(SUBSTITUTE(SUBSTITUTE(SUBSTITUTE(SUBSTITUTE(NOTA[NAMA BARANG]," ",),".",""),"-",""),"(",""),")",""),",",""),"/",""),"""",""),"+",""))</f>
        <v/>
      </c>
      <c r="AM12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4" s="39" t="str">
        <f>IF(NOTA[[#This Row],[CONCAT4]]="","",_xlfn.IFNA(MATCH(NOTA[[#This Row],[CONCAT4]],[2]!RAW[CONCAT_H],0),FALSE))</f>
        <v/>
      </c>
      <c r="AQ1204" s="39" t="str">
        <f>IF(NOTA[[#This Row],[CONCAT1]]="","",MATCH(NOTA[[#This Row],[CONCAT1]],[3]!db[NB NOTA_C],0))</f>
        <v/>
      </c>
      <c r="AR1204" s="39" t="str">
        <f>IF(NOTA[[#This Row],[QTY/ CTN]]="","",TRUE)</f>
        <v/>
      </c>
      <c r="AS1204" s="39" t="str">
        <f ca="1">IF(NOTA[[#This Row],[ID_H]]="","",IF(NOTA[[#This Row],[Column3]]=TRUE,NOTA[[#This Row],[QTY/ CTN]],INDEX([3]!db[QTY/ CTN],NOTA[[#This Row],[//DB]])))</f>
        <v/>
      </c>
      <c r="AT12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4" s="39" t="str">
        <f ca="1">IF(NOTA[[#This Row],[ID_H]]="","",MATCH(NOTA[[#This Row],[NB NOTA_C_QTY]],[4]!db[NB NOTA_C_QTY+F],0))</f>
        <v/>
      </c>
      <c r="AV1204" s="55" t="str">
        <f ca="1">IF(NOTA[[#This Row],[NB NOTA_C_QTY]]="","",ROW()-2)</f>
        <v/>
      </c>
    </row>
    <row r="1205" spans="1:48" ht="20.100000000000001" customHeight="1" x14ac:dyDescent="0.25">
      <c r="A12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5" s="39" t="str">
        <f>IF(NOTA[[#This Row],[ID_P]]="","",MATCH(NOTA[[#This Row],[ID_P]],[1]!B_MSK[N_ID],0))</f>
        <v/>
      </c>
      <c r="D1205" s="39" t="str">
        <f ca="1">IF(NOTA[[#This Row],[NAMA BARANG]]="","",INDEX(NOTA[ID],MATCH(,INDIRECT(ADDRESS(ROW(NOTA[ID]),COLUMN(NOTA[ID]))&amp;":"&amp;ADDRESS(ROW(),COLUMN(NOTA[ID]))),-1)))</f>
        <v/>
      </c>
      <c r="E1205" s="47"/>
      <c r="H1205" s="48"/>
      <c r="N1205" s="39"/>
      <c r="Q1205" s="43"/>
      <c r="R1205" s="49"/>
      <c r="S1205" s="50"/>
      <c r="U1205" s="51"/>
      <c r="V1205" s="46"/>
      <c r="W1205" s="51" t="str">
        <f>IF(NOTA[[#This Row],[HARGA/ CTN]]="",NOTA[[#This Row],[JUMLAH_H]],NOTA[[#This Row],[HARGA/ CTN]]*IF(NOTA[[#This Row],[C]]="",0,NOTA[[#This Row],[C]]))</f>
        <v/>
      </c>
      <c r="X1205" s="51" t="str">
        <f>IF(NOTA[[#This Row],[JUMLAH]]="","",NOTA[[#This Row],[JUMLAH]]*NOTA[[#This Row],[DISC 1]])</f>
        <v/>
      </c>
      <c r="Y1205" s="51" t="str">
        <f>IF(NOTA[[#This Row],[JUMLAH]]="","",(NOTA[[#This Row],[JUMLAH]]-NOTA[[#This Row],[DISC 1-]])*NOTA[[#This Row],[DISC 2]])</f>
        <v/>
      </c>
      <c r="Z1205" s="51" t="str">
        <f>IF(NOTA[[#This Row],[JUMLAH]]="","",NOTA[[#This Row],[DISC 1-]]+NOTA[[#This Row],[DISC 2-]])</f>
        <v/>
      </c>
      <c r="AA1205" s="51" t="str">
        <f>IF(NOTA[[#This Row],[JUMLAH]]="","",NOTA[[#This Row],[JUMLAH]]-NOTA[[#This Row],[DISC]])</f>
        <v/>
      </c>
      <c r="AB1205" s="51"/>
      <c r="AC1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5" s="51" t="str">
        <f>IF(OR(NOTA[[#This Row],[QTY]]="",NOTA[[#This Row],[HARGA SATUAN]]="",),"",NOTA[[#This Row],[QTY]]*NOTA[[#This Row],[HARGA SATUAN]])</f>
        <v/>
      </c>
      <c r="AG1205" s="40" t="str">
        <f ca="1">IF(NOTA[ID_H]="","",INDEX(NOTA[TANGGAL],MATCH(,INDIRECT(ADDRESS(ROW(NOTA[TANGGAL]),COLUMN(NOTA[TANGGAL]))&amp;":"&amp;ADDRESS(ROW(),COLUMN(NOTA[TANGGAL]))),-1)))</f>
        <v/>
      </c>
      <c r="AH1205" s="42" t="str">
        <f ca="1">IF(NOTA[[#This Row],[NAMA BARANG]]="","",INDEX(NOTA[SUPPLIER],MATCH(,INDIRECT(ADDRESS(ROW(NOTA[ID]),COLUMN(NOTA[ID]))&amp;":"&amp;ADDRESS(ROW(),COLUMN(NOTA[ID]))),-1)))</f>
        <v/>
      </c>
      <c r="AI1205" s="42" t="str">
        <f ca="1">IF(NOTA[[#This Row],[ID_H]]="","",IF(NOTA[[#This Row],[FAKTUR]]="",INDIRECT(ADDRESS(ROW()-1,COLUMN())),NOTA[[#This Row],[FAKTUR]]))</f>
        <v/>
      </c>
      <c r="AJ1205" s="39" t="str">
        <f ca="1">IF(NOTA[[#This Row],[ID]]="","",COUNTIF(NOTA[ID_H],NOTA[[#This Row],[ID_H]]))</f>
        <v/>
      </c>
      <c r="AK1205" s="39" t="str">
        <f ca="1">IF(NOTA[[#This Row],[TGL.NOTA]]="",IF(NOTA[[#This Row],[SUPPLIER_H]]="","",AK1204),MONTH(NOTA[[#This Row],[TGL.NOTA]]))</f>
        <v/>
      </c>
      <c r="AL1205" s="39" t="str">
        <f>LOWER(SUBSTITUTE(SUBSTITUTE(SUBSTITUTE(SUBSTITUTE(SUBSTITUTE(SUBSTITUTE(SUBSTITUTE(SUBSTITUTE(SUBSTITUTE(NOTA[NAMA BARANG]," ",),".",""),"-",""),"(",""),")",""),",",""),"/",""),"""",""),"+",""))</f>
        <v/>
      </c>
      <c r="AM12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5" s="39" t="str">
        <f>IF(NOTA[[#This Row],[CONCAT4]]="","",_xlfn.IFNA(MATCH(NOTA[[#This Row],[CONCAT4]],[2]!RAW[CONCAT_H],0),FALSE))</f>
        <v/>
      </c>
      <c r="AQ1205" s="39" t="str">
        <f>IF(NOTA[[#This Row],[CONCAT1]]="","",MATCH(NOTA[[#This Row],[CONCAT1]],[3]!db[NB NOTA_C],0))</f>
        <v/>
      </c>
      <c r="AR1205" s="39" t="str">
        <f>IF(NOTA[[#This Row],[QTY/ CTN]]="","",TRUE)</f>
        <v/>
      </c>
      <c r="AS1205" s="39" t="str">
        <f ca="1">IF(NOTA[[#This Row],[ID_H]]="","",IF(NOTA[[#This Row],[Column3]]=TRUE,NOTA[[#This Row],[QTY/ CTN]],INDEX([3]!db[QTY/ CTN],NOTA[[#This Row],[//DB]])))</f>
        <v/>
      </c>
      <c r="AT12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5" s="39" t="str">
        <f ca="1">IF(NOTA[[#This Row],[ID_H]]="","",MATCH(NOTA[[#This Row],[NB NOTA_C_QTY]],[4]!db[NB NOTA_C_QTY+F],0))</f>
        <v/>
      </c>
      <c r="AV1205" s="55" t="str">
        <f ca="1">IF(NOTA[[#This Row],[NB NOTA_C_QTY]]="","",ROW()-2)</f>
        <v/>
      </c>
    </row>
    <row r="1206" spans="1:48" ht="20.100000000000001" customHeight="1" x14ac:dyDescent="0.25">
      <c r="A12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6" s="39" t="str">
        <f>IF(NOTA[[#This Row],[ID_P]]="","",MATCH(NOTA[[#This Row],[ID_P]],[1]!B_MSK[N_ID],0))</f>
        <v/>
      </c>
      <c r="D1206" s="39" t="str">
        <f ca="1">IF(NOTA[[#This Row],[NAMA BARANG]]="","",INDEX(NOTA[ID],MATCH(,INDIRECT(ADDRESS(ROW(NOTA[ID]),COLUMN(NOTA[ID]))&amp;":"&amp;ADDRESS(ROW(),COLUMN(NOTA[ID]))),-1)))</f>
        <v/>
      </c>
      <c r="E1206" s="47"/>
      <c r="H1206" s="48"/>
      <c r="N1206" s="39"/>
      <c r="Q1206" s="43"/>
      <c r="R1206" s="49"/>
      <c r="S1206" s="50"/>
      <c r="U1206" s="51"/>
      <c r="V1206" s="46"/>
      <c r="W1206" s="51" t="str">
        <f>IF(NOTA[[#This Row],[HARGA/ CTN]]="",NOTA[[#This Row],[JUMLAH_H]],NOTA[[#This Row],[HARGA/ CTN]]*IF(NOTA[[#This Row],[C]]="",0,NOTA[[#This Row],[C]]))</f>
        <v/>
      </c>
      <c r="X1206" s="51" t="str">
        <f>IF(NOTA[[#This Row],[JUMLAH]]="","",NOTA[[#This Row],[JUMLAH]]*NOTA[[#This Row],[DISC 1]])</f>
        <v/>
      </c>
      <c r="Y1206" s="51" t="str">
        <f>IF(NOTA[[#This Row],[JUMLAH]]="","",(NOTA[[#This Row],[JUMLAH]]-NOTA[[#This Row],[DISC 1-]])*NOTA[[#This Row],[DISC 2]])</f>
        <v/>
      </c>
      <c r="Z1206" s="51" t="str">
        <f>IF(NOTA[[#This Row],[JUMLAH]]="","",NOTA[[#This Row],[DISC 1-]]+NOTA[[#This Row],[DISC 2-]])</f>
        <v/>
      </c>
      <c r="AA1206" s="51" t="str">
        <f>IF(NOTA[[#This Row],[JUMLAH]]="","",NOTA[[#This Row],[JUMLAH]]-NOTA[[#This Row],[DISC]])</f>
        <v/>
      </c>
      <c r="AB1206" s="51"/>
      <c r="AC1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6" s="51" t="str">
        <f>IF(OR(NOTA[[#This Row],[QTY]]="",NOTA[[#This Row],[HARGA SATUAN]]="",),"",NOTA[[#This Row],[QTY]]*NOTA[[#This Row],[HARGA SATUAN]])</f>
        <v/>
      </c>
      <c r="AG1206" s="40" t="str">
        <f ca="1">IF(NOTA[ID_H]="","",INDEX(NOTA[TANGGAL],MATCH(,INDIRECT(ADDRESS(ROW(NOTA[TANGGAL]),COLUMN(NOTA[TANGGAL]))&amp;":"&amp;ADDRESS(ROW(),COLUMN(NOTA[TANGGAL]))),-1)))</f>
        <v/>
      </c>
      <c r="AH1206" s="42" t="str">
        <f ca="1">IF(NOTA[[#This Row],[NAMA BARANG]]="","",INDEX(NOTA[SUPPLIER],MATCH(,INDIRECT(ADDRESS(ROW(NOTA[ID]),COLUMN(NOTA[ID]))&amp;":"&amp;ADDRESS(ROW(),COLUMN(NOTA[ID]))),-1)))</f>
        <v/>
      </c>
      <c r="AI1206" s="42" t="str">
        <f ca="1">IF(NOTA[[#This Row],[ID_H]]="","",IF(NOTA[[#This Row],[FAKTUR]]="",INDIRECT(ADDRESS(ROW()-1,COLUMN())),NOTA[[#This Row],[FAKTUR]]))</f>
        <v/>
      </c>
      <c r="AJ1206" s="39" t="str">
        <f ca="1">IF(NOTA[[#This Row],[ID]]="","",COUNTIF(NOTA[ID_H],NOTA[[#This Row],[ID_H]]))</f>
        <v/>
      </c>
      <c r="AK1206" s="39" t="str">
        <f ca="1">IF(NOTA[[#This Row],[TGL.NOTA]]="",IF(NOTA[[#This Row],[SUPPLIER_H]]="","",AK1205),MONTH(NOTA[[#This Row],[TGL.NOTA]]))</f>
        <v/>
      </c>
      <c r="AL1206" s="39" t="str">
        <f>LOWER(SUBSTITUTE(SUBSTITUTE(SUBSTITUTE(SUBSTITUTE(SUBSTITUTE(SUBSTITUTE(SUBSTITUTE(SUBSTITUTE(SUBSTITUTE(NOTA[NAMA BARANG]," ",),".",""),"-",""),"(",""),")",""),",",""),"/",""),"""",""),"+",""))</f>
        <v/>
      </c>
      <c r="AM12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6" s="39" t="str">
        <f>IF(NOTA[[#This Row],[CONCAT4]]="","",_xlfn.IFNA(MATCH(NOTA[[#This Row],[CONCAT4]],[2]!RAW[CONCAT_H],0),FALSE))</f>
        <v/>
      </c>
      <c r="AQ1206" s="39" t="str">
        <f>IF(NOTA[[#This Row],[CONCAT1]]="","",MATCH(NOTA[[#This Row],[CONCAT1]],[3]!db[NB NOTA_C],0))</f>
        <v/>
      </c>
      <c r="AR1206" s="39" t="str">
        <f>IF(NOTA[[#This Row],[QTY/ CTN]]="","",TRUE)</f>
        <v/>
      </c>
      <c r="AS1206" s="39" t="str">
        <f ca="1">IF(NOTA[[#This Row],[ID_H]]="","",IF(NOTA[[#This Row],[Column3]]=TRUE,NOTA[[#This Row],[QTY/ CTN]],INDEX([3]!db[QTY/ CTN],NOTA[[#This Row],[//DB]])))</f>
        <v/>
      </c>
      <c r="AT12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6" s="39" t="str">
        <f ca="1">IF(NOTA[[#This Row],[ID_H]]="","",MATCH(NOTA[[#This Row],[NB NOTA_C_QTY]],[4]!db[NB NOTA_C_QTY+F],0))</f>
        <v/>
      </c>
      <c r="AV1206" s="55" t="str">
        <f ca="1">IF(NOTA[[#This Row],[NB NOTA_C_QTY]]="","",ROW()-2)</f>
        <v/>
      </c>
    </row>
    <row r="1207" spans="1:48" ht="20.100000000000001" customHeight="1" x14ac:dyDescent="0.25">
      <c r="A12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7" s="39" t="str">
        <f>IF(NOTA[[#This Row],[ID_P]]="","",MATCH(NOTA[[#This Row],[ID_P]],[1]!B_MSK[N_ID],0))</f>
        <v/>
      </c>
      <c r="D1207" s="39" t="str">
        <f ca="1">IF(NOTA[[#This Row],[NAMA BARANG]]="","",INDEX(NOTA[ID],MATCH(,INDIRECT(ADDRESS(ROW(NOTA[ID]),COLUMN(NOTA[ID]))&amp;":"&amp;ADDRESS(ROW(),COLUMN(NOTA[ID]))),-1)))</f>
        <v/>
      </c>
      <c r="E1207" s="47"/>
      <c r="H1207" s="48"/>
      <c r="N1207" s="39"/>
      <c r="Q1207" s="43"/>
      <c r="R1207" s="49"/>
      <c r="S1207" s="50"/>
      <c r="U1207" s="51"/>
      <c r="V1207" s="46"/>
      <c r="W1207" s="51" t="str">
        <f>IF(NOTA[[#This Row],[HARGA/ CTN]]="",NOTA[[#This Row],[JUMLAH_H]],NOTA[[#This Row],[HARGA/ CTN]]*IF(NOTA[[#This Row],[C]]="",0,NOTA[[#This Row],[C]]))</f>
        <v/>
      </c>
      <c r="X1207" s="51" t="str">
        <f>IF(NOTA[[#This Row],[JUMLAH]]="","",NOTA[[#This Row],[JUMLAH]]*NOTA[[#This Row],[DISC 1]])</f>
        <v/>
      </c>
      <c r="Y1207" s="51" t="str">
        <f>IF(NOTA[[#This Row],[JUMLAH]]="","",(NOTA[[#This Row],[JUMLAH]]-NOTA[[#This Row],[DISC 1-]])*NOTA[[#This Row],[DISC 2]])</f>
        <v/>
      </c>
      <c r="Z1207" s="51" t="str">
        <f>IF(NOTA[[#This Row],[JUMLAH]]="","",NOTA[[#This Row],[DISC 1-]]+NOTA[[#This Row],[DISC 2-]])</f>
        <v/>
      </c>
      <c r="AA1207" s="51" t="str">
        <f>IF(NOTA[[#This Row],[JUMLAH]]="","",NOTA[[#This Row],[JUMLAH]]-NOTA[[#This Row],[DISC]])</f>
        <v/>
      </c>
      <c r="AB1207" s="51"/>
      <c r="AC1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7" s="51" t="str">
        <f>IF(OR(NOTA[[#This Row],[QTY]]="",NOTA[[#This Row],[HARGA SATUAN]]="",),"",NOTA[[#This Row],[QTY]]*NOTA[[#This Row],[HARGA SATUAN]])</f>
        <v/>
      </c>
      <c r="AG1207" s="40" t="str">
        <f ca="1">IF(NOTA[ID_H]="","",INDEX(NOTA[TANGGAL],MATCH(,INDIRECT(ADDRESS(ROW(NOTA[TANGGAL]),COLUMN(NOTA[TANGGAL]))&amp;":"&amp;ADDRESS(ROW(),COLUMN(NOTA[TANGGAL]))),-1)))</f>
        <v/>
      </c>
      <c r="AH1207" s="42" t="str">
        <f ca="1">IF(NOTA[[#This Row],[NAMA BARANG]]="","",INDEX(NOTA[SUPPLIER],MATCH(,INDIRECT(ADDRESS(ROW(NOTA[ID]),COLUMN(NOTA[ID]))&amp;":"&amp;ADDRESS(ROW(),COLUMN(NOTA[ID]))),-1)))</f>
        <v/>
      </c>
      <c r="AI1207" s="42" t="str">
        <f ca="1">IF(NOTA[[#This Row],[ID_H]]="","",IF(NOTA[[#This Row],[FAKTUR]]="",INDIRECT(ADDRESS(ROW()-1,COLUMN())),NOTA[[#This Row],[FAKTUR]]))</f>
        <v/>
      </c>
      <c r="AJ1207" s="39" t="str">
        <f ca="1">IF(NOTA[[#This Row],[ID]]="","",COUNTIF(NOTA[ID_H],NOTA[[#This Row],[ID_H]]))</f>
        <v/>
      </c>
      <c r="AK1207" s="39" t="str">
        <f ca="1">IF(NOTA[[#This Row],[TGL.NOTA]]="",IF(NOTA[[#This Row],[SUPPLIER_H]]="","",AK1206),MONTH(NOTA[[#This Row],[TGL.NOTA]]))</f>
        <v/>
      </c>
      <c r="AL1207" s="39" t="str">
        <f>LOWER(SUBSTITUTE(SUBSTITUTE(SUBSTITUTE(SUBSTITUTE(SUBSTITUTE(SUBSTITUTE(SUBSTITUTE(SUBSTITUTE(SUBSTITUTE(NOTA[NAMA BARANG]," ",),".",""),"-",""),"(",""),")",""),",",""),"/",""),"""",""),"+",""))</f>
        <v/>
      </c>
      <c r="AM12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7" s="39" t="str">
        <f>IF(NOTA[[#This Row],[CONCAT4]]="","",_xlfn.IFNA(MATCH(NOTA[[#This Row],[CONCAT4]],[2]!RAW[CONCAT_H],0),FALSE))</f>
        <v/>
      </c>
      <c r="AQ1207" s="39" t="str">
        <f>IF(NOTA[[#This Row],[CONCAT1]]="","",MATCH(NOTA[[#This Row],[CONCAT1]],[3]!db[NB NOTA_C],0))</f>
        <v/>
      </c>
      <c r="AR1207" s="39" t="str">
        <f>IF(NOTA[[#This Row],[QTY/ CTN]]="","",TRUE)</f>
        <v/>
      </c>
      <c r="AS1207" s="39" t="str">
        <f ca="1">IF(NOTA[[#This Row],[ID_H]]="","",IF(NOTA[[#This Row],[Column3]]=TRUE,NOTA[[#This Row],[QTY/ CTN]],INDEX([3]!db[QTY/ CTN],NOTA[[#This Row],[//DB]])))</f>
        <v/>
      </c>
      <c r="AT12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7" s="39" t="str">
        <f ca="1">IF(NOTA[[#This Row],[ID_H]]="","",MATCH(NOTA[[#This Row],[NB NOTA_C_QTY]],[4]!db[NB NOTA_C_QTY+F],0))</f>
        <v/>
      </c>
      <c r="AV1207" s="55" t="str">
        <f ca="1">IF(NOTA[[#This Row],[NB NOTA_C_QTY]]="","",ROW()-2)</f>
        <v/>
      </c>
    </row>
    <row r="1208" spans="1:48" ht="20.100000000000001" customHeight="1" x14ac:dyDescent="0.25">
      <c r="A12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8" s="39" t="str">
        <f>IF(NOTA[[#This Row],[ID_P]]="","",MATCH(NOTA[[#This Row],[ID_P]],[1]!B_MSK[N_ID],0))</f>
        <v/>
      </c>
      <c r="D1208" s="39" t="str">
        <f ca="1">IF(NOTA[[#This Row],[NAMA BARANG]]="","",INDEX(NOTA[ID],MATCH(,INDIRECT(ADDRESS(ROW(NOTA[ID]),COLUMN(NOTA[ID]))&amp;":"&amp;ADDRESS(ROW(),COLUMN(NOTA[ID]))),-1)))</f>
        <v/>
      </c>
      <c r="E1208" s="47"/>
      <c r="H1208" s="48"/>
      <c r="N1208" s="39"/>
      <c r="Q1208" s="43"/>
      <c r="R1208" s="49"/>
      <c r="S1208" s="50"/>
      <c r="U1208" s="51"/>
      <c r="V1208" s="46"/>
      <c r="W1208" s="51" t="str">
        <f>IF(NOTA[[#This Row],[HARGA/ CTN]]="",NOTA[[#This Row],[JUMLAH_H]],NOTA[[#This Row],[HARGA/ CTN]]*IF(NOTA[[#This Row],[C]]="",0,NOTA[[#This Row],[C]]))</f>
        <v/>
      </c>
      <c r="X1208" s="51" t="str">
        <f>IF(NOTA[[#This Row],[JUMLAH]]="","",NOTA[[#This Row],[JUMLAH]]*NOTA[[#This Row],[DISC 1]])</f>
        <v/>
      </c>
      <c r="Y1208" s="51" t="str">
        <f>IF(NOTA[[#This Row],[JUMLAH]]="","",(NOTA[[#This Row],[JUMLAH]]-NOTA[[#This Row],[DISC 1-]])*NOTA[[#This Row],[DISC 2]])</f>
        <v/>
      </c>
      <c r="Z1208" s="51" t="str">
        <f>IF(NOTA[[#This Row],[JUMLAH]]="","",NOTA[[#This Row],[DISC 1-]]+NOTA[[#This Row],[DISC 2-]])</f>
        <v/>
      </c>
      <c r="AA1208" s="51" t="str">
        <f>IF(NOTA[[#This Row],[JUMLAH]]="","",NOTA[[#This Row],[JUMLAH]]-NOTA[[#This Row],[DISC]])</f>
        <v/>
      </c>
      <c r="AB1208" s="51"/>
      <c r="AC1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8" s="51" t="str">
        <f>IF(OR(NOTA[[#This Row],[QTY]]="",NOTA[[#This Row],[HARGA SATUAN]]="",),"",NOTA[[#This Row],[QTY]]*NOTA[[#This Row],[HARGA SATUAN]])</f>
        <v/>
      </c>
      <c r="AG1208" s="40" t="str">
        <f ca="1">IF(NOTA[ID_H]="","",INDEX(NOTA[TANGGAL],MATCH(,INDIRECT(ADDRESS(ROW(NOTA[TANGGAL]),COLUMN(NOTA[TANGGAL]))&amp;":"&amp;ADDRESS(ROW(),COLUMN(NOTA[TANGGAL]))),-1)))</f>
        <v/>
      </c>
      <c r="AH1208" s="42" t="str">
        <f ca="1">IF(NOTA[[#This Row],[NAMA BARANG]]="","",INDEX(NOTA[SUPPLIER],MATCH(,INDIRECT(ADDRESS(ROW(NOTA[ID]),COLUMN(NOTA[ID]))&amp;":"&amp;ADDRESS(ROW(),COLUMN(NOTA[ID]))),-1)))</f>
        <v/>
      </c>
      <c r="AI1208" s="42" t="str">
        <f ca="1">IF(NOTA[[#This Row],[ID_H]]="","",IF(NOTA[[#This Row],[FAKTUR]]="",INDIRECT(ADDRESS(ROW()-1,COLUMN())),NOTA[[#This Row],[FAKTUR]]))</f>
        <v/>
      </c>
      <c r="AJ1208" s="39" t="str">
        <f ca="1">IF(NOTA[[#This Row],[ID]]="","",COUNTIF(NOTA[ID_H],NOTA[[#This Row],[ID_H]]))</f>
        <v/>
      </c>
      <c r="AK1208" s="39" t="str">
        <f ca="1">IF(NOTA[[#This Row],[TGL.NOTA]]="",IF(NOTA[[#This Row],[SUPPLIER_H]]="","",AK1207),MONTH(NOTA[[#This Row],[TGL.NOTA]]))</f>
        <v/>
      </c>
      <c r="AL1208" s="39" t="str">
        <f>LOWER(SUBSTITUTE(SUBSTITUTE(SUBSTITUTE(SUBSTITUTE(SUBSTITUTE(SUBSTITUTE(SUBSTITUTE(SUBSTITUTE(SUBSTITUTE(NOTA[NAMA BARANG]," ",),".",""),"-",""),"(",""),")",""),",",""),"/",""),"""",""),"+",""))</f>
        <v/>
      </c>
      <c r="AM12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8" s="39" t="str">
        <f>IF(NOTA[[#This Row],[CONCAT4]]="","",_xlfn.IFNA(MATCH(NOTA[[#This Row],[CONCAT4]],[2]!RAW[CONCAT_H],0),FALSE))</f>
        <v/>
      </c>
      <c r="AQ1208" s="39" t="str">
        <f>IF(NOTA[[#This Row],[CONCAT1]]="","",MATCH(NOTA[[#This Row],[CONCAT1]],[3]!db[NB NOTA_C],0))</f>
        <v/>
      </c>
      <c r="AR1208" s="39" t="str">
        <f>IF(NOTA[[#This Row],[QTY/ CTN]]="","",TRUE)</f>
        <v/>
      </c>
      <c r="AS1208" s="39" t="str">
        <f ca="1">IF(NOTA[[#This Row],[ID_H]]="","",IF(NOTA[[#This Row],[Column3]]=TRUE,NOTA[[#This Row],[QTY/ CTN]],INDEX([3]!db[QTY/ CTN],NOTA[[#This Row],[//DB]])))</f>
        <v/>
      </c>
      <c r="AT12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8" s="39" t="str">
        <f ca="1">IF(NOTA[[#This Row],[ID_H]]="","",MATCH(NOTA[[#This Row],[NB NOTA_C_QTY]],[4]!db[NB NOTA_C_QTY+F],0))</f>
        <v/>
      </c>
      <c r="AV1208" s="55" t="str">
        <f ca="1">IF(NOTA[[#This Row],[NB NOTA_C_QTY]]="","",ROW()-2)</f>
        <v/>
      </c>
    </row>
    <row r="1209" spans="1:48" ht="20.100000000000001" customHeight="1" x14ac:dyDescent="0.25">
      <c r="A12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9" s="39" t="str">
        <f>IF(NOTA[[#This Row],[ID_P]]="","",MATCH(NOTA[[#This Row],[ID_P]],[1]!B_MSK[N_ID],0))</f>
        <v/>
      </c>
      <c r="D1209" s="39" t="str">
        <f ca="1">IF(NOTA[[#This Row],[NAMA BARANG]]="","",INDEX(NOTA[ID],MATCH(,INDIRECT(ADDRESS(ROW(NOTA[ID]),COLUMN(NOTA[ID]))&amp;":"&amp;ADDRESS(ROW(),COLUMN(NOTA[ID]))),-1)))</f>
        <v/>
      </c>
      <c r="E1209" s="47"/>
      <c r="H1209" s="48"/>
      <c r="N1209" s="39"/>
      <c r="Q1209" s="43"/>
      <c r="R1209" s="49"/>
      <c r="S1209" s="50"/>
      <c r="U1209" s="51"/>
      <c r="V1209" s="46"/>
      <c r="W1209" s="51" t="str">
        <f>IF(NOTA[[#This Row],[HARGA/ CTN]]="",NOTA[[#This Row],[JUMLAH_H]],NOTA[[#This Row],[HARGA/ CTN]]*IF(NOTA[[#This Row],[C]]="",0,NOTA[[#This Row],[C]]))</f>
        <v/>
      </c>
      <c r="X1209" s="51" t="str">
        <f>IF(NOTA[[#This Row],[JUMLAH]]="","",NOTA[[#This Row],[JUMLAH]]*NOTA[[#This Row],[DISC 1]])</f>
        <v/>
      </c>
      <c r="Y1209" s="51" t="str">
        <f>IF(NOTA[[#This Row],[JUMLAH]]="","",(NOTA[[#This Row],[JUMLAH]]-NOTA[[#This Row],[DISC 1-]])*NOTA[[#This Row],[DISC 2]])</f>
        <v/>
      </c>
      <c r="Z1209" s="51" t="str">
        <f>IF(NOTA[[#This Row],[JUMLAH]]="","",NOTA[[#This Row],[DISC 1-]]+NOTA[[#This Row],[DISC 2-]])</f>
        <v/>
      </c>
      <c r="AA1209" s="51" t="str">
        <f>IF(NOTA[[#This Row],[JUMLAH]]="","",NOTA[[#This Row],[JUMLAH]]-NOTA[[#This Row],[DISC]])</f>
        <v/>
      </c>
      <c r="AB1209" s="51"/>
      <c r="AC1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9" s="51" t="str">
        <f>IF(OR(NOTA[[#This Row],[QTY]]="",NOTA[[#This Row],[HARGA SATUAN]]="",),"",NOTA[[#This Row],[QTY]]*NOTA[[#This Row],[HARGA SATUAN]])</f>
        <v/>
      </c>
      <c r="AG1209" s="40" t="str">
        <f ca="1">IF(NOTA[ID_H]="","",INDEX(NOTA[TANGGAL],MATCH(,INDIRECT(ADDRESS(ROW(NOTA[TANGGAL]),COLUMN(NOTA[TANGGAL]))&amp;":"&amp;ADDRESS(ROW(),COLUMN(NOTA[TANGGAL]))),-1)))</f>
        <v/>
      </c>
      <c r="AH1209" s="42" t="str">
        <f ca="1">IF(NOTA[[#This Row],[NAMA BARANG]]="","",INDEX(NOTA[SUPPLIER],MATCH(,INDIRECT(ADDRESS(ROW(NOTA[ID]),COLUMN(NOTA[ID]))&amp;":"&amp;ADDRESS(ROW(),COLUMN(NOTA[ID]))),-1)))</f>
        <v/>
      </c>
      <c r="AI1209" s="42" t="str">
        <f ca="1">IF(NOTA[[#This Row],[ID_H]]="","",IF(NOTA[[#This Row],[FAKTUR]]="",INDIRECT(ADDRESS(ROW()-1,COLUMN())),NOTA[[#This Row],[FAKTUR]]))</f>
        <v/>
      </c>
      <c r="AJ1209" s="39" t="str">
        <f ca="1">IF(NOTA[[#This Row],[ID]]="","",COUNTIF(NOTA[ID_H],NOTA[[#This Row],[ID_H]]))</f>
        <v/>
      </c>
      <c r="AK1209" s="39" t="str">
        <f ca="1">IF(NOTA[[#This Row],[TGL.NOTA]]="",IF(NOTA[[#This Row],[SUPPLIER_H]]="","",AK1208),MONTH(NOTA[[#This Row],[TGL.NOTA]]))</f>
        <v/>
      </c>
      <c r="AL1209" s="39" t="str">
        <f>LOWER(SUBSTITUTE(SUBSTITUTE(SUBSTITUTE(SUBSTITUTE(SUBSTITUTE(SUBSTITUTE(SUBSTITUTE(SUBSTITUTE(SUBSTITUTE(NOTA[NAMA BARANG]," ",),".",""),"-",""),"(",""),")",""),",",""),"/",""),"""",""),"+",""))</f>
        <v/>
      </c>
      <c r="AM12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9" s="39" t="str">
        <f>IF(NOTA[[#This Row],[CONCAT4]]="","",_xlfn.IFNA(MATCH(NOTA[[#This Row],[CONCAT4]],[2]!RAW[CONCAT_H],0),FALSE))</f>
        <v/>
      </c>
      <c r="AQ1209" s="39" t="str">
        <f>IF(NOTA[[#This Row],[CONCAT1]]="","",MATCH(NOTA[[#This Row],[CONCAT1]],[3]!db[NB NOTA_C],0))</f>
        <v/>
      </c>
      <c r="AR1209" s="39" t="str">
        <f>IF(NOTA[[#This Row],[QTY/ CTN]]="","",TRUE)</f>
        <v/>
      </c>
      <c r="AS1209" s="39" t="str">
        <f ca="1">IF(NOTA[[#This Row],[ID_H]]="","",IF(NOTA[[#This Row],[Column3]]=TRUE,NOTA[[#This Row],[QTY/ CTN]],INDEX([3]!db[QTY/ CTN],NOTA[[#This Row],[//DB]])))</f>
        <v/>
      </c>
      <c r="AT12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9" s="39" t="str">
        <f ca="1">IF(NOTA[[#This Row],[ID_H]]="","",MATCH(NOTA[[#This Row],[NB NOTA_C_QTY]],[4]!db[NB NOTA_C_QTY+F],0))</f>
        <v/>
      </c>
      <c r="AV1209" s="55" t="str">
        <f ca="1">IF(NOTA[[#This Row],[NB NOTA_C_QTY]]="","",ROW()-2)</f>
        <v/>
      </c>
    </row>
    <row r="1210" spans="1:48" ht="20.100000000000001" customHeight="1" x14ac:dyDescent="0.25">
      <c r="A12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0" s="39" t="str">
        <f>IF(NOTA[[#This Row],[ID_P]]="","",MATCH(NOTA[[#This Row],[ID_P]],[1]!B_MSK[N_ID],0))</f>
        <v/>
      </c>
      <c r="D1210" s="39" t="str">
        <f ca="1">IF(NOTA[[#This Row],[NAMA BARANG]]="","",INDEX(NOTA[ID],MATCH(,INDIRECT(ADDRESS(ROW(NOTA[ID]),COLUMN(NOTA[ID]))&amp;":"&amp;ADDRESS(ROW(),COLUMN(NOTA[ID]))),-1)))</f>
        <v/>
      </c>
      <c r="E1210" s="47"/>
      <c r="H1210" s="48"/>
      <c r="N1210" s="39"/>
      <c r="Q1210" s="43"/>
      <c r="R1210" s="49"/>
      <c r="S1210" s="50"/>
      <c r="U1210" s="51"/>
      <c r="V1210" s="46"/>
      <c r="W1210" s="51" t="str">
        <f>IF(NOTA[[#This Row],[HARGA/ CTN]]="",NOTA[[#This Row],[JUMLAH_H]],NOTA[[#This Row],[HARGA/ CTN]]*IF(NOTA[[#This Row],[C]]="",0,NOTA[[#This Row],[C]]))</f>
        <v/>
      </c>
      <c r="X1210" s="51" t="str">
        <f>IF(NOTA[[#This Row],[JUMLAH]]="","",NOTA[[#This Row],[JUMLAH]]*NOTA[[#This Row],[DISC 1]])</f>
        <v/>
      </c>
      <c r="Y1210" s="51" t="str">
        <f>IF(NOTA[[#This Row],[JUMLAH]]="","",(NOTA[[#This Row],[JUMLAH]]-NOTA[[#This Row],[DISC 1-]])*NOTA[[#This Row],[DISC 2]])</f>
        <v/>
      </c>
      <c r="Z1210" s="51" t="str">
        <f>IF(NOTA[[#This Row],[JUMLAH]]="","",NOTA[[#This Row],[DISC 1-]]+NOTA[[#This Row],[DISC 2-]])</f>
        <v/>
      </c>
      <c r="AA1210" s="51" t="str">
        <f>IF(NOTA[[#This Row],[JUMLAH]]="","",NOTA[[#This Row],[JUMLAH]]-NOTA[[#This Row],[DISC]])</f>
        <v/>
      </c>
      <c r="AB1210" s="51"/>
      <c r="AC1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0" s="51" t="str">
        <f>IF(OR(NOTA[[#This Row],[QTY]]="",NOTA[[#This Row],[HARGA SATUAN]]="",),"",NOTA[[#This Row],[QTY]]*NOTA[[#This Row],[HARGA SATUAN]])</f>
        <v/>
      </c>
      <c r="AG1210" s="40" t="str">
        <f ca="1">IF(NOTA[ID_H]="","",INDEX(NOTA[TANGGAL],MATCH(,INDIRECT(ADDRESS(ROW(NOTA[TANGGAL]),COLUMN(NOTA[TANGGAL]))&amp;":"&amp;ADDRESS(ROW(),COLUMN(NOTA[TANGGAL]))),-1)))</f>
        <v/>
      </c>
      <c r="AH1210" s="42" t="str">
        <f ca="1">IF(NOTA[[#This Row],[NAMA BARANG]]="","",INDEX(NOTA[SUPPLIER],MATCH(,INDIRECT(ADDRESS(ROW(NOTA[ID]),COLUMN(NOTA[ID]))&amp;":"&amp;ADDRESS(ROW(),COLUMN(NOTA[ID]))),-1)))</f>
        <v/>
      </c>
      <c r="AI1210" s="42" t="str">
        <f ca="1">IF(NOTA[[#This Row],[ID_H]]="","",IF(NOTA[[#This Row],[FAKTUR]]="",INDIRECT(ADDRESS(ROW()-1,COLUMN())),NOTA[[#This Row],[FAKTUR]]))</f>
        <v/>
      </c>
      <c r="AJ1210" s="39" t="str">
        <f ca="1">IF(NOTA[[#This Row],[ID]]="","",COUNTIF(NOTA[ID_H],NOTA[[#This Row],[ID_H]]))</f>
        <v/>
      </c>
      <c r="AK1210" s="39" t="str">
        <f ca="1">IF(NOTA[[#This Row],[TGL.NOTA]]="",IF(NOTA[[#This Row],[SUPPLIER_H]]="","",AK1209),MONTH(NOTA[[#This Row],[TGL.NOTA]]))</f>
        <v/>
      </c>
      <c r="AL1210" s="39" t="str">
        <f>LOWER(SUBSTITUTE(SUBSTITUTE(SUBSTITUTE(SUBSTITUTE(SUBSTITUTE(SUBSTITUTE(SUBSTITUTE(SUBSTITUTE(SUBSTITUTE(NOTA[NAMA BARANG]," ",),".",""),"-",""),"(",""),")",""),",",""),"/",""),"""",""),"+",""))</f>
        <v/>
      </c>
      <c r="AM12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0" s="39" t="str">
        <f>IF(NOTA[[#This Row],[CONCAT4]]="","",_xlfn.IFNA(MATCH(NOTA[[#This Row],[CONCAT4]],[2]!RAW[CONCAT_H],0),FALSE))</f>
        <v/>
      </c>
      <c r="AQ1210" s="39" t="str">
        <f>IF(NOTA[[#This Row],[CONCAT1]]="","",MATCH(NOTA[[#This Row],[CONCAT1]],[3]!db[NB NOTA_C],0))</f>
        <v/>
      </c>
      <c r="AR1210" s="39" t="str">
        <f>IF(NOTA[[#This Row],[QTY/ CTN]]="","",TRUE)</f>
        <v/>
      </c>
      <c r="AS1210" s="39" t="str">
        <f ca="1">IF(NOTA[[#This Row],[ID_H]]="","",IF(NOTA[[#This Row],[Column3]]=TRUE,NOTA[[#This Row],[QTY/ CTN]],INDEX([3]!db[QTY/ CTN],NOTA[[#This Row],[//DB]])))</f>
        <v/>
      </c>
      <c r="AT12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0" s="39" t="str">
        <f ca="1">IF(NOTA[[#This Row],[ID_H]]="","",MATCH(NOTA[[#This Row],[NB NOTA_C_QTY]],[4]!db[NB NOTA_C_QTY+F],0))</f>
        <v/>
      </c>
      <c r="AV1210" s="55" t="str">
        <f ca="1">IF(NOTA[[#This Row],[NB NOTA_C_QTY]]="","",ROW()-2)</f>
        <v/>
      </c>
    </row>
    <row r="1211" spans="1:48" ht="20.100000000000001" customHeight="1" x14ac:dyDescent="0.25">
      <c r="A12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1" s="39" t="str">
        <f>IF(NOTA[[#This Row],[ID_P]]="","",MATCH(NOTA[[#This Row],[ID_P]],[1]!B_MSK[N_ID],0))</f>
        <v/>
      </c>
      <c r="D1211" s="39" t="str">
        <f ca="1">IF(NOTA[[#This Row],[NAMA BARANG]]="","",INDEX(NOTA[ID],MATCH(,INDIRECT(ADDRESS(ROW(NOTA[ID]),COLUMN(NOTA[ID]))&amp;":"&amp;ADDRESS(ROW(),COLUMN(NOTA[ID]))),-1)))</f>
        <v/>
      </c>
      <c r="E1211" s="47"/>
      <c r="H1211" s="48"/>
      <c r="N1211" s="39"/>
      <c r="Q1211" s="43"/>
      <c r="R1211" s="49"/>
      <c r="S1211" s="50"/>
      <c r="U1211" s="51"/>
      <c r="V1211" s="46"/>
      <c r="W1211" s="51" t="str">
        <f>IF(NOTA[[#This Row],[HARGA/ CTN]]="",NOTA[[#This Row],[JUMLAH_H]],NOTA[[#This Row],[HARGA/ CTN]]*IF(NOTA[[#This Row],[C]]="",0,NOTA[[#This Row],[C]]))</f>
        <v/>
      </c>
      <c r="X1211" s="51" t="str">
        <f>IF(NOTA[[#This Row],[JUMLAH]]="","",NOTA[[#This Row],[JUMLAH]]*NOTA[[#This Row],[DISC 1]])</f>
        <v/>
      </c>
      <c r="Y1211" s="51" t="str">
        <f>IF(NOTA[[#This Row],[JUMLAH]]="","",(NOTA[[#This Row],[JUMLAH]]-NOTA[[#This Row],[DISC 1-]])*NOTA[[#This Row],[DISC 2]])</f>
        <v/>
      </c>
      <c r="Z1211" s="51" t="str">
        <f>IF(NOTA[[#This Row],[JUMLAH]]="","",NOTA[[#This Row],[DISC 1-]]+NOTA[[#This Row],[DISC 2-]])</f>
        <v/>
      </c>
      <c r="AA1211" s="51" t="str">
        <f>IF(NOTA[[#This Row],[JUMLAH]]="","",NOTA[[#This Row],[JUMLAH]]-NOTA[[#This Row],[DISC]])</f>
        <v/>
      </c>
      <c r="AB1211" s="51"/>
      <c r="AC1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1" s="51" t="str">
        <f>IF(OR(NOTA[[#This Row],[QTY]]="",NOTA[[#This Row],[HARGA SATUAN]]="",),"",NOTA[[#This Row],[QTY]]*NOTA[[#This Row],[HARGA SATUAN]])</f>
        <v/>
      </c>
      <c r="AG1211" s="40" t="str">
        <f ca="1">IF(NOTA[ID_H]="","",INDEX(NOTA[TANGGAL],MATCH(,INDIRECT(ADDRESS(ROW(NOTA[TANGGAL]),COLUMN(NOTA[TANGGAL]))&amp;":"&amp;ADDRESS(ROW(),COLUMN(NOTA[TANGGAL]))),-1)))</f>
        <v/>
      </c>
      <c r="AH1211" s="42" t="str">
        <f ca="1">IF(NOTA[[#This Row],[NAMA BARANG]]="","",INDEX(NOTA[SUPPLIER],MATCH(,INDIRECT(ADDRESS(ROW(NOTA[ID]),COLUMN(NOTA[ID]))&amp;":"&amp;ADDRESS(ROW(),COLUMN(NOTA[ID]))),-1)))</f>
        <v/>
      </c>
      <c r="AI1211" s="42" t="str">
        <f ca="1">IF(NOTA[[#This Row],[ID_H]]="","",IF(NOTA[[#This Row],[FAKTUR]]="",INDIRECT(ADDRESS(ROW()-1,COLUMN())),NOTA[[#This Row],[FAKTUR]]))</f>
        <v/>
      </c>
      <c r="AJ1211" s="39" t="str">
        <f ca="1">IF(NOTA[[#This Row],[ID]]="","",COUNTIF(NOTA[ID_H],NOTA[[#This Row],[ID_H]]))</f>
        <v/>
      </c>
      <c r="AK1211" s="39" t="str">
        <f ca="1">IF(NOTA[[#This Row],[TGL.NOTA]]="",IF(NOTA[[#This Row],[SUPPLIER_H]]="","",AK1210),MONTH(NOTA[[#This Row],[TGL.NOTA]]))</f>
        <v/>
      </c>
      <c r="AL1211" s="39" t="str">
        <f>LOWER(SUBSTITUTE(SUBSTITUTE(SUBSTITUTE(SUBSTITUTE(SUBSTITUTE(SUBSTITUTE(SUBSTITUTE(SUBSTITUTE(SUBSTITUTE(NOTA[NAMA BARANG]," ",),".",""),"-",""),"(",""),")",""),",",""),"/",""),"""",""),"+",""))</f>
        <v/>
      </c>
      <c r="AM12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1" s="39" t="str">
        <f>IF(NOTA[[#This Row],[CONCAT4]]="","",_xlfn.IFNA(MATCH(NOTA[[#This Row],[CONCAT4]],[2]!RAW[CONCAT_H],0),FALSE))</f>
        <v/>
      </c>
      <c r="AQ1211" s="39" t="str">
        <f>IF(NOTA[[#This Row],[CONCAT1]]="","",MATCH(NOTA[[#This Row],[CONCAT1]],[3]!db[NB NOTA_C],0))</f>
        <v/>
      </c>
      <c r="AR1211" s="39" t="str">
        <f>IF(NOTA[[#This Row],[QTY/ CTN]]="","",TRUE)</f>
        <v/>
      </c>
      <c r="AS1211" s="39" t="str">
        <f ca="1">IF(NOTA[[#This Row],[ID_H]]="","",IF(NOTA[[#This Row],[Column3]]=TRUE,NOTA[[#This Row],[QTY/ CTN]],INDEX([3]!db[QTY/ CTN],NOTA[[#This Row],[//DB]])))</f>
        <v/>
      </c>
      <c r="AT12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1" s="39" t="str">
        <f ca="1">IF(NOTA[[#This Row],[ID_H]]="","",MATCH(NOTA[[#This Row],[NB NOTA_C_QTY]],[4]!db[NB NOTA_C_QTY+F],0))</f>
        <v/>
      </c>
      <c r="AV1211" s="55" t="str">
        <f ca="1">IF(NOTA[[#This Row],[NB NOTA_C_QTY]]="","",ROW()-2)</f>
        <v/>
      </c>
    </row>
    <row r="1212" spans="1:48" ht="20.100000000000001" customHeight="1" x14ac:dyDescent="0.25">
      <c r="A12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2" s="39" t="str">
        <f>IF(NOTA[[#This Row],[ID_P]]="","",MATCH(NOTA[[#This Row],[ID_P]],[1]!B_MSK[N_ID],0))</f>
        <v/>
      </c>
      <c r="D1212" s="39" t="str">
        <f ca="1">IF(NOTA[[#This Row],[NAMA BARANG]]="","",INDEX(NOTA[ID],MATCH(,INDIRECT(ADDRESS(ROW(NOTA[ID]),COLUMN(NOTA[ID]))&amp;":"&amp;ADDRESS(ROW(),COLUMN(NOTA[ID]))),-1)))</f>
        <v/>
      </c>
      <c r="E1212" s="47"/>
      <c r="H1212" s="48"/>
      <c r="N1212" s="39"/>
      <c r="Q1212" s="43"/>
      <c r="R1212" s="49"/>
      <c r="S1212" s="50"/>
      <c r="U1212" s="51"/>
      <c r="V1212" s="46"/>
      <c r="W1212" s="51" t="str">
        <f>IF(NOTA[[#This Row],[HARGA/ CTN]]="",NOTA[[#This Row],[JUMLAH_H]],NOTA[[#This Row],[HARGA/ CTN]]*IF(NOTA[[#This Row],[C]]="",0,NOTA[[#This Row],[C]]))</f>
        <v/>
      </c>
      <c r="X1212" s="51" t="str">
        <f>IF(NOTA[[#This Row],[JUMLAH]]="","",NOTA[[#This Row],[JUMLAH]]*NOTA[[#This Row],[DISC 1]])</f>
        <v/>
      </c>
      <c r="Y1212" s="51" t="str">
        <f>IF(NOTA[[#This Row],[JUMLAH]]="","",(NOTA[[#This Row],[JUMLAH]]-NOTA[[#This Row],[DISC 1-]])*NOTA[[#This Row],[DISC 2]])</f>
        <v/>
      </c>
      <c r="Z1212" s="51" t="str">
        <f>IF(NOTA[[#This Row],[JUMLAH]]="","",NOTA[[#This Row],[DISC 1-]]+NOTA[[#This Row],[DISC 2-]])</f>
        <v/>
      </c>
      <c r="AA1212" s="51" t="str">
        <f>IF(NOTA[[#This Row],[JUMLAH]]="","",NOTA[[#This Row],[JUMLAH]]-NOTA[[#This Row],[DISC]])</f>
        <v/>
      </c>
      <c r="AB1212" s="51"/>
      <c r="AC12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2" s="51" t="str">
        <f>IF(OR(NOTA[[#This Row],[QTY]]="",NOTA[[#This Row],[HARGA SATUAN]]="",),"",NOTA[[#This Row],[QTY]]*NOTA[[#This Row],[HARGA SATUAN]])</f>
        <v/>
      </c>
      <c r="AG1212" s="40" t="str">
        <f ca="1">IF(NOTA[ID_H]="","",INDEX(NOTA[TANGGAL],MATCH(,INDIRECT(ADDRESS(ROW(NOTA[TANGGAL]),COLUMN(NOTA[TANGGAL]))&amp;":"&amp;ADDRESS(ROW(),COLUMN(NOTA[TANGGAL]))),-1)))</f>
        <v/>
      </c>
      <c r="AH1212" s="42" t="str">
        <f ca="1">IF(NOTA[[#This Row],[NAMA BARANG]]="","",INDEX(NOTA[SUPPLIER],MATCH(,INDIRECT(ADDRESS(ROW(NOTA[ID]),COLUMN(NOTA[ID]))&amp;":"&amp;ADDRESS(ROW(),COLUMN(NOTA[ID]))),-1)))</f>
        <v/>
      </c>
      <c r="AI1212" s="42" t="str">
        <f ca="1">IF(NOTA[[#This Row],[ID_H]]="","",IF(NOTA[[#This Row],[FAKTUR]]="",INDIRECT(ADDRESS(ROW()-1,COLUMN())),NOTA[[#This Row],[FAKTUR]]))</f>
        <v/>
      </c>
      <c r="AJ1212" s="39" t="str">
        <f ca="1">IF(NOTA[[#This Row],[ID]]="","",COUNTIF(NOTA[ID_H],NOTA[[#This Row],[ID_H]]))</f>
        <v/>
      </c>
      <c r="AK1212" s="39" t="str">
        <f ca="1">IF(NOTA[[#This Row],[TGL.NOTA]]="",IF(NOTA[[#This Row],[SUPPLIER_H]]="","",AK1211),MONTH(NOTA[[#This Row],[TGL.NOTA]]))</f>
        <v/>
      </c>
      <c r="AL1212" s="39" t="str">
        <f>LOWER(SUBSTITUTE(SUBSTITUTE(SUBSTITUTE(SUBSTITUTE(SUBSTITUTE(SUBSTITUTE(SUBSTITUTE(SUBSTITUTE(SUBSTITUTE(NOTA[NAMA BARANG]," ",),".",""),"-",""),"(",""),")",""),",",""),"/",""),"""",""),"+",""))</f>
        <v/>
      </c>
      <c r="AM12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2" s="39" t="str">
        <f>IF(NOTA[[#This Row],[CONCAT4]]="","",_xlfn.IFNA(MATCH(NOTA[[#This Row],[CONCAT4]],[2]!RAW[CONCAT_H],0),FALSE))</f>
        <v/>
      </c>
      <c r="AQ1212" s="39" t="str">
        <f>IF(NOTA[[#This Row],[CONCAT1]]="","",MATCH(NOTA[[#This Row],[CONCAT1]],[3]!db[NB NOTA_C],0))</f>
        <v/>
      </c>
      <c r="AR1212" s="39" t="str">
        <f>IF(NOTA[[#This Row],[QTY/ CTN]]="","",TRUE)</f>
        <v/>
      </c>
      <c r="AS1212" s="39" t="str">
        <f ca="1">IF(NOTA[[#This Row],[ID_H]]="","",IF(NOTA[[#This Row],[Column3]]=TRUE,NOTA[[#This Row],[QTY/ CTN]],INDEX([3]!db[QTY/ CTN],NOTA[[#This Row],[//DB]])))</f>
        <v/>
      </c>
      <c r="AT12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2" s="39" t="str">
        <f ca="1">IF(NOTA[[#This Row],[ID_H]]="","",MATCH(NOTA[[#This Row],[NB NOTA_C_QTY]],[4]!db[NB NOTA_C_QTY+F],0))</f>
        <v/>
      </c>
      <c r="AV1212" s="55" t="str">
        <f ca="1">IF(NOTA[[#This Row],[NB NOTA_C_QTY]]="","",ROW()-2)</f>
        <v/>
      </c>
    </row>
    <row r="1213" spans="1:48" ht="20.100000000000001" customHeight="1" x14ac:dyDescent="0.25">
      <c r="A12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3" s="39" t="str">
        <f>IF(NOTA[[#This Row],[ID_P]]="","",MATCH(NOTA[[#This Row],[ID_P]],[1]!B_MSK[N_ID],0))</f>
        <v/>
      </c>
      <c r="D1213" s="39" t="str">
        <f ca="1">IF(NOTA[[#This Row],[NAMA BARANG]]="","",INDEX(NOTA[ID],MATCH(,INDIRECT(ADDRESS(ROW(NOTA[ID]),COLUMN(NOTA[ID]))&amp;":"&amp;ADDRESS(ROW(),COLUMN(NOTA[ID]))),-1)))</f>
        <v/>
      </c>
      <c r="E1213" s="47"/>
      <c r="H1213" s="48"/>
      <c r="N1213" s="39"/>
      <c r="Q1213" s="43"/>
      <c r="R1213" s="49"/>
      <c r="S1213" s="50"/>
      <c r="U1213" s="51"/>
      <c r="V1213" s="46"/>
      <c r="W1213" s="51" t="str">
        <f>IF(NOTA[[#This Row],[HARGA/ CTN]]="",NOTA[[#This Row],[JUMLAH_H]],NOTA[[#This Row],[HARGA/ CTN]]*IF(NOTA[[#This Row],[C]]="",0,NOTA[[#This Row],[C]]))</f>
        <v/>
      </c>
      <c r="X1213" s="51" t="str">
        <f>IF(NOTA[[#This Row],[JUMLAH]]="","",NOTA[[#This Row],[JUMLAH]]*NOTA[[#This Row],[DISC 1]])</f>
        <v/>
      </c>
      <c r="Y1213" s="51" t="str">
        <f>IF(NOTA[[#This Row],[JUMLAH]]="","",(NOTA[[#This Row],[JUMLAH]]-NOTA[[#This Row],[DISC 1-]])*NOTA[[#This Row],[DISC 2]])</f>
        <v/>
      </c>
      <c r="Z1213" s="51" t="str">
        <f>IF(NOTA[[#This Row],[JUMLAH]]="","",NOTA[[#This Row],[DISC 1-]]+NOTA[[#This Row],[DISC 2-]])</f>
        <v/>
      </c>
      <c r="AA1213" s="51" t="str">
        <f>IF(NOTA[[#This Row],[JUMLAH]]="","",NOTA[[#This Row],[JUMLAH]]-NOTA[[#This Row],[DISC]])</f>
        <v/>
      </c>
      <c r="AB1213" s="51"/>
      <c r="AC1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3" s="51" t="str">
        <f>IF(OR(NOTA[[#This Row],[QTY]]="",NOTA[[#This Row],[HARGA SATUAN]]="",),"",NOTA[[#This Row],[QTY]]*NOTA[[#This Row],[HARGA SATUAN]])</f>
        <v/>
      </c>
      <c r="AG1213" s="40" t="str">
        <f ca="1">IF(NOTA[ID_H]="","",INDEX(NOTA[TANGGAL],MATCH(,INDIRECT(ADDRESS(ROW(NOTA[TANGGAL]),COLUMN(NOTA[TANGGAL]))&amp;":"&amp;ADDRESS(ROW(),COLUMN(NOTA[TANGGAL]))),-1)))</f>
        <v/>
      </c>
      <c r="AH1213" s="42" t="str">
        <f ca="1">IF(NOTA[[#This Row],[NAMA BARANG]]="","",INDEX(NOTA[SUPPLIER],MATCH(,INDIRECT(ADDRESS(ROW(NOTA[ID]),COLUMN(NOTA[ID]))&amp;":"&amp;ADDRESS(ROW(),COLUMN(NOTA[ID]))),-1)))</f>
        <v/>
      </c>
      <c r="AI1213" s="42" t="str">
        <f ca="1">IF(NOTA[[#This Row],[ID_H]]="","",IF(NOTA[[#This Row],[FAKTUR]]="",INDIRECT(ADDRESS(ROW()-1,COLUMN())),NOTA[[#This Row],[FAKTUR]]))</f>
        <v/>
      </c>
      <c r="AJ1213" s="39" t="str">
        <f ca="1">IF(NOTA[[#This Row],[ID]]="","",COUNTIF(NOTA[ID_H],NOTA[[#This Row],[ID_H]]))</f>
        <v/>
      </c>
      <c r="AK1213" s="39" t="str">
        <f ca="1">IF(NOTA[[#This Row],[TGL.NOTA]]="",IF(NOTA[[#This Row],[SUPPLIER_H]]="","",AK1212),MONTH(NOTA[[#This Row],[TGL.NOTA]]))</f>
        <v/>
      </c>
      <c r="AL1213" s="39" t="str">
        <f>LOWER(SUBSTITUTE(SUBSTITUTE(SUBSTITUTE(SUBSTITUTE(SUBSTITUTE(SUBSTITUTE(SUBSTITUTE(SUBSTITUTE(SUBSTITUTE(NOTA[NAMA BARANG]," ",),".",""),"-",""),"(",""),")",""),",",""),"/",""),"""",""),"+",""))</f>
        <v/>
      </c>
      <c r="AM12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3" s="39" t="str">
        <f>IF(NOTA[[#This Row],[CONCAT4]]="","",_xlfn.IFNA(MATCH(NOTA[[#This Row],[CONCAT4]],[2]!RAW[CONCAT_H],0),FALSE))</f>
        <v/>
      </c>
      <c r="AQ1213" s="39" t="str">
        <f>IF(NOTA[[#This Row],[CONCAT1]]="","",MATCH(NOTA[[#This Row],[CONCAT1]],[3]!db[NB NOTA_C],0))</f>
        <v/>
      </c>
      <c r="AR1213" s="39" t="str">
        <f>IF(NOTA[[#This Row],[QTY/ CTN]]="","",TRUE)</f>
        <v/>
      </c>
      <c r="AS1213" s="39" t="str">
        <f ca="1">IF(NOTA[[#This Row],[ID_H]]="","",IF(NOTA[[#This Row],[Column3]]=TRUE,NOTA[[#This Row],[QTY/ CTN]],INDEX([3]!db[QTY/ CTN],NOTA[[#This Row],[//DB]])))</f>
        <v/>
      </c>
      <c r="AT12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3" s="39" t="str">
        <f ca="1">IF(NOTA[[#This Row],[ID_H]]="","",MATCH(NOTA[[#This Row],[NB NOTA_C_QTY]],[4]!db[NB NOTA_C_QTY+F],0))</f>
        <v/>
      </c>
      <c r="AV1213" s="55" t="str">
        <f ca="1">IF(NOTA[[#This Row],[NB NOTA_C_QTY]]="","",ROW()-2)</f>
        <v/>
      </c>
    </row>
    <row r="1214" spans="1:48" ht="20.100000000000001" customHeight="1" x14ac:dyDescent="0.25">
      <c r="A12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4" s="39" t="str">
        <f>IF(NOTA[[#This Row],[ID_P]]="","",MATCH(NOTA[[#This Row],[ID_P]],[1]!B_MSK[N_ID],0))</f>
        <v/>
      </c>
      <c r="D1214" s="39" t="str">
        <f ca="1">IF(NOTA[[#This Row],[NAMA BARANG]]="","",INDEX(NOTA[ID],MATCH(,INDIRECT(ADDRESS(ROW(NOTA[ID]),COLUMN(NOTA[ID]))&amp;":"&amp;ADDRESS(ROW(),COLUMN(NOTA[ID]))),-1)))</f>
        <v/>
      </c>
      <c r="E1214" s="47"/>
      <c r="H1214" s="48"/>
      <c r="N1214" s="39"/>
      <c r="Q1214" s="43"/>
      <c r="R1214" s="49"/>
      <c r="S1214" s="50"/>
      <c r="U1214" s="51"/>
      <c r="V1214" s="46"/>
      <c r="W1214" s="51" t="str">
        <f>IF(NOTA[[#This Row],[HARGA/ CTN]]="",NOTA[[#This Row],[JUMLAH_H]],NOTA[[#This Row],[HARGA/ CTN]]*IF(NOTA[[#This Row],[C]]="",0,NOTA[[#This Row],[C]]))</f>
        <v/>
      </c>
      <c r="X1214" s="51" t="str">
        <f>IF(NOTA[[#This Row],[JUMLAH]]="","",NOTA[[#This Row],[JUMLAH]]*NOTA[[#This Row],[DISC 1]])</f>
        <v/>
      </c>
      <c r="Y1214" s="51" t="str">
        <f>IF(NOTA[[#This Row],[JUMLAH]]="","",(NOTA[[#This Row],[JUMLAH]]-NOTA[[#This Row],[DISC 1-]])*NOTA[[#This Row],[DISC 2]])</f>
        <v/>
      </c>
      <c r="Z1214" s="51" t="str">
        <f>IF(NOTA[[#This Row],[JUMLAH]]="","",NOTA[[#This Row],[DISC 1-]]+NOTA[[#This Row],[DISC 2-]])</f>
        <v/>
      </c>
      <c r="AA1214" s="51" t="str">
        <f>IF(NOTA[[#This Row],[JUMLAH]]="","",NOTA[[#This Row],[JUMLAH]]-NOTA[[#This Row],[DISC]])</f>
        <v/>
      </c>
      <c r="AB1214" s="51"/>
      <c r="AC12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4" s="51" t="str">
        <f>IF(OR(NOTA[[#This Row],[QTY]]="",NOTA[[#This Row],[HARGA SATUAN]]="",),"",NOTA[[#This Row],[QTY]]*NOTA[[#This Row],[HARGA SATUAN]])</f>
        <v/>
      </c>
      <c r="AG1214" s="40" t="str">
        <f ca="1">IF(NOTA[ID_H]="","",INDEX(NOTA[TANGGAL],MATCH(,INDIRECT(ADDRESS(ROW(NOTA[TANGGAL]),COLUMN(NOTA[TANGGAL]))&amp;":"&amp;ADDRESS(ROW(),COLUMN(NOTA[TANGGAL]))),-1)))</f>
        <v/>
      </c>
      <c r="AH1214" s="42" t="str">
        <f ca="1">IF(NOTA[[#This Row],[NAMA BARANG]]="","",INDEX(NOTA[SUPPLIER],MATCH(,INDIRECT(ADDRESS(ROW(NOTA[ID]),COLUMN(NOTA[ID]))&amp;":"&amp;ADDRESS(ROW(),COLUMN(NOTA[ID]))),-1)))</f>
        <v/>
      </c>
      <c r="AI1214" s="42" t="str">
        <f ca="1">IF(NOTA[[#This Row],[ID_H]]="","",IF(NOTA[[#This Row],[FAKTUR]]="",INDIRECT(ADDRESS(ROW()-1,COLUMN())),NOTA[[#This Row],[FAKTUR]]))</f>
        <v/>
      </c>
      <c r="AJ1214" s="39" t="str">
        <f ca="1">IF(NOTA[[#This Row],[ID]]="","",COUNTIF(NOTA[ID_H],NOTA[[#This Row],[ID_H]]))</f>
        <v/>
      </c>
      <c r="AK1214" s="39" t="str">
        <f ca="1">IF(NOTA[[#This Row],[TGL.NOTA]]="",IF(NOTA[[#This Row],[SUPPLIER_H]]="","",AK1213),MONTH(NOTA[[#This Row],[TGL.NOTA]]))</f>
        <v/>
      </c>
      <c r="AL1214" s="39" t="str">
        <f>LOWER(SUBSTITUTE(SUBSTITUTE(SUBSTITUTE(SUBSTITUTE(SUBSTITUTE(SUBSTITUTE(SUBSTITUTE(SUBSTITUTE(SUBSTITUTE(NOTA[NAMA BARANG]," ",),".",""),"-",""),"(",""),")",""),",",""),"/",""),"""",""),"+",""))</f>
        <v/>
      </c>
      <c r="AM12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4" s="39" t="str">
        <f>IF(NOTA[[#This Row],[CONCAT4]]="","",_xlfn.IFNA(MATCH(NOTA[[#This Row],[CONCAT4]],[2]!RAW[CONCAT_H],0),FALSE))</f>
        <v/>
      </c>
      <c r="AQ1214" s="39" t="str">
        <f>IF(NOTA[[#This Row],[CONCAT1]]="","",MATCH(NOTA[[#This Row],[CONCAT1]],[3]!db[NB NOTA_C],0))</f>
        <v/>
      </c>
      <c r="AR1214" s="39" t="str">
        <f>IF(NOTA[[#This Row],[QTY/ CTN]]="","",TRUE)</f>
        <v/>
      </c>
      <c r="AS1214" s="39" t="str">
        <f ca="1">IF(NOTA[[#This Row],[ID_H]]="","",IF(NOTA[[#This Row],[Column3]]=TRUE,NOTA[[#This Row],[QTY/ CTN]],INDEX([3]!db[QTY/ CTN],NOTA[[#This Row],[//DB]])))</f>
        <v/>
      </c>
      <c r="AT12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4" s="39" t="str">
        <f ca="1">IF(NOTA[[#This Row],[ID_H]]="","",MATCH(NOTA[[#This Row],[NB NOTA_C_QTY]],[4]!db[NB NOTA_C_QTY+F],0))</f>
        <v/>
      </c>
      <c r="AV1214" s="55" t="str">
        <f ca="1">IF(NOTA[[#This Row],[NB NOTA_C_QTY]]="","",ROW()-2)</f>
        <v/>
      </c>
    </row>
    <row r="1215" spans="1:48" ht="20.100000000000001" customHeight="1" x14ac:dyDescent="0.25">
      <c r="A12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5" s="39" t="str">
        <f>IF(NOTA[[#This Row],[ID_P]]="","",MATCH(NOTA[[#This Row],[ID_P]],[1]!B_MSK[N_ID],0))</f>
        <v/>
      </c>
      <c r="D1215" s="39" t="str">
        <f ca="1">IF(NOTA[[#This Row],[NAMA BARANG]]="","",INDEX(NOTA[ID],MATCH(,INDIRECT(ADDRESS(ROW(NOTA[ID]),COLUMN(NOTA[ID]))&amp;":"&amp;ADDRESS(ROW(),COLUMN(NOTA[ID]))),-1)))</f>
        <v/>
      </c>
      <c r="E1215" s="47"/>
      <c r="H1215" s="48"/>
      <c r="N1215" s="39"/>
      <c r="Q1215" s="43"/>
      <c r="R1215" s="49"/>
      <c r="S1215" s="50"/>
      <c r="U1215" s="51"/>
      <c r="V1215" s="46"/>
      <c r="W1215" s="51" t="str">
        <f>IF(NOTA[[#This Row],[HARGA/ CTN]]="",NOTA[[#This Row],[JUMLAH_H]],NOTA[[#This Row],[HARGA/ CTN]]*IF(NOTA[[#This Row],[C]]="",0,NOTA[[#This Row],[C]]))</f>
        <v/>
      </c>
      <c r="X1215" s="51" t="str">
        <f>IF(NOTA[[#This Row],[JUMLAH]]="","",NOTA[[#This Row],[JUMLAH]]*NOTA[[#This Row],[DISC 1]])</f>
        <v/>
      </c>
      <c r="Y1215" s="51" t="str">
        <f>IF(NOTA[[#This Row],[JUMLAH]]="","",(NOTA[[#This Row],[JUMLAH]]-NOTA[[#This Row],[DISC 1-]])*NOTA[[#This Row],[DISC 2]])</f>
        <v/>
      </c>
      <c r="Z1215" s="51" t="str">
        <f>IF(NOTA[[#This Row],[JUMLAH]]="","",NOTA[[#This Row],[DISC 1-]]+NOTA[[#This Row],[DISC 2-]])</f>
        <v/>
      </c>
      <c r="AA1215" s="51" t="str">
        <f>IF(NOTA[[#This Row],[JUMLAH]]="","",NOTA[[#This Row],[JUMLAH]]-NOTA[[#This Row],[DISC]])</f>
        <v/>
      </c>
      <c r="AB1215" s="51"/>
      <c r="AC1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5" s="51" t="str">
        <f>IF(OR(NOTA[[#This Row],[QTY]]="",NOTA[[#This Row],[HARGA SATUAN]]="",),"",NOTA[[#This Row],[QTY]]*NOTA[[#This Row],[HARGA SATUAN]])</f>
        <v/>
      </c>
      <c r="AG1215" s="40" t="str">
        <f ca="1">IF(NOTA[ID_H]="","",INDEX(NOTA[TANGGAL],MATCH(,INDIRECT(ADDRESS(ROW(NOTA[TANGGAL]),COLUMN(NOTA[TANGGAL]))&amp;":"&amp;ADDRESS(ROW(),COLUMN(NOTA[TANGGAL]))),-1)))</f>
        <v/>
      </c>
      <c r="AH1215" s="42" t="str">
        <f ca="1">IF(NOTA[[#This Row],[NAMA BARANG]]="","",INDEX(NOTA[SUPPLIER],MATCH(,INDIRECT(ADDRESS(ROW(NOTA[ID]),COLUMN(NOTA[ID]))&amp;":"&amp;ADDRESS(ROW(),COLUMN(NOTA[ID]))),-1)))</f>
        <v/>
      </c>
      <c r="AI1215" s="42" t="str">
        <f ca="1">IF(NOTA[[#This Row],[ID_H]]="","",IF(NOTA[[#This Row],[FAKTUR]]="",INDIRECT(ADDRESS(ROW()-1,COLUMN())),NOTA[[#This Row],[FAKTUR]]))</f>
        <v/>
      </c>
      <c r="AJ1215" s="39" t="str">
        <f ca="1">IF(NOTA[[#This Row],[ID]]="","",COUNTIF(NOTA[ID_H],NOTA[[#This Row],[ID_H]]))</f>
        <v/>
      </c>
      <c r="AK1215" s="39" t="str">
        <f ca="1">IF(NOTA[[#This Row],[TGL.NOTA]]="",IF(NOTA[[#This Row],[SUPPLIER_H]]="","",AK1214),MONTH(NOTA[[#This Row],[TGL.NOTA]]))</f>
        <v/>
      </c>
      <c r="AL1215" s="39" t="str">
        <f>LOWER(SUBSTITUTE(SUBSTITUTE(SUBSTITUTE(SUBSTITUTE(SUBSTITUTE(SUBSTITUTE(SUBSTITUTE(SUBSTITUTE(SUBSTITUTE(NOTA[NAMA BARANG]," ",),".",""),"-",""),"(",""),")",""),",",""),"/",""),"""",""),"+",""))</f>
        <v/>
      </c>
      <c r="AM12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5" s="39" t="str">
        <f>IF(NOTA[[#This Row],[CONCAT4]]="","",_xlfn.IFNA(MATCH(NOTA[[#This Row],[CONCAT4]],[2]!RAW[CONCAT_H],0),FALSE))</f>
        <v/>
      </c>
      <c r="AQ1215" s="39" t="str">
        <f>IF(NOTA[[#This Row],[CONCAT1]]="","",MATCH(NOTA[[#This Row],[CONCAT1]],[3]!db[NB NOTA_C],0))</f>
        <v/>
      </c>
      <c r="AR1215" s="39" t="str">
        <f>IF(NOTA[[#This Row],[QTY/ CTN]]="","",TRUE)</f>
        <v/>
      </c>
      <c r="AS1215" s="39" t="str">
        <f ca="1">IF(NOTA[[#This Row],[ID_H]]="","",IF(NOTA[[#This Row],[Column3]]=TRUE,NOTA[[#This Row],[QTY/ CTN]],INDEX([3]!db[QTY/ CTN],NOTA[[#This Row],[//DB]])))</f>
        <v/>
      </c>
      <c r="AT12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5" s="39" t="str">
        <f ca="1">IF(NOTA[[#This Row],[ID_H]]="","",MATCH(NOTA[[#This Row],[NB NOTA_C_QTY]],[4]!db[NB NOTA_C_QTY+F],0))</f>
        <v/>
      </c>
      <c r="AV1215" s="55" t="str">
        <f ca="1">IF(NOTA[[#This Row],[NB NOTA_C_QTY]]="","",ROW()-2)</f>
        <v/>
      </c>
    </row>
    <row r="1216" spans="1:48" ht="20.100000000000001" customHeight="1" x14ac:dyDescent="0.25">
      <c r="A12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6" s="39" t="str">
        <f>IF(NOTA[[#This Row],[ID_P]]="","",MATCH(NOTA[[#This Row],[ID_P]],[1]!B_MSK[N_ID],0))</f>
        <v/>
      </c>
      <c r="D1216" s="39" t="str">
        <f ca="1">IF(NOTA[[#This Row],[NAMA BARANG]]="","",INDEX(NOTA[ID],MATCH(,INDIRECT(ADDRESS(ROW(NOTA[ID]),COLUMN(NOTA[ID]))&amp;":"&amp;ADDRESS(ROW(),COLUMN(NOTA[ID]))),-1)))</f>
        <v/>
      </c>
      <c r="E1216" s="47"/>
      <c r="H1216" s="48"/>
      <c r="N1216" s="39"/>
      <c r="Q1216" s="43"/>
      <c r="R1216" s="49"/>
      <c r="S1216" s="50"/>
      <c r="U1216" s="51"/>
      <c r="V1216" s="46"/>
      <c r="W1216" s="51" t="str">
        <f>IF(NOTA[[#This Row],[HARGA/ CTN]]="",NOTA[[#This Row],[JUMLAH_H]],NOTA[[#This Row],[HARGA/ CTN]]*IF(NOTA[[#This Row],[C]]="",0,NOTA[[#This Row],[C]]))</f>
        <v/>
      </c>
      <c r="X1216" s="51" t="str">
        <f>IF(NOTA[[#This Row],[JUMLAH]]="","",NOTA[[#This Row],[JUMLAH]]*NOTA[[#This Row],[DISC 1]])</f>
        <v/>
      </c>
      <c r="Y1216" s="51" t="str">
        <f>IF(NOTA[[#This Row],[JUMLAH]]="","",(NOTA[[#This Row],[JUMLAH]]-NOTA[[#This Row],[DISC 1-]])*NOTA[[#This Row],[DISC 2]])</f>
        <v/>
      </c>
      <c r="Z1216" s="51" t="str">
        <f>IF(NOTA[[#This Row],[JUMLAH]]="","",NOTA[[#This Row],[DISC 1-]]+NOTA[[#This Row],[DISC 2-]])</f>
        <v/>
      </c>
      <c r="AA1216" s="51" t="str">
        <f>IF(NOTA[[#This Row],[JUMLAH]]="","",NOTA[[#This Row],[JUMLAH]]-NOTA[[#This Row],[DISC]])</f>
        <v/>
      </c>
      <c r="AB1216" s="51"/>
      <c r="AC12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6" s="51" t="str">
        <f>IF(OR(NOTA[[#This Row],[QTY]]="",NOTA[[#This Row],[HARGA SATUAN]]="",),"",NOTA[[#This Row],[QTY]]*NOTA[[#This Row],[HARGA SATUAN]])</f>
        <v/>
      </c>
      <c r="AG1216" s="40" t="str">
        <f ca="1">IF(NOTA[ID_H]="","",INDEX(NOTA[TANGGAL],MATCH(,INDIRECT(ADDRESS(ROW(NOTA[TANGGAL]),COLUMN(NOTA[TANGGAL]))&amp;":"&amp;ADDRESS(ROW(),COLUMN(NOTA[TANGGAL]))),-1)))</f>
        <v/>
      </c>
      <c r="AH1216" s="42" t="str">
        <f ca="1">IF(NOTA[[#This Row],[NAMA BARANG]]="","",INDEX(NOTA[SUPPLIER],MATCH(,INDIRECT(ADDRESS(ROW(NOTA[ID]),COLUMN(NOTA[ID]))&amp;":"&amp;ADDRESS(ROW(),COLUMN(NOTA[ID]))),-1)))</f>
        <v/>
      </c>
      <c r="AI1216" s="42" t="str">
        <f ca="1">IF(NOTA[[#This Row],[ID_H]]="","",IF(NOTA[[#This Row],[FAKTUR]]="",INDIRECT(ADDRESS(ROW()-1,COLUMN())),NOTA[[#This Row],[FAKTUR]]))</f>
        <v/>
      </c>
      <c r="AJ1216" s="39" t="str">
        <f ca="1">IF(NOTA[[#This Row],[ID]]="","",COUNTIF(NOTA[ID_H],NOTA[[#This Row],[ID_H]]))</f>
        <v/>
      </c>
      <c r="AK1216" s="39" t="str">
        <f ca="1">IF(NOTA[[#This Row],[TGL.NOTA]]="",IF(NOTA[[#This Row],[SUPPLIER_H]]="","",AK1215),MONTH(NOTA[[#This Row],[TGL.NOTA]]))</f>
        <v/>
      </c>
      <c r="AL1216" s="39" t="str">
        <f>LOWER(SUBSTITUTE(SUBSTITUTE(SUBSTITUTE(SUBSTITUTE(SUBSTITUTE(SUBSTITUTE(SUBSTITUTE(SUBSTITUTE(SUBSTITUTE(NOTA[NAMA BARANG]," ",),".",""),"-",""),"(",""),")",""),",",""),"/",""),"""",""),"+",""))</f>
        <v/>
      </c>
      <c r="AM12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6" s="39" t="str">
        <f>IF(NOTA[[#This Row],[CONCAT4]]="","",_xlfn.IFNA(MATCH(NOTA[[#This Row],[CONCAT4]],[2]!RAW[CONCAT_H],0),FALSE))</f>
        <v/>
      </c>
      <c r="AQ1216" s="39" t="str">
        <f>IF(NOTA[[#This Row],[CONCAT1]]="","",MATCH(NOTA[[#This Row],[CONCAT1]],[3]!db[NB NOTA_C],0))</f>
        <v/>
      </c>
      <c r="AR1216" s="39" t="str">
        <f>IF(NOTA[[#This Row],[QTY/ CTN]]="","",TRUE)</f>
        <v/>
      </c>
      <c r="AS1216" s="39" t="str">
        <f ca="1">IF(NOTA[[#This Row],[ID_H]]="","",IF(NOTA[[#This Row],[Column3]]=TRUE,NOTA[[#This Row],[QTY/ CTN]],INDEX([3]!db[QTY/ CTN],NOTA[[#This Row],[//DB]])))</f>
        <v/>
      </c>
      <c r="AT12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6" s="39" t="str">
        <f ca="1">IF(NOTA[[#This Row],[ID_H]]="","",MATCH(NOTA[[#This Row],[NB NOTA_C_QTY]],[4]!db[NB NOTA_C_QTY+F],0))</f>
        <v/>
      </c>
      <c r="AV1216" s="55" t="str">
        <f ca="1">IF(NOTA[[#This Row],[NB NOTA_C_QTY]]="","",ROW()-2)</f>
        <v/>
      </c>
    </row>
    <row r="1217" spans="1:48" ht="20.100000000000001" customHeight="1" x14ac:dyDescent="0.25">
      <c r="A12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7" s="39" t="str">
        <f>IF(NOTA[[#This Row],[ID_P]]="","",MATCH(NOTA[[#This Row],[ID_P]],[1]!B_MSK[N_ID],0))</f>
        <v/>
      </c>
      <c r="D1217" s="39" t="str">
        <f ca="1">IF(NOTA[[#This Row],[NAMA BARANG]]="","",INDEX(NOTA[ID],MATCH(,INDIRECT(ADDRESS(ROW(NOTA[ID]),COLUMN(NOTA[ID]))&amp;":"&amp;ADDRESS(ROW(),COLUMN(NOTA[ID]))),-1)))</f>
        <v/>
      </c>
      <c r="E1217" s="47"/>
      <c r="H1217" s="48"/>
      <c r="N1217" s="39"/>
      <c r="Q1217" s="43"/>
      <c r="R1217" s="49"/>
      <c r="S1217" s="50"/>
      <c r="U1217" s="51"/>
      <c r="V1217" s="46"/>
      <c r="W1217" s="51" t="str">
        <f>IF(NOTA[[#This Row],[HARGA/ CTN]]="",NOTA[[#This Row],[JUMLAH_H]],NOTA[[#This Row],[HARGA/ CTN]]*IF(NOTA[[#This Row],[C]]="",0,NOTA[[#This Row],[C]]))</f>
        <v/>
      </c>
      <c r="X1217" s="51" t="str">
        <f>IF(NOTA[[#This Row],[JUMLAH]]="","",NOTA[[#This Row],[JUMLAH]]*NOTA[[#This Row],[DISC 1]])</f>
        <v/>
      </c>
      <c r="Y1217" s="51" t="str">
        <f>IF(NOTA[[#This Row],[JUMLAH]]="","",(NOTA[[#This Row],[JUMLAH]]-NOTA[[#This Row],[DISC 1-]])*NOTA[[#This Row],[DISC 2]])</f>
        <v/>
      </c>
      <c r="Z1217" s="51" t="str">
        <f>IF(NOTA[[#This Row],[JUMLAH]]="","",NOTA[[#This Row],[DISC 1-]]+NOTA[[#This Row],[DISC 2-]])</f>
        <v/>
      </c>
      <c r="AA1217" s="51" t="str">
        <f>IF(NOTA[[#This Row],[JUMLAH]]="","",NOTA[[#This Row],[JUMLAH]]-NOTA[[#This Row],[DISC]])</f>
        <v/>
      </c>
      <c r="AB1217" s="51"/>
      <c r="AC1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7" s="51" t="str">
        <f>IF(OR(NOTA[[#This Row],[QTY]]="",NOTA[[#This Row],[HARGA SATUAN]]="",),"",NOTA[[#This Row],[QTY]]*NOTA[[#This Row],[HARGA SATUAN]])</f>
        <v/>
      </c>
      <c r="AG1217" s="40" t="str">
        <f ca="1">IF(NOTA[ID_H]="","",INDEX(NOTA[TANGGAL],MATCH(,INDIRECT(ADDRESS(ROW(NOTA[TANGGAL]),COLUMN(NOTA[TANGGAL]))&amp;":"&amp;ADDRESS(ROW(),COLUMN(NOTA[TANGGAL]))),-1)))</f>
        <v/>
      </c>
      <c r="AH1217" s="42" t="str">
        <f ca="1">IF(NOTA[[#This Row],[NAMA BARANG]]="","",INDEX(NOTA[SUPPLIER],MATCH(,INDIRECT(ADDRESS(ROW(NOTA[ID]),COLUMN(NOTA[ID]))&amp;":"&amp;ADDRESS(ROW(),COLUMN(NOTA[ID]))),-1)))</f>
        <v/>
      </c>
      <c r="AI1217" s="42" t="str">
        <f ca="1">IF(NOTA[[#This Row],[ID_H]]="","",IF(NOTA[[#This Row],[FAKTUR]]="",INDIRECT(ADDRESS(ROW()-1,COLUMN())),NOTA[[#This Row],[FAKTUR]]))</f>
        <v/>
      </c>
      <c r="AJ1217" s="39" t="str">
        <f ca="1">IF(NOTA[[#This Row],[ID]]="","",COUNTIF(NOTA[ID_H],NOTA[[#This Row],[ID_H]]))</f>
        <v/>
      </c>
      <c r="AK1217" s="39" t="str">
        <f ca="1">IF(NOTA[[#This Row],[TGL.NOTA]]="",IF(NOTA[[#This Row],[SUPPLIER_H]]="","",AK1216),MONTH(NOTA[[#This Row],[TGL.NOTA]]))</f>
        <v/>
      </c>
      <c r="AL1217" s="39" t="str">
        <f>LOWER(SUBSTITUTE(SUBSTITUTE(SUBSTITUTE(SUBSTITUTE(SUBSTITUTE(SUBSTITUTE(SUBSTITUTE(SUBSTITUTE(SUBSTITUTE(NOTA[NAMA BARANG]," ",),".",""),"-",""),"(",""),")",""),",",""),"/",""),"""",""),"+",""))</f>
        <v/>
      </c>
      <c r="AM12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7" s="39" t="str">
        <f>IF(NOTA[[#This Row],[CONCAT4]]="","",_xlfn.IFNA(MATCH(NOTA[[#This Row],[CONCAT4]],[2]!RAW[CONCAT_H],0),FALSE))</f>
        <v/>
      </c>
      <c r="AQ1217" s="39" t="str">
        <f>IF(NOTA[[#This Row],[CONCAT1]]="","",MATCH(NOTA[[#This Row],[CONCAT1]],[3]!db[NB NOTA_C],0))</f>
        <v/>
      </c>
      <c r="AR1217" s="39" t="str">
        <f>IF(NOTA[[#This Row],[QTY/ CTN]]="","",TRUE)</f>
        <v/>
      </c>
      <c r="AS1217" s="39" t="str">
        <f ca="1">IF(NOTA[[#This Row],[ID_H]]="","",IF(NOTA[[#This Row],[Column3]]=TRUE,NOTA[[#This Row],[QTY/ CTN]],INDEX([3]!db[QTY/ CTN],NOTA[[#This Row],[//DB]])))</f>
        <v/>
      </c>
      <c r="AT12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7" s="39" t="str">
        <f ca="1">IF(NOTA[[#This Row],[ID_H]]="","",MATCH(NOTA[[#This Row],[NB NOTA_C_QTY]],[4]!db[NB NOTA_C_QTY+F],0))</f>
        <v/>
      </c>
      <c r="AV1217" s="55" t="str">
        <f ca="1">IF(NOTA[[#This Row],[NB NOTA_C_QTY]]="","",ROW()-2)</f>
        <v/>
      </c>
    </row>
    <row r="1218" spans="1:48" ht="20.100000000000001" customHeight="1" x14ac:dyDescent="0.25">
      <c r="A12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8" s="39" t="str">
        <f>IF(NOTA[[#This Row],[ID_P]]="","",MATCH(NOTA[[#This Row],[ID_P]],[1]!B_MSK[N_ID],0))</f>
        <v/>
      </c>
      <c r="D1218" s="39" t="str">
        <f ca="1">IF(NOTA[[#This Row],[NAMA BARANG]]="","",INDEX(NOTA[ID],MATCH(,INDIRECT(ADDRESS(ROW(NOTA[ID]),COLUMN(NOTA[ID]))&amp;":"&amp;ADDRESS(ROW(),COLUMN(NOTA[ID]))),-1)))</f>
        <v/>
      </c>
      <c r="E1218" s="47"/>
      <c r="H1218" s="48"/>
      <c r="N1218" s="39"/>
      <c r="Q1218" s="43"/>
      <c r="R1218" s="49"/>
      <c r="S1218" s="50"/>
      <c r="U1218" s="51"/>
      <c r="V1218" s="46"/>
      <c r="W1218" s="51" t="str">
        <f>IF(NOTA[[#This Row],[HARGA/ CTN]]="",NOTA[[#This Row],[JUMLAH_H]],NOTA[[#This Row],[HARGA/ CTN]]*IF(NOTA[[#This Row],[C]]="",0,NOTA[[#This Row],[C]]))</f>
        <v/>
      </c>
      <c r="X1218" s="51" t="str">
        <f>IF(NOTA[[#This Row],[JUMLAH]]="","",NOTA[[#This Row],[JUMLAH]]*NOTA[[#This Row],[DISC 1]])</f>
        <v/>
      </c>
      <c r="Y1218" s="51" t="str">
        <f>IF(NOTA[[#This Row],[JUMLAH]]="","",(NOTA[[#This Row],[JUMLAH]]-NOTA[[#This Row],[DISC 1-]])*NOTA[[#This Row],[DISC 2]])</f>
        <v/>
      </c>
      <c r="Z1218" s="51" t="str">
        <f>IF(NOTA[[#This Row],[JUMLAH]]="","",NOTA[[#This Row],[DISC 1-]]+NOTA[[#This Row],[DISC 2-]])</f>
        <v/>
      </c>
      <c r="AA1218" s="51" t="str">
        <f>IF(NOTA[[#This Row],[JUMLAH]]="","",NOTA[[#This Row],[JUMLAH]]-NOTA[[#This Row],[DISC]])</f>
        <v/>
      </c>
      <c r="AB1218" s="51"/>
      <c r="AC1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8" s="51" t="str">
        <f>IF(OR(NOTA[[#This Row],[QTY]]="",NOTA[[#This Row],[HARGA SATUAN]]="",),"",NOTA[[#This Row],[QTY]]*NOTA[[#This Row],[HARGA SATUAN]])</f>
        <v/>
      </c>
      <c r="AG1218" s="40" t="str">
        <f ca="1">IF(NOTA[ID_H]="","",INDEX(NOTA[TANGGAL],MATCH(,INDIRECT(ADDRESS(ROW(NOTA[TANGGAL]),COLUMN(NOTA[TANGGAL]))&amp;":"&amp;ADDRESS(ROW(),COLUMN(NOTA[TANGGAL]))),-1)))</f>
        <v/>
      </c>
      <c r="AH1218" s="42" t="str">
        <f ca="1">IF(NOTA[[#This Row],[NAMA BARANG]]="","",INDEX(NOTA[SUPPLIER],MATCH(,INDIRECT(ADDRESS(ROW(NOTA[ID]),COLUMN(NOTA[ID]))&amp;":"&amp;ADDRESS(ROW(),COLUMN(NOTA[ID]))),-1)))</f>
        <v/>
      </c>
      <c r="AI1218" s="42" t="str">
        <f ca="1">IF(NOTA[[#This Row],[ID_H]]="","",IF(NOTA[[#This Row],[FAKTUR]]="",INDIRECT(ADDRESS(ROW()-1,COLUMN())),NOTA[[#This Row],[FAKTUR]]))</f>
        <v/>
      </c>
      <c r="AJ1218" s="39" t="str">
        <f ca="1">IF(NOTA[[#This Row],[ID]]="","",COUNTIF(NOTA[ID_H],NOTA[[#This Row],[ID_H]]))</f>
        <v/>
      </c>
      <c r="AK1218" s="39" t="str">
        <f ca="1">IF(NOTA[[#This Row],[TGL.NOTA]]="",IF(NOTA[[#This Row],[SUPPLIER_H]]="","",AK1217),MONTH(NOTA[[#This Row],[TGL.NOTA]]))</f>
        <v/>
      </c>
      <c r="AL1218" s="39" t="str">
        <f>LOWER(SUBSTITUTE(SUBSTITUTE(SUBSTITUTE(SUBSTITUTE(SUBSTITUTE(SUBSTITUTE(SUBSTITUTE(SUBSTITUTE(SUBSTITUTE(NOTA[NAMA BARANG]," ",),".",""),"-",""),"(",""),")",""),",",""),"/",""),"""",""),"+",""))</f>
        <v/>
      </c>
      <c r="AM12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8" s="39" t="str">
        <f>IF(NOTA[[#This Row],[CONCAT4]]="","",_xlfn.IFNA(MATCH(NOTA[[#This Row],[CONCAT4]],[2]!RAW[CONCAT_H],0),FALSE))</f>
        <v/>
      </c>
      <c r="AQ1218" s="39" t="str">
        <f>IF(NOTA[[#This Row],[CONCAT1]]="","",MATCH(NOTA[[#This Row],[CONCAT1]],[3]!db[NB NOTA_C],0))</f>
        <v/>
      </c>
      <c r="AR1218" s="39" t="str">
        <f>IF(NOTA[[#This Row],[QTY/ CTN]]="","",TRUE)</f>
        <v/>
      </c>
      <c r="AS1218" s="39" t="str">
        <f ca="1">IF(NOTA[[#This Row],[ID_H]]="","",IF(NOTA[[#This Row],[Column3]]=TRUE,NOTA[[#This Row],[QTY/ CTN]],INDEX([3]!db[QTY/ CTN],NOTA[[#This Row],[//DB]])))</f>
        <v/>
      </c>
      <c r="AT12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8" s="39" t="str">
        <f ca="1">IF(NOTA[[#This Row],[ID_H]]="","",MATCH(NOTA[[#This Row],[NB NOTA_C_QTY]],[4]!db[NB NOTA_C_QTY+F],0))</f>
        <v/>
      </c>
      <c r="AV1218" s="55" t="str">
        <f ca="1">IF(NOTA[[#This Row],[NB NOTA_C_QTY]]="","",ROW()-2)</f>
        <v/>
      </c>
    </row>
    <row r="1219" spans="1:48" ht="20.100000000000001" customHeight="1" x14ac:dyDescent="0.25">
      <c r="A12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9" s="39" t="str">
        <f>IF(NOTA[[#This Row],[ID_P]]="","",MATCH(NOTA[[#This Row],[ID_P]],[1]!B_MSK[N_ID],0))</f>
        <v/>
      </c>
      <c r="D1219" s="39" t="str">
        <f ca="1">IF(NOTA[[#This Row],[NAMA BARANG]]="","",INDEX(NOTA[ID],MATCH(,INDIRECT(ADDRESS(ROW(NOTA[ID]),COLUMN(NOTA[ID]))&amp;":"&amp;ADDRESS(ROW(),COLUMN(NOTA[ID]))),-1)))</f>
        <v/>
      </c>
      <c r="E1219" s="47"/>
      <c r="H1219" s="48"/>
      <c r="N1219" s="39"/>
      <c r="Q1219" s="43"/>
      <c r="R1219" s="49"/>
      <c r="S1219" s="50"/>
      <c r="U1219" s="51"/>
      <c r="V1219" s="46"/>
      <c r="W1219" s="51" t="str">
        <f>IF(NOTA[[#This Row],[HARGA/ CTN]]="",NOTA[[#This Row],[JUMLAH_H]],NOTA[[#This Row],[HARGA/ CTN]]*IF(NOTA[[#This Row],[C]]="",0,NOTA[[#This Row],[C]]))</f>
        <v/>
      </c>
      <c r="X1219" s="51" t="str">
        <f>IF(NOTA[[#This Row],[JUMLAH]]="","",NOTA[[#This Row],[JUMLAH]]*NOTA[[#This Row],[DISC 1]])</f>
        <v/>
      </c>
      <c r="Y1219" s="51" t="str">
        <f>IF(NOTA[[#This Row],[JUMLAH]]="","",(NOTA[[#This Row],[JUMLAH]]-NOTA[[#This Row],[DISC 1-]])*NOTA[[#This Row],[DISC 2]])</f>
        <v/>
      </c>
      <c r="Z1219" s="51" t="str">
        <f>IF(NOTA[[#This Row],[JUMLAH]]="","",NOTA[[#This Row],[DISC 1-]]+NOTA[[#This Row],[DISC 2-]])</f>
        <v/>
      </c>
      <c r="AA1219" s="51" t="str">
        <f>IF(NOTA[[#This Row],[JUMLAH]]="","",NOTA[[#This Row],[JUMLAH]]-NOTA[[#This Row],[DISC]])</f>
        <v/>
      </c>
      <c r="AB1219" s="51"/>
      <c r="AC12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9" s="51" t="str">
        <f>IF(OR(NOTA[[#This Row],[QTY]]="",NOTA[[#This Row],[HARGA SATUAN]]="",),"",NOTA[[#This Row],[QTY]]*NOTA[[#This Row],[HARGA SATUAN]])</f>
        <v/>
      </c>
      <c r="AG1219" s="40" t="str">
        <f ca="1">IF(NOTA[ID_H]="","",INDEX(NOTA[TANGGAL],MATCH(,INDIRECT(ADDRESS(ROW(NOTA[TANGGAL]),COLUMN(NOTA[TANGGAL]))&amp;":"&amp;ADDRESS(ROW(),COLUMN(NOTA[TANGGAL]))),-1)))</f>
        <v/>
      </c>
      <c r="AH1219" s="42" t="str">
        <f ca="1">IF(NOTA[[#This Row],[NAMA BARANG]]="","",INDEX(NOTA[SUPPLIER],MATCH(,INDIRECT(ADDRESS(ROW(NOTA[ID]),COLUMN(NOTA[ID]))&amp;":"&amp;ADDRESS(ROW(),COLUMN(NOTA[ID]))),-1)))</f>
        <v/>
      </c>
      <c r="AI1219" s="42" t="str">
        <f ca="1">IF(NOTA[[#This Row],[ID_H]]="","",IF(NOTA[[#This Row],[FAKTUR]]="",INDIRECT(ADDRESS(ROW()-1,COLUMN())),NOTA[[#This Row],[FAKTUR]]))</f>
        <v/>
      </c>
      <c r="AJ1219" s="39" t="str">
        <f ca="1">IF(NOTA[[#This Row],[ID]]="","",COUNTIF(NOTA[ID_H],NOTA[[#This Row],[ID_H]]))</f>
        <v/>
      </c>
      <c r="AK1219" s="39" t="str">
        <f ca="1">IF(NOTA[[#This Row],[TGL.NOTA]]="",IF(NOTA[[#This Row],[SUPPLIER_H]]="","",AK1218),MONTH(NOTA[[#This Row],[TGL.NOTA]]))</f>
        <v/>
      </c>
      <c r="AL1219" s="39" t="str">
        <f>LOWER(SUBSTITUTE(SUBSTITUTE(SUBSTITUTE(SUBSTITUTE(SUBSTITUTE(SUBSTITUTE(SUBSTITUTE(SUBSTITUTE(SUBSTITUTE(NOTA[NAMA BARANG]," ",),".",""),"-",""),"(",""),")",""),",",""),"/",""),"""",""),"+",""))</f>
        <v/>
      </c>
      <c r="AM12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9" s="39" t="str">
        <f>IF(NOTA[[#This Row],[CONCAT4]]="","",_xlfn.IFNA(MATCH(NOTA[[#This Row],[CONCAT4]],[2]!RAW[CONCAT_H],0),FALSE))</f>
        <v/>
      </c>
      <c r="AQ1219" s="39" t="str">
        <f>IF(NOTA[[#This Row],[CONCAT1]]="","",MATCH(NOTA[[#This Row],[CONCAT1]],[3]!db[NB NOTA_C],0))</f>
        <v/>
      </c>
      <c r="AR1219" s="39" t="str">
        <f>IF(NOTA[[#This Row],[QTY/ CTN]]="","",TRUE)</f>
        <v/>
      </c>
      <c r="AS1219" s="39" t="str">
        <f ca="1">IF(NOTA[[#This Row],[ID_H]]="","",IF(NOTA[[#This Row],[Column3]]=TRUE,NOTA[[#This Row],[QTY/ CTN]],INDEX([3]!db[QTY/ CTN],NOTA[[#This Row],[//DB]])))</f>
        <v/>
      </c>
      <c r="AT12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9" s="39" t="str">
        <f ca="1">IF(NOTA[[#This Row],[ID_H]]="","",MATCH(NOTA[[#This Row],[NB NOTA_C_QTY]],[4]!db[NB NOTA_C_QTY+F],0))</f>
        <v/>
      </c>
      <c r="AV1219" s="55" t="str">
        <f ca="1">IF(NOTA[[#This Row],[NB NOTA_C_QTY]]="","",ROW()-2)</f>
        <v/>
      </c>
    </row>
    <row r="1220" spans="1:48" ht="20.100000000000001" customHeight="1" x14ac:dyDescent="0.25">
      <c r="A12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0" s="39" t="str">
        <f>IF(NOTA[[#This Row],[ID_P]]="","",MATCH(NOTA[[#This Row],[ID_P]],[1]!B_MSK[N_ID],0))</f>
        <v/>
      </c>
      <c r="D1220" s="39" t="str">
        <f ca="1">IF(NOTA[[#This Row],[NAMA BARANG]]="","",INDEX(NOTA[ID],MATCH(,INDIRECT(ADDRESS(ROW(NOTA[ID]),COLUMN(NOTA[ID]))&amp;":"&amp;ADDRESS(ROW(),COLUMN(NOTA[ID]))),-1)))</f>
        <v/>
      </c>
      <c r="E1220" s="47"/>
      <c r="H1220" s="48"/>
      <c r="N1220" s="39"/>
      <c r="Q1220" s="43"/>
      <c r="R1220" s="49"/>
      <c r="S1220" s="50"/>
      <c r="U1220" s="51"/>
      <c r="V1220" s="46"/>
      <c r="W1220" s="51" t="str">
        <f>IF(NOTA[[#This Row],[HARGA/ CTN]]="",NOTA[[#This Row],[JUMLAH_H]],NOTA[[#This Row],[HARGA/ CTN]]*IF(NOTA[[#This Row],[C]]="",0,NOTA[[#This Row],[C]]))</f>
        <v/>
      </c>
      <c r="X1220" s="51" t="str">
        <f>IF(NOTA[[#This Row],[JUMLAH]]="","",NOTA[[#This Row],[JUMLAH]]*NOTA[[#This Row],[DISC 1]])</f>
        <v/>
      </c>
      <c r="Y1220" s="51" t="str">
        <f>IF(NOTA[[#This Row],[JUMLAH]]="","",(NOTA[[#This Row],[JUMLAH]]-NOTA[[#This Row],[DISC 1-]])*NOTA[[#This Row],[DISC 2]])</f>
        <v/>
      </c>
      <c r="Z1220" s="51" t="str">
        <f>IF(NOTA[[#This Row],[JUMLAH]]="","",NOTA[[#This Row],[DISC 1-]]+NOTA[[#This Row],[DISC 2-]])</f>
        <v/>
      </c>
      <c r="AA1220" s="51" t="str">
        <f>IF(NOTA[[#This Row],[JUMLAH]]="","",NOTA[[#This Row],[JUMLAH]]-NOTA[[#This Row],[DISC]])</f>
        <v/>
      </c>
      <c r="AB1220" s="51"/>
      <c r="AC1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0" s="51" t="str">
        <f>IF(OR(NOTA[[#This Row],[QTY]]="",NOTA[[#This Row],[HARGA SATUAN]]="",),"",NOTA[[#This Row],[QTY]]*NOTA[[#This Row],[HARGA SATUAN]])</f>
        <v/>
      </c>
      <c r="AG1220" s="40" t="str">
        <f ca="1">IF(NOTA[ID_H]="","",INDEX(NOTA[TANGGAL],MATCH(,INDIRECT(ADDRESS(ROW(NOTA[TANGGAL]),COLUMN(NOTA[TANGGAL]))&amp;":"&amp;ADDRESS(ROW(),COLUMN(NOTA[TANGGAL]))),-1)))</f>
        <v/>
      </c>
      <c r="AH1220" s="42" t="str">
        <f ca="1">IF(NOTA[[#This Row],[NAMA BARANG]]="","",INDEX(NOTA[SUPPLIER],MATCH(,INDIRECT(ADDRESS(ROW(NOTA[ID]),COLUMN(NOTA[ID]))&amp;":"&amp;ADDRESS(ROW(),COLUMN(NOTA[ID]))),-1)))</f>
        <v/>
      </c>
      <c r="AI1220" s="42" t="str">
        <f ca="1">IF(NOTA[[#This Row],[ID_H]]="","",IF(NOTA[[#This Row],[FAKTUR]]="",INDIRECT(ADDRESS(ROW()-1,COLUMN())),NOTA[[#This Row],[FAKTUR]]))</f>
        <v/>
      </c>
      <c r="AJ1220" s="39" t="str">
        <f ca="1">IF(NOTA[[#This Row],[ID]]="","",COUNTIF(NOTA[ID_H],NOTA[[#This Row],[ID_H]]))</f>
        <v/>
      </c>
      <c r="AK1220" s="39" t="str">
        <f ca="1">IF(NOTA[[#This Row],[TGL.NOTA]]="",IF(NOTA[[#This Row],[SUPPLIER_H]]="","",AK1219),MONTH(NOTA[[#This Row],[TGL.NOTA]]))</f>
        <v/>
      </c>
      <c r="AL1220" s="39" t="str">
        <f>LOWER(SUBSTITUTE(SUBSTITUTE(SUBSTITUTE(SUBSTITUTE(SUBSTITUTE(SUBSTITUTE(SUBSTITUTE(SUBSTITUTE(SUBSTITUTE(NOTA[NAMA BARANG]," ",),".",""),"-",""),"(",""),")",""),",",""),"/",""),"""",""),"+",""))</f>
        <v/>
      </c>
      <c r="AM12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0" s="39" t="str">
        <f>IF(NOTA[[#This Row],[CONCAT4]]="","",_xlfn.IFNA(MATCH(NOTA[[#This Row],[CONCAT4]],[2]!RAW[CONCAT_H],0),FALSE))</f>
        <v/>
      </c>
      <c r="AQ1220" s="39" t="str">
        <f>IF(NOTA[[#This Row],[CONCAT1]]="","",MATCH(NOTA[[#This Row],[CONCAT1]],[3]!db[NB NOTA_C],0))</f>
        <v/>
      </c>
      <c r="AR1220" s="39" t="str">
        <f>IF(NOTA[[#This Row],[QTY/ CTN]]="","",TRUE)</f>
        <v/>
      </c>
      <c r="AS1220" s="39" t="str">
        <f ca="1">IF(NOTA[[#This Row],[ID_H]]="","",IF(NOTA[[#This Row],[Column3]]=TRUE,NOTA[[#This Row],[QTY/ CTN]],INDEX([3]!db[QTY/ CTN],NOTA[[#This Row],[//DB]])))</f>
        <v/>
      </c>
      <c r="AT12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0" s="39" t="str">
        <f ca="1">IF(NOTA[[#This Row],[ID_H]]="","",MATCH(NOTA[[#This Row],[NB NOTA_C_QTY]],[4]!db[NB NOTA_C_QTY+F],0))</f>
        <v/>
      </c>
      <c r="AV1220" s="55" t="str">
        <f ca="1">IF(NOTA[[#This Row],[NB NOTA_C_QTY]]="","",ROW()-2)</f>
        <v/>
      </c>
    </row>
    <row r="1221" spans="1:48" ht="20.100000000000001" customHeight="1" x14ac:dyDescent="0.25">
      <c r="A12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1" s="39" t="str">
        <f>IF(NOTA[[#This Row],[ID_P]]="","",MATCH(NOTA[[#This Row],[ID_P]],[1]!B_MSK[N_ID],0))</f>
        <v/>
      </c>
      <c r="D1221" s="39" t="str">
        <f ca="1">IF(NOTA[[#This Row],[NAMA BARANG]]="","",INDEX(NOTA[ID],MATCH(,INDIRECT(ADDRESS(ROW(NOTA[ID]),COLUMN(NOTA[ID]))&amp;":"&amp;ADDRESS(ROW(),COLUMN(NOTA[ID]))),-1)))</f>
        <v/>
      </c>
      <c r="E1221" s="47"/>
      <c r="H1221" s="48"/>
      <c r="N1221" s="39"/>
      <c r="Q1221" s="43"/>
      <c r="R1221" s="49"/>
      <c r="S1221" s="50"/>
      <c r="U1221" s="51"/>
      <c r="V1221" s="46"/>
      <c r="W1221" s="51" t="str">
        <f>IF(NOTA[[#This Row],[HARGA/ CTN]]="",NOTA[[#This Row],[JUMLAH_H]],NOTA[[#This Row],[HARGA/ CTN]]*IF(NOTA[[#This Row],[C]]="",0,NOTA[[#This Row],[C]]))</f>
        <v/>
      </c>
      <c r="X1221" s="51" t="str">
        <f>IF(NOTA[[#This Row],[JUMLAH]]="","",NOTA[[#This Row],[JUMLAH]]*NOTA[[#This Row],[DISC 1]])</f>
        <v/>
      </c>
      <c r="Y1221" s="51" t="str">
        <f>IF(NOTA[[#This Row],[JUMLAH]]="","",(NOTA[[#This Row],[JUMLAH]]-NOTA[[#This Row],[DISC 1-]])*NOTA[[#This Row],[DISC 2]])</f>
        <v/>
      </c>
      <c r="Z1221" s="51" t="str">
        <f>IF(NOTA[[#This Row],[JUMLAH]]="","",NOTA[[#This Row],[DISC 1-]]+NOTA[[#This Row],[DISC 2-]])</f>
        <v/>
      </c>
      <c r="AA1221" s="51" t="str">
        <f>IF(NOTA[[#This Row],[JUMLAH]]="","",NOTA[[#This Row],[JUMLAH]]-NOTA[[#This Row],[DISC]])</f>
        <v/>
      </c>
      <c r="AB1221" s="51"/>
      <c r="AC12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1" s="51" t="str">
        <f>IF(OR(NOTA[[#This Row],[QTY]]="",NOTA[[#This Row],[HARGA SATUAN]]="",),"",NOTA[[#This Row],[QTY]]*NOTA[[#This Row],[HARGA SATUAN]])</f>
        <v/>
      </c>
      <c r="AG1221" s="40" t="str">
        <f ca="1">IF(NOTA[ID_H]="","",INDEX(NOTA[TANGGAL],MATCH(,INDIRECT(ADDRESS(ROW(NOTA[TANGGAL]),COLUMN(NOTA[TANGGAL]))&amp;":"&amp;ADDRESS(ROW(),COLUMN(NOTA[TANGGAL]))),-1)))</f>
        <v/>
      </c>
      <c r="AH1221" s="42" t="str">
        <f ca="1">IF(NOTA[[#This Row],[NAMA BARANG]]="","",INDEX(NOTA[SUPPLIER],MATCH(,INDIRECT(ADDRESS(ROW(NOTA[ID]),COLUMN(NOTA[ID]))&amp;":"&amp;ADDRESS(ROW(),COLUMN(NOTA[ID]))),-1)))</f>
        <v/>
      </c>
      <c r="AI1221" s="42" t="str">
        <f ca="1">IF(NOTA[[#This Row],[ID_H]]="","",IF(NOTA[[#This Row],[FAKTUR]]="",INDIRECT(ADDRESS(ROW()-1,COLUMN())),NOTA[[#This Row],[FAKTUR]]))</f>
        <v/>
      </c>
      <c r="AJ1221" s="39" t="str">
        <f ca="1">IF(NOTA[[#This Row],[ID]]="","",COUNTIF(NOTA[ID_H],NOTA[[#This Row],[ID_H]]))</f>
        <v/>
      </c>
      <c r="AK1221" s="39" t="str">
        <f ca="1">IF(NOTA[[#This Row],[TGL.NOTA]]="",IF(NOTA[[#This Row],[SUPPLIER_H]]="","",AK1220),MONTH(NOTA[[#This Row],[TGL.NOTA]]))</f>
        <v/>
      </c>
      <c r="AL1221" s="39" t="str">
        <f>LOWER(SUBSTITUTE(SUBSTITUTE(SUBSTITUTE(SUBSTITUTE(SUBSTITUTE(SUBSTITUTE(SUBSTITUTE(SUBSTITUTE(SUBSTITUTE(NOTA[NAMA BARANG]," ",),".",""),"-",""),"(",""),")",""),",",""),"/",""),"""",""),"+",""))</f>
        <v/>
      </c>
      <c r="AM12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1" s="39" t="str">
        <f>IF(NOTA[[#This Row],[CONCAT4]]="","",_xlfn.IFNA(MATCH(NOTA[[#This Row],[CONCAT4]],[2]!RAW[CONCAT_H],0),FALSE))</f>
        <v/>
      </c>
      <c r="AQ1221" s="39" t="str">
        <f>IF(NOTA[[#This Row],[CONCAT1]]="","",MATCH(NOTA[[#This Row],[CONCAT1]],[3]!db[NB NOTA_C],0))</f>
        <v/>
      </c>
      <c r="AR1221" s="39" t="str">
        <f>IF(NOTA[[#This Row],[QTY/ CTN]]="","",TRUE)</f>
        <v/>
      </c>
      <c r="AS1221" s="39" t="str">
        <f ca="1">IF(NOTA[[#This Row],[ID_H]]="","",IF(NOTA[[#This Row],[Column3]]=TRUE,NOTA[[#This Row],[QTY/ CTN]],INDEX([3]!db[QTY/ CTN],NOTA[[#This Row],[//DB]])))</f>
        <v/>
      </c>
      <c r="AT12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1" s="39" t="str">
        <f ca="1">IF(NOTA[[#This Row],[ID_H]]="","",MATCH(NOTA[[#This Row],[NB NOTA_C_QTY]],[4]!db[NB NOTA_C_QTY+F],0))</f>
        <v/>
      </c>
      <c r="AV1221" s="55" t="str">
        <f ca="1">IF(NOTA[[#This Row],[NB NOTA_C_QTY]]="","",ROW()-2)</f>
        <v/>
      </c>
    </row>
    <row r="1222" spans="1:48" ht="20.100000000000001" customHeight="1" x14ac:dyDescent="0.25">
      <c r="A12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2" s="39" t="str">
        <f>IF(NOTA[[#This Row],[ID_P]]="","",MATCH(NOTA[[#This Row],[ID_P]],[1]!B_MSK[N_ID],0))</f>
        <v/>
      </c>
      <c r="D1222" s="39" t="str">
        <f ca="1">IF(NOTA[[#This Row],[NAMA BARANG]]="","",INDEX(NOTA[ID],MATCH(,INDIRECT(ADDRESS(ROW(NOTA[ID]),COLUMN(NOTA[ID]))&amp;":"&amp;ADDRESS(ROW(),COLUMN(NOTA[ID]))),-1)))</f>
        <v/>
      </c>
      <c r="E1222" s="47"/>
      <c r="H1222" s="48"/>
      <c r="N1222" s="39"/>
      <c r="Q1222" s="43"/>
      <c r="R1222" s="49"/>
      <c r="S1222" s="50"/>
      <c r="U1222" s="51"/>
      <c r="V1222" s="46"/>
      <c r="W1222" s="51" t="str">
        <f>IF(NOTA[[#This Row],[HARGA/ CTN]]="",NOTA[[#This Row],[JUMLAH_H]],NOTA[[#This Row],[HARGA/ CTN]]*IF(NOTA[[#This Row],[C]]="",0,NOTA[[#This Row],[C]]))</f>
        <v/>
      </c>
      <c r="X1222" s="51" t="str">
        <f>IF(NOTA[[#This Row],[JUMLAH]]="","",NOTA[[#This Row],[JUMLAH]]*NOTA[[#This Row],[DISC 1]])</f>
        <v/>
      </c>
      <c r="Y1222" s="51" t="str">
        <f>IF(NOTA[[#This Row],[JUMLAH]]="","",(NOTA[[#This Row],[JUMLAH]]-NOTA[[#This Row],[DISC 1-]])*NOTA[[#This Row],[DISC 2]])</f>
        <v/>
      </c>
      <c r="Z1222" s="51" t="str">
        <f>IF(NOTA[[#This Row],[JUMLAH]]="","",NOTA[[#This Row],[DISC 1-]]+NOTA[[#This Row],[DISC 2-]])</f>
        <v/>
      </c>
      <c r="AA1222" s="51" t="str">
        <f>IF(NOTA[[#This Row],[JUMLAH]]="","",NOTA[[#This Row],[JUMLAH]]-NOTA[[#This Row],[DISC]])</f>
        <v/>
      </c>
      <c r="AB1222" s="51"/>
      <c r="AC1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2" s="51" t="str">
        <f>IF(OR(NOTA[[#This Row],[QTY]]="",NOTA[[#This Row],[HARGA SATUAN]]="",),"",NOTA[[#This Row],[QTY]]*NOTA[[#This Row],[HARGA SATUAN]])</f>
        <v/>
      </c>
      <c r="AG1222" s="40" t="str">
        <f ca="1">IF(NOTA[ID_H]="","",INDEX(NOTA[TANGGAL],MATCH(,INDIRECT(ADDRESS(ROW(NOTA[TANGGAL]),COLUMN(NOTA[TANGGAL]))&amp;":"&amp;ADDRESS(ROW(),COLUMN(NOTA[TANGGAL]))),-1)))</f>
        <v/>
      </c>
      <c r="AH1222" s="42" t="str">
        <f ca="1">IF(NOTA[[#This Row],[NAMA BARANG]]="","",INDEX(NOTA[SUPPLIER],MATCH(,INDIRECT(ADDRESS(ROW(NOTA[ID]),COLUMN(NOTA[ID]))&amp;":"&amp;ADDRESS(ROW(),COLUMN(NOTA[ID]))),-1)))</f>
        <v/>
      </c>
      <c r="AI1222" s="42" t="str">
        <f ca="1">IF(NOTA[[#This Row],[ID_H]]="","",IF(NOTA[[#This Row],[FAKTUR]]="",INDIRECT(ADDRESS(ROW()-1,COLUMN())),NOTA[[#This Row],[FAKTUR]]))</f>
        <v/>
      </c>
      <c r="AJ1222" s="39" t="str">
        <f ca="1">IF(NOTA[[#This Row],[ID]]="","",COUNTIF(NOTA[ID_H],NOTA[[#This Row],[ID_H]]))</f>
        <v/>
      </c>
      <c r="AK1222" s="39" t="str">
        <f ca="1">IF(NOTA[[#This Row],[TGL.NOTA]]="",IF(NOTA[[#This Row],[SUPPLIER_H]]="","",AK1221),MONTH(NOTA[[#This Row],[TGL.NOTA]]))</f>
        <v/>
      </c>
      <c r="AL1222" s="39" t="str">
        <f>LOWER(SUBSTITUTE(SUBSTITUTE(SUBSTITUTE(SUBSTITUTE(SUBSTITUTE(SUBSTITUTE(SUBSTITUTE(SUBSTITUTE(SUBSTITUTE(NOTA[NAMA BARANG]," ",),".",""),"-",""),"(",""),")",""),",",""),"/",""),"""",""),"+",""))</f>
        <v/>
      </c>
      <c r="AM12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2" s="39" t="str">
        <f>IF(NOTA[[#This Row],[CONCAT4]]="","",_xlfn.IFNA(MATCH(NOTA[[#This Row],[CONCAT4]],[2]!RAW[CONCAT_H],0),FALSE))</f>
        <v/>
      </c>
      <c r="AQ1222" s="39" t="str">
        <f>IF(NOTA[[#This Row],[CONCAT1]]="","",MATCH(NOTA[[#This Row],[CONCAT1]],[3]!db[NB NOTA_C],0))</f>
        <v/>
      </c>
      <c r="AR1222" s="39" t="str">
        <f>IF(NOTA[[#This Row],[QTY/ CTN]]="","",TRUE)</f>
        <v/>
      </c>
      <c r="AS1222" s="39" t="str">
        <f ca="1">IF(NOTA[[#This Row],[ID_H]]="","",IF(NOTA[[#This Row],[Column3]]=TRUE,NOTA[[#This Row],[QTY/ CTN]],INDEX([3]!db[QTY/ CTN],NOTA[[#This Row],[//DB]])))</f>
        <v/>
      </c>
      <c r="AT12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2" s="39" t="str">
        <f ca="1">IF(NOTA[[#This Row],[ID_H]]="","",MATCH(NOTA[[#This Row],[NB NOTA_C_QTY]],[4]!db[NB NOTA_C_QTY+F],0))</f>
        <v/>
      </c>
      <c r="AV1222" s="55" t="str">
        <f ca="1">IF(NOTA[[#This Row],[NB NOTA_C_QTY]]="","",ROW()-2)</f>
        <v/>
      </c>
    </row>
    <row r="1223" spans="1:48" ht="20.100000000000001" customHeight="1" x14ac:dyDescent="0.25">
      <c r="A12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3" s="39" t="str">
        <f>IF(NOTA[[#This Row],[ID_P]]="","",MATCH(NOTA[[#This Row],[ID_P]],[1]!B_MSK[N_ID],0))</f>
        <v/>
      </c>
      <c r="D1223" s="39" t="str">
        <f ca="1">IF(NOTA[[#This Row],[NAMA BARANG]]="","",INDEX(NOTA[ID],MATCH(,INDIRECT(ADDRESS(ROW(NOTA[ID]),COLUMN(NOTA[ID]))&amp;":"&amp;ADDRESS(ROW(),COLUMN(NOTA[ID]))),-1)))</f>
        <v/>
      </c>
      <c r="E1223" s="47"/>
      <c r="H1223" s="48"/>
      <c r="N1223" s="39"/>
      <c r="Q1223" s="43"/>
      <c r="R1223" s="49"/>
      <c r="S1223" s="50"/>
      <c r="U1223" s="51"/>
      <c r="V1223" s="46"/>
      <c r="W1223" s="51" t="str">
        <f>IF(NOTA[[#This Row],[HARGA/ CTN]]="",NOTA[[#This Row],[JUMLAH_H]],NOTA[[#This Row],[HARGA/ CTN]]*IF(NOTA[[#This Row],[C]]="",0,NOTA[[#This Row],[C]]))</f>
        <v/>
      </c>
      <c r="X1223" s="51" t="str">
        <f>IF(NOTA[[#This Row],[JUMLAH]]="","",NOTA[[#This Row],[JUMLAH]]*NOTA[[#This Row],[DISC 1]])</f>
        <v/>
      </c>
      <c r="Y1223" s="51" t="str">
        <f>IF(NOTA[[#This Row],[JUMLAH]]="","",(NOTA[[#This Row],[JUMLAH]]-NOTA[[#This Row],[DISC 1-]])*NOTA[[#This Row],[DISC 2]])</f>
        <v/>
      </c>
      <c r="Z1223" s="51" t="str">
        <f>IF(NOTA[[#This Row],[JUMLAH]]="","",NOTA[[#This Row],[DISC 1-]]+NOTA[[#This Row],[DISC 2-]])</f>
        <v/>
      </c>
      <c r="AA1223" s="51" t="str">
        <f>IF(NOTA[[#This Row],[JUMLAH]]="","",NOTA[[#This Row],[JUMLAH]]-NOTA[[#This Row],[DISC]])</f>
        <v/>
      </c>
      <c r="AB1223" s="51"/>
      <c r="AC12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3" s="51" t="str">
        <f>IF(OR(NOTA[[#This Row],[QTY]]="",NOTA[[#This Row],[HARGA SATUAN]]="",),"",NOTA[[#This Row],[QTY]]*NOTA[[#This Row],[HARGA SATUAN]])</f>
        <v/>
      </c>
      <c r="AG1223" s="40" t="str">
        <f ca="1">IF(NOTA[ID_H]="","",INDEX(NOTA[TANGGAL],MATCH(,INDIRECT(ADDRESS(ROW(NOTA[TANGGAL]),COLUMN(NOTA[TANGGAL]))&amp;":"&amp;ADDRESS(ROW(),COLUMN(NOTA[TANGGAL]))),-1)))</f>
        <v/>
      </c>
      <c r="AH1223" s="42" t="str">
        <f ca="1">IF(NOTA[[#This Row],[NAMA BARANG]]="","",INDEX(NOTA[SUPPLIER],MATCH(,INDIRECT(ADDRESS(ROW(NOTA[ID]),COLUMN(NOTA[ID]))&amp;":"&amp;ADDRESS(ROW(),COLUMN(NOTA[ID]))),-1)))</f>
        <v/>
      </c>
      <c r="AI1223" s="42" t="str">
        <f ca="1">IF(NOTA[[#This Row],[ID_H]]="","",IF(NOTA[[#This Row],[FAKTUR]]="",INDIRECT(ADDRESS(ROW()-1,COLUMN())),NOTA[[#This Row],[FAKTUR]]))</f>
        <v/>
      </c>
      <c r="AJ1223" s="39" t="str">
        <f ca="1">IF(NOTA[[#This Row],[ID]]="","",COUNTIF(NOTA[ID_H],NOTA[[#This Row],[ID_H]]))</f>
        <v/>
      </c>
      <c r="AK1223" s="39" t="str">
        <f ca="1">IF(NOTA[[#This Row],[TGL.NOTA]]="",IF(NOTA[[#This Row],[SUPPLIER_H]]="","",AK1222),MONTH(NOTA[[#This Row],[TGL.NOTA]]))</f>
        <v/>
      </c>
      <c r="AL1223" s="39" t="str">
        <f>LOWER(SUBSTITUTE(SUBSTITUTE(SUBSTITUTE(SUBSTITUTE(SUBSTITUTE(SUBSTITUTE(SUBSTITUTE(SUBSTITUTE(SUBSTITUTE(NOTA[NAMA BARANG]," ",),".",""),"-",""),"(",""),")",""),",",""),"/",""),"""",""),"+",""))</f>
        <v/>
      </c>
      <c r="AM12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3" s="39" t="str">
        <f>IF(NOTA[[#This Row],[CONCAT4]]="","",_xlfn.IFNA(MATCH(NOTA[[#This Row],[CONCAT4]],[2]!RAW[CONCAT_H],0),FALSE))</f>
        <v/>
      </c>
      <c r="AQ1223" s="39" t="str">
        <f>IF(NOTA[[#This Row],[CONCAT1]]="","",MATCH(NOTA[[#This Row],[CONCAT1]],[3]!db[NB NOTA_C],0))</f>
        <v/>
      </c>
      <c r="AR1223" s="39" t="str">
        <f>IF(NOTA[[#This Row],[QTY/ CTN]]="","",TRUE)</f>
        <v/>
      </c>
      <c r="AS1223" s="39" t="str">
        <f ca="1">IF(NOTA[[#This Row],[ID_H]]="","",IF(NOTA[[#This Row],[Column3]]=TRUE,NOTA[[#This Row],[QTY/ CTN]],INDEX([3]!db[QTY/ CTN],NOTA[[#This Row],[//DB]])))</f>
        <v/>
      </c>
      <c r="AT12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3" s="39" t="str">
        <f ca="1">IF(NOTA[[#This Row],[ID_H]]="","",MATCH(NOTA[[#This Row],[NB NOTA_C_QTY]],[4]!db[NB NOTA_C_QTY+F],0))</f>
        <v/>
      </c>
      <c r="AV1223" s="55" t="str">
        <f ca="1">IF(NOTA[[#This Row],[NB NOTA_C_QTY]]="","",ROW()-2)</f>
        <v/>
      </c>
    </row>
    <row r="1224" spans="1:48" ht="20.100000000000001" customHeight="1" x14ac:dyDescent="0.25">
      <c r="A12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4" s="39" t="str">
        <f>IF(NOTA[[#This Row],[ID_P]]="","",MATCH(NOTA[[#This Row],[ID_P]],[1]!B_MSK[N_ID],0))</f>
        <v/>
      </c>
      <c r="D1224" s="39" t="str">
        <f ca="1">IF(NOTA[[#This Row],[NAMA BARANG]]="","",INDEX(NOTA[ID],MATCH(,INDIRECT(ADDRESS(ROW(NOTA[ID]),COLUMN(NOTA[ID]))&amp;":"&amp;ADDRESS(ROW(),COLUMN(NOTA[ID]))),-1)))</f>
        <v/>
      </c>
      <c r="E1224" s="47"/>
      <c r="H1224" s="48"/>
      <c r="N1224" s="39"/>
      <c r="Q1224" s="43"/>
      <c r="R1224" s="49"/>
      <c r="S1224" s="50"/>
      <c r="U1224" s="51"/>
      <c r="V1224" s="46"/>
      <c r="W1224" s="51" t="str">
        <f>IF(NOTA[[#This Row],[HARGA/ CTN]]="",NOTA[[#This Row],[JUMLAH_H]],NOTA[[#This Row],[HARGA/ CTN]]*IF(NOTA[[#This Row],[C]]="",0,NOTA[[#This Row],[C]]))</f>
        <v/>
      </c>
      <c r="X1224" s="51" t="str">
        <f>IF(NOTA[[#This Row],[JUMLAH]]="","",NOTA[[#This Row],[JUMLAH]]*NOTA[[#This Row],[DISC 1]])</f>
        <v/>
      </c>
      <c r="Y1224" s="51" t="str">
        <f>IF(NOTA[[#This Row],[JUMLAH]]="","",(NOTA[[#This Row],[JUMLAH]]-NOTA[[#This Row],[DISC 1-]])*NOTA[[#This Row],[DISC 2]])</f>
        <v/>
      </c>
      <c r="Z1224" s="51" t="str">
        <f>IF(NOTA[[#This Row],[JUMLAH]]="","",NOTA[[#This Row],[DISC 1-]]+NOTA[[#This Row],[DISC 2-]])</f>
        <v/>
      </c>
      <c r="AA1224" s="51" t="str">
        <f>IF(NOTA[[#This Row],[JUMLAH]]="","",NOTA[[#This Row],[JUMLAH]]-NOTA[[#This Row],[DISC]])</f>
        <v/>
      </c>
      <c r="AB1224" s="51"/>
      <c r="AC1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4" s="51" t="str">
        <f>IF(OR(NOTA[[#This Row],[QTY]]="",NOTA[[#This Row],[HARGA SATUAN]]="",),"",NOTA[[#This Row],[QTY]]*NOTA[[#This Row],[HARGA SATUAN]])</f>
        <v/>
      </c>
      <c r="AG1224" s="40" t="str">
        <f ca="1">IF(NOTA[ID_H]="","",INDEX(NOTA[TANGGAL],MATCH(,INDIRECT(ADDRESS(ROW(NOTA[TANGGAL]),COLUMN(NOTA[TANGGAL]))&amp;":"&amp;ADDRESS(ROW(),COLUMN(NOTA[TANGGAL]))),-1)))</f>
        <v/>
      </c>
      <c r="AH1224" s="42" t="str">
        <f ca="1">IF(NOTA[[#This Row],[NAMA BARANG]]="","",INDEX(NOTA[SUPPLIER],MATCH(,INDIRECT(ADDRESS(ROW(NOTA[ID]),COLUMN(NOTA[ID]))&amp;":"&amp;ADDRESS(ROW(),COLUMN(NOTA[ID]))),-1)))</f>
        <v/>
      </c>
      <c r="AI1224" s="42" t="str">
        <f ca="1">IF(NOTA[[#This Row],[ID_H]]="","",IF(NOTA[[#This Row],[FAKTUR]]="",INDIRECT(ADDRESS(ROW()-1,COLUMN())),NOTA[[#This Row],[FAKTUR]]))</f>
        <v/>
      </c>
      <c r="AJ1224" s="39" t="str">
        <f ca="1">IF(NOTA[[#This Row],[ID]]="","",COUNTIF(NOTA[ID_H],NOTA[[#This Row],[ID_H]]))</f>
        <v/>
      </c>
      <c r="AK1224" s="39" t="str">
        <f ca="1">IF(NOTA[[#This Row],[TGL.NOTA]]="",IF(NOTA[[#This Row],[SUPPLIER_H]]="","",AK1223),MONTH(NOTA[[#This Row],[TGL.NOTA]]))</f>
        <v/>
      </c>
      <c r="AL1224" s="39" t="str">
        <f>LOWER(SUBSTITUTE(SUBSTITUTE(SUBSTITUTE(SUBSTITUTE(SUBSTITUTE(SUBSTITUTE(SUBSTITUTE(SUBSTITUTE(SUBSTITUTE(NOTA[NAMA BARANG]," ",),".",""),"-",""),"(",""),")",""),",",""),"/",""),"""",""),"+",""))</f>
        <v/>
      </c>
      <c r="AM12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4" s="39" t="str">
        <f>IF(NOTA[[#This Row],[CONCAT4]]="","",_xlfn.IFNA(MATCH(NOTA[[#This Row],[CONCAT4]],[2]!RAW[CONCAT_H],0),FALSE))</f>
        <v/>
      </c>
      <c r="AQ1224" s="39" t="str">
        <f>IF(NOTA[[#This Row],[CONCAT1]]="","",MATCH(NOTA[[#This Row],[CONCAT1]],[3]!db[NB NOTA_C],0))</f>
        <v/>
      </c>
      <c r="AR1224" s="39" t="str">
        <f>IF(NOTA[[#This Row],[QTY/ CTN]]="","",TRUE)</f>
        <v/>
      </c>
      <c r="AS1224" s="39" t="str">
        <f ca="1">IF(NOTA[[#This Row],[ID_H]]="","",IF(NOTA[[#This Row],[Column3]]=TRUE,NOTA[[#This Row],[QTY/ CTN]],INDEX([3]!db[QTY/ CTN],NOTA[[#This Row],[//DB]])))</f>
        <v/>
      </c>
      <c r="AT12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4" s="39" t="str">
        <f ca="1">IF(NOTA[[#This Row],[ID_H]]="","",MATCH(NOTA[[#This Row],[NB NOTA_C_QTY]],[4]!db[NB NOTA_C_QTY+F],0))</f>
        <v/>
      </c>
      <c r="AV1224" s="55" t="str">
        <f ca="1">IF(NOTA[[#This Row],[NB NOTA_C_QTY]]="","",ROW()-2)</f>
        <v/>
      </c>
    </row>
    <row r="1225" spans="1:48" ht="20.100000000000001" customHeight="1" x14ac:dyDescent="0.25">
      <c r="A12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5" s="39" t="str">
        <f>IF(NOTA[[#This Row],[ID_P]]="","",MATCH(NOTA[[#This Row],[ID_P]],[1]!B_MSK[N_ID],0))</f>
        <v/>
      </c>
      <c r="D1225" s="39" t="str">
        <f ca="1">IF(NOTA[[#This Row],[NAMA BARANG]]="","",INDEX(NOTA[ID],MATCH(,INDIRECT(ADDRESS(ROW(NOTA[ID]),COLUMN(NOTA[ID]))&amp;":"&amp;ADDRESS(ROW(),COLUMN(NOTA[ID]))),-1)))</f>
        <v/>
      </c>
      <c r="E1225" s="47"/>
      <c r="H1225" s="48"/>
      <c r="N1225" s="39"/>
      <c r="Q1225" s="43"/>
      <c r="R1225" s="49"/>
      <c r="S1225" s="50"/>
      <c r="U1225" s="51"/>
      <c r="V1225" s="46"/>
      <c r="W1225" s="51" t="str">
        <f>IF(NOTA[[#This Row],[HARGA/ CTN]]="",NOTA[[#This Row],[JUMLAH_H]],NOTA[[#This Row],[HARGA/ CTN]]*IF(NOTA[[#This Row],[C]]="",0,NOTA[[#This Row],[C]]))</f>
        <v/>
      </c>
      <c r="X1225" s="51" t="str">
        <f>IF(NOTA[[#This Row],[JUMLAH]]="","",NOTA[[#This Row],[JUMLAH]]*NOTA[[#This Row],[DISC 1]])</f>
        <v/>
      </c>
      <c r="Y1225" s="51" t="str">
        <f>IF(NOTA[[#This Row],[JUMLAH]]="","",(NOTA[[#This Row],[JUMLAH]]-NOTA[[#This Row],[DISC 1-]])*NOTA[[#This Row],[DISC 2]])</f>
        <v/>
      </c>
      <c r="Z1225" s="51" t="str">
        <f>IF(NOTA[[#This Row],[JUMLAH]]="","",NOTA[[#This Row],[DISC 1-]]+NOTA[[#This Row],[DISC 2-]])</f>
        <v/>
      </c>
      <c r="AA1225" s="51" t="str">
        <f>IF(NOTA[[#This Row],[JUMLAH]]="","",NOTA[[#This Row],[JUMLAH]]-NOTA[[#This Row],[DISC]])</f>
        <v/>
      </c>
      <c r="AB1225" s="51"/>
      <c r="AC1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5" s="51" t="str">
        <f>IF(OR(NOTA[[#This Row],[QTY]]="",NOTA[[#This Row],[HARGA SATUAN]]="",),"",NOTA[[#This Row],[QTY]]*NOTA[[#This Row],[HARGA SATUAN]])</f>
        <v/>
      </c>
      <c r="AG1225" s="40" t="str">
        <f ca="1">IF(NOTA[ID_H]="","",INDEX(NOTA[TANGGAL],MATCH(,INDIRECT(ADDRESS(ROW(NOTA[TANGGAL]),COLUMN(NOTA[TANGGAL]))&amp;":"&amp;ADDRESS(ROW(),COLUMN(NOTA[TANGGAL]))),-1)))</f>
        <v/>
      </c>
      <c r="AH1225" s="42" t="str">
        <f ca="1">IF(NOTA[[#This Row],[NAMA BARANG]]="","",INDEX(NOTA[SUPPLIER],MATCH(,INDIRECT(ADDRESS(ROW(NOTA[ID]),COLUMN(NOTA[ID]))&amp;":"&amp;ADDRESS(ROW(),COLUMN(NOTA[ID]))),-1)))</f>
        <v/>
      </c>
      <c r="AI1225" s="42" t="str">
        <f ca="1">IF(NOTA[[#This Row],[ID_H]]="","",IF(NOTA[[#This Row],[FAKTUR]]="",INDIRECT(ADDRESS(ROW()-1,COLUMN())),NOTA[[#This Row],[FAKTUR]]))</f>
        <v/>
      </c>
      <c r="AJ1225" s="39" t="str">
        <f ca="1">IF(NOTA[[#This Row],[ID]]="","",COUNTIF(NOTA[ID_H],NOTA[[#This Row],[ID_H]]))</f>
        <v/>
      </c>
      <c r="AK1225" s="39" t="str">
        <f ca="1">IF(NOTA[[#This Row],[TGL.NOTA]]="",IF(NOTA[[#This Row],[SUPPLIER_H]]="","",AK1224),MONTH(NOTA[[#This Row],[TGL.NOTA]]))</f>
        <v/>
      </c>
      <c r="AL1225" s="39" t="str">
        <f>LOWER(SUBSTITUTE(SUBSTITUTE(SUBSTITUTE(SUBSTITUTE(SUBSTITUTE(SUBSTITUTE(SUBSTITUTE(SUBSTITUTE(SUBSTITUTE(NOTA[NAMA BARANG]," ",),".",""),"-",""),"(",""),")",""),",",""),"/",""),"""",""),"+",""))</f>
        <v/>
      </c>
      <c r="AM12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5" s="39" t="str">
        <f>IF(NOTA[[#This Row],[CONCAT4]]="","",_xlfn.IFNA(MATCH(NOTA[[#This Row],[CONCAT4]],[2]!RAW[CONCAT_H],0),FALSE))</f>
        <v/>
      </c>
      <c r="AQ1225" s="39" t="str">
        <f>IF(NOTA[[#This Row],[CONCAT1]]="","",MATCH(NOTA[[#This Row],[CONCAT1]],[3]!db[NB NOTA_C],0))</f>
        <v/>
      </c>
      <c r="AR1225" s="39" t="str">
        <f>IF(NOTA[[#This Row],[QTY/ CTN]]="","",TRUE)</f>
        <v/>
      </c>
      <c r="AS1225" s="39" t="str">
        <f ca="1">IF(NOTA[[#This Row],[ID_H]]="","",IF(NOTA[[#This Row],[Column3]]=TRUE,NOTA[[#This Row],[QTY/ CTN]],INDEX([3]!db[QTY/ CTN],NOTA[[#This Row],[//DB]])))</f>
        <v/>
      </c>
      <c r="AT12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5" s="39" t="str">
        <f ca="1">IF(NOTA[[#This Row],[ID_H]]="","",MATCH(NOTA[[#This Row],[NB NOTA_C_QTY]],[4]!db[NB NOTA_C_QTY+F],0))</f>
        <v/>
      </c>
      <c r="AV1225" s="55" t="str">
        <f ca="1">IF(NOTA[[#This Row],[NB NOTA_C_QTY]]="","",ROW()-2)</f>
        <v/>
      </c>
    </row>
    <row r="1226" spans="1:48" ht="20.100000000000001" customHeight="1" x14ac:dyDescent="0.25">
      <c r="A12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6" s="39" t="str">
        <f>IF(NOTA[[#This Row],[ID_P]]="","",MATCH(NOTA[[#This Row],[ID_P]],[1]!B_MSK[N_ID],0))</f>
        <v/>
      </c>
      <c r="D1226" s="39" t="str">
        <f ca="1">IF(NOTA[[#This Row],[NAMA BARANG]]="","",INDEX(NOTA[ID],MATCH(,INDIRECT(ADDRESS(ROW(NOTA[ID]),COLUMN(NOTA[ID]))&amp;":"&amp;ADDRESS(ROW(),COLUMN(NOTA[ID]))),-1)))</f>
        <v/>
      </c>
      <c r="E1226" s="47"/>
      <c r="H1226" s="48"/>
      <c r="N1226" s="39"/>
      <c r="Q1226" s="43"/>
      <c r="R1226" s="49"/>
      <c r="S1226" s="50"/>
      <c r="U1226" s="51"/>
      <c r="V1226" s="46"/>
      <c r="W1226" s="51" t="str">
        <f>IF(NOTA[[#This Row],[HARGA/ CTN]]="",NOTA[[#This Row],[JUMLAH_H]],NOTA[[#This Row],[HARGA/ CTN]]*IF(NOTA[[#This Row],[C]]="",0,NOTA[[#This Row],[C]]))</f>
        <v/>
      </c>
      <c r="X1226" s="51" t="str">
        <f>IF(NOTA[[#This Row],[JUMLAH]]="","",NOTA[[#This Row],[JUMLAH]]*NOTA[[#This Row],[DISC 1]])</f>
        <v/>
      </c>
      <c r="Y1226" s="51" t="str">
        <f>IF(NOTA[[#This Row],[JUMLAH]]="","",(NOTA[[#This Row],[JUMLAH]]-NOTA[[#This Row],[DISC 1-]])*NOTA[[#This Row],[DISC 2]])</f>
        <v/>
      </c>
      <c r="Z1226" s="51" t="str">
        <f>IF(NOTA[[#This Row],[JUMLAH]]="","",NOTA[[#This Row],[DISC 1-]]+NOTA[[#This Row],[DISC 2-]])</f>
        <v/>
      </c>
      <c r="AA1226" s="51" t="str">
        <f>IF(NOTA[[#This Row],[JUMLAH]]="","",NOTA[[#This Row],[JUMLAH]]-NOTA[[#This Row],[DISC]])</f>
        <v/>
      </c>
      <c r="AB1226" s="51"/>
      <c r="AC1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6" s="51" t="str">
        <f>IF(OR(NOTA[[#This Row],[QTY]]="",NOTA[[#This Row],[HARGA SATUAN]]="",),"",NOTA[[#This Row],[QTY]]*NOTA[[#This Row],[HARGA SATUAN]])</f>
        <v/>
      </c>
      <c r="AG1226" s="40" t="str">
        <f ca="1">IF(NOTA[ID_H]="","",INDEX(NOTA[TANGGAL],MATCH(,INDIRECT(ADDRESS(ROW(NOTA[TANGGAL]),COLUMN(NOTA[TANGGAL]))&amp;":"&amp;ADDRESS(ROW(),COLUMN(NOTA[TANGGAL]))),-1)))</f>
        <v/>
      </c>
      <c r="AH1226" s="42" t="str">
        <f ca="1">IF(NOTA[[#This Row],[NAMA BARANG]]="","",INDEX(NOTA[SUPPLIER],MATCH(,INDIRECT(ADDRESS(ROW(NOTA[ID]),COLUMN(NOTA[ID]))&amp;":"&amp;ADDRESS(ROW(),COLUMN(NOTA[ID]))),-1)))</f>
        <v/>
      </c>
      <c r="AI1226" s="42" t="str">
        <f ca="1">IF(NOTA[[#This Row],[ID_H]]="","",IF(NOTA[[#This Row],[FAKTUR]]="",INDIRECT(ADDRESS(ROW()-1,COLUMN())),NOTA[[#This Row],[FAKTUR]]))</f>
        <v/>
      </c>
      <c r="AJ1226" s="39" t="str">
        <f ca="1">IF(NOTA[[#This Row],[ID]]="","",COUNTIF(NOTA[ID_H],NOTA[[#This Row],[ID_H]]))</f>
        <v/>
      </c>
      <c r="AK1226" s="39" t="str">
        <f ca="1">IF(NOTA[[#This Row],[TGL.NOTA]]="",IF(NOTA[[#This Row],[SUPPLIER_H]]="","",AK1225),MONTH(NOTA[[#This Row],[TGL.NOTA]]))</f>
        <v/>
      </c>
      <c r="AL1226" s="39" t="str">
        <f>LOWER(SUBSTITUTE(SUBSTITUTE(SUBSTITUTE(SUBSTITUTE(SUBSTITUTE(SUBSTITUTE(SUBSTITUTE(SUBSTITUTE(SUBSTITUTE(NOTA[NAMA BARANG]," ",),".",""),"-",""),"(",""),")",""),",",""),"/",""),"""",""),"+",""))</f>
        <v/>
      </c>
      <c r="AM12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6" s="39" t="str">
        <f>IF(NOTA[[#This Row],[CONCAT4]]="","",_xlfn.IFNA(MATCH(NOTA[[#This Row],[CONCAT4]],[2]!RAW[CONCAT_H],0),FALSE))</f>
        <v/>
      </c>
      <c r="AQ1226" s="39" t="str">
        <f>IF(NOTA[[#This Row],[CONCAT1]]="","",MATCH(NOTA[[#This Row],[CONCAT1]],[3]!db[NB NOTA_C],0))</f>
        <v/>
      </c>
      <c r="AR1226" s="39" t="str">
        <f>IF(NOTA[[#This Row],[QTY/ CTN]]="","",TRUE)</f>
        <v/>
      </c>
      <c r="AS1226" s="39" t="str">
        <f ca="1">IF(NOTA[[#This Row],[ID_H]]="","",IF(NOTA[[#This Row],[Column3]]=TRUE,NOTA[[#This Row],[QTY/ CTN]],INDEX([3]!db[QTY/ CTN],NOTA[[#This Row],[//DB]])))</f>
        <v/>
      </c>
      <c r="AT12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6" s="39" t="str">
        <f ca="1">IF(NOTA[[#This Row],[ID_H]]="","",MATCH(NOTA[[#This Row],[NB NOTA_C_QTY]],[4]!db[NB NOTA_C_QTY+F],0))</f>
        <v/>
      </c>
      <c r="AV1226" s="55" t="str">
        <f ca="1">IF(NOTA[[#This Row],[NB NOTA_C_QTY]]="","",ROW()-2)</f>
        <v/>
      </c>
    </row>
    <row r="1227" spans="1:48" ht="20.100000000000001" customHeight="1" x14ac:dyDescent="0.25">
      <c r="A12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7" s="39" t="str">
        <f>IF(NOTA[[#This Row],[ID_P]]="","",MATCH(NOTA[[#This Row],[ID_P]],[1]!B_MSK[N_ID],0))</f>
        <v/>
      </c>
      <c r="D1227" s="39" t="str">
        <f ca="1">IF(NOTA[[#This Row],[NAMA BARANG]]="","",INDEX(NOTA[ID],MATCH(,INDIRECT(ADDRESS(ROW(NOTA[ID]),COLUMN(NOTA[ID]))&amp;":"&amp;ADDRESS(ROW(),COLUMN(NOTA[ID]))),-1)))</f>
        <v/>
      </c>
      <c r="E1227" s="47"/>
      <c r="H1227" s="48"/>
      <c r="N1227" s="39"/>
      <c r="Q1227" s="43"/>
      <c r="R1227" s="49"/>
      <c r="S1227" s="50"/>
      <c r="U1227" s="51"/>
      <c r="V1227" s="46"/>
      <c r="W1227" s="51" t="str">
        <f>IF(NOTA[[#This Row],[HARGA/ CTN]]="",NOTA[[#This Row],[JUMLAH_H]],NOTA[[#This Row],[HARGA/ CTN]]*IF(NOTA[[#This Row],[C]]="",0,NOTA[[#This Row],[C]]))</f>
        <v/>
      </c>
      <c r="X1227" s="51" t="str">
        <f>IF(NOTA[[#This Row],[JUMLAH]]="","",NOTA[[#This Row],[JUMLAH]]*NOTA[[#This Row],[DISC 1]])</f>
        <v/>
      </c>
      <c r="Y1227" s="51" t="str">
        <f>IF(NOTA[[#This Row],[JUMLAH]]="","",(NOTA[[#This Row],[JUMLAH]]-NOTA[[#This Row],[DISC 1-]])*NOTA[[#This Row],[DISC 2]])</f>
        <v/>
      </c>
      <c r="Z1227" s="51" t="str">
        <f>IF(NOTA[[#This Row],[JUMLAH]]="","",NOTA[[#This Row],[DISC 1-]]+NOTA[[#This Row],[DISC 2-]])</f>
        <v/>
      </c>
      <c r="AA1227" s="51" t="str">
        <f>IF(NOTA[[#This Row],[JUMLAH]]="","",NOTA[[#This Row],[JUMLAH]]-NOTA[[#This Row],[DISC]])</f>
        <v/>
      </c>
      <c r="AB1227" s="51"/>
      <c r="AC12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7" s="51" t="str">
        <f>IF(OR(NOTA[[#This Row],[QTY]]="",NOTA[[#This Row],[HARGA SATUAN]]="",),"",NOTA[[#This Row],[QTY]]*NOTA[[#This Row],[HARGA SATUAN]])</f>
        <v/>
      </c>
      <c r="AG1227" s="40" t="str">
        <f ca="1">IF(NOTA[ID_H]="","",INDEX(NOTA[TANGGAL],MATCH(,INDIRECT(ADDRESS(ROW(NOTA[TANGGAL]),COLUMN(NOTA[TANGGAL]))&amp;":"&amp;ADDRESS(ROW(),COLUMN(NOTA[TANGGAL]))),-1)))</f>
        <v/>
      </c>
      <c r="AH1227" s="42" t="str">
        <f ca="1">IF(NOTA[[#This Row],[NAMA BARANG]]="","",INDEX(NOTA[SUPPLIER],MATCH(,INDIRECT(ADDRESS(ROW(NOTA[ID]),COLUMN(NOTA[ID]))&amp;":"&amp;ADDRESS(ROW(),COLUMN(NOTA[ID]))),-1)))</f>
        <v/>
      </c>
      <c r="AI1227" s="42" t="str">
        <f ca="1">IF(NOTA[[#This Row],[ID_H]]="","",IF(NOTA[[#This Row],[FAKTUR]]="",INDIRECT(ADDRESS(ROW()-1,COLUMN())),NOTA[[#This Row],[FAKTUR]]))</f>
        <v/>
      </c>
      <c r="AJ1227" s="39" t="str">
        <f ca="1">IF(NOTA[[#This Row],[ID]]="","",COUNTIF(NOTA[ID_H],NOTA[[#This Row],[ID_H]]))</f>
        <v/>
      </c>
      <c r="AK1227" s="39" t="str">
        <f ca="1">IF(NOTA[[#This Row],[TGL.NOTA]]="",IF(NOTA[[#This Row],[SUPPLIER_H]]="","",AK1226),MONTH(NOTA[[#This Row],[TGL.NOTA]]))</f>
        <v/>
      </c>
      <c r="AL1227" s="39" t="str">
        <f>LOWER(SUBSTITUTE(SUBSTITUTE(SUBSTITUTE(SUBSTITUTE(SUBSTITUTE(SUBSTITUTE(SUBSTITUTE(SUBSTITUTE(SUBSTITUTE(NOTA[NAMA BARANG]," ",),".",""),"-",""),"(",""),")",""),",",""),"/",""),"""",""),"+",""))</f>
        <v/>
      </c>
      <c r="AM12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7" s="39" t="str">
        <f>IF(NOTA[[#This Row],[CONCAT4]]="","",_xlfn.IFNA(MATCH(NOTA[[#This Row],[CONCAT4]],[2]!RAW[CONCAT_H],0),FALSE))</f>
        <v/>
      </c>
      <c r="AQ1227" s="39" t="str">
        <f>IF(NOTA[[#This Row],[CONCAT1]]="","",MATCH(NOTA[[#This Row],[CONCAT1]],[3]!db[NB NOTA_C],0))</f>
        <v/>
      </c>
      <c r="AR1227" s="39" t="str">
        <f>IF(NOTA[[#This Row],[QTY/ CTN]]="","",TRUE)</f>
        <v/>
      </c>
      <c r="AS1227" s="39" t="str">
        <f ca="1">IF(NOTA[[#This Row],[ID_H]]="","",IF(NOTA[[#This Row],[Column3]]=TRUE,NOTA[[#This Row],[QTY/ CTN]],INDEX([3]!db[QTY/ CTN],NOTA[[#This Row],[//DB]])))</f>
        <v/>
      </c>
      <c r="AT12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7" s="39" t="str">
        <f ca="1">IF(NOTA[[#This Row],[ID_H]]="","",MATCH(NOTA[[#This Row],[NB NOTA_C_QTY]],[4]!db[NB NOTA_C_QTY+F],0))</f>
        <v/>
      </c>
      <c r="AV1227" s="55" t="str">
        <f ca="1">IF(NOTA[[#This Row],[NB NOTA_C_QTY]]="","",ROW()-2)</f>
        <v/>
      </c>
    </row>
    <row r="1228" spans="1:48" ht="20.100000000000001" customHeight="1" x14ac:dyDescent="0.25">
      <c r="A12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8" s="39" t="str">
        <f>IF(NOTA[[#This Row],[ID_P]]="","",MATCH(NOTA[[#This Row],[ID_P]],[1]!B_MSK[N_ID],0))</f>
        <v/>
      </c>
      <c r="D1228" s="39" t="str">
        <f ca="1">IF(NOTA[[#This Row],[NAMA BARANG]]="","",INDEX(NOTA[ID],MATCH(,INDIRECT(ADDRESS(ROW(NOTA[ID]),COLUMN(NOTA[ID]))&amp;":"&amp;ADDRESS(ROW(),COLUMN(NOTA[ID]))),-1)))</f>
        <v/>
      </c>
      <c r="E1228" s="47"/>
      <c r="H1228" s="48"/>
      <c r="N1228" s="39"/>
      <c r="Q1228" s="43"/>
      <c r="R1228" s="49"/>
      <c r="S1228" s="50"/>
      <c r="U1228" s="51"/>
      <c r="V1228" s="46"/>
      <c r="W1228" s="51" t="str">
        <f>IF(NOTA[[#This Row],[HARGA/ CTN]]="",NOTA[[#This Row],[JUMLAH_H]],NOTA[[#This Row],[HARGA/ CTN]]*IF(NOTA[[#This Row],[C]]="",0,NOTA[[#This Row],[C]]))</f>
        <v/>
      </c>
      <c r="X1228" s="51" t="str">
        <f>IF(NOTA[[#This Row],[JUMLAH]]="","",NOTA[[#This Row],[JUMLAH]]*NOTA[[#This Row],[DISC 1]])</f>
        <v/>
      </c>
      <c r="Y1228" s="51" t="str">
        <f>IF(NOTA[[#This Row],[JUMLAH]]="","",(NOTA[[#This Row],[JUMLAH]]-NOTA[[#This Row],[DISC 1-]])*NOTA[[#This Row],[DISC 2]])</f>
        <v/>
      </c>
      <c r="Z1228" s="51" t="str">
        <f>IF(NOTA[[#This Row],[JUMLAH]]="","",NOTA[[#This Row],[DISC 1-]]+NOTA[[#This Row],[DISC 2-]])</f>
        <v/>
      </c>
      <c r="AA1228" s="51" t="str">
        <f>IF(NOTA[[#This Row],[JUMLAH]]="","",NOTA[[#This Row],[JUMLAH]]-NOTA[[#This Row],[DISC]])</f>
        <v/>
      </c>
      <c r="AB1228" s="51"/>
      <c r="AC1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8" s="51" t="str">
        <f>IF(OR(NOTA[[#This Row],[QTY]]="",NOTA[[#This Row],[HARGA SATUAN]]="",),"",NOTA[[#This Row],[QTY]]*NOTA[[#This Row],[HARGA SATUAN]])</f>
        <v/>
      </c>
      <c r="AG1228" s="40" t="str">
        <f ca="1">IF(NOTA[ID_H]="","",INDEX(NOTA[TANGGAL],MATCH(,INDIRECT(ADDRESS(ROW(NOTA[TANGGAL]),COLUMN(NOTA[TANGGAL]))&amp;":"&amp;ADDRESS(ROW(),COLUMN(NOTA[TANGGAL]))),-1)))</f>
        <v/>
      </c>
      <c r="AH1228" s="42" t="str">
        <f ca="1">IF(NOTA[[#This Row],[NAMA BARANG]]="","",INDEX(NOTA[SUPPLIER],MATCH(,INDIRECT(ADDRESS(ROW(NOTA[ID]),COLUMN(NOTA[ID]))&amp;":"&amp;ADDRESS(ROW(),COLUMN(NOTA[ID]))),-1)))</f>
        <v/>
      </c>
      <c r="AI1228" s="42" t="str">
        <f ca="1">IF(NOTA[[#This Row],[ID_H]]="","",IF(NOTA[[#This Row],[FAKTUR]]="",INDIRECT(ADDRESS(ROW()-1,COLUMN())),NOTA[[#This Row],[FAKTUR]]))</f>
        <v/>
      </c>
      <c r="AJ1228" s="39" t="str">
        <f ca="1">IF(NOTA[[#This Row],[ID]]="","",COUNTIF(NOTA[ID_H],NOTA[[#This Row],[ID_H]]))</f>
        <v/>
      </c>
      <c r="AK1228" s="39" t="str">
        <f ca="1">IF(NOTA[[#This Row],[TGL.NOTA]]="",IF(NOTA[[#This Row],[SUPPLIER_H]]="","",AK1227),MONTH(NOTA[[#This Row],[TGL.NOTA]]))</f>
        <v/>
      </c>
      <c r="AL1228" s="39" t="str">
        <f>LOWER(SUBSTITUTE(SUBSTITUTE(SUBSTITUTE(SUBSTITUTE(SUBSTITUTE(SUBSTITUTE(SUBSTITUTE(SUBSTITUTE(SUBSTITUTE(NOTA[NAMA BARANG]," ",),".",""),"-",""),"(",""),")",""),",",""),"/",""),"""",""),"+",""))</f>
        <v/>
      </c>
      <c r="AM12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8" s="39" t="str">
        <f>IF(NOTA[[#This Row],[CONCAT4]]="","",_xlfn.IFNA(MATCH(NOTA[[#This Row],[CONCAT4]],[2]!RAW[CONCAT_H],0),FALSE))</f>
        <v/>
      </c>
      <c r="AQ1228" s="39" t="str">
        <f>IF(NOTA[[#This Row],[CONCAT1]]="","",MATCH(NOTA[[#This Row],[CONCAT1]],[3]!db[NB NOTA_C],0))</f>
        <v/>
      </c>
      <c r="AR1228" s="39" t="str">
        <f>IF(NOTA[[#This Row],[QTY/ CTN]]="","",TRUE)</f>
        <v/>
      </c>
      <c r="AS1228" s="39" t="str">
        <f ca="1">IF(NOTA[[#This Row],[ID_H]]="","",IF(NOTA[[#This Row],[Column3]]=TRUE,NOTA[[#This Row],[QTY/ CTN]],INDEX([3]!db[QTY/ CTN],NOTA[[#This Row],[//DB]])))</f>
        <v/>
      </c>
      <c r="AT12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8" s="39" t="str">
        <f ca="1">IF(NOTA[[#This Row],[ID_H]]="","",MATCH(NOTA[[#This Row],[NB NOTA_C_QTY]],[4]!db[NB NOTA_C_QTY+F],0))</f>
        <v/>
      </c>
      <c r="AV1228" s="55" t="str">
        <f ca="1">IF(NOTA[[#This Row],[NB NOTA_C_QTY]]="","",ROW()-2)</f>
        <v/>
      </c>
    </row>
    <row r="1229" spans="1:48" ht="20.100000000000001" customHeight="1" x14ac:dyDescent="0.25">
      <c r="A12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9" s="39" t="str">
        <f>IF(NOTA[[#This Row],[ID_P]]="","",MATCH(NOTA[[#This Row],[ID_P]],[1]!B_MSK[N_ID],0))</f>
        <v/>
      </c>
      <c r="D1229" s="39" t="str">
        <f ca="1">IF(NOTA[[#This Row],[NAMA BARANG]]="","",INDEX(NOTA[ID],MATCH(,INDIRECT(ADDRESS(ROW(NOTA[ID]),COLUMN(NOTA[ID]))&amp;":"&amp;ADDRESS(ROW(),COLUMN(NOTA[ID]))),-1)))</f>
        <v/>
      </c>
      <c r="E1229" s="47"/>
      <c r="H1229" s="48"/>
      <c r="N1229" s="39"/>
      <c r="Q1229" s="43"/>
      <c r="R1229" s="49"/>
      <c r="S1229" s="50"/>
      <c r="U1229" s="51"/>
      <c r="V1229" s="46"/>
      <c r="W1229" s="51" t="str">
        <f>IF(NOTA[[#This Row],[HARGA/ CTN]]="",NOTA[[#This Row],[JUMLAH_H]],NOTA[[#This Row],[HARGA/ CTN]]*IF(NOTA[[#This Row],[C]]="",0,NOTA[[#This Row],[C]]))</f>
        <v/>
      </c>
      <c r="X1229" s="51" t="str">
        <f>IF(NOTA[[#This Row],[JUMLAH]]="","",NOTA[[#This Row],[JUMLAH]]*NOTA[[#This Row],[DISC 1]])</f>
        <v/>
      </c>
      <c r="Y1229" s="51" t="str">
        <f>IF(NOTA[[#This Row],[JUMLAH]]="","",(NOTA[[#This Row],[JUMLAH]]-NOTA[[#This Row],[DISC 1-]])*NOTA[[#This Row],[DISC 2]])</f>
        <v/>
      </c>
      <c r="Z1229" s="51" t="str">
        <f>IF(NOTA[[#This Row],[JUMLAH]]="","",NOTA[[#This Row],[DISC 1-]]+NOTA[[#This Row],[DISC 2-]])</f>
        <v/>
      </c>
      <c r="AA1229" s="51" t="str">
        <f>IF(NOTA[[#This Row],[JUMLAH]]="","",NOTA[[#This Row],[JUMLAH]]-NOTA[[#This Row],[DISC]])</f>
        <v/>
      </c>
      <c r="AB1229" s="51"/>
      <c r="AC1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9" s="51" t="str">
        <f>IF(OR(NOTA[[#This Row],[QTY]]="",NOTA[[#This Row],[HARGA SATUAN]]="",),"",NOTA[[#This Row],[QTY]]*NOTA[[#This Row],[HARGA SATUAN]])</f>
        <v/>
      </c>
      <c r="AG1229" s="40" t="str">
        <f ca="1">IF(NOTA[ID_H]="","",INDEX(NOTA[TANGGAL],MATCH(,INDIRECT(ADDRESS(ROW(NOTA[TANGGAL]),COLUMN(NOTA[TANGGAL]))&amp;":"&amp;ADDRESS(ROW(),COLUMN(NOTA[TANGGAL]))),-1)))</f>
        <v/>
      </c>
      <c r="AH1229" s="42" t="str">
        <f ca="1">IF(NOTA[[#This Row],[NAMA BARANG]]="","",INDEX(NOTA[SUPPLIER],MATCH(,INDIRECT(ADDRESS(ROW(NOTA[ID]),COLUMN(NOTA[ID]))&amp;":"&amp;ADDRESS(ROW(),COLUMN(NOTA[ID]))),-1)))</f>
        <v/>
      </c>
      <c r="AI1229" s="42" t="str">
        <f ca="1">IF(NOTA[[#This Row],[ID_H]]="","",IF(NOTA[[#This Row],[FAKTUR]]="",INDIRECT(ADDRESS(ROW()-1,COLUMN())),NOTA[[#This Row],[FAKTUR]]))</f>
        <v/>
      </c>
      <c r="AJ1229" s="39" t="str">
        <f ca="1">IF(NOTA[[#This Row],[ID]]="","",COUNTIF(NOTA[ID_H],NOTA[[#This Row],[ID_H]]))</f>
        <v/>
      </c>
      <c r="AK1229" s="39" t="str">
        <f ca="1">IF(NOTA[[#This Row],[TGL.NOTA]]="",IF(NOTA[[#This Row],[SUPPLIER_H]]="","",AK1228),MONTH(NOTA[[#This Row],[TGL.NOTA]]))</f>
        <v/>
      </c>
      <c r="AL1229" s="39" t="str">
        <f>LOWER(SUBSTITUTE(SUBSTITUTE(SUBSTITUTE(SUBSTITUTE(SUBSTITUTE(SUBSTITUTE(SUBSTITUTE(SUBSTITUTE(SUBSTITUTE(NOTA[NAMA BARANG]," ",),".",""),"-",""),"(",""),")",""),",",""),"/",""),"""",""),"+",""))</f>
        <v/>
      </c>
      <c r="AM12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9" s="39" t="str">
        <f>IF(NOTA[[#This Row],[CONCAT4]]="","",_xlfn.IFNA(MATCH(NOTA[[#This Row],[CONCAT4]],[2]!RAW[CONCAT_H],0),FALSE))</f>
        <v/>
      </c>
      <c r="AQ1229" s="39" t="str">
        <f>IF(NOTA[[#This Row],[CONCAT1]]="","",MATCH(NOTA[[#This Row],[CONCAT1]],[3]!db[NB NOTA_C],0))</f>
        <v/>
      </c>
      <c r="AR1229" s="39" t="str">
        <f>IF(NOTA[[#This Row],[QTY/ CTN]]="","",TRUE)</f>
        <v/>
      </c>
      <c r="AS1229" s="39" t="str">
        <f ca="1">IF(NOTA[[#This Row],[ID_H]]="","",IF(NOTA[[#This Row],[Column3]]=TRUE,NOTA[[#This Row],[QTY/ CTN]],INDEX([3]!db[QTY/ CTN],NOTA[[#This Row],[//DB]])))</f>
        <v/>
      </c>
      <c r="AT12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9" s="39" t="str">
        <f ca="1">IF(NOTA[[#This Row],[ID_H]]="","",MATCH(NOTA[[#This Row],[NB NOTA_C_QTY]],[4]!db[NB NOTA_C_QTY+F],0))</f>
        <v/>
      </c>
      <c r="AV1229" s="55" t="str">
        <f ca="1">IF(NOTA[[#This Row],[NB NOTA_C_QTY]]="","",ROW()-2)</f>
        <v/>
      </c>
    </row>
    <row r="1230" spans="1:48" ht="20.100000000000001" customHeight="1" x14ac:dyDescent="0.25">
      <c r="A12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0" s="39" t="str">
        <f>IF(NOTA[[#This Row],[ID_P]]="","",MATCH(NOTA[[#This Row],[ID_P]],[1]!B_MSK[N_ID],0))</f>
        <v/>
      </c>
      <c r="D1230" s="39" t="str">
        <f ca="1">IF(NOTA[[#This Row],[NAMA BARANG]]="","",INDEX(NOTA[ID],MATCH(,INDIRECT(ADDRESS(ROW(NOTA[ID]),COLUMN(NOTA[ID]))&amp;":"&amp;ADDRESS(ROW(),COLUMN(NOTA[ID]))),-1)))</f>
        <v/>
      </c>
      <c r="E1230" s="47"/>
      <c r="H1230" s="48"/>
      <c r="N1230" s="39"/>
      <c r="Q1230" s="43"/>
      <c r="R1230" s="49"/>
      <c r="S1230" s="50"/>
      <c r="U1230" s="51"/>
      <c r="V1230" s="46"/>
      <c r="W1230" s="51" t="str">
        <f>IF(NOTA[[#This Row],[HARGA/ CTN]]="",NOTA[[#This Row],[JUMLAH_H]],NOTA[[#This Row],[HARGA/ CTN]]*IF(NOTA[[#This Row],[C]]="",0,NOTA[[#This Row],[C]]))</f>
        <v/>
      </c>
      <c r="X1230" s="51" t="str">
        <f>IF(NOTA[[#This Row],[JUMLAH]]="","",NOTA[[#This Row],[JUMLAH]]*NOTA[[#This Row],[DISC 1]])</f>
        <v/>
      </c>
      <c r="Y1230" s="51" t="str">
        <f>IF(NOTA[[#This Row],[JUMLAH]]="","",(NOTA[[#This Row],[JUMLAH]]-NOTA[[#This Row],[DISC 1-]])*NOTA[[#This Row],[DISC 2]])</f>
        <v/>
      </c>
      <c r="Z1230" s="51" t="str">
        <f>IF(NOTA[[#This Row],[JUMLAH]]="","",NOTA[[#This Row],[DISC 1-]]+NOTA[[#This Row],[DISC 2-]])</f>
        <v/>
      </c>
      <c r="AA1230" s="51" t="str">
        <f>IF(NOTA[[#This Row],[JUMLAH]]="","",NOTA[[#This Row],[JUMLAH]]-NOTA[[#This Row],[DISC]])</f>
        <v/>
      </c>
      <c r="AB1230" s="51"/>
      <c r="AC1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0" s="51" t="str">
        <f>IF(OR(NOTA[[#This Row],[QTY]]="",NOTA[[#This Row],[HARGA SATUAN]]="",),"",NOTA[[#This Row],[QTY]]*NOTA[[#This Row],[HARGA SATUAN]])</f>
        <v/>
      </c>
      <c r="AG1230" s="40" t="str">
        <f ca="1">IF(NOTA[ID_H]="","",INDEX(NOTA[TANGGAL],MATCH(,INDIRECT(ADDRESS(ROW(NOTA[TANGGAL]),COLUMN(NOTA[TANGGAL]))&amp;":"&amp;ADDRESS(ROW(),COLUMN(NOTA[TANGGAL]))),-1)))</f>
        <v/>
      </c>
      <c r="AH1230" s="42" t="str">
        <f ca="1">IF(NOTA[[#This Row],[NAMA BARANG]]="","",INDEX(NOTA[SUPPLIER],MATCH(,INDIRECT(ADDRESS(ROW(NOTA[ID]),COLUMN(NOTA[ID]))&amp;":"&amp;ADDRESS(ROW(),COLUMN(NOTA[ID]))),-1)))</f>
        <v/>
      </c>
      <c r="AI1230" s="42" t="str">
        <f ca="1">IF(NOTA[[#This Row],[ID_H]]="","",IF(NOTA[[#This Row],[FAKTUR]]="",INDIRECT(ADDRESS(ROW()-1,COLUMN())),NOTA[[#This Row],[FAKTUR]]))</f>
        <v/>
      </c>
      <c r="AJ1230" s="39" t="str">
        <f ca="1">IF(NOTA[[#This Row],[ID]]="","",COUNTIF(NOTA[ID_H],NOTA[[#This Row],[ID_H]]))</f>
        <v/>
      </c>
      <c r="AK1230" s="39" t="str">
        <f ca="1">IF(NOTA[[#This Row],[TGL.NOTA]]="",IF(NOTA[[#This Row],[SUPPLIER_H]]="","",AK1229),MONTH(NOTA[[#This Row],[TGL.NOTA]]))</f>
        <v/>
      </c>
      <c r="AL1230" s="39" t="str">
        <f>LOWER(SUBSTITUTE(SUBSTITUTE(SUBSTITUTE(SUBSTITUTE(SUBSTITUTE(SUBSTITUTE(SUBSTITUTE(SUBSTITUTE(SUBSTITUTE(NOTA[NAMA BARANG]," ",),".",""),"-",""),"(",""),")",""),",",""),"/",""),"""",""),"+",""))</f>
        <v/>
      </c>
      <c r="AM12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0" s="39" t="str">
        <f>IF(NOTA[[#This Row],[CONCAT4]]="","",_xlfn.IFNA(MATCH(NOTA[[#This Row],[CONCAT4]],[2]!RAW[CONCAT_H],0),FALSE))</f>
        <v/>
      </c>
      <c r="AQ1230" s="39" t="str">
        <f>IF(NOTA[[#This Row],[CONCAT1]]="","",MATCH(NOTA[[#This Row],[CONCAT1]],[3]!db[NB NOTA_C],0))</f>
        <v/>
      </c>
      <c r="AR1230" s="39" t="str">
        <f>IF(NOTA[[#This Row],[QTY/ CTN]]="","",TRUE)</f>
        <v/>
      </c>
      <c r="AS1230" s="39" t="str">
        <f ca="1">IF(NOTA[[#This Row],[ID_H]]="","",IF(NOTA[[#This Row],[Column3]]=TRUE,NOTA[[#This Row],[QTY/ CTN]],INDEX([3]!db[QTY/ CTN],NOTA[[#This Row],[//DB]])))</f>
        <v/>
      </c>
      <c r="AT12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0" s="39" t="str">
        <f ca="1">IF(NOTA[[#This Row],[ID_H]]="","",MATCH(NOTA[[#This Row],[NB NOTA_C_QTY]],[4]!db[NB NOTA_C_QTY+F],0))</f>
        <v/>
      </c>
      <c r="AV1230" s="55" t="str">
        <f ca="1">IF(NOTA[[#This Row],[NB NOTA_C_QTY]]="","",ROW()-2)</f>
        <v/>
      </c>
    </row>
    <row r="1231" spans="1:48" ht="20.100000000000001" customHeight="1" x14ac:dyDescent="0.25">
      <c r="A12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1" s="39" t="str">
        <f>IF(NOTA[[#This Row],[ID_P]]="","",MATCH(NOTA[[#This Row],[ID_P]],[1]!B_MSK[N_ID],0))</f>
        <v/>
      </c>
      <c r="D1231" s="39" t="str">
        <f ca="1">IF(NOTA[[#This Row],[NAMA BARANG]]="","",INDEX(NOTA[ID],MATCH(,INDIRECT(ADDRESS(ROW(NOTA[ID]),COLUMN(NOTA[ID]))&amp;":"&amp;ADDRESS(ROW(),COLUMN(NOTA[ID]))),-1)))</f>
        <v/>
      </c>
      <c r="E1231" s="47"/>
      <c r="H1231" s="48"/>
      <c r="N1231" s="39"/>
      <c r="Q1231" s="43"/>
      <c r="R1231" s="49"/>
      <c r="S1231" s="50"/>
      <c r="U1231" s="51"/>
      <c r="V1231" s="46"/>
      <c r="W1231" s="51" t="str">
        <f>IF(NOTA[[#This Row],[HARGA/ CTN]]="",NOTA[[#This Row],[JUMLAH_H]],NOTA[[#This Row],[HARGA/ CTN]]*IF(NOTA[[#This Row],[C]]="",0,NOTA[[#This Row],[C]]))</f>
        <v/>
      </c>
      <c r="X1231" s="51" t="str">
        <f>IF(NOTA[[#This Row],[JUMLAH]]="","",NOTA[[#This Row],[JUMLAH]]*NOTA[[#This Row],[DISC 1]])</f>
        <v/>
      </c>
      <c r="Y1231" s="51" t="str">
        <f>IF(NOTA[[#This Row],[JUMLAH]]="","",(NOTA[[#This Row],[JUMLAH]]-NOTA[[#This Row],[DISC 1-]])*NOTA[[#This Row],[DISC 2]])</f>
        <v/>
      </c>
      <c r="Z1231" s="51" t="str">
        <f>IF(NOTA[[#This Row],[JUMLAH]]="","",NOTA[[#This Row],[DISC 1-]]+NOTA[[#This Row],[DISC 2-]])</f>
        <v/>
      </c>
      <c r="AA1231" s="51" t="str">
        <f>IF(NOTA[[#This Row],[JUMLAH]]="","",NOTA[[#This Row],[JUMLAH]]-NOTA[[#This Row],[DISC]])</f>
        <v/>
      </c>
      <c r="AB1231" s="51"/>
      <c r="AC1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1" s="51" t="str">
        <f>IF(OR(NOTA[[#This Row],[QTY]]="",NOTA[[#This Row],[HARGA SATUAN]]="",),"",NOTA[[#This Row],[QTY]]*NOTA[[#This Row],[HARGA SATUAN]])</f>
        <v/>
      </c>
      <c r="AG1231" s="40" t="str">
        <f ca="1">IF(NOTA[ID_H]="","",INDEX(NOTA[TANGGAL],MATCH(,INDIRECT(ADDRESS(ROW(NOTA[TANGGAL]),COLUMN(NOTA[TANGGAL]))&amp;":"&amp;ADDRESS(ROW(),COLUMN(NOTA[TANGGAL]))),-1)))</f>
        <v/>
      </c>
      <c r="AH1231" s="42" t="str">
        <f ca="1">IF(NOTA[[#This Row],[NAMA BARANG]]="","",INDEX(NOTA[SUPPLIER],MATCH(,INDIRECT(ADDRESS(ROW(NOTA[ID]),COLUMN(NOTA[ID]))&amp;":"&amp;ADDRESS(ROW(),COLUMN(NOTA[ID]))),-1)))</f>
        <v/>
      </c>
      <c r="AI1231" s="42" t="str">
        <f ca="1">IF(NOTA[[#This Row],[ID_H]]="","",IF(NOTA[[#This Row],[FAKTUR]]="",INDIRECT(ADDRESS(ROW()-1,COLUMN())),NOTA[[#This Row],[FAKTUR]]))</f>
        <v/>
      </c>
      <c r="AJ1231" s="39" t="str">
        <f ca="1">IF(NOTA[[#This Row],[ID]]="","",COUNTIF(NOTA[ID_H],NOTA[[#This Row],[ID_H]]))</f>
        <v/>
      </c>
      <c r="AK1231" s="39" t="str">
        <f ca="1">IF(NOTA[[#This Row],[TGL.NOTA]]="",IF(NOTA[[#This Row],[SUPPLIER_H]]="","",AK1230),MONTH(NOTA[[#This Row],[TGL.NOTA]]))</f>
        <v/>
      </c>
      <c r="AL1231" s="39" t="str">
        <f>LOWER(SUBSTITUTE(SUBSTITUTE(SUBSTITUTE(SUBSTITUTE(SUBSTITUTE(SUBSTITUTE(SUBSTITUTE(SUBSTITUTE(SUBSTITUTE(NOTA[NAMA BARANG]," ",),".",""),"-",""),"(",""),")",""),",",""),"/",""),"""",""),"+",""))</f>
        <v/>
      </c>
      <c r="AM12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1" s="39" t="str">
        <f>IF(NOTA[[#This Row],[CONCAT4]]="","",_xlfn.IFNA(MATCH(NOTA[[#This Row],[CONCAT4]],[2]!RAW[CONCAT_H],0),FALSE))</f>
        <v/>
      </c>
      <c r="AQ1231" s="39" t="str">
        <f>IF(NOTA[[#This Row],[CONCAT1]]="","",MATCH(NOTA[[#This Row],[CONCAT1]],[3]!db[NB NOTA_C],0))</f>
        <v/>
      </c>
      <c r="AR1231" s="39" t="str">
        <f>IF(NOTA[[#This Row],[QTY/ CTN]]="","",TRUE)</f>
        <v/>
      </c>
      <c r="AS1231" s="39" t="str">
        <f ca="1">IF(NOTA[[#This Row],[ID_H]]="","",IF(NOTA[[#This Row],[Column3]]=TRUE,NOTA[[#This Row],[QTY/ CTN]],INDEX([3]!db[QTY/ CTN],NOTA[[#This Row],[//DB]])))</f>
        <v/>
      </c>
      <c r="AT12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1" s="39" t="str">
        <f ca="1">IF(NOTA[[#This Row],[ID_H]]="","",MATCH(NOTA[[#This Row],[NB NOTA_C_QTY]],[4]!db[NB NOTA_C_QTY+F],0))</f>
        <v/>
      </c>
      <c r="AV1231" s="55" t="str">
        <f ca="1">IF(NOTA[[#This Row],[NB NOTA_C_QTY]]="","",ROW()-2)</f>
        <v/>
      </c>
    </row>
    <row r="1232" spans="1:48" ht="20.100000000000001" customHeight="1" x14ac:dyDescent="0.25">
      <c r="A12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2" s="39" t="str">
        <f>IF(NOTA[[#This Row],[ID_P]]="","",MATCH(NOTA[[#This Row],[ID_P]],[1]!B_MSK[N_ID],0))</f>
        <v/>
      </c>
      <c r="D1232" s="39" t="str">
        <f ca="1">IF(NOTA[[#This Row],[NAMA BARANG]]="","",INDEX(NOTA[ID],MATCH(,INDIRECT(ADDRESS(ROW(NOTA[ID]),COLUMN(NOTA[ID]))&amp;":"&amp;ADDRESS(ROW(),COLUMN(NOTA[ID]))),-1)))</f>
        <v/>
      </c>
      <c r="E1232" s="47"/>
      <c r="H1232" s="48"/>
      <c r="N1232" s="39"/>
      <c r="Q1232" s="43"/>
      <c r="R1232" s="49"/>
      <c r="S1232" s="50"/>
      <c r="U1232" s="51"/>
      <c r="V1232" s="46"/>
      <c r="W1232" s="51" t="str">
        <f>IF(NOTA[[#This Row],[HARGA/ CTN]]="",NOTA[[#This Row],[JUMLAH_H]],NOTA[[#This Row],[HARGA/ CTN]]*IF(NOTA[[#This Row],[C]]="",0,NOTA[[#This Row],[C]]))</f>
        <v/>
      </c>
      <c r="X1232" s="51" t="str">
        <f>IF(NOTA[[#This Row],[JUMLAH]]="","",NOTA[[#This Row],[JUMLAH]]*NOTA[[#This Row],[DISC 1]])</f>
        <v/>
      </c>
      <c r="Y1232" s="51" t="str">
        <f>IF(NOTA[[#This Row],[JUMLAH]]="","",(NOTA[[#This Row],[JUMLAH]]-NOTA[[#This Row],[DISC 1-]])*NOTA[[#This Row],[DISC 2]])</f>
        <v/>
      </c>
      <c r="Z1232" s="51" t="str">
        <f>IF(NOTA[[#This Row],[JUMLAH]]="","",NOTA[[#This Row],[DISC 1-]]+NOTA[[#This Row],[DISC 2-]])</f>
        <v/>
      </c>
      <c r="AA1232" s="51" t="str">
        <f>IF(NOTA[[#This Row],[JUMLAH]]="","",NOTA[[#This Row],[JUMLAH]]-NOTA[[#This Row],[DISC]])</f>
        <v/>
      </c>
      <c r="AB1232" s="51"/>
      <c r="AC1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2" s="51" t="str">
        <f>IF(OR(NOTA[[#This Row],[QTY]]="",NOTA[[#This Row],[HARGA SATUAN]]="",),"",NOTA[[#This Row],[QTY]]*NOTA[[#This Row],[HARGA SATUAN]])</f>
        <v/>
      </c>
      <c r="AG1232" s="40" t="str">
        <f ca="1">IF(NOTA[ID_H]="","",INDEX(NOTA[TANGGAL],MATCH(,INDIRECT(ADDRESS(ROW(NOTA[TANGGAL]),COLUMN(NOTA[TANGGAL]))&amp;":"&amp;ADDRESS(ROW(),COLUMN(NOTA[TANGGAL]))),-1)))</f>
        <v/>
      </c>
      <c r="AH1232" s="42" t="str">
        <f ca="1">IF(NOTA[[#This Row],[NAMA BARANG]]="","",INDEX(NOTA[SUPPLIER],MATCH(,INDIRECT(ADDRESS(ROW(NOTA[ID]),COLUMN(NOTA[ID]))&amp;":"&amp;ADDRESS(ROW(),COLUMN(NOTA[ID]))),-1)))</f>
        <v/>
      </c>
      <c r="AI1232" s="42" t="str">
        <f ca="1">IF(NOTA[[#This Row],[ID_H]]="","",IF(NOTA[[#This Row],[FAKTUR]]="",INDIRECT(ADDRESS(ROW()-1,COLUMN())),NOTA[[#This Row],[FAKTUR]]))</f>
        <v/>
      </c>
      <c r="AJ1232" s="39" t="str">
        <f ca="1">IF(NOTA[[#This Row],[ID]]="","",COUNTIF(NOTA[ID_H],NOTA[[#This Row],[ID_H]]))</f>
        <v/>
      </c>
      <c r="AK1232" s="39" t="str">
        <f ca="1">IF(NOTA[[#This Row],[TGL.NOTA]]="",IF(NOTA[[#This Row],[SUPPLIER_H]]="","",AK1231),MONTH(NOTA[[#This Row],[TGL.NOTA]]))</f>
        <v/>
      </c>
      <c r="AL1232" s="39" t="str">
        <f>LOWER(SUBSTITUTE(SUBSTITUTE(SUBSTITUTE(SUBSTITUTE(SUBSTITUTE(SUBSTITUTE(SUBSTITUTE(SUBSTITUTE(SUBSTITUTE(NOTA[NAMA BARANG]," ",),".",""),"-",""),"(",""),")",""),",",""),"/",""),"""",""),"+",""))</f>
        <v/>
      </c>
      <c r="AM12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2" s="39" t="str">
        <f>IF(NOTA[[#This Row],[CONCAT4]]="","",_xlfn.IFNA(MATCH(NOTA[[#This Row],[CONCAT4]],[2]!RAW[CONCAT_H],0),FALSE))</f>
        <v/>
      </c>
      <c r="AQ1232" s="39" t="str">
        <f>IF(NOTA[[#This Row],[CONCAT1]]="","",MATCH(NOTA[[#This Row],[CONCAT1]],[3]!db[NB NOTA_C],0))</f>
        <v/>
      </c>
      <c r="AR1232" s="39" t="str">
        <f>IF(NOTA[[#This Row],[QTY/ CTN]]="","",TRUE)</f>
        <v/>
      </c>
      <c r="AS1232" s="39" t="str">
        <f ca="1">IF(NOTA[[#This Row],[ID_H]]="","",IF(NOTA[[#This Row],[Column3]]=TRUE,NOTA[[#This Row],[QTY/ CTN]],INDEX([3]!db[QTY/ CTN],NOTA[[#This Row],[//DB]])))</f>
        <v/>
      </c>
      <c r="AT12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2" s="39" t="str">
        <f ca="1">IF(NOTA[[#This Row],[ID_H]]="","",MATCH(NOTA[[#This Row],[NB NOTA_C_QTY]],[4]!db[NB NOTA_C_QTY+F],0))</f>
        <v/>
      </c>
      <c r="AV1232" s="55" t="str">
        <f ca="1">IF(NOTA[[#This Row],[NB NOTA_C_QTY]]="","",ROW()-2)</f>
        <v/>
      </c>
    </row>
    <row r="1233" spans="1:48" ht="20.100000000000001" customHeight="1" x14ac:dyDescent="0.25">
      <c r="A12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3" s="39" t="str">
        <f>IF(NOTA[[#This Row],[ID_P]]="","",MATCH(NOTA[[#This Row],[ID_P]],[1]!B_MSK[N_ID],0))</f>
        <v/>
      </c>
      <c r="D1233" s="39" t="str">
        <f ca="1">IF(NOTA[[#This Row],[NAMA BARANG]]="","",INDEX(NOTA[ID],MATCH(,INDIRECT(ADDRESS(ROW(NOTA[ID]),COLUMN(NOTA[ID]))&amp;":"&amp;ADDRESS(ROW(),COLUMN(NOTA[ID]))),-1)))</f>
        <v/>
      </c>
      <c r="E1233" s="47"/>
      <c r="H1233" s="48"/>
      <c r="N1233" s="39"/>
      <c r="Q1233" s="43"/>
      <c r="R1233" s="49"/>
      <c r="S1233" s="50"/>
      <c r="U1233" s="51"/>
      <c r="V1233" s="46"/>
      <c r="W1233" s="51" t="str">
        <f>IF(NOTA[[#This Row],[HARGA/ CTN]]="",NOTA[[#This Row],[JUMLAH_H]],NOTA[[#This Row],[HARGA/ CTN]]*IF(NOTA[[#This Row],[C]]="",0,NOTA[[#This Row],[C]]))</f>
        <v/>
      </c>
      <c r="X1233" s="51" t="str">
        <f>IF(NOTA[[#This Row],[JUMLAH]]="","",NOTA[[#This Row],[JUMLAH]]*NOTA[[#This Row],[DISC 1]])</f>
        <v/>
      </c>
      <c r="Y1233" s="51" t="str">
        <f>IF(NOTA[[#This Row],[JUMLAH]]="","",(NOTA[[#This Row],[JUMLAH]]-NOTA[[#This Row],[DISC 1-]])*NOTA[[#This Row],[DISC 2]])</f>
        <v/>
      </c>
      <c r="Z1233" s="51" t="str">
        <f>IF(NOTA[[#This Row],[JUMLAH]]="","",NOTA[[#This Row],[DISC 1-]]+NOTA[[#This Row],[DISC 2-]])</f>
        <v/>
      </c>
      <c r="AA1233" s="51" t="str">
        <f>IF(NOTA[[#This Row],[JUMLAH]]="","",NOTA[[#This Row],[JUMLAH]]-NOTA[[#This Row],[DISC]])</f>
        <v/>
      </c>
      <c r="AB1233" s="51"/>
      <c r="AC1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3" s="51" t="str">
        <f>IF(OR(NOTA[[#This Row],[QTY]]="",NOTA[[#This Row],[HARGA SATUAN]]="",),"",NOTA[[#This Row],[QTY]]*NOTA[[#This Row],[HARGA SATUAN]])</f>
        <v/>
      </c>
      <c r="AG1233" s="40" t="str">
        <f ca="1">IF(NOTA[ID_H]="","",INDEX(NOTA[TANGGAL],MATCH(,INDIRECT(ADDRESS(ROW(NOTA[TANGGAL]),COLUMN(NOTA[TANGGAL]))&amp;":"&amp;ADDRESS(ROW(),COLUMN(NOTA[TANGGAL]))),-1)))</f>
        <v/>
      </c>
      <c r="AH1233" s="42" t="str">
        <f ca="1">IF(NOTA[[#This Row],[NAMA BARANG]]="","",INDEX(NOTA[SUPPLIER],MATCH(,INDIRECT(ADDRESS(ROW(NOTA[ID]),COLUMN(NOTA[ID]))&amp;":"&amp;ADDRESS(ROW(),COLUMN(NOTA[ID]))),-1)))</f>
        <v/>
      </c>
      <c r="AI1233" s="42" t="str">
        <f ca="1">IF(NOTA[[#This Row],[ID_H]]="","",IF(NOTA[[#This Row],[FAKTUR]]="",INDIRECT(ADDRESS(ROW()-1,COLUMN())),NOTA[[#This Row],[FAKTUR]]))</f>
        <v/>
      </c>
      <c r="AJ1233" s="39" t="str">
        <f ca="1">IF(NOTA[[#This Row],[ID]]="","",COUNTIF(NOTA[ID_H],NOTA[[#This Row],[ID_H]]))</f>
        <v/>
      </c>
      <c r="AK1233" s="39" t="str">
        <f ca="1">IF(NOTA[[#This Row],[TGL.NOTA]]="",IF(NOTA[[#This Row],[SUPPLIER_H]]="","",AK1232),MONTH(NOTA[[#This Row],[TGL.NOTA]]))</f>
        <v/>
      </c>
      <c r="AL1233" s="39" t="str">
        <f>LOWER(SUBSTITUTE(SUBSTITUTE(SUBSTITUTE(SUBSTITUTE(SUBSTITUTE(SUBSTITUTE(SUBSTITUTE(SUBSTITUTE(SUBSTITUTE(NOTA[NAMA BARANG]," ",),".",""),"-",""),"(",""),")",""),",",""),"/",""),"""",""),"+",""))</f>
        <v/>
      </c>
      <c r="AM12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3" s="39" t="str">
        <f>IF(NOTA[[#This Row],[CONCAT4]]="","",_xlfn.IFNA(MATCH(NOTA[[#This Row],[CONCAT4]],[2]!RAW[CONCAT_H],0),FALSE))</f>
        <v/>
      </c>
      <c r="AQ1233" s="39" t="str">
        <f>IF(NOTA[[#This Row],[CONCAT1]]="","",MATCH(NOTA[[#This Row],[CONCAT1]],[3]!db[NB NOTA_C],0))</f>
        <v/>
      </c>
      <c r="AR1233" s="39" t="str">
        <f>IF(NOTA[[#This Row],[QTY/ CTN]]="","",TRUE)</f>
        <v/>
      </c>
      <c r="AS1233" s="39" t="str">
        <f ca="1">IF(NOTA[[#This Row],[ID_H]]="","",IF(NOTA[[#This Row],[Column3]]=TRUE,NOTA[[#This Row],[QTY/ CTN]],INDEX([3]!db[QTY/ CTN],NOTA[[#This Row],[//DB]])))</f>
        <v/>
      </c>
      <c r="AT12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3" s="39" t="str">
        <f ca="1">IF(NOTA[[#This Row],[ID_H]]="","",MATCH(NOTA[[#This Row],[NB NOTA_C_QTY]],[4]!db[NB NOTA_C_QTY+F],0))</f>
        <v/>
      </c>
      <c r="AV1233" s="55" t="str">
        <f ca="1">IF(NOTA[[#This Row],[NB NOTA_C_QTY]]="","",ROW()-2)</f>
        <v/>
      </c>
    </row>
    <row r="1234" spans="1:48" ht="20.100000000000001" customHeight="1" x14ac:dyDescent="0.25">
      <c r="A12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4" s="39" t="str">
        <f>IF(NOTA[[#This Row],[ID_P]]="","",MATCH(NOTA[[#This Row],[ID_P]],[1]!B_MSK[N_ID],0))</f>
        <v/>
      </c>
      <c r="D1234" s="39" t="str">
        <f ca="1">IF(NOTA[[#This Row],[NAMA BARANG]]="","",INDEX(NOTA[ID],MATCH(,INDIRECT(ADDRESS(ROW(NOTA[ID]),COLUMN(NOTA[ID]))&amp;":"&amp;ADDRESS(ROW(),COLUMN(NOTA[ID]))),-1)))</f>
        <v/>
      </c>
      <c r="E1234" s="47"/>
      <c r="H1234" s="48"/>
      <c r="N1234" s="39"/>
      <c r="Q1234" s="43"/>
      <c r="R1234" s="49"/>
      <c r="S1234" s="50"/>
      <c r="U1234" s="51"/>
      <c r="V1234" s="46"/>
      <c r="W1234" s="51" t="str">
        <f>IF(NOTA[[#This Row],[HARGA/ CTN]]="",NOTA[[#This Row],[JUMLAH_H]],NOTA[[#This Row],[HARGA/ CTN]]*IF(NOTA[[#This Row],[C]]="",0,NOTA[[#This Row],[C]]))</f>
        <v/>
      </c>
      <c r="X1234" s="51" t="str">
        <f>IF(NOTA[[#This Row],[JUMLAH]]="","",NOTA[[#This Row],[JUMLAH]]*NOTA[[#This Row],[DISC 1]])</f>
        <v/>
      </c>
      <c r="Y1234" s="51" t="str">
        <f>IF(NOTA[[#This Row],[JUMLAH]]="","",(NOTA[[#This Row],[JUMLAH]]-NOTA[[#This Row],[DISC 1-]])*NOTA[[#This Row],[DISC 2]])</f>
        <v/>
      </c>
      <c r="Z1234" s="51" t="str">
        <f>IF(NOTA[[#This Row],[JUMLAH]]="","",NOTA[[#This Row],[DISC 1-]]+NOTA[[#This Row],[DISC 2-]])</f>
        <v/>
      </c>
      <c r="AA1234" s="51" t="str">
        <f>IF(NOTA[[#This Row],[JUMLAH]]="","",NOTA[[#This Row],[JUMLAH]]-NOTA[[#This Row],[DISC]])</f>
        <v/>
      </c>
      <c r="AB1234" s="51"/>
      <c r="AC12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4" s="51" t="str">
        <f>IF(OR(NOTA[[#This Row],[QTY]]="",NOTA[[#This Row],[HARGA SATUAN]]="",),"",NOTA[[#This Row],[QTY]]*NOTA[[#This Row],[HARGA SATUAN]])</f>
        <v/>
      </c>
      <c r="AG1234" s="40" t="str">
        <f ca="1">IF(NOTA[ID_H]="","",INDEX(NOTA[TANGGAL],MATCH(,INDIRECT(ADDRESS(ROW(NOTA[TANGGAL]),COLUMN(NOTA[TANGGAL]))&amp;":"&amp;ADDRESS(ROW(),COLUMN(NOTA[TANGGAL]))),-1)))</f>
        <v/>
      </c>
      <c r="AH1234" s="42" t="str">
        <f ca="1">IF(NOTA[[#This Row],[NAMA BARANG]]="","",INDEX(NOTA[SUPPLIER],MATCH(,INDIRECT(ADDRESS(ROW(NOTA[ID]),COLUMN(NOTA[ID]))&amp;":"&amp;ADDRESS(ROW(),COLUMN(NOTA[ID]))),-1)))</f>
        <v/>
      </c>
      <c r="AI1234" s="42" t="str">
        <f ca="1">IF(NOTA[[#This Row],[ID_H]]="","",IF(NOTA[[#This Row],[FAKTUR]]="",INDIRECT(ADDRESS(ROW()-1,COLUMN())),NOTA[[#This Row],[FAKTUR]]))</f>
        <v/>
      </c>
      <c r="AJ1234" s="39" t="str">
        <f ca="1">IF(NOTA[[#This Row],[ID]]="","",COUNTIF(NOTA[ID_H],NOTA[[#This Row],[ID_H]]))</f>
        <v/>
      </c>
      <c r="AK1234" s="39" t="str">
        <f ca="1">IF(NOTA[[#This Row],[TGL.NOTA]]="",IF(NOTA[[#This Row],[SUPPLIER_H]]="","",AK1233),MONTH(NOTA[[#This Row],[TGL.NOTA]]))</f>
        <v/>
      </c>
      <c r="AL1234" s="39" t="str">
        <f>LOWER(SUBSTITUTE(SUBSTITUTE(SUBSTITUTE(SUBSTITUTE(SUBSTITUTE(SUBSTITUTE(SUBSTITUTE(SUBSTITUTE(SUBSTITUTE(NOTA[NAMA BARANG]," ",),".",""),"-",""),"(",""),")",""),",",""),"/",""),"""",""),"+",""))</f>
        <v/>
      </c>
      <c r="AM12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4" s="39" t="str">
        <f>IF(NOTA[[#This Row],[CONCAT4]]="","",_xlfn.IFNA(MATCH(NOTA[[#This Row],[CONCAT4]],[2]!RAW[CONCAT_H],0),FALSE))</f>
        <v/>
      </c>
      <c r="AQ1234" s="39" t="str">
        <f>IF(NOTA[[#This Row],[CONCAT1]]="","",MATCH(NOTA[[#This Row],[CONCAT1]],[3]!db[NB NOTA_C],0))</f>
        <v/>
      </c>
      <c r="AR1234" s="39" t="str">
        <f>IF(NOTA[[#This Row],[QTY/ CTN]]="","",TRUE)</f>
        <v/>
      </c>
      <c r="AS1234" s="39" t="str">
        <f ca="1">IF(NOTA[[#This Row],[ID_H]]="","",IF(NOTA[[#This Row],[Column3]]=TRUE,NOTA[[#This Row],[QTY/ CTN]],INDEX([3]!db[QTY/ CTN],NOTA[[#This Row],[//DB]])))</f>
        <v/>
      </c>
      <c r="AT12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4" s="39" t="str">
        <f ca="1">IF(NOTA[[#This Row],[ID_H]]="","",MATCH(NOTA[[#This Row],[NB NOTA_C_QTY]],[4]!db[NB NOTA_C_QTY+F],0))</f>
        <v/>
      </c>
      <c r="AV1234" s="55" t="str">
        <f ca="1">IF(NOTA[[#This Row],[NB NOTA_C_QTY]]="","",ROW()-2)</f>
        <v/>
      </c>
    </row>
    <row r="1235" spans="1:48" ht="20.100000000000001" customHeight="1" x14ac:dyDescent="0.25">
      <c r="A12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5" s="39" t="str">
        <f>IF(NOTA[[#This Row],[ID_P]]="","",MATCH(NOTA[[#This Row],[ID_P]],[1]!B_MSK[N_ID],0))</f>
        <v/>
      </c>
      <c r="D1235" s="39" t="str">
        <f ca="1">IF(NOTA[[#This Row],[NAMA BARANG]]="","",INDEX(NOTA[ID],MATCH(,INDIRECT(ADDRESS(ROW(NOTA[ID]),COLUMN(NOTA[ID]))&amp;":"&amp;ADDRESS(ROW(),COLUMN(NOTA[ID]))),-1)))</f>
        <v/>
      </c>
      <c r="E1235" s="47"/>
      <c r="H1235" s="48"/>
      <c r="N1235" s="39"/>
      <c r="Q1235" s="43"/>
      <c r="R1235" s="49"/>
      <c r="S1235" s="50"/>
      <c r="U1235" s="51"/>
      <c r="V1235" s="46"/>
      <c r="W1235" s="51" t="str">
        <f>IF(NOTA[[#This Row],[HARGA/ CTN]]="",NOTA[[#This Row],[JUMLAH_H]],NOTA[[#This Row],[HARGA/ CTN]]*IF(NOTA[[#This Row],[C]]="",0,NOTA[[#This Row],[C]]))</f>
        <v/>
      </c>
      <c r="X1235" s="51" t="str">
        <f>IF(NOTA[[#This Row],[JUMLAH]]="","",NOTA[[#This Row],[JUMLAH]]*NOTA[[#This Row],[DISC 1]])</f>
        <v/>
      </c>
      <c r="Y1235" s="51" t="str">
        <f>IF(NOTA[[#This Row],[JUMLAH]]="","",(NOTA[[#This Row],[JUMLAH]]-NOTA[[#This Row],[DISC 1-]])*NOTA[[#This Row],[DISC 2]])</f>
        <v/>
      </c>
      <c r="Z1235" s="51" t="str">
        <f>IF(NOTA[[#This Row],[JUMLAH]]="","",NOTA[[#This Row],[DISC 1-]]+NOTA[[#This Row],[DISC 2-]])</f>
        <v/>
      </c>
      <c r="AA1235" s="51" t="str">
        <f>IF(NOTA[[#This Row],[JUMLAH]]="","",NOTA[[#This Row],[JUMLAH]]-NOTA[[#This Row],[DISC]])</f>
        <v/>
      </c>
      <c r="AB1235" s="51"/>
      <c r="AC1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5" s="51" t="str">
        <f>IF(OR(NOTA[[#This Row],[QTY]]="",NOTA[[#This Row],[HARGA SATUAN]]="",),"",NOTA[[#This Row],[QTY]]*NOTA[[#This Row],[HARGA SATUAN]])</f>
        <v/>
      </c>
      <c r="AG1235" s="40" t="str">
        <f ca="1">IF(NOTA[ID_H]="","",INDEX(NOTA[TANGGAL],MATCH(,INDIRECT(ADDRESS(ROW(NOTA[TANGGAL]),COLUMN(NOTA[TANGGAL]))&amp;":"&amp;ADDRESS(ROW(),COLUMN(NOTA[TANGGAL]))),-1)))</f>
        <v/>
      </c>
      <c r="AH1235" s="42" t="str">
        <f ca="1">IF(NOTA[[#This Row],[NAMA BARANG]]="","",INDEX(NOTA[SUPPLIER],MATCH(,INDIRECT(ADDRESS(ROW(NOTA[ID]),COLUMN(NOTA[ID]))&amp;":"&amp;ADDRESS(ROW(),COLUMN(NOTA[ID]))),-1)))</f>
        <v/>
      </c>
      <c r="AI1235" s="42" t="str">
        <f ca="1">IF(NOTA[[#This Row],[ID_H]]="","",IF(NOTA[[#This Row],[FAKTUR]]="",INDIRECT(ADDRESS(ROW()-1,COLUMN())),NOTA[[#This Row],[FAKTUR]]))</f>
        <v/>
      </c>
      <c r="AJ1235" s="39" t="str">
        <f ca="1">IF(NOTA[[#This Row],[ID]]="","",COUNTIF(NOTA[ID_H],NOTA[[#This Row],[ID_H]]))</f>
        <v/>
      </c>
      <c r="AK1235" s="39" t="str">
        <f ca="1">IF(NOTA[[#This Row],[TGL.NOTA]]="",IF(NOTA[[#This Row],[SUPPLIER_H]]="","",AK1234),MONTH(NOTA[[#This Row],[TGL.NOTA]]))</f>
        <v/>
      </c>
      <c r="AL1235" s="39" t="str">
        <f>LOWER(SUBSTITUTE(SUBSTITUTE(SUBSTITUTE(SUBSTITUTE(SUBSTITUTE(SUBSTITUTE(SUBSTITUTE(SUBSTITUTE(SUBSTITUTE(NOTA[NAMA BARANG]," ",),".",""),"-",""),"(",""),")",""),",",""),"/",""),"""",""),"+",""))</f>
        <v/>
      </c>
      <c r="AM12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5" s="39" t="str">
        <f>IF(NOTA[[#This Row],[CONCAT4]]="","",_xlfn.IFNA(MATCH(NOTA[[#This Row],[CONCAT4]],[2]!RAW[CONCAT_H],0),FALSE))</f>
        <v/>
      </c>
      <c r="AQ1235" s="39" t="str">
        <f>IF(NOTA[[#This Row],[CONCAT1]]="","",MATCH(NOTA[[#This Row],[CONCAT1]],[3]!db[NB NOTA_C],0))</f>
        <v/>
      </c>
      <c r="AR1235" s="39" t="str">
        <f>IF(NOTA[[#This Row],[QTY/ CTN]]="","",TRUE)</f>
        <v/>
      </c>
      <c r="AS1235" s="39" t="str">
        <f ca="1">IF(NOTA[[#This Row],[ID_H]]="","",IF(NOTA[[#This Row],[Column3]]=TRUE,NOTA[[#This Row],[QTY/ CTN]],INDEX([3]!db[QTY/ CTN],NOTA[[#This Row],[//DB]])))</f>
        <v/>
      </c>
      <c r="AT12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5" s="39" t="str">
        <f ca="1">IF(NOTA[[#This Row],[ID_H]]="","",MATCH(NOTA[[#This Row],[NB NOTA_C_QTY]],[4]!db[NB NOTA_C_QTY+F],0))</f>
        <v/>
      </c>
      <c r="AV1235" s="55" t="str">
        <f ca="1">IF(NOTA[[#This Row],[NB NOTA_C_QTY]]="","",ROW()-2)</f>
        <v/>
      </c>
    </row>
    <row r="1236" spans="1:48" ht="20.100000000000001" customHeight="1" x14ac:dyDescent="0.25">
      <c r="A12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6" s="39" t="str">
        <f>IF(NOTA[[#This Row],[ID_P]]="","",MATCH(NOTA[[#This Row],[ID_P]],[1]!B_MSK[N_ID],0))</f>
        <v/>
      </c>
      <c r="D1236" s="39" t="str">
        <f ca="1">IF(NOTA[[#This Row],[NAMA BARANG]]="","",INDEX(NOTA[ID],MATCH(,INDIRECT(ADDRESS(ROW(NOTA[ID]),COLUMN(NOTA[ID]))&amp;":"&amp;ADDRESS(ROW(),COLUMN(NOTA[ID]))),-1)))</f>
        <v/>
      </c>
      <c r="E1236" s="47"/>
      <c r="H1236" s="48"/>
      <c r="N1236" s="39"/>
      <c r="Q1236" s="43"/>
      <c r="R1236" s="49"/>
      <c r="S1236" s="50"/>
      <c r="U1236" s="51"/>
      <c r="V1236" s="46"/>
      <c r="W1236" s="51" t="str">
        <f>IF(NOTA[[#This Row],[HARGA/ CTN]]="",NOTA[[#This Row],[JUMLAH_H]],NOTA[[#This Row],[HARGA/ CTN]]*IF(NOTA[[#This Row],[C]]="",0,NOTA[[#This Row],[C]]))</f>
        <v/>
      </c>
      <c r="X1236" s="51" t="str">
        <f>IF(NOTA[[#This Row],[JUMLAH]]="","",NOTA[[#This Row],[JUMLAH]]*NOTA[[#This Row],[DISC 1]])</f>
        <v/>
      </c>
      <c r="Y1236" s="51" t="str">
        <f>IF(NOTA[[#This Row],[JUMLAH]]="","",(NOTA[[#This Row],[JUMLAH]]-NOTA[[#This Row],[DISC 1-]])*NOTA[[#This Row],[DISC 2]])</f>
        <v/>
      </c>
      <c r="Z1236" s="51" t="str">
        <f>IF(NOTA[[#This Row],[JUMLAH]]="","",NOTA[[#This Row],[DISC 1-]]+NOTA[[#This Row],[DISC 2-]])</f>
        <v/>
      </c>
      <c r="AA1236" s="51" t="str">
        <f>IF(NOTA[[#This Row],[JUMLAH]]="","",NOTA[[#This Row],[JUMLAH]]-NOTA[[#This Row],[DISC]])</f>
        <v/>
      </c>
      <c r="AB1236" s="51"/>
      <c r="AC1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6" s="51" t="str">
        <f>IF(OR(NOTA[[#This Row],[QTY]]="",NOTA[[#This Row],[HARGA SATUAN]]="",),"",NOTA[[#This Row],[QTY]]*NOTA[[#This Row],[HARGA SATUAN]])</f>
        <v/>
      </c>
      <c r="AG1236" s="40" t="str">
        <f ca="1">IF(NOTA[ID_H]="","",INDEX(NOTA[TANGGAL],MATCH(,INDIRECT(ADDRESS(ROW(NOTA[TANGGAL]),COLUMN(NOTA[TANGGAL]))&amp;":"&amp;ADDRESS(ROW(),COLUMN(NOTA[TANGGAL]))),-1)))</f>
        <v/>
      </c>
      <c r="AH1236" s="42" t="str">
        <f ca="1">IF(NOTA[[#This Row],[NAMA BARANG]]="","",INDEX(NOTA[SUPPLIER],MATCH(,INDIRECT(ADDRESS(ROW(NOTA[ID]),COLUMN(NOTA[ID]))&amp;":"&amp;ADDRESS(ROW(),COLUMN(NOTA[ID]))),-1)))</f>
        <v/>
      </c>
      <c r="AI1236" s="42" t="str">
        <f ca="1">IF(NOTA[[#This Row],[ID_H]]="","",IF(NOTA[[#This Row],[FAKTUR]]="",INDIRECT(ADDRESS(ROW()-1,COLUMN())),NOTA[[#This Row],[FAKTUR]]))</f>
        <v/>
      </c>
      <c r="AJ1236" s="39" t="str">
        <f ca="1">IF(NOTA[[#This Row],[ID]]="","",COUNTIF(NOTA[ID_H],NOTA[[#This Row],[ID_H]]))</f>
        <v/>
      </c>
      <c r="AK1236" s="39" t="str">
        <f ca="1">IF(NOTA[[#This Row],[TGL.NOTA]]="",IF(NOTA[[#This Row],[SUPPLIER_H]]="","",AK1235),MONTH(NOTA[[#This Row],[TGL.NOTA]]))</f>
        <v/>
      </c>
      <c r="AL1236" s="39" t="str">
        <f>LOWER(SUBSTITUTE(SUBSTITUTE(SUBSTITUTE(SUBSTITUTE(SUBSTITUTE(SUBSTITUTE(SUBSTITUTE(SUBSTITUTE(SUBSTITUTE(NOTA[NAMA BARANG]," ",),".",""),"-",""),"(",""),")",""),",",""),"/",""),"""",""),"+",""))</f>
        <v/>
      </c>
      <c r="AM12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6" s="39" t="str">
        <f>IF(NOTA[[#This Row],[CONCAT4]]="","",_xlfn.IFNA(MATCH(NOTA[[#This Row],[CONCAT4]],[2]!RAW[CONCAT_H],0),FALSE))</f>
        <v/>
      </c>
      <c r="AQ1236" s="39" t="str">
        <f>IF(NOTA[[#This Row],[CONCAT1]]="","",MATCH(NOTA[[#This Row],[CONCAT1]],[3]!db[NB NOTA_C],0))</f>
        <v/>
      </c>
      <c r="AR1236" s="39" t="str">
        <f>IF(NOTA[[#This Row],[QTY/ CTN]]="","",TRUE)</f>
        <v/>
      </c>
      <c r="AS1236" s="39" t="str">
        <f ca="1">IF(NOTA[[#This Row],[ID_H]]="","",IF(NOTA[[#This Row],[Column3]]=TRUE,NOTA[[#This Row],[QTY/ CTN]],INDEX([3]!db[QTY/ CTN],NOTA[[#This Row],[//DB]])))</f>
        <v/>
      </c>
      <c r="AT12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6" s="39" t="str">
        <f ca="1">IF(NOTA[[#This Row],[ID_H]]="","",MATCH(NOTA[[#This Row],[NB NOTA_C_QTY]],[4]!db[NB NOTA_C_QTY+F],0))</f>
        <v/>
      </c>
      <c r="AV1236" s="55" t="str">
        <f ca="1">IF(NOTA[[#This Row],[NB NOTA_C_QTY]]="","",ROW()-2)</f>
        <v/>
      </c>
    </row>
    <row r="1237" spans="1:48" ht="20.100000000000001" customHeight="1" x14ac:dyDescent="0.25">
      <c r="A12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7" s="39" t="str">
        <f>IF(NOTA[[#This Row],[ID_P]]="","",MATCH(NOTA[[#This Row],[ID_P]],[1]!B_MSK[N_ID],0))</f>
        <v/>
      </c>
      <c r="D1237" s="39" t="str">
        <f ca="1">IF(NOTA[[#This Row],[NAMA BARANG]]="","",INDEX(NOTA[ID],MATCH(,INDIRECT(ADDRESS(ROW(NOTA[ID]),COLUMN(NOTA[ID]))&amp;":"&amp;ADDRESS(ROW(),COLUMN(NOTA[ID]))),-1)))</f>
        <v/>
      </c>
      <c r="E1237" s="47"/>
      <c r="H1237" s="48"/>
      <c r="N1237" s="39"/>
      <c r="Q1237" s="43"/>
      <c r="R1237" s="49"/>
      <c r="S1237" s="50"/>
      <c r="U1237" s="51"/>
      <c r="V1237" s="46"/>
      <c r="W1237" s="51" t="str">
        <f>IF(NOTA[[#This Row],[HARGA/ CTN]]="",NOTA[[#This Row],[JUMLAH_H]],NOTA[[#This Row],[HARGA/ CTN]]*IF(NOTA[[#This Row],[C]]="",0,NOTA[[#This Row],[C]]))</f>
        <v/>
      </c>
      <c r="X1237" s="51" t="str">
        <f>IF(NOTA[[#This Row],[JUMLAH]]="","",NOTA[[#This Row],[JUMLAH]]*NOTA[[#This Row],[DISC 1]])</f>
        <v/>
      </c>
      <c r="Y1237" s="51" t="str">
        <f>IF(NOTA[[#This Row],[JUMLAH]]="","",(NOTA[[#This Row],[JUMLAH]]-NOTA[[#This Row],[DISC 1-]])*NOTA[[#This Row],[DISC 2]])</f>
        <v/>
      </c>
      <c r="Z1237" s="51" t="str">
        <f>IF(NOTA[[#This Row],[JUMLAH]]="","",NOTA[[#This Row],[DISC 1-]]+NOTA[[#This Row],[DISC 2-]])</f>
        <v/>
      </c>
      <c r="AA1237" s="51" t="str">
        <f>IF(NOTA[[#This Row],[JUMLAH]]="","",NOTA[[#This Row],[JUMLAH]]-NOTA[[#This Row],[DISC]])</f>
        <v/>
      </c>
      <c r="AB1237" s="51"/>
      <c r="AC1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7" s="51" t="str">
        <f>IF(OR(NOTA[[#This Row],[QTY]]="",NOTA[[#This Row],[HARGA SATUAN]]="",),"",NOTA[[#This Row],[QTY]]*NOTA[[#This Row],[HARGA SATUAN]])</f>
        <v/>
      </c>
      <c r="AG1237" s="40" t="str">
        <f ca="1">IF(NOTA[ID_H]="","",INDEX(NOTA[TANGGAL],MATCH(,INDIRECT(ADDRESS(ROW(NOTA[TANGGAL]),COLUMN(NOTA[TANGGAL]))&amp;":"&amp;ADDRESS(ROW(),COLUMN(NOTA[TANGGAL]))),-1)))</f>
        <v/>
      </c>
      <c r="AH1237" s="42" t="str">
        <f ca="1">IF(NOTA[[#This Row],[NAMA BARANG]]="","",INDEX(NOTA[SUPPLIER],MATCH(,INDIRECT(ADDRESS(ROW(NOTA[ID]),COLUMN(NOTA[ID]))&amp;":"&amp;ADDRESS(ROW(),COLUMN(NOTA[ID]))),-1)))</f>
        <v/>
      </c>
      <c r="AI1237" s="42" t="str">
        <f ca="1">IF(NOTA[[#This Row],[ID_H]]="","",IF(NOTA[[#This Row],[FAKTUR]]="",INDIRECT(ADDRESS(ROW()-1,COLUMN())),NOTA[[#This Row],[FAKTUR]]))</f>
        <v/>
      </c>
      <c r="AJ1237" s="39" t="str">
        <f ca="1">IF(NOTA[[#This Row],[ID]]="","",COUNTIF(NOTA[ID_H],NOTA[[#This Row],[ID_H]]))</f>
        <v/>
      </c>
      <c r="AK1237" s="39" t="str">
        <f ca="1">IF(NOTA[[#This Row],[TGL.NOTA]]="",IF(NOTA[[#This Row],[SUPPLIER_H]]="","",AK1236),MONTH(NOTA[[#This Row],[TGL.NOTA]]))</f>
        <v/>
      </c>
      <c r="AL1237" s="39" t="str">
        <f>LOWER(SUBSTITUTE(SUBSTITUTE(SUBSTITUTE(SUBSTITUTE(SUBSTITUTE(SUBSTITUTE(SUBSTITUTE(SUBSTITUTE(SUBSTITUTE(NOTA[NAMA BARANG]," ",),".",""),"-",""),"(",""),")",""),",",""),"/",""),"""",""),"+",""))</f>
        <v/>
      </c>
      <c r="AM12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7" s="39" t="str">
        <f>IF(NOTA[[#This Row],[CONCAT4]]="","",_xlfn.IFNA(MATCH(NOTA[[#This Row],[CONCAT4]],[2]!RAW[CONCAT_H],0),FALSE))</f>
        <v/>
      </c>
      <c r="AQ1237" s="39" t="str">
        <f>IF(NOTA[[#This Row],[CONCAT1]]="","",MATCH(NOTA[[#This Row],[CONCAT1]],[3]!db[NB NOTA_C],0))</f>
        <v/>
      </c>
      <c r="AR1237" s="39" t="str">
        <f>IF(NOTA[[#This Row],[QTY/ CTN]]="","",TRUE)</f>
        <v/>
      </c>
      <c r="AS1237" s="39" t="str">
        <f ca="1">IF(NOTA[[#This Row],[ID_H]]="","",IF(NOTA[[#This Row],[Column3]]=TRUE,NOTA[[#This Row],[QTY/ CTN]],INDEX([3]!db[QTY/ CTN],NOTA[[#This Row],[//DB]])))</f>
        <v/>
      </c>
      <c r="AT12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7" s="39" t="str">
        <f ca="1">IF(NOTA[[#This Row],[ID_H]]="","",MATCH(NOTA[[#This Row],[NB NOTA_C_QTY]],[4]!db[NB NOTA_C_QTY+F],0))</f>
        <v/>
      </c>
      <c r="AV1237" s="55" t="str">
        <f ca="1">IF(NOTA[[#This Row],[NB NOTA_C_QTY]]="","",ROW()-2)</f>
        <v/>
      </c>
    </row>
    <row r="1238" spans="1:48" ht="20.100000000000001" customHeight="1" x14ac:dyDescent="0.25">
      <c r="A12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8" s="39" t="str">
        <f>IF(NOTA[[#This Row],[ID_P]]="","",MATCH(NOTA[[#This Row],[ID_P]],[1]!B_MSK[N_ID],0))</f>
        <v/>
      </c>
      <c r="D1238" s="39" t="str">
        <f ca="1">IF(NOTA[[#This Row],[NAMA BARANG]]="","",INDEX(NOTA[ID],MATCH(,INDIRECT(ADDRESS(ROW(NOTA[ID]),COLUMN(NOTA[ID]))&amp;":"&amp;ADDRESS(ROW(),COLUMN(NOTA[ID]))),-1)))</f>
        <v/>
      </c>
      <c r="E1238" s="47"/>
      <c r="H1238" s="48"/>
      <c r="N1238" s="39"/>
      <c r="Q1238" s="43"/>
      <c r="R1238" s="49"/>
      <c r="S1238" s="50"/>
      <c r="U1238" s="51"/>
      <c r="V1238" s="46"/>
      <c r="W1238" s="51" t="str">
        <f>IF(NOTA[[#This Row],[HARGA/ CTN]]="",NOTA[[#This Row],[JUMLAH_H]],NOTA[[#This Row],[HARGA/ CTN]]*IF(NOTA[[#This Row],[C]]="",0,NOTA[[#This Row],[C]]))</f>
        <v/>
      </c>
      <c r="X1238" s="51" t="str">
        <f>IF(NOTA[[#This Row],[JUMLAH]]="","",NOTA[[#This Row],[JUMLAH]]*NOTA[[#This Row],[DISC 1]])</f>
        <v/>
      </c>
      <c r="Y1238" s="51" t="str">
        <f>IF(NOTA[[#This Row],[JUMLAH]]="","",(NOTA[[#This Row],[JUMLAH]]-NOTA[[#This Row],[DISC 1-]])*NOTA[[#This Row],[DISC 2]])</f>
        <v/>
      </c>
      <c r="Z1238" s="51" t="str">
        <f>IF(NOTA[[#This Row],[JUMLAH]]="","",NOTA[[#This Row],[DISC 1-]]+NOTA[[#This Row],[DISC 2-]])</f>
        <v/>
      </c>
      <c r="AA1238" s="51" t="str">
        <f>IF(NOTA[[#This Row],[JUMLAH]]="","",NOTA[[#This Row],[JUMLAH]]-NOTA[[#This Row],[DISC]])</f>
        <v/>
      </c>
      <c r="AB1238" s="51"/>
      <c r="AC1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8" s="51" t="str">
        <f>IF(OR(NOTA[[#This Row],[QTY]]="",NOTA[[#This Row],[HARGA SATUAN]]="",),"",NOTA[[#This Row],[QTY]]*NOTA[[#This Row],[HARGA SATUAN]])</f>
        <v/>
      </c>
      <c r="AG1238" s="40" t="str">
        <f ca="1">IF(NOTA[ID_H]="","",INDEX(NOTA[TANGGAL],MATCH(,INDIRECT(ADDRESS(ROW(NOTA[TANGGAL]),COLUMN(NOTA[TANGGAL]))&amp;":"&amp;ADDRESS(ROW(),COLUMN(NOTA[TANGGAL]))),-1)))</f>
        <v/>
      </c>
      <c r="AH1238" s="42" t="str">
        <f ca="1">IF(NOTA[[#This Row],[NAMA BARANG]]="","",INDEX(NOTA[SUPPLIER],MATCH(,INDIRECT(ADDRESS(ROW(NOTA[ID]),COLUMN(NOTA[ID]))&amp;":"&amp;ADDRESS(ROW(),COLUMN(NOTA[ID]))),-1)))</f>
        <v/>
      </c>
      <c r="AI1238" s="42" t="str">
        <f ca="1">IF(NOTA[[#This Row],[ID_H]]="","",IF(NOTA[[#This Row],[FAKTUR]]="",INDIRECT(ADDRESS(ROW()-1,COLUMN())),NOTA[[#This Row],[FAKTUR]]))</f>
        <v/>
      </c>
      <c r="AJ1238" s="39" t="str">
        <f ca="1">IF(NOTA[[#This Row],[ID]]="","",COUNTIF(NOTA[ID_H],NOTA[[#This Row],[ID_H]]))</f>
        <v/>
      </c>
      <c r="AK1238" s="39" t="str">
        <f ca="1">IF(NOTA[[#This Row],[TGL.NOTA]]="",IF(NOTA[[#This Row],[SUPPLIER_H]]="","",AK1237),MONTH(NOTA[[#This Row],[TGL.NOTA]]))</f>
        <v/>
      </c>
      <c r="AL1238" s="39" t="str">
        <f>LOWER(SUBSTITUTE(SUBSTITUTE(SUBSTITUTE(SUBSTITUTE(SUBSTITUTE(SUBSTITUTE(SUBSTITUTE(SUBSTITUTE(SUBSTITUTE(NOTA[NAMA BARANG]," ",),".",""),"-",""),"(",""),")",""),",",""),"/",""),"""",""),"+",""))</f>
        <v/>
      </c>
      <c r="AM12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8" s="39" t="str">
        <f>IF(NOTA[[#This Row],[CONCAT4]]="","",_xlfn.IFNA(MATCH(NOTA[[#This Row],[CONCAT4]],[2]!RAW[CONCAT_H],0),FALSE))</f>
        <v/>
      </c>
      <c r="AQ1238" s="39" t="str">
        <f>IF(NOTA[[#This Row],[CONCAT1]]="","",MATCH(NOTA[[#This Row],[CONCAT1]],[3]!db[NB NOTA_C],0))</f>
        <v/>
      </c>
      <c r="AR1238" s="39" t="str">
        <f>IF(NOTA[[#This Row],[QTY/ CTN]]="","",TRUE)</f>
        <v/>
      </c>
      <c r="AS1238" s="39" t="str">
        <f ca="1">IF(NOTA[[#This Row],[ID_H]]="","",IF(NOTA[[#This Row],[Column3]]=TRUE,NOTA[[#This Row],[QTY/ CTN]],INDEX([3]!db[QTY/ CTN],NOTA[[#This Row],[//DB]])))</f>
        <v/>
      </c>
      <c r="AT12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8" s="39" t="str">
        <f ca="1">IF(NOTA[[#This Row],[ID_H]]="","",MATCH(NOTA[[#This Row],[NB NOTA_C_QTY]],[4]!db[NB NOTA_C_QTY+F],0))</f>
        <v/>
      </c>
      <c r="AV1238" s="55" t="str">
        <f ca="1">IF(NOTA[[#This Row],[NB NOTA_C_QTY]]="","",ROW()-2)</f>
        <v/>
      </c>
    </row>
    <row r="1239" spans="1:48" ht="20.100000000000001" customHeight="1" x14ac:dyDescent="0.25">
      <c r="A12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9" s="39" t="str">
        <f>IF(NOTA[[#This Row],[ID_P]]="","",MATCH(NOTA[[#This Row],[ID_P]],[1]!B_MSK[N_ID],0))</f>
        <v/>
      </c>
      <c r="D1239" s="39" t="str">
        <f ca="1">IF(NOTA[[#This Row],[NAMA BARANG]]="","",INDEX(NOTA[ID],MATCH(,INDIRECT(ADDRESS(ROW(NOTA[ID]),COLUMN(NOTA[ID]))&amp;":"&amp;ADDRESS(ROW(),COLUMN(NOTA[ID]))),-1)))</f>
        <v/>
      </c>
      <c r="E1239" s="47"/>
      <c r="H1239" s="48"/>
      <c r="N1239" s="39"/>
      <c r="Q1239" s="43"/>
      <c r="R1239" s="49"/>
      <c r="S1239" s="50"/>
      <c r="U1239" s="51"/>
      <c r="V1239" s="46"/>
      <c r="W1239" s="51" t="str">
        <f>IF(NOTA[[#This Row],[HARGA/ CTN]]="",NOTA[[#This Row],[JUMLAH_H]],NOTA[[#This Row],[HARGA/ CTN]]*IF(NOTA[[#This Row],[C]]="",0,NOTA[[#This Row],[C]]))</f>
        <v/>
      </c>
      <c r="X1239" s="51" t="str">
        <f>IF(NOTA[[#This Row],[JUMLAH]]="","",NOTA[[#This Row],[JUMLAH]]*NOTA[[#This Row],[DISC 1]])</f>
        <v/>
      </c>
      <c r="Y1239" s="51" t="str">
        <f>IF(NOTA[[#This Row],[JUMLAH]]="","",(NOTA[[#This Row],[JUMLAH]]-NOTA[[#This Row],[DISC 1-]])*NOTA[[#This Row],[DISC 2]])</f>
        <v/>
      </c>
      <c r="Z1239" s="51" t="str">
        <f>IF(NOTA[[#This Row],[JUMLAH]]="","",NOTA[[#This Row],[DISC 1-]]+NOTA[[#This Row],[DISC 2-]])</f>
        <v/>
      </c>
      <c r="AA1239" s="51" t="str">
        <f>IF(NOTA[[#This Row],[JUMLAH]]="","",NOTA[[#This Row],[JUMLAH]]-NOTA[[#This Row],[DISC]])</f>
        <v/>
      </c>
      <c r="AB1239" s="51"/>
      <c r="AC1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9" s="51" t="str">
        <f>IF(OR(NOTA[[#This Row],[QTY]]="",NOTA[[#This Row],[HARGA SATUAN]]="",),"",NOTA[[#This Row],[QTY]]*NOTA[[#This Row],[HARGA SATUAN]])</f>
        <v/>
      </c>
      <c r="AG1239" s="40" t="str">
        <f ca="1">IF(NOTA[ID_H]="","",INDEX(NOTA[TANGGAL],MATCH(,INDIRECT(ADDRESS(ROW(NOTA[TANGGAL]),COLUMN(NOTA[TANGGAL]))&amp;":"&amp;ADDRESS(ROW(),COLUMN(NOTA[TANGGAL]))),-1)))</f>
        <v/>
      </c>
      <c r="AH1239" s="42" t="str">
        <f ca="1">IF(NOTA[[#This Row],[NAMA BARANG]]="","",INDEX(NOTA[SUPPLIER],MATCH(,INDIRECT(ADDRESS(ROW(NOTA[ID]),COLUMN(NOTA[ID]))&amp;":"&amp;ADDRESS(ROW(),COLUMN(NOTA[ID]))),-1)))</f>
        <v/>
      </c>
      <c r="AI1239" s="42" t="str">
        <f ca="1">IF(NOTA[[#This Row],[ID_H]]="","",IF(NOTA[[#This Row],[FAKTUR]]="",INDIRECT(ADDRESS(ROW()-1,COLUMN())),NOTA[[#This Row],[FAKTUR]]))</f>
        <v/>
      </c>
      <c r="AJ1239" s="39" t="str">
        <f ca="1">IF(NOTA[[#This Row],[ID]]="","",COUNTIF(NOTA[ID_H],NOTA[[#This Row],[ID_H]]))</f>
        <v/>
      </c>
      <c r="AK1239" s="39" t="str">
        <f ca="1">IF(NOTA[[#This Row],[TGL.NOTA]]="",IF(NOTA[[#This Row],[SUPPLIER_H]]="","",AK1238),MONTH(NOTA[[#This Row],[TGL.NOTA]]))</f>
        <v/>
      </c>
      <c r="AL1239" s="39" t="str">
        <f>LOWER(SUBSTITUTE(SUBSTITUTE(SUBSTITUTE(SUBSTITUTE(SUBSTITUTE(SUBSTITUTE(SUBSTITUTE(SUBSTITUTE(SUBSTITUTE(NOTA[NAMA BARANG]," ",),".",""),"-",""),"(",""),")",""),",",""),"/",""),"""",""),"+",""))</f>
        <v/>
      </c>
      <c r="AM12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9" s="39" t="str">
        <f>IF(NOTA[[#This Row],[CONCAT4]]="","",_xlfn.IFNA(MATCH(NOTA[[#This Row],[CONCAT4]],[2]!RAW[CONCAT_H],0),FALSE))</f>
        <v/>
      </c>
      <c r="AQ1239" s="39" t="str">
        <f>IF(NOTA[[#This Row],[CONCAT1]]="","",MATCH(NOTA[[#This Row],[CONCAT1]],[3]!db[NB NOTA_C],0))</f>
        <v/>
      </c>
      <c r="AR1239" s="39" t="str">
        <f>IF(NOTA[[#This Row],[QTY/ CTN]]="","",TRUE)</f>
        <v/>
      </c>
      <c r="AS1239" s="39" t="str">
        <f ca="1">IF(NOTA[[#This Row],[ID_H]]="","",IF(NOTA[[#This Row],[Column3]]=TRUE,NOTA[[#This Row],[QTY/ CTN]],INDEX([3]!db[QTY/ CTN],NOTA[[#This Row],[//DB]])))</f>
        <v/>
      </c>
      <c r="AT12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9" s="39" t="str">
        <f ca="1">IF(NOTA[[#This Row],[ID_H]]="","",MATCH(NOTA[[#This Row],[NB NOTA_C_QTY]],[4]!db[NB NOTA_C_QTY+F],0))</f>
        <v/>
      </c>
      <c r="AV1239" s="55" t="str">
        <f ca="1">IF(NOTA[[#This Row],[NB NOTA_C_QTY]]="","",ROW()-2)</f>
        <v/>
      </c>
    </row>
    <row r="1240" spans="1:48" ht="20.100000000000001" customHeight="1" x14ac:dyDescent="0.25">
      <c r="A12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0" s="39" t="str">
        <f>IF(NOTA[[#This Row],[ID_P]]="","",MATCH(NOTA[[#This Row],[ID_P]],[1]!B_MSK[N_ID],0))</f>
        <v/>
      </c>
      <c r="D1240" s="39" t="str">
        <f ca="1">IF(NOTA[[#This Row],[NAMA BARANG]]="","",INDEX(NOTA[ID],MATCH(,INDIRECT(ADDRESS(ROW(NOTA[ID]),COLUMN(NOTA[ID]))&amp;":"&amp;ADDRESS(ROW(),COLUMN(NOTA[ID]))),-1)))</f>
        <v/>
      </c>
      <c r="E1240" s="47"/>
      <c r="H1240" s="48"/>
      <c r="N1240" s="39"/>
      <c r="Q1240" s="43"/>
      <c r="R1240" s="49"/>
      <c r="S1240" s="50"/>
      <c r="U1240" s="51"/>
      <c r="V1240" s="46"/>
      <c r="W1240" s="51" t="str">
        <f>IF(NOTA[[#This Row],[HARGA/ CTN]]="",NOTA[[#This Row],[JUMLAH_H]],NOTA[[#This Row],[HARGA/ CTN]]*IF(NOTA[[#This Row],[C]]="",0,NOTA[[#This Row],[C]]))</f>
        <v/>
      </c>
      <c r="X1240" s="51" t="str">
        <f>IF(NOTA[[#This Row],[JUMLAH]]="","",NOTA[[#This Row],[JUMLAH]]*NOTA[[#This Row],[DISC 1]])</f>
        <v/>
      </c>
      <c r="Y1240" s="51" t="str">
        <f>IF(NOTA[[#This Row],[JUMLAH]]="","",(NOTA[[#This Row],[JUMLAH]]-NOTA[[#This Row],[DISC 1-]])*NOTA[[#This Row],[DISC 2]])</f>
        <v/>
      </c>
      <c r="Z1240" s="51" t="str">
        <f>IF(NOTA[[#This Row],[JUMLAH]]="","",NOTA[[#This Row],[DISC 1-]]+NOTA[[#This Row],[DISC 2-]])</f>
        <v/>
      </c>
      <c r="AA1240" s="51" t="str">
        <f>IF(NOTA[[#This Row],[JUMLAH]]="","",NOTA[[#This Row],[JUMLAH]]-NOTA[[#This Row],[DISC]])</f>
        <v/>
      </c>
      <c r="AB1240" s="51"/>
      <c r="AC1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0" s="51" t="str">
        <f>IF(OR(NOTA[[#This Row],[QTY]]="",NOTA[[#This Row],[HARGA SATUAN]]="",),"",NOTA[[#This Row],[QTY]]*NOTA[[#This Row],[HARGA SATUAN]])</f>
        <v/>
      </c>
      <c r="AG1240" s="40" t="str">
        <f ca="1">IF(NOTA[ID_H]="","",INDEX(NOTA[TANGGAL],MATCH(,INDIRECT(ADDRESS(ROW(NOTA[TANGGAL]),COLUMN(NOTA[TANGGAL]))&amp;":"&amp;ADDRESS(ROW(),COLUMN(NOTA[TANGGAL]))),-1)))</f>
        <v/>
      </c>
      <c r="AH1240" s="42" t="str">
        <f ca="1">IF(NOTA[[#This Row],[NAMA BARANG]]="","",INDEX(NOTA[SUPPLIER],MATCH(,INDIRECT(ADDRESS(ROW(NOTA[ID]),COLUMN(NOTA[ID]))&amp;":"&amp;ADDRESS(ROW(),COLUMN(NOTA[ID]))),-1)))</f>
        <v/>
      </c>
      <c r="AI1240" s="42" t="str">
        <f ca="1">IF(NOTA[[#This Row],[ID_H]]="","",IF(NOTA[[#This Row],[FAKTUR]]="",INDIRECT(ADDRESS(ROW()-1,COLUMN())),NOTA[[#This Row],[FAKTUR]]))</f>
        <v/>
      </c>
      <c r="AJ1240" s="39" t="str">
        <f ca="1">IF(NOTA[[#This Row],[ID]]="","",COUNTIF(NOTA[ID_H],NOTA[[#This Row],[ID_H]]))</f>
        <v/>
      </c>
      <c r="AK1240" s="39" t="str">
        <f ca="1">IF(NOTA[[#This Row],[TGL.NOTA]]="",IF(NOTA[[#This Row],[SUPPLIER_H]]="","",AK1239),MONTH(NOTA[[#This Row],[TGL.NOTA]]))</f>
        <v/>
      </c>
      <c r="AL1240" s="39" t="str">
        <f>LOWER(SUBSTITUTE(SUBSTITUTE(SUBSTITUTE(SUBSTITUTE(SUBSTITUTE(SUBSTITUTE(SUBSTITUTE(SUBSTITUTE(SUBSTITUTE(NOTA[NAMA BARANG]," ",),".",""),"-",""),"(",""),")",""),",",""),"/",""),"""",""),"+",""))</f>
        <v/>
      </c>
      <c r="AM12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0" s="39" t="str">
        <f>IF(NOTA[[#This Row],[CONCAT4]]="","",_xlfn.IFNA(MATCH(NOTA[[#This Row],[CONCAT4]],[2]!RAW[CONCAT_H],0),FALSE))</f>
        <v/>
      </c>
      <c r="AQ1240" s="39" t="str">
        <f>IF(NOTA[[#This Row],[CONCAT1]]="","",MATCH(NOTA[[#This Row],[CONCAT1]],[3]!db[NB NOTA_C],0))</f>
        <v/>
      </c>
      <c r="AR1240" s="39" t="str">
        <f>IF(NOTA[[#This Row],[QTY/ CTN]]="","",TRUE)</f>
        <v/>
      </c>
      <c r="AS1240" s="39" t="str">
        <f ca="1">IF(NOTA[[#This Row],[ID_H]]="","",IF(NOTA[[#This Row],[Column3]]=TRUE,NOTA[[#This Row],[QTY/ CTN]],INDEX([3]!db[QTY/ CTN],NOTA[[#This Row],[//DB]])))</f>
        <v/>
      </c>
      <c r="AT12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0" s="39" t="str">
        <f ca="1">IF(NOTA[[#This Row],[ID_H]]="","",MATCH(NOTA[[#This Row],[NB NOTA_C_QTY]],[4]!db[NB NOTA_C_QTY+F],0))</f>
        <v/>
      </c>
      <c r="AV1240" s="55" t="str">
        <f ca="1">IF(NOTA[[#This Row],[NB NOTA_C_QTY]]="","",ROW()-2)</f>
        <v/>
      </c>
    </row>
    <row r="1241" spans="1:48" ht="20.100000000000001" customHeight="1" x14ac:dyDescent="0.25">
      <c r="A12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1" s="39" t="str">
        <f>IF(NOTA[[#This Row],[ID_P]]="","",MATCH(NOTA[[#This Row],[ID_P]],[1]!B_MSK[N_ID],0))</f>
        <v/>
      </c>
      <c r="D1241" s="39" t="str">
        <f ca="1">IF(NOTA[[#This Row],[NAMA BARANG]]="","",INDEX(NOTA[ID],MATCH(,INDIRECT(ADDRESS(ROW(NOTA[ID]),COLUMN(NOTA[ID]))&amp;":"&amp;ADDRESS(ROW(),COLUMN(NOTA[ID]))),-1)))</f>
        <v/>
      </c>
      <c r="E1241" s="47"/>
      <c r="H1241" s="48"/>
      <c r="N1241" s="39"/>
      <c r="Q1241" s="43"/>
      <c r="R1241" s="49"/>
      <c r="S1241" s="50"/>
      <c r="U1241" s="51"/>
      <c r="V1241" s="46"/>
      <c r="W1241" s="51" t="str">
        <f>IF(NOTA[[#This Row],[HARGA/ CTN]]="",NOTA[[#This Row],[JUMLAH_H]],NOTA[[#This Row],[HARGA/ CTN]]*IF(NOTA[[#This Row],[C]]="",0,NOTA[[#This Row],[C]]))</f>
        <v/>
      </c>
      <c r="X1241" s="51" t="str">
        <f>IF(NOTA[[#This Row],[JUMLAH]]="","",NOTA[[#This Row],[JUMLAH]]*NOTA[[#This Row],[DISC 1]])</f>
        <v/>
      </c>
      <c r="Y1241" s="51" t="str">
        <f>IF(NOTA[[#This Row],[JUMLAH]]="","",(NOTA[[#This Row],[JUMLAH]]-NOTA[[#This Row],[DISC 1-]])*NOTA[[#This Row],[DISC 2]])</f>
        <v/>
      </c>
      <c r="Z1241" s="51" t="str">
        <f>IF(NOTA[[#This Row],[JUMLAH]]="","",NOTA[[#This Row],[DISC 1-]]+NOTA[[#This Row],[DISC 2-]])</f>
        <v/>
      </c>
      <c r="AA1241" s="51" t="str">
        <f>IF(NOTA[[#This Row],[JUMLAH]]="","",NOTA[[#This Row],[JUMLAH]]-NOTA[[#This Row],[DISC]])</f>
        <v/>
      </c>
      <c r="AB1241" s="51"/>
      <c r="AC1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1" s="51" t="str">
        <f>IF(OR(NOTA[[#This Row],[QTY]]="",NOTA[[#This Row],[HARGA SATUAN]]="",),"",NOTA[[#This Row],[QTY]]*NOTA[[#This Row],[HARGA SATUAN]])</f>
        <v/>
      </c>
      <c r="AG1241" s="40" t="str">
        <f ca="1">IF(NOTA[ID_H]="","",INDEX(NOTA[TANGGAL],MATCH(,INDIRECT(ADDRESS(ROW(NOTA[TANGGAL]),COLUMN(NOTA[TANGGAL]))&amp;":"&amp;ADDRESS(ROW(),COLUMN(NOTA[TANGGAL]))),-1)))</f>
        <v/>
      </c>
      <c r="AH1241" s="42" t="str">
        <f ca="1">IF(NOTA[[#This Row],[NAMA BARANG]]="","",INDEX(NOTA[SUPPLIER],MATCH(,INDIRECT(ADDRESS(ROW(NOTA[ID]),COLUMN(NOTA[ID]))&amp;":"&amp;ADDRESS(ROW(),COLUMN(NOTA[ID]))),-1)))</f>
        <v/>
      </c>
      <c r="AI1241" s="42" t="str">
        <f ca="1">IF(NOTA[[#This Row],[ID_H]]="","",IF(NOTA[[#This Row],[FAKTUR]]="",INDIRECT(ADDRESS(ROW()-1,COLUMN())),NOTA[[#This Row],[FAKTUR]]))</f>
        <v/>
      </c>
      <c r="AJ1241" s="39" t="str">
        <f ca="1">IF(NOTA[[#This Row],[ID]]="","",COUNTIF(NOTA[ID_H],NOTA[[#This Row],[ID_H]]))</f>
        <v/>
      </c>
      <c r="AK1241" s="39" t="str">
        <f ca="1">IF(NOTA[[#This Row],[TGL.NOTA]]="",IF(NOTA[[#This Row],[SUPPLIER_H]]="","",AK1240),MONTH(NOTA[[#This Row],[TGL.NOTA]]))</f>
        <v/>
      </c>
      <c r="AL1241" s="39" t="str">
        <f>LOWER(SUBSTITUTE(SUBSTITUTE(SUBSTITUTE(SUBSTITUTE(SUBSTITUTE(SUBSTITUTE(SUBSTITUTE(SUBSTITUTE(SUBSTITUTE(NOTA[NAMA BARANG]," ",),".",""),"-",""),"(",""),")",""),",",""),"/",""),"""",""),"+",""))</f>
        <v/>
      </c>
      <c r="AM12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1" s="39" t="str">
        <f>IF(NOTA[[#This Row],[CONCAT4]]="","",_xlfn.IFNA(MATCH(NOTA[[#This Row],[CONCAT4]],[2]!RAW[CONCAT_H],0),FALSE))</f>
        <v/>
      </c>
      <c r="AQ1241" s="39" t="str">
        <f>IF(NOTA[[#This Row],[CONCAT1]]="","",MATCH(NOTA[[#This Row],[CONCAT1]],[3]!db[NB NOTA_C],0))</f>
        <v/>
      </c>
      <c r="AR1241" s="39" t="str">
        <f>IF(NOTA[[#This Row],[QTY/ CTN]]="","",TRUE)</f>
        <v/>
      </c>
      <c r="AS1241" s="39" t="str">
        <f ca="1">IF(NOTA[[#This Row],[ID_H]]="","",IF(NOTA[[#This Row],[Column3]]=TRUE,NOTA[[#This Row],[QTY/ CTN]],INDEX([3]!db[QTY/ CTN],NOTA[[#This Row],[//DB]])))</f>
        <v/>
      </c>
      <c r="AT12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1" s="39" t="str">
        <f ca="1">IF(NOTA[[#This Row],[ID_H]]="","",MATCH(NOTA[[#This Row],[NB NOTA_C_QTY]],[4]!db[NB NOTA_C_QTY+F],0))</f>
        <v/>
      </c>
      <c r="AV1241" s="55" t="str">
        <f ca="1">IF(NOTA[[#This Row],[NB NOTA_C_QTY]]="","",ROW()-2)</f>
        <v/>
      </c>
    </row>
    <row r="1242" spans="1:48" ht="20.100000000000001" customHeight="1" x14ac:dyDescent="0.25">
      <c r="A12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2" s="39" t="str">
        <f>IF(NOTA[[#This Row],[ID_P]]="","",MATCH(NOTA[[#This Row],[ID_P]],[1]!B_MSK[N_ID],0))</f>
        <v/>
      </c>
      <c r="D1242" s="39" t="str">
        <f ca="1">IF(NOTA[[#This Row],[NAMA BARANG]]="","",INDEX(NOTA[ID],MATCH(,INDIRECT(ADDRESS(ROW(NOTA[ID]),COLUMN(NOTA[ID]))&amp;":"&amp;ADDRESS(ROW(),COLUMN(NOTA[ID]))),-1)))</f>
        <v/>
      </c>
      <c r="E1242" s="47"/>
      <c r="H1242" s="48"/>
      <c r="N1242" s="39"/>
      <c r="Q1242" s="43"/>
      <c r="R1242" s="49"/>
      <c r="S1242" s="50"/>
      <c r="U1242" s="51"/>
      <c r="V1242" s="46"/>
      <c r="W1242" s="51" t="str">
        <f>IF(NOTA[[#This Row],[HARGA/ CTN]]="",NOTA[[#This Row],[JUMLAH_H]],NOTA[[#This Row],[HARGA/ CTN]]*IF(NOTA[[#This Row],[C]]="",0,NOTA[[#This Row],[C]]))</f>
        <v/>
      </c>
      <c r="X1242" s="51" t="str">
        <f>IF(NOTA[[#This Row],[JUMLAH]]="","",NOTA[[#This Row],[JUMLAH]]*NOTA[[#This Row],[DISC 1]])</f>
        <v/>
      </c>
      <c r="Y1242" s="51" t="str">
        <f>IF(NOTA[[#This Row],[JUMLAH]]="","",(NOTA[[#This Row],[JUMLAH]]-NOTA[[#This Row],[DISC 1-]])*NOTA[[#This Row],[DISC 2]])</f>
        <v/>
      </c>
      <c r="Z1242" s="51" t="str">
        <f>IF(NOTA[[#This Row],[JUMLAH]]="","",NOTA[[#This Row],[DISC 1-]]+NOTA[[#This Row],[DISC 2-]])</f>
        <v/>
      </c>
      <c r="AA1242" s="51" t="str">
        <f>IF(NOTA[[#This Row],[JUMLAH]]="","",NOTA[[#This Row],[JUMLAH]]-NOTA[[#This Row],[DISC]])</f>
        <v/>
      </c>
      <c r="AB1242" s="51"/>
      <c r="AC12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2" s="51" t="str">
        <f>IF(OR(NOTA[[#This Row],[QTY]]="",NOTA[[#This Row],[HARGA SATUAN]]="",),"",NOTA[[#This Row],[QTY]]*NOTA[[#This Row],[HARGA SATUAN]])</f>
        <v/>
      </c>
      <c r="AG1242" s="40" t="str">
        <f ca="1">IF(NOTA[ID_H]="","",INDEX(NOTA[TANGGAL],MATCH(,INDIRECT(ADDRESS(ROW(NOTA[TANGGAL]),COLUMN(NOTA[TANGGAL]))&amp;":"&amp;ADDRESS(ROW(),COLUMN(NOTA[TANGGAL]))),-1)))</f>
        <v/>
      </c>
      <c r="AH1242" s="42" t="str">
        <f ca="1">IF(NOTA[[#This Row],[NAMA BARANG]]="","",INDEX(NOTA[SUPPLIER],MATCH(,INDIRECT(ADDRESS(ROW(NOTA[ID]),COLUMN(NOTA[ID]))&amp;":"&amp;ADDRESS(ROW(),COLUMN(NOTA[ID]))),-1)))</f>
        <v/>
      </c>
      <c r="AI1242" s="42" t="str">
        <f ca="1">IF(NOTA[[#This Row],[ID_H]]="","",IF(NOTA[[#This Row],[FAKTUR]]="",INDIRECT(ADDRESS(ROW()-1,COLUMN())),NOTA[[#This Row],[FAKTUR]]))</f>
        <v/>
      </c>
      <c r="AJ1242" s="39" t="str">
        <f ca="1">IF(NOTA[[#This Row],[ID]]="","",COUNTIF(NOTA[ID_H],NOTA[[#This Row],[ID_H]]))</f>
        <v/>
      </c>
      <c r="AK1242" s="39" t="str">
        <f ca="1">IF(NOTA[[#This Row],[TGL.NOTA]]="",IF(NOTA[[#This Row],[SUPPLIER_H]]="","",AK1241),MONTH(NOTA[[#This Row],[TGL.NOTA]]))</f>
        <v/>
      </c>
      <c r="AL1242" s="39" t="str">
        <f>LOWER(SUBSTITUTE(SUBSTITUTE(SUBSTITUTE(SUBSTITUTE(SUBSTITUTE(SUBSTITUTE(SUBSTITUTE(SUBSTITUTE(SUBSTITUTE(NOTA[NAMA BARANG]," ",),".",""),"-",""),"(",""),")",""),",",""),"/",""),"""",""),"+",""))</f>
        <v/>
      </c>
      <c r="AM12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2" s="39" t="str">
        <f>IF(NOTA[[#This Row],[CONCAT4]]="","",_xlfn.IFNA(MATCH(NOTA[[#This Row],[CONCAT4]],[2]!RAW[CONCAT_H],0),FALSE))</f>
        <v/>
      </c>
      <c r="AQ1242" s="39" t="str">
        <f>IF(NOTA[[#This Row],[CONCAT1]]="","",MATCH(NOTA[[#This Row],[CONCAT1]],[3]!db[NB NOTA_C],0))</f>
        <v/>
      </c>
      <c r="AR1242" s="39" t="str">
        <f>IF(NOTA[[#This Row],[QTY/ CTN]]="","",TRUE)</f>
        <v/>
      </c>
      <c r="AS1242" s="39" t="str">
        <f ca="1">IF(NOTA[[#This Row],[ID_H]]="","",IF(NOTA[[#This Row],[Column3]]=TRUE,NOTA[[#This Row],[QTY/ CTN]],INDEX([3]!db[QTY/ CTN],NOTA[[#This Row],[//DB]])))</f>
        <v/>
      </c>
      <c r="AT12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2" s="39" t="str">
        <f ca="1">IF(NOTA[[#This Row],[ID_H]]="","",MATCH(NOTA[[#This Row],[NB NOTA_C_QTY]],[4]!db[NB NOTA_C_QTY+F],0))</f>
        <v/>
      </c>
      <c r="AV1242" s="55" t="str">
        <f ca="1">IF(NOTA[[#This Row],[NB NOTA_C_QTY]]="","",ROW()-2)</f>
        <v/>
      </c>
    </row>
    <row r="1243" spans="1:48" ht="20.100000000000001" customHeight="1" x14ac:dyDescent="0.25">
      <c r="A12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3" s="39" t="str">
        <f>IF(NOTA[[#This Row],[ID_P]]="","",MATCH(NOTA[[#This Row],[ID_P]],[1]!B_MSK[N_ID],0))</f>
        <v/>
      </c>
      <c r="D1243" s="39" t="str">
        <f ca="1">IF(NOTA[[#This Row],[NAMA BARANG]]="","",INDEX(NOTA[ID],MATCH(,INDIRECT(ADDRESS(ROW(NOTA[ID]),COLUMN(NOTA[ID]))&amp;":"&amp;ADDRESS(ROW(),COLUMN(NOTA[ID]))),-1)))</f>
        <v/>
      </c>
      <c r="E1243" s="47"/>
      <c r="H1243" s="48"/>
      <c r="N1243" s="39"/>
      <c r="Q1243" s="43"/>
      <c r="R1243" s="49"/>
      <c r="S1243" s="50"/>
      <c r="U1243" s="51"/>
      <c r="V1243" s="46"/>
      <c r="W1243" s="51" t="str">
        <f>IF(NOTA[[#This Row],[HARGA/ CTN]]="",NOTA[[#This Row],[JUMLAH_H]],NOTA[[#This Row],[HARGA/ CTN]]*IF(NOTA[[#This Row],[C]]="",0,NOTA[[#This Row],[C]]))</f>
        <v/>
      </c>
      <c r="X1243" s="51" t="str">
        <f>IF(NOTA[[#This Row],[JUMLAH]]="","",NOTA[[#This Row],[JUMLAH]]*NOTA[[#This Row],[DISC 1]])</f>
        <v/>
      </c>
      <c r="Y1243" s="51" t="str">
        <f>IF(NOTA[[#This Row],[JUMLAH]]="","",(NOTA[[#This Row],[JUMLAH]]-NOTA[[#This Row],[DISC 1-]])*NOTA[[#This Row],[DISC 2]])</f>
        <v/>
      </c>
      <c r="Z1243" s="51" t="str">
        <f>IF(NOTA[[#This Row],[JUMLAH]]="","",NOTA[[#This Row],[DISC 1-]]+NOTA[[#This Row],[DISC 2-]])</f>
        <v/>
      </c>
      <c r="AA1243" s="51" t="str">
        <f>IF(NOTA[[#This Row],[JUMLAH]]="","",NOTA[[#This Row],[JUMLAH]]-NOTA[[#This Row],[DISC]])</f>
        <v/>
      </c>
      <c r="AB1243" s="51"/>
      <c r="AC1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3" s="51" t="str">
        <f>IF(OR(NOTA[[#This Row],[QTY]]="",NOTA[[#This Row],[HARGA SATUAN]]="",),"",NOTA[[#This Row],[QTY]]*NOTA[[#This Row],[HARGA SATUAN]])</f>
        <v/>
      </c>
      <c r="AG1243" s="40" t="str">
        <f ca="1">IF(NOTA[ID_H]="","",INDEX(NOTA[TANGGAL],MATCH(,INDIRECT(ADDRESS(ROW(NOTA[TANGGAL]),COLUMN(NOTA[TANGGAL]))&amp;":"&amp;ADDRESS(ROW(),COLUMN(NOTA[TANGGAL]))),-1)))</f>
        <v/>
      </c>
      <c r="AH1243" s="42" t="str">
        <f ca="1">IF(NOTA[[#This Row],[NAMA BARANG]]="","",INDEX(NOTA[SUPPLIER],MATCH(,INDIRECT(ADDRESS(ROW(NOTA[ID]),COLUMN(NOTA[ID]))&amp;":"&amp;ADDRESS(ROW(),COLUMN(NOTA[ID]))),-1)))</f>
        <v/>
      </c>
      <c r="AI1243" s="42" t="str">
        <f ca="1">IF(NOTA[[#This Row],[ID_H]]="","",IF(NOTA[[#This Row],[FAKTUR]]="",INDIRECT(ADDRESS(ROW()-1,COLUMN())),NOTA[[#This Row],[FAKTUR]]))</f>
        <v/>
      </c>
      <c r="AJ1243" s="39" t="str">
        <f ca="1">IF(NOTA[[#This Row],[ID]]="","",COUNTIF(NOTA[ID_H],NOTA[[#This Row],[ID_H]]))</f>
        <v/>
      </c>
      <c r="AK1243" s="39" t="str">
        <f ca="1">IF(NOTA[[#This Row],[TGL.NOTA]]="",IF(NOTA[[#This Row],[SUPPLIER_H]]="","",AK1242),MONTH(NOTA[[#This Row],[TGL.NOTA]]))</f>
        <v/>
      </c>
      <c r="AL1243" s="39" t="str">
        <f>LOWER(SUBSTITUTE(SUBSTITUTE(SUBSTITUTE(SUBSTITUTE(SUBSTITUTE(SUBSTITUTE(SUBSTITUTE(SUBSTITUTE(SUBSTITUTE(NOTA[NAMA BARANG]," ",),".",""),"-",""),"(",""),")",""),",",""),"/",""),"""",""),"+",""))</f>
        <v/>
      </c>
      <c r="AM12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3" s="39" t="str">
        <f>IF(NOTA[[#This Row],[CONCAT4]]="","",_xlfn.IFNA(MATCH(NOTA[[#This Row],[CONCAT4]],[2]!RAW[CONCAT_H],0),FALSE))</f>
        <v/>
      </c>
      <c r="AQ1243" s="39" t="str">
        <f>IF(NOTA[[#This Row],[CONCAT1]]="","",MATCH(NOTA[[#This Row],[CONCAT1]],[3]!db[NB NOTA_C],0))</f>
        <v/>
      </c>
      <c r="AR1243" s="39" t="str">
        <f>IF(NOTA[[#This Row],[QTY/ CTN]]="","",TRUE)</f>
        <v/>
      </c>
      <c r="AS1243" s="39" t="str">
        <f ca="1">IF(NOTA[[#This Row],[ID_H]]="","",IF(NOTA[[#This Row],[Column3]]=TRUE,NOTA[[#This Row],[QTY/ CTN]],INDEX([3]!db[QTY/ CTN],NOTA[[#This Row],[//DB]])))</f>
        <v/>
      </c>
      <c r="AT12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3" s="39" t="str">
        <f ca="1">IF(NOTA[[#This Row],[ID_H]]="","",MATCH(NOTA[[#This Row],[NB NOTA_C_QTY]],[4]!db[NB NOTA_C_QTY+F],0))</f>
        <v/>
      </c>
      <c r="AV1243" s="55" t="str">
        <f ca="1">IF(NOTA[[#This Row],[NB NOTA_C_QTY]]="","",ROW()-2)</f>
        <v/>
      </c>
    </row>
    <row r="1244" spans="1:48" ht="20.100000000000001" customHeight="1" x14ac:dyDescent="0.25">
      <c r="A12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4" s="39" t="str">
        <f>IF(NOTA[[#This Row],[ID_P]]="","",MATCH(NOTA[[#This Row],[ID_P]],[1]!B_MSK[N_ID],0))</f>
        <v/>
      </c>
      <c r="D1244" s="39" t="str">
        <f ca="1">IF(NOTA[[#This Row],[NAMA BARANG]]="","",INDEX(NOTA[ID],MATCH(,INDIRECT(ADDRESS(ROW(NOTA[ID]),COLUMN(NOTA[ID]))&amp;":"&amp;ADDRESS(ROW(),COLUMN(NOTA[ID]))),-1)))</f>
        <v/>
      </c>
      <c r="E1244" s="47"/>
      <c r="H1244" s="48"/>
      <c r="N1244" s="39"/>
      <c r="Q1244" s="43"/>
      <c r="R1244" s="49"/>
      <c r="S1244" s="50"/>
      <c r="U1244" s="51"/>
      <c r="V1244" s="46"/>
      <c r="W1244" s="51" t="str">
        <f>IF(NOTA[[#This Row],[HARGA/ CTN]]="",NOTA[[#This Row],[JUMLAH_H]],NOTA[[#This Row],[HARGA/ CTN]]*IF(NOTA[[#This Row],[C]]="",0,NOTA[[#This Row],[C]]))</f>
        <v/>
      </c>
      <c r="X1244" s="51" t="str">
        <f>IF(NOTA[[#This Row],[JUMLAH]]="","",NOTA[[#This Row],[JUMLAH]]*NOTA[[#This Row],[DISC 1]])</f>
        <v/>
      </c>
      <c r="Y1244" s="51" t="str">
        <f>IF(NOTA[[#This Row],[JUMLAH]]="","",(NOTA[[#This Row],[JUMLAH]]-NOTA[[#This Row],[DISC 1-]])*NOTA[[#This Row],[DISC 2]])</f>
        <v/>
      </c>
      <c r="Z1244" s="51" t="str">
        <f>IF(NOTA[[#This Row],[JUMLAH]]="","",NOTA[[#This Row],[DISC 1-]]+NOTA[[#This Row],[DISC 2-]])</f>
        <v/>
      </c>
      <c r="AA1244" s="51" t="str">
        <f>IF(NOTA[[#This Row],[JUMLAH]]="","",NOTA[[#This Row],[JUMLAH]]-NOTA[[#This Row],[DISC]])</f>
        <v/>
      </c>
      <c r="AB1244" s="51"/>
      <c r="AC1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4" s="51" t="str">
        <f>IF(OR(NOTA[[#This Row],[QTY]]="",NOTA[[#This Row],[HARGA SATUAN]]="",),"",NOTA[[#This Row],[QTY]]*NOTA[[#This Row],[HARGA SATUAN]])</f>
        <v/>
      </c>
      <c r="AG1244" s="40" t="str">
        <f ca="1">IF(NOTA[ID_H]="","",INDEX(NOTA[TANGGAL],MATCH(,INDIRECT(ADDRESS(ROW(NOTA[TANGGAL]),COLUMN(NOTA[TANGGAL]))&amp;":"&amp;ADDRESS(ROW(),COLUMN(NOTA[TANGGAL]))),-1)))</f>
        <v/>
      </c>
      <c r="AH1244" s="42" t="str">
        <f ca="1">IF(NOTA[[#This Row],[NAMA BARANG]]="","",INDEX(NOTA[SUPPLIER],MATCH(,INDIRECT(ADDRESS(ROW(NOTA[ID]),COLUMN(NOTA[ID]))&amp;":"&amp;ADDRESS(ROW(),COLUMN(NOTA[ID]))),-1)))</f>
        <v/>
      </c>
      <c r="AI1244" s="42" t="str">
        <f ca="1">IF(NOTA[[#This Row],[ID_H]]="","",IF(NOTA[[#This Row],[FAKTUR]]="",INDIRECT(ADDRESS(ROW()-1,COLUMN())),NOTA[[#This Row],[FAKTUR]]))</f>
        <v/>
      </c>
      <c r="AJ1244" s="39" t="str">
        <f ca="1">IF(NOTA[[#This Row],[ID]]="","",COUNTIF(NOTA[ID_H],NOTA[[#This Row],[ID_H]]))</f>
        <v/>
      </c>
      <c r="AK1244" s="39" t="str">
        <f ca="1">IF(NOTA[[#This Row],[TGL.NOTA]]="",IF(NOTA[[#This Row],[SUPPLIER_H]]="","",AK1243),MONTH(NOTA[[#This Row],[TGL.NOTA]]))</f>
        <v/>
      </c>
      <c r="AL1244" s="39" t="str">
        <f>LOWER(SUBSTITUTE(SUBSTITUTE(SUBSTITUTE(SUBSTITUTE(SUBSTITUTE(SUBSTITUTE(SUBSTITUTE(SUBSTITUTE(SUBSTITUTE(NOTA[NAMA BARANG]," ",),".",""),"-",""),"(",""),")",""),",",""),"/",""),"""",""),"+",""))</f>
        <v/>
      </c>
      <c r="AM12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4" s="39" t="str">
        <f>IF(NOTA[[#This Row],[CONCAT4]]="","",_xlfn.IFNA(MATCH(NOTA[[#This Row],[CONCAT4]],[2]!RAW[CONCAT_H],0),FALSE))</f>
        <v/>
      </c>
      <c r="AQ1244" s="39" t="str">
        <f>IF(NOTA[[#This Row],[CONCAT1]]="","",MATCH(NOTA[[#This Row],[CONCAT1]],[3]!db[NB NOTA_C],0))</f>
        <v/>
      </c>
      <c r="AR1244" s="39" t="str">
        <f>IF(NOTA[[#This Row],[QTY/ CTN]]="","",TRUE)</f>
        <v/>
      </c>
      <c r="AS1244" s="39" t="str">
        <f ca="1">IF(NOTA[[#This Row],[ID_H]]="","",IF(NOTA[[#This Row],[Column3]]=TRUE,NOTA[[#This Row],[QTY/ CTN]],INDEX([3]!db[QTY/ CTN],NOTA[[#This Row],[//DB]])))</f>
        <v/>
      </c>
      <c r="AT12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4" s="39" t="str">
        <f ca="1">IF(NOTA[[#This Row],[ID_H]]="","",MATCH(NOTA[[#This Row],[NB NOTA_C_QTY]],[4]!db[NB NOTA_C_QTY+F],0))</f>
        <v/>
      </c>
      <c r="AV1244" s="55" t="str">
        <f ca="1">IF(NOTA[[#This Row],[NB NOTA_C_QTY]]="","",ROW()-2)</f>
        <v/>
      </c>
    </row>
    <row r="1245" spans="1:48" ht="20.100000000000001" customHeight="1" x14ac:dyDescent="0.25">
      <c r="A12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5" s="39" t="str">
        <f>IF(NOTA[[#This Row],[ID_P]]="","",MATCH(NOTA[[#This Row],[ID_P]],[1]!B_MSK[N_ID],0))</f>
        <v/>
      </c>
      <c r="D1245" s="39" t="str">
        <f ca="1">IF(NOTA[[#This Row],[NAMA BARANG]]="","",INDEX(NOTA[ID],MATCH(,INDIRECT(ADDRESS(ROW(NOTA[ID]),COLUMN(NOTA[ID]))&amp;":"&amp;ADDRESS(ROW(),COLUMN(NOTA[ID]))),-1)))</f>
        <v/>
      </c>
      <c r="E1245" s="47"/>
      <c r="H1245" s="48"/>
      <c r="N1245" s="39"/>
      <c r="Q1245" s="43"/>
      <c r="R1245" s="49"/>
      <c r="S1245" s="50"/>
      <c r="U1245" s="51"/>
      <c r="V1245" s="46"/>
      <c r="W1245" s="51" t="str">
        <f>IF(NOTA[[#This Row],[HARGA/ CTN]]="",NOTA[[#This Row],[JUMLAH_H]],NOTA[[#This Row],[HARGA/ CTN]]*IF(NOTA[[#This Row],[C]]="",0,NOTA[[#This Row],[C]]))</f>
        <v/>
      </c>
      <c r="X1245" s="51" t="str">
        <f>IF(NOTA[[#This Row],[JUMLAH]]="","",NOTA[[#This Row],[JUMLAH]]*NOTA[[#This Row],[DISC 1]])</f>
        <v/>
      </c>
      <c r="Y1245" s="51" t="str">
        <f>IF(NOTA[[#This Row],[JUMLAH]]="","",(NOTA[[#This Row],[JUMLAH]]-NOTA[[#This Row],[DISC 1-]])*NOTA[[#This Row],[DISC 2]])</f>
        <v/>
      </c>
      <c r="Z1245" s="51" t="str">
        <f>IF(NOTA[[#This Row],[JUMLAH]]="","",NOTA[[#This Row],[DISC 1-]]+NOTA[[#This Row],[DISC 2-]])</f>
        <v/>
      </c>
      <c r="AA1245" s="51" t="str">
        <f>IF(NOTA[[#This Row],[JUMLAH]]="","",NOTA[[#This Row],[JUMLAH]]-NOTA[[#This Row],[DISC]])</f>
        <v/>
      </c>
      <c r="AB1245" s="51"/>
      <c r="AC12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5" s="51" t="str">
        <f>IF(OR(NOTA[[#This Row],[QTY]]="",NOTA[[#This Row],[HARGA SATUAN]]="",),"",NOTA[[#This Row],[QTY]]*NOTA[[#This Row],[HARGA SATUAN]])</f>
        <v/>
      </c>
      <c r="AG1245" s="40" t="str">
        <f ca="1">IF(NOTA[ID_H]="","",INDEX(NOTA[TANGGAL],MATCH(,INDIRECT(ADDRESS(ROW(NOTA[TANGGAL]),COLUMN(NOTA[TANGGAL]))&amp;":"&amp;ADDRESS(ROW(),COLUMN(NOTA[TANGGAL]))),-1)))</f>
        <v/>
      </c>
      <c r="AH1245" s="42" t="str">
        <f ca="1">IF(NOTA[[#This Row],[NAMA BARANG]]="","",INDEX(NOTA[SUPPLIER],MATCH(,INDIRECT(ADDRESS(ROW(NOTA[ID]),COLUMN(NOTA[ID]))&amp;":"&amp;ADDRESS(ROW(),COLUMN(NOTA[ID]))),-1)))</f>
        <v/>
      </c>
      <c r="AI1245" s="42" t="str">
        <f ca="1">IF(NOTA[[#This Row],[ID_H]]="","",IF(NOTA[[#This Row],[FAKTUR]]="",INDIRECT(ADDRESS(ROW()-1,COLUMN())),NOTA[[#This Row],[FAKTUR]]))</f>
        <v/>
      </c>
      <c r="AJ1245" s="39" t="str">
        <f ca="1">IF(NOTA[[#This Row],[ID]]="","",COUNTIF(NOTA[ID_H],NOTA[[#This Row],[ID_H]]))</f>
        <v/>
      </c>
      <c r="AK1245" s="39" t="str">
        <f ca="1">IF(NOTA[[#This Row],[TGL.NOTA]]="",IF(NOTA[[#This Row],[SUPPLIER_H]]="","",AK1244),MONTH(NOTA[[#This Row],[TGL.NOTA]]))</f>
        <v/>
      </c>
      <c r="AL1245" s="39" t="str">
        <f>LOWER(SUBSTITUTE(SUBSTITUTE(SUBSTITUTE(SUBSTITUTE(SUBSTITUTE(SUBSTITUTE(SUBSTITUTE(SUBSTITUTE(SUBSTITUTE(NOTA[NAMA BARANG]," ",),".",""),"-",""),"(",""),")",""),",",""),"/",""),"""",""),"+",""))</f>
        <v/>
      </c>
      <c r="AM12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5" s="39" t="str">
        <f>IF(NOTA[[#This Row],[CONCAT4]]="","",_xlfn.IFNA(MATCH(NOTA[[#This Row],[CONCAT4]],[2]!RAW[CONCAT_H],0),FALSE))</f>
        <v/>
      </c>
      <c r="AQ1245" s="39" t="str">
        <f>IF(NOTA[[#This Row],[CONCAT1]]="","",MATCH(NOTA[[#This Row],[CONCAT1]],[3]!db[NB NOTA_C],0))</f>
        <v/>
      </c>
      <c r="AR1245" s="39" t="str">
        <f>IF(NOTA[[#This Row],[QTY/ CTN]]="","",TRUE)</f>
        <v/>
      </c>
      <c r="AS1245" s="39" t="str">
        <f ca="1">IF(NOTA[[#This Row],[ID_H]]="","",IF(NOTA[[#This Row],[Column3]]=TRUE,NOTA[[#This Row],[QTY/ CTN]],INDEX([3]!db[QTY/ CTN],NOTA[[#This Row],[//DB]])))</f>
        <v/>
      </c>
      <c r="AT12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5" s="39" t="str">
        <f ca="1">IF(NOTA[[#This Row],[ID_H]]="","",MATCH(NOTA[[#This Row],[NB NOTA_C_QTY]],[4]!db[NB NOTA_C_QTY+F],0))</f>
        <v/>
      </c>
      <c r="AV1245" s="55" t="str">
        <f ca="1">IF(NOTA[[#This Row],[NB NOTA_C_QTY]]="","",ROW()-2)</f>
        <v/>
      </c>
    </row>
    <row r="1246" spans="1:48" ht="20.100000000000001" customHeight="1" x14ac:dyDescent="0.25">
      <c r="A12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6" s="39" t="str">
        <f>IF(NOTA[[#This Row],[ID_P]]="","",MATCH(NOTA[[#This Row],[ID_P]],[1]!B_MSK[N_ID],0))</f>
        <v/>
      </c>
      <c r="D1246" s="39" t="str">
        <f ca="1">IF(NOTA[[#This Row],[NAMA BARANG]]="","",INDEX(NOTA[ID],MATCH(,INDIRECT(ADDRESS(ROW(NOTA[ID]),COLUMN(NOTA[ID]))&amp;":"&amp;ADDRESS(ROW(),COLUMN(NOTA[ID]))),-1)))</f>
        <v/>
      </c>
      <c r="E1246" s="47"/>
      <c r="H1246" s="48"/>
      <c r="N1246" s="39"/>
      <c r="Q1246" s="43"/>
      <c r="R1246" s="49"/>
      <c r="S1246" s="50"/>
      <c r="U1246" s="51"/>
      <c r="V1246" s="46"/>
      <c r="W1246" s="51" t="str">
        <f>IF(NOTA[[#This Row],[HARGA/ CTN]]="",NOTA[[#This Row],[JUMLAH_H]],NOTA[[#This Row],[HARGA/ CTN]]*IF(NOTA[[#This Row],[C]]="",0,NOTA[[#This Row],[C]]))</f>
        <v/>
      </c>
      <c r="X1246" s="51" t="str">
        <f>IF(NOTA[[#This Row],[JUMLAH]]="","",NOTA[[#This Row],[JUMLAH]]*NOTA[[#This Row],[DISC 1]])</f>
        <v/>
      </c>
      <c r="Y1246" s="51" t="str">
        <f>IF(NOTA[[#This Row],[JUMLAH]]="","",(NOTA[[#This Row],[JUMLAH]]-NOTA[[#This Row],[DISC 1-]])*NOTA[[#This Row],[DISC 2]])</f>
        <v/>
      </c>
      <c r="Z1246" s="51" t="str">
        <f>IF(NOTA[[#This Row],[JUMLAH]]="","",NOTA[[#This Row],[DISC 1-]]+NOTA[[#This Row],[DISC 2-]])</f>
        <v/>
      </c>
      <c r="AA1246" s="51" t="str">
        <f>IF(NOTA[[#This Row],[JUMLAH]]="","",NOTA[[#This Row],[JUMLAH]]-NOTA[[#This Row],[DISC]])</f>
        <v/>
      </c>
      <c r="AB1246" s="51"/>
      <c r="AC1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6" s="51" t="str">
        <f>IF(OR(NOTA[[#This Row],[QTY]]="",NOTA[[#This Row],[HARGA SATUAN]]="",),"",NOTA[[#This Row],[QTY]]*NOTA[[#This Row],[HARGA SATUAN]])</f>
        <v/>
      </c>
      <c r="AG1246" s="40" t="str">
        <f ca="1">IF(NOTA[ID_H]="","",INDEX(NOTA[TANGGAL],MATCH(,INDIRECT(ADDRESS(ROW(NOTA[TANGGAL]),COLUMN(NOTA[TANGGAL]))&amp;":"&amp;ADDRESS(ROW(),COLUMN(NOTA[TANGGAL]))),-1)))</f>
        <v/>
      </c>
      <c r="AH1246" s="42" t="str">
        <f ca="1">IF(NOTA[[#This Row],[NAMA BARANG]]="","",INDEX(NOTA[SUPPLIER],MATCH(,INDIRECT(ADDRESS(ROW(NOTA[ID]),COLUMN(NOTA[ID]))&amp;":"&amp;ADDRESS(ROW(),COLUMN(NOTA[ID]))),-1)))</f>
        <v/>
      </c>
      <c r="AI1246" s="42" t="str">
        <f ca="1">IF(NOTA[[#This Row],[ID_H]]="","",IF(NOTA[[#This Row],[FAKTUR]]="",INDIRECT(ADDRESS(ROW()-1,COLUMN())),NOTA[[#This Row],[FAKTUR]]))</f>
        <v/>
      </c>
      <c r="AJ1246" s="39" t="str">
        <f ca="1">IF(NOTA[[#This Row],[ID]]="","",COUNTIF(NOTA[ID_H],NOTA[[#This Row],[ID_H]]))</f>
        <v/>
      </c>
      <c r="AK1246" s="39" t="str">
        <f ca="1">IF(NOTA[[#This Row],[TGL.NOTA]]="",IF(NOTA[[#This Row],[SUPPLIER_H]]="","",AK1245),MONTH(NOTA[[#This Row],[TGL.NOTA]]))</f>
        <v/>
      </c>
      <c r="AL1246" s="39" t="str">
        <f>LOWER(SUBSTITUTE(SUBSTITUTE(SUBSTITUTE(SUBSTITUTE(SUBSTITUTE(SUBSTITUTE(SUBSTITUTE(SUBSTITUTE(SUBSTITUTE(NOTA[NAMA BARANG]," ",),".",""),"-",""),"(",""),")",""),",",""),"/",""),"""",""),"+",""))</f>
        <v/>
      </c>
      <c r="AM12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6" s="39" t="str">
        <f>IF(NOTA[[#This Row],[CONCAT4]]="","",_xlfn.IFNA(MATCH(NOTA[[#This Row],[CONCAT4]],[2]!RAW[CONCAT_H],0),FALSE))</f>
        <v/>
      </c>
      <c r="AQ1246" s="39" t="str">
        <f>IF(NOTA[[#This Row],[CONCAT1]]="","",MATCH(NOTA[[#This Row],[CONCAT1]],[3]!db[NB NOTA_C],0))</f>
        <v/>
      </c>
      <c r="AR1246" s="39" t="str">
        <f>IF(NOTA[[#This Row],[QTY/ CTN]]="","",TRUE)</f>
        <v/>
      </c>
      <c r="AS1246" s="39" t="str">
        <f ca="1">IF(NOTA[[#This Row],[ID_H]]="","",IF(NOTA[[#This Row],[Column3]]=TRUE,NOTA[[#This Row],[QTY/ CTN]],INDEX([3]!db[QTY/ CTN],NOTA[[#This Row],[//DB]])))</f>
        <v/>
      </c>
      <c r="AT12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6" s="39" t="str">
        <f ca="1">IF(NOTA[[#This Row],[ID_H]]="","",MATCH(NOTA[[#This Row],[NB NOTA_C_QTY]],[4]!db[NB NOTA_C_QTY+F],0))</f>
        <v/>
      </c>
      <c r="AV1246" s="55" t="str">
        <f ca="1">IF(NOTA[[#This Row],[NB NOTA_C_QTY]]="","",ROW()-2)</f>
        <v/>
      </c>
    </row>
    <row r="1247" spans="1:48" ht="20.100000000000001" customHeight="1" x14ac:dyDescent="0.25">
      <c r="A12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7" s="39" t="str">
        <f>IF(NOTA[[#This Row],[ID_P]]="","",MATCH(NOTA[[#This Row],[ID_P]],[1]!B_MSK[N_ID],0))</f>
        <v/>
      </c>
      <c r="D1247" s="39" t="str">
        <f ca="1">IF(NOTA[[#This Row],[NAMA BARANG]]="","",INDEX(NOTA[ID],MATCH(,INDIRECT(ADDRESS(ROW(NOTA[ID]),COLUMN(NOTA[ID]))&amp;":"&amp;ADDRESS(ROW(),COLUMN(NOTA[ID]))),-1)))</f>
        <v/>
      </c>
      <c r="E1247" s="47"/>
      <c r="H1247" s="48"/>
      <c r="N1247" s="39"/>
      <c r="Q1247" s="43"/>
      <c r="R1247" s="49"/>
      <c r="S1247" s="50"/>
      <c r="U1247" s="51"/>
      <c r="V1247" s="46"/>
      <c r="W1247" s="51" t="str">
        <f>IF(NOTA[[#This Row],[HARGA/ CTN]]="",NOTA[[#This Row],[JUMLAH_H]],NOTA[[#This Row],[HARGA/ CTN]]*IF(NOTA[[#This Row],[C]]="",0,NOTA[[#This Row],[C]]))</f>
        <v/>
      </c>
      <c r="X1247" s="51" t="str">
        <f>IF(NOTA[[#This Row],[JUMLAH]]="","",NOTA[[#This Row],[JUMLAH]]*NOTA[[#This Row],[DISC 1]])</f>
        <v/>
      </c>
      <c r="Y1247" s="51" t="str">
        <f>IF(NOTA[[#This Row],[JUMLAH]]="","",(NOTA[[#This Row],[JUMLAH]]-NOTA[[#This Row],[DISC 1-]])*NOTA[[#This Row],[DISC 2]])</f>
        <v/>
      </c>
      <c r="Z1247" s="51" t="str">
        <f>IF(NOTA[[#This Row],[JUMLAH]]="","",NOTA[[#This Row],[DISC 1-]]+NOTA[[#This Row],[DISC 2-]])</f>
        <v/>
      </c>
      <c r="AA1247" s="51" t="str">
        <f>IF(NOTA[[#This Row],[JUMLAH]]="","",NOTA[[#This Row],[JUMLAH]]-NOTA[[#This Row],[DISC]])</f>
        <v/>
      </c>
      <c r="AB1247" s="51"/>
      <c r="AC1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7" s="51" t="str">
        <f>IF(OR(NOTA[[#This Row],[QTY]]="",NOTA[[#This Row],[HARGA SATUAN]]="",),"",NOTA[[#This Row],[QTY]]*NOTA[[#This Row],[HARGA SATUAN]])</f>
        <v/>
      </c>
      <c r="AG1247" s="40" t="str">
        <f ca="1">IF(NOTA[ID_H]="","",INDEX(NOTA[TANGGAL],MATCH(,INDIRECT(ADDRESS(ROW(NOTA[TANGGAL]),COLUMN(NOTA[TANGGAL]))&amp;":"&amp;ADDRESS(ROW(),COLUMN(NOTA[TANGGAL]))),-1)))</f>
        <v/>
      </c>
      <c r="AH1247" s="42" t="str">
        <f ca="1">IF(NOTA[[#This Row],[NAMA BARANG]]="","",INDEX(NOTA[SUPPLIER],MATCH(,INDIRECT(ADDRESS(ROW(NOTA[ID]),COLUMN(NOTA[ID]))&amp;":"&amp;ADDRESS(ROW(),COLUMN(NOTA[ID]))),-1)))</f>
        <v/>
      </c>
      <c r="AI1247" s="42" t="str">
        <f ca="1">IF(NOTA[[#This Row],[ID_H]]="","",IF(NOTA[[#This Row],[FAKTUR]]="",INDIRECT(ADDRESS(ROW()-1,COLUMN())),NOTA[[#This Row],[FAKTUR]]))</f>
        <v/>
      </c>
      <c r="AJ1247" s="39" t="str">
        <f ca="1">IF(NOTA[[#This Row],[ID]]="","",COUNTIF(NOTA[ID_H],NOTA[[#This Row],[ID_H]]))</f>
        <v/>
      </c>
      <c r="AK1247" s="39" t="str">
        <f ca="1">IF(NOTA[[#This Row],[TGL.NOTA]]="",IF(NOTA[[#This Row],[SUPPLIER_H]]="","",AK1246),MONTH(NOTA[[#This Row],[TGL.NOTA]]))</f>
        <v/>
      </c>
      <c r="AL1247" s="39" t="str">
        <f>LOWER(SUBSTITUTE(SUBSTITUTE(SUBSTITUTE(SUBSTITUTE(SUBSTITUTE(SUBSTITUTE(SUBSTITUTE(SUBSTITUTE(SUBSTITUTE(NOTA[NAMA BARANG]," ",),".",""),"-",""),"(",""),")",""),",",""),"/",""),"""",""),"+",""))</f>
        <v/>
      </c>
      <c r="AM12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7" s="39" t="str">
        <f>IF(NOTA[[#This Row],[CONCAT4]]="","",_xlfn.IFNA(MATCH(NOTA[[#This Row],[CONCAT4]],[2]!RAW[CONCAT_H],0),FALSE))</f>
        <v/>
      </c>
      <c r="AQ1247" s="39" t="str">
        <f>IF(NOTA[[#This Row],[CONCAT1]]="","",MATCH(NOTA[[#This Row],[CONCAT1]],[3]!db[NB NOTA_C],0))</f>
        <v/>
      </c>
      <c r="AR1247" s="39" t="str">
        <f>IF(NOTA[[#This Row],[QTY/ CTN]]="","",TRUE)</f>
        <v/>
      </c>
      <c r="AS1247" s="39" t="str">
        <f ca="1">IF(NOTA[[#This Row],[ID_H]]="","",IF(NOTA[[#This Row],[Column3]]=TRUE,NOTA[[#This Row],[QTY/ CTN]],INDEX([3]!db[QTY/ CTN],NOTA[[#This Row],[//DB]])))</f>
        <v/>
      </c>
      <c r="AT12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7" s="39" t="str">
        <f ca="1">IF(NOTA[[#This Row],[ID_H]]="","",MATCH(NOTA[[#This Row],[NB NOTA_C_QTY]],[4]!db[NB NOTA_C_QTY+F],0))</f>
        <v/>
      </c>
      <c r="AV1247" s="55" t="str">
        <f ca="1">IF(NOTA[[#This Row],[NB NOTA_C_QTY]]="","",ROW()-2)</f>
        <v/>
      </c>
    </row>
    <row r="1248" spans="1:48" ht="20.100000000000001" customHeight="1" x14ac:dyDescent="0.25">
      <c r="A12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8" s="39" t="str">
        <f>IF(NOTA[[#This Row],[ID_P]]="","",MATCH(NOTA[[#This Row],[ID_P]],[1]!B_MSK[N_ID],0))</f>
        <v/>
      </c>
      <c r="D1248" s="39" t="str">
        <f ca="1">IF(NOTA[[#This Row],[NAMA BARANG]]="","",INDEX(NOTA[ID],MATCH(,INDIRECT(ADDRESS(ROW(NOTA[ID]),COLUMN(NOTA[ID]))&amp;":"&amp;ADDRESS(ROW(),COLUMN(NOTA[ID]))),-1)))</f>
        <v/>
      </c>
      <c r="E1248" s="47"/>
      <c r="H1248" s="48"/>
      <c r="N1248" s="39"/>
      <c r="Q1248" s="43"/>
      <c r="R1248" s="49"/>
      <c r="S1248" s="50"/>
      <c r="U1248" s="51"/>
      <c r="V1248" s="46"/>
      <c r="W1248" s="51" t="str">
        <f>IF(NOTA[[#This Row],[HARGA/ CTN]]="",NOTA[[#This Row],[JUMLAH_H]],NOTA[[#This Row],[HARGA/ CTN]]*IF(NOTA[[#This Row],[C]]="",0,NOTA[[#This Row],[C]]))</f>
        <v/>
      </c>
      <c r="X1248" s="51" t="str">
        <f>IF(NOTA[[#This Row],[JUMLAH]]="","",NOTA[[#This Row],[JUMLAH]]*NOTA[[#This Row],[DISC 1]])</f>
        <v/>
      </c>
      <c r="Y1248" s="51" t="str">
        <f>IF(NOTA[[#This Row],[JUMLAH]]="","",(NOTA[[#This Row],[JUMLAH]]-NOTA[[#This Row],[DISC 1-]])*NOTA[[#This Row],[DISC 2]])</f>
        <v/>
      </c>
      <c r="Z1248" s="51" t="str">
        <f>IF(NOTA[[#This Row],[JUMLAH]]="","",NOTA[[#This Row],[DISC 1-]]+NOTA[[#This Row],[DISC 2-]])</f>
        <v/>
      </c>
      <c r="AA1248" s="51" t="str">
        <f>IF(NOTA[[#This Row],[JUMLAH]]="","",NOTA[[#This Row],[JUMLAH]]-NOTA[[#This Row],[DISC]])</f>
        <v/>
      </c>
      <c r="AB1248" s="51"/>
      <c r="AC1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8" s="51" t="str">
        <f>IF(OR(NOTA[[#This Row],[QTY]]="",NOTA[[#This Row],[HARGA SATUAN]]="",),"",NOTA[[#This Row],[QTY]]*NOTA[[#This Row],[HARGA SATUAN]])</f>
        <v/>
      </c>
      <c r="AG1248" s="40" t="str">
        <f ca="1">IF(NOTA[ID_H]="","",INDEX(NOTA[TANGGAL],MATCH(,INDIRECT(ADDRESS(ROW(NOTA[TANGGAL]),COLUMN(NOTA[TANGGAL]))&amp;":"&amp;ADDRESS(ROW(),COLUMN(NOTA[TANGGAL]))),-1)))</f>
        <v/>
      </c>
      <c r="AH1248" s="42" t="str">
        <f ca="1">IF(NOTA[[#This Row],[NAMA BARANG]]="","",INDEX(NOTA[SUPPLIER],MATCH(,INDIRECT(ADDRESS(ROW(NOTA[ID]),COLUMN(NOTA[ID]))&amp;":"&amp;ADDRESS(ROW(),COLUMN(NOTA[ID]))),-1)))</f>
        <v/>
      </c>
      <c r="AI1248" s="42" t="str">
        <f ca="1">IF(NOTA[[#This Row],[ID_H]]="","",IF(NOTA[[#This Row],[FAKTUR]]="",INDIRECT(ADDRESS(ROW()-1,COLUMN())),NOTA[[#This Row],[FAKTUR]]))</f>
        <v/>
      </c>
      <c r="AJ1248" s="39" t="str">
        <f ca="1">IF(NOTA[[#This Row],[ID]]="","",COUNTIF(NOTA[ID_H],NOTA[[#This Row],[ID_H]]))</f>
        <v/>
      </c>
      <c r="AK1248" s="39" t="str">
        <f ca="1">IF(NOTA[[#This Row],[TGL.NOTA]]="",IF(NOTA[[#This Row],[SUPPLIER_H]]="","",AK1247),MONTH(NOTA[[#This Row],[TGL.NOTA]]))</f>
        <v/>
      </c>
      <c r="AL1248" s="39" t="str">
        <f>LOWER(SUBSTITUTE(SUBSTITUTE(SUBSTITUTE(SUBSTITUTE(SUBSTITUTE(SUBSTITUTE(SUBSTITUTE(SUBSTITUTE(SUBSTITUTE(NOTA[NAMA BARANG]," ",),".",""),"-",""),"(",""),")",""),",",""),"/",""),"""",""),"+",""))</f>
        <v/>
      </c>
      <c r="AM12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8" s="39" t="str">
        <f>IF(NOTA[[#This Row],[CONCAT4]]="","",_xlfn.IFNA(MATCH(NOTA[[#This Row],[CONCAT4]],[2]!RAW[CONCAT_H],0),FALSE))</f>
        <v/>
      </c>
      <c r="AQ1248" s="39" t="str">
        <f>IF(NOTA[[#This Row],[CONCAT1]]="","",MATCH(NOTA[[#This Row],[CONCAT1]],[3]!db[NB NOTA_C],0))</f>
        <v/>
      </c>
      <c r="AR1248" s="39" t="str">
        <f>IF(NOTA[[#This Row],[QTY/ CTN]]="","",TRUE)</f>
        <v/>
      </c>
      <c r="AS1248" s="39" t="str">
        <f ca="1">IF(NOTA[[#This Row],[ID_H]]="","",IF(NOTA[[#This Row],[Column3]]=TRUE,NOTA[[#This Row],[QTY/ CTN]],INDEX([3]!db[QTY/ CTN],NOTA[[#This Row],[//DB]])))</f>
        <v/>
      </c>
      <c r="AT12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8" s="39" t="str">
        <f ca="1">IF(NOTA[[#This Row],[ID_H]]="","",MATCH(NOTA[[#This Row],[NB NOTA_C_QTY]],[4]!db[NB NOTA_C_QTY+F],0))</f>
        <v/>
      </c>
      <c r="AV1248" s="55" t="str">
        <f ca="1">IF(NOTA[[#This Row],[NB NOTA_C_QTY]]="","",ROW()-2)</f>
        <v/>
      </c>
    </row>
    <row r="1249" spans="1:48" ht="20.100000000000001" customHeight="1" x14ac:dyDescent="0.25">
      <c r="A12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9" s="39" t="str">
        <f>IF(NOTA[[#This Row],[ID_P]]="","",MATCH(NOTA[[#This Row],[ID_P]],[1]!B_MSK[N_ID],0))</f>
        <v/>
      </c>
      <c r="D1249" s="39" t="str">
        <f ca="1">IF(NOTA[[#This Row],[NAMA BARANG]]="","",INDEX(NOTA[ID],MATCH(,INDIRECT(ADDRESS(ROW(NOTA[ID]),COLUMN(NOTA[ID]))&amp;":"&amp;ADDRESS(ROW(),COLUMN(NOTA[ID]))),-1)))</f>
        <v/>
      </c>
      <c r="E1249" s="47"/>
      <c r="H1249" s="48"/>
      <c r="N1249" s="39"/>
      <c r="Q1249" s="43"/>
      <c r="R1249" s="49"/>
      <c r="S1249" s="50"/>
      <c r="U1249" s="51"/>
      <c r="V1249" s="46"/>
      <c r="W1249" s="51" t="str">
        <f>IF(NOTA[[#This Row],[HARGA/ CTN]]="",NOTA[[#This Row],[JUMLAH_H]],NOTA[[#This Row],[HARGA/ CTN]]*IF(NOTA[[#This Row],[C]]="",0,NOTA[[#This Row],[C]]))</f>
        <v/>
      </c>
      <c r="X1249" s="51" t="str">
        <f>IF(NOTA[[#This Row],[JUMLAH]]="","",NOTA[[#This Row],[JUMLAH]]*NOTA[[#This Row],[DISC 1]])</f>
        <v/>
      </c>
      <c r="Y1249" s="51" t="str">
        <f>IF(NOTA[[#This Row],[JUMLAH]]="","",(NOTA[[#This Row],[JUMLAH]]-NOTA[[#This Row],[DISC 1-]])*NOTA[[#This Row],[DISC 2]])</f>
        <v/>
      </c>
      <c r="Z1249" s="51" t="str">
        <f>IF(NOTA[[#This Row],[JUMLAH]]="","",NOTA[[#This Row],[DISC 1-]]+NOTA[[#This Row],[DISC 2-]])</f>
        <v/>
      </c>
      <c r="AA1249" s="51" t="str">
        <f>IF(NOTA[[#This Row],[JUMLAH]]="","",NOTA[[#This Row],[JUMLAH]]-NOTA[[#This Row],[DISC]])</f>
        <v/>
      </c>
      <c r="AB1249" s="51"/>
      <c r="AC1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9" s="51" t="str">
        <f>IF(OR(NOTA[[#This Row],[QTY]]="",NOTA[[#This Row],[HARGA SATUAN]]="",),"",NOTA[[#This Row],[QTY]]*NOTA[[#This Row],[HARGA SATUAN]])</f>
        <v/>
      </c>
      <c r="AG1249" s="40" t="str">
        <f ca="1">IF(NOTA[ID_H]="","",INDEX(NOTA[TANGGAL],MATCH(,INDIRECT(ADDRESS(ROW(NOTA[TANGGAL]),COLUMN(NOTA[TANGGAL]))&amp;":"&amp;ADDRESS(ROW(),COLUMN(NOTA[TANGGAL]))),-1)))</f>
        <v/>
      </c>
      <c r="AH1249" s="42" t="str">
        <f ca="1">IF(NOTA[[#This Row],[NAMA BARANG]]="","",INDEX(NOTA[SUPPLIER],MATCH(,INDIRECT(ADDRESS(ROW(NOTA[ID]),COLUMN(NOTA[ID]))&amp;":"&amp;ADDRESS(ROW(),COLUMN(NOTA[ID]))),-1)))</f>
        <v/>
      </c>
      <c r="AI1249" s="42" t="str">
        <f ca="1">IF(NOTA[[#This Row],[ID_H]]="","",IF(NOTA[[#This Row],[FAKTUR]]="",INDIRECT(ADDRESS(ROW()-1,COLUMN())),NOTA[[#This Row],[FAKTUR]]))</f>
        <v/>
      </c>
      <c r="AJ1249" s="39" t="str">
        <f ca="1">IF(NOTA[[#This Row],[ID]]="","",COUNTIF(NOTA[ID_H],NOTA[[#This Row],[ID_H]]))</f>
        <v/>
      </c>
      <c r="AK1249" s="39" t="str">
        <f ca="1">IF(NOTA[[#This Row],[TGL.NOTA]]="",IF(NOTA[[#This Row],[SUPPLIER_H]]="","",AK1248),MONTH(NOTA[[#This Row],[TGL.NOTA]]))</f>
        <v/>
      </c>
      <c r="AL1249" s="39" t="str">
        <f>LOWER(SUBSTITUTE(SUBSTITUTE(SUBSTITUTE(SUBSTITUTE(SUBSTITUTE(SUBSTITUTE(SUBSTITUTE(SUBSTITUTE(SUBSTITUTE(NOTA[NAMA BARANG]," ",),".",""),"-",""),"(",""),")",""),",",""),"/",""),"""",""),"+",""))</f>
        <v/>
      </c>
      <c r="AM12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9" s="39" t="str">
        <f>IF(NOTA[[#This Row],[CONCAT4]]="","",_xlfn.IFNA(MATCH(NOTA[[#This Row],[CONCAT4]],[2]!RAW[CONCAT_H],0),FALSE))</f>
        <v/>
      </c>
      <c r="AQ1249" s="39" t="str">
        <f>IF(NOTA[[#This Row],[CONCAT1]]="","",MATCH(NOTA[[#This Row],[CONCAT1]],[3]!db[NB NOTA_C],0))</f>
        <v/>
      </c>
      <c r="AR1249" s="39" t="str">
        <f>IF(NOTA[[#This Row],[QTY/ CTN]]="","",TRUE)</f>
        <v/>
      </c>
      <c r="AS1249" s="39" t="str">
        <f ca="1">IF(NOTA[[#This Row],[ID_H]]="","",IF(NOTA[[#This Row],[Column3]]=TRUE,NOTA[[#This Row],[QTY/ CTN]],INDEX([3]!db[QTY/ CTN],NOTA[[#This Row],[//DB]])))</f>
        <v/>
      </c>
      <c r="AT12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9" s="39" t="str">
        <f ca="1">IF(NOTA[[#This Row],[ID_H]]="","",MATCH(NOTA[[#This Row],[NB NOTA_C_QTY]],[4]!db[NB NOTA_C_QTY+F],0))</f>
        <v/>
      </c>
      <c r="AV1249" s="55" t="str">
        <f ca="1">IF(NOTA[[#This Row],[NB NOTA_C_QTY]]="","",ROW()-2)</f>
        <v/>
      </c>
    </row>
    <row r="1250" spans="1:48" ht="20.100000000000001" customHeight="1" x14ac:dyDescent="0.25">
      <c r="A12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0" s="39" t="str">
        <f>IF(NOTA[[#This Row],[ID_P]]="","",MATCH(NOTA[[#This Row],[ID_P]],[1]!B_MSK[N_ID],0))</f>
        <v/>
      </c>
      <c r="D1250" s="39" t="str">
        <f ca="1">IF(NOTA[[#This Row],[NAMA BARANG]]="","",INDEX(NOTA[ID],MATCH(,INDIRECT(ADDRESS(ROW(NOTA[ID]),COLUMN(NOTA[ID]))&amp;":"&amp;ADDRESS(ROW(),COLUMN(NOTA[ID]))),-1)))</f>
        <v/>
      </c>
      <c r="E1250" s="47"/>
      <c r="H1250" s="48"/>
      <c r="N1250" s="39"/>
      <c r="Q1250" s="43"/>
      <c r="R1250" s="49"/>
      <c r="S1250" s="50"/>
      <c r="U1250" s="51"/>
      <c r="V1250" s="46"/>
      <c r="W1250" s="51" t="str">
        <f>IF(NOTA[[#This Row],[HARGA/ CTN]]="",NOTA[[#This Row],[JUMLAH_H]],NOTA[[#This Row],[HARGA/ CTN]]*IF(NOTA[[#This Row],[C]]="",0,NOTA[[#This Row],[C]]))</f>
        <v/>
      </c>
      <c r="X1250" s="51" t="str">
        <f>IF(NOTA[[#This Row],[JUMLAH]]="","",NOTA[[#This Row],[JUMLAH]]*NOTA[[#This Row],[DISC 1]])</f>
        <v/>
      </c>
      <c r="Y1250" s="51" t="str">
        <f>IF(NOTA[[#This Row],[JUMLAH]]="","",(NOTA[[#This Row],[JUMLAH]]-NOTA[[#This Row],[DISC 1-]])*NOTA[[#This Row],[DISC 2]])</f>
        <v/>
      </c>
      <c r="Z1250" s="51" t="str">
        <f>IF(NOTA[[#This Row],[JUMLAH]]="","",NOTA[[#This Row],[DISC 1-]]+NOTA[[#This Row],[DISC 2-]])</f>
        <v/>
      </c>
      <c r="AA1250" s="51" t="str">
        <f>IF(NOTA[[#This Row],[JUMLAH]]="","",NOTA[[#This Row],[JUMLAH]]-NOTA[[#This Row],[DISC]])</f>
        <v/>
      </c>
      <c r="AB1250" s="51"/>
      <c r="AC1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0" s="51" t="str">
        <f>IF(OR(NOTA[[#This Row],[QTY]]="",NOTA[[#This Row],[HARGA SATUAN]]="",),"",NOTA[[#This Row],[QTY]]*NOTA[[#This Row],[HARGA SATUAN]])</f>
        <v/>
      </c>
      <c r="AG1250" s="40" t="str">
        <f ca="1">IF(NOTA[ID_H]="","",INDEX(NOTA[TANGGAL],MATCH(,INDIRECT(ADDRESS(ROW(NOTA[TANGGAL]),COLUMN(NOTA[TANGGAL]))&amp;":"&amp;ADDRESS(ROW(),COLUMN(NOTA[TANGGAL]))),-1)))</f>
        <v/>
      </c>
      <c r="AH1250" s="42" t="str">
        <f ca="1">IF(NOTA[[#This Row],[NAMA BARANG]]="","",INDEX(NOTA[SUPPLIER],MATCH(,INDIRECT(ADDRESS(ROW(NOTA[ID]),COLUMN(NOTA[ID]))&amp;":"&amp;ADDRESS(ROW(),COLUMN(NOTA[ID]))),-1)))</f>
        <v/>
      </c>
      <c r="AI1250" s="42" t="str">
        <f ca="1">IF(NOTA[[#This Row],[ID_H]]="","",IF(NOTA[[#This Row],[FAKTUR]]="",INDIRECT(ADDRESS(ROW()-1,COLUMN())),NOTA[[#This Row],[FAKTUR]]))</f>
        <v/>
      </c>
      <c r="AJ1250" s="39" t="str">
        <f ca="1">IF(NOTA[[#This Row],[ID]]="","",COUNTIF(NOTA[ID_H],NOTA[[#This Row],[ID_H]]))</f>
        <v/>
      </c>
      <c r="AK1250" s="39" t="str">
        <f ca="1">IF(NOTA[[#This Row],[TGL.NOTA]]="",IF(NOTA[[#This Row],[SUPPLIER_H]]="","",AK1249),MONTH(NOTA[[#This Row],[TGL.NOTA]]))</f>
        <v/>
      </c>
      <c r="AL1250" s="39" t="str">
        <f>LOWER(SUBSTITUTE(SUBSTITUTE(SUBSTITUTE(SUBSTITUTE(SUBSTITUTE(SUBSTITUTE(SUBSTITUTE(SUBSTITUTE(SUBSTITUTE(NOTA[NAMA BARANG]," ",),".",""),"-",""),"(",""),")",""),",",""),"/",""),"""",""),"+",""))</f>
        <v/>
      </c>
      <c r="AM12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0" s="39" t="str">
        <f>IF(NOTA[[#This Row],[CONCAT4]]="","",_xlfn.IFNA(MATCH(NOTA[[#This Row],[CONCAT4]],[2]!RAW[CONCAT_H],0),FALSE))</f>
        <v/>
      </c>
      <c r="AQ1250" s="39" t="str">
        <f>IF(NOTA[[#This Row],[CONCAT1]]="","",MATCH(NOTA[[#This Row],[CONCAT1]],[3]!db[NB NOTA_C],0))</f>
        <v/>
      </c>
      <c r="AR1250" s="39" t="str">
        <f>IF(NOTA[[#This Row],[QTY/ CTN]]="","",TRUE)</f>
        <v/>
      </c>
      <c r="AS1250" s="39" t="str">
        <f ca="1">IF(NOTA[[#This Row],[ID_H]]="","",IF(NOTA[[#This Row],[Column3]]=TRUE,NOTA[[#This Row],[QTY/ CTN]],INDEX([3]!db[QTY/ CTN],NOTA[[#This Row],[//DB]])))</f>
        <v/>
      </c>
      <c r="AT12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0" s="39" t="str">
        <f ca="1">IF(NOTA[[#This Row],[ID_H]]="","",MATCH(NOTA[[#This Row],[NB NOTA_C_QTY]],[4]!db[NB NOTA_C_QTY+F],0))</f>
        <v/>
      </c>
      <c r="AV1250" s="55" t="str">
        <f ca="1">IF(NOTA[[#This Row],[NB NOTA_C_QTY]]="","",ROW()-2)</f>
        <v/>
      </c>
    </row>
    <row r="1251" spans="1:48" ht="20.100000000000001" customHeight="1" x14ac:dyDescent="0.25">
      <c r="A12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1" s="39" t="str">
        <f>IF(NOTA[[#This Row],[ID_P]]="","",MATCH(NOTA[[#This Row],[ID_P]],[1]!B_MSK[N_ID],0))</f>
        <v/>
      </c>
      <c r="D1251" s="39" t="str">
        <f ca="1">IF(NOTA[[#This Row],[NAMA BARANG]]="","",INDEX(NOTA[ID],MATCH(,INDIRECT(ADDRESS(ROW(NOTA[ID]),COLUMN(NOTA[ID]))&amp;":"&amp;ADDRESS(ROW(),COLUMN(NOTA[ID]))),-1)))</f>
        <v/>
      </c>
      <c r="E1251" s="47"/>
      <c r="H1251" s="48"/>
      <c r="N1251" s="39"/>
      <c r="Q1251" s="43"/>
      <c r="R1251" s="49"/>
      <c r="S1251" s="50"/>
      <c r="U1251" s="51"/>
      <c r="V1251" s="46"/>
      <c r="W1251" s="51" t="str">
        <f>IF(NOTA[[#This Row],[HARGA/ CTN]]="",NOTA[[#This Row],[JUMLAH_H]],NOTA[[#This Row],[HARGA/ CTN]]*IF(NOTA[[#This Row],[C]]="",0,NOTA[[#This Row],[C]]))</f>
        <v/>
      </c>
      <c r="X1251" s="51" t="str">
        <f>IF(NOTA[[#This Row],[JUMLAH]]="","",NOTA[[#This Row],[JUMLAH]]*NOTA[[#This Row],[DISC 1]])</f>
        <v/>
      </c>
      <c r="Y1251" s="51" t="str">
        <f>IF(NOTA[[#This Row],[JUMLAH]]="","",(NOTA[[#This Row],[JUMLAH]]-NOTA[[#This Row],[DISC 1-]])*NOTA[[#This Row],[DISC 2]])</f>
        <v/>
      </c>
      <c r="Z1251" s="51" t="str">
        <f>IF(NOTA[[#This Row],[JUMLAH]]="","",NOTA[[#This Row],[DISC 1-]]+NOTA[[#This Row],[DISC 2-]])</f>
        <v/>
      </c>
      <c r="AA1251" s="51" t="str">
        <f>IF(NOTA[[#This Row],[JUMLAH]]="","",NOTA[[#This Row],[JUMLAH]]-NOTA[[#This Row],[DISC]])</f>
        <v/>
      </c>
      <c r="AB1251" s="51"/>
      <c r="AC1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1" s="51" t="str">
        <f>IF(OR(NOTA[[#This Row],[QTY]]="",NOTA[[#This Row],[HARGA SATUAN]]="",),"",NOTA[[#This Row],[QTY]]*NOTA[[#This Row],[HARGA SATUAN]])</f>
        <v/>
      </c>
      <c r="AG1251" s="40" t="str">
        <f ca="1">IF(NOTA[ID_H]="","",INDEX(NOTA[TANGGAL],MATCH(,INDIRECT(ADDRESS(ROW(NOTA[TANGGAL]),COLUMN(NOTA[TANGGAL]))&amp;":"&amp;ADDRESS(ROW(),COLUMN(NOTA[TANGGAL]))),-1)))</f>
        <v/>
      </c>
      <c r="AH1251" s="42" t="str">
        <f ca="1">IF(NOTA[[#This Row],[NAMA BARANG]]="","",INDEX(NOTA[SUPPLIER],MATCH(,INDIRECT(ADDRESS(ROW(NOTA[ID]),COLUMN(NOTA[ID]))&amp;":"&amp;ADDRESS(ROW(),COLUMN(NOTA[ID]))),-1)))</f>
        <v/>
      </c>
      <c r="AI1251" s="42" t="str">
        <f ca="1">IF(NOTA[[#This Row],[ID_H]]="","",IF(NOTA[[#This Row],[FAKTUR]]="",INDIRECT(ADDRESS(ROW()-1,COLUMN())),NOTA[[#This Row],[FAKTUR]]))</f>
        <v/>
      </c>
      <c r="AJ1251" s="39" t="str">
        <f ca="1">IF(NOTA[[#This Row],[ID]]="","",COUNTIF(NOTA[ID_H],NOTA[[#This Row],[ID_H]]))</f>
        <v/>
      </c>
      <c r="AK1251" s="39" t="str">
        <f ca="1">IF(NOTA[[#This Row],[TGL.NOTA]]="",IF(NOTA[[#This Row],[SUPPLIER_H]]="","",AK1250),MONTH(NOTA[[#This Row],[TGL.NOTA]]))</f>
        <v/>
      </c>
      <c r="AL1251" s="39" t="str">
        <f>LOWER(SUBSTITUTE(SUBSTITUTE(SUBSTITUTE(SUBSTITUTE(SUBSTITUTE(SUBSTITUTE(SUBSTITUTE(SUBSTITUTE(SUBSTITUTE(NOTA[NAMA BARANG]," ",),".",""),"-",""),"(",""),")",""),",",""),"/",""),"""",""),"+",""))</f>
        <v/>
      </c>
      <c r="AM12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1" s="39" t="str">
        <f>IF(NOTA[[#This Row],[CONCAT4]]="","",_xlfn.IFNA(MATCH(NOTA[[#This Row],[CONCAT4]],[2]!RAW[CONCAT_H],0),FALSE))</f>
        <v/>
      </c>
      <c r="AQ1251" s="39" t="str">
        <f>IF(NOTA[[#This Row],[CONCAT1]]="","",MATCH(NOTA[[#This Row],[CONCAT1]],[3]!db[NB NOTA_C],0))</f>
        <v/>
      </c>
      <c r="AR1251" s="39" t="str">
        <f>IF(NOTA[[#This Row],[QTY/ CTN]]="","",TRUE)</f>
        <v/>
      </c>
      <c r="AS1251" s="39" t="str">
        <f ca="1">IF(NOTA[[#This Row],[ID_H]]="","",IF(NOTA[[#This Row],[Column3]]=TRUE,NOTA[[#This Row],[QTY/ CTN]],INDEX([3]!db[QTY/ CTN],NOTA[[#This Row],[//DB]])))</f>
        <v/>
      </c>
      <c r="AT12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1" s="39" t="str">
        <f ca="1">IF(NOTA[[#This Row],[ID_H]]="","",MATCH(NOTA[[#This Row],[NB NOTA_C_QTY]],[4]!db[NB NOTA_C_QTY+F],0))</f>
        <v/>
      </c>
      <c r="AV1251" s="55" t="str">
        <f ca="1">IF(NOTA[[#This Row],[NB NOTA_C_QTY]]="","",ROW()-2)</f>
        <v/>
      </c>
    </row>
    <row r="1252" spans="1:48" ht="20.100000000000001" customHeight="1" x14ac:dyDescent="0.25">
      <c r="A12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2" s="39" t="str">
        <f>IF(NOTA[[#This Row],[ID_P]]="","",MATCH(NOTA[[#This Row],[ID_P]],[1]!B_MSK[N_ID],0))</f>
        <v/>
      </c>
      <c r="D1252" s="39" t="str">
        <f ca="1">IF(NOTA[[#This Row],[NAMA BARANG]]="","",INDEX(NOTA[ID],MATCH(,INDIRECT(ADDRESS(ROW(NOTA[ID]),COLUMN(NOTA[ID]))&amp;":"&amp;ADDRESS(ROW(),COLUMN(NOTA[ID]))),-1)))</f>
        <v/>
      </c>
      <c r="E1252" s="47"/>
      <c r="H1252" s="48"/>
      <c r="N1252" s="39"/>
      <c r="Q1252" s="43"/>
      <c r="R1252" s="49"/>
      <c r="S1252" s="50"/>
      <c r="U1252" s="51"/>
      <c r="V1252" s="46"/>
      <c r="W1252" s="51" t="str">
        <f>IF(NOTA[[#This Row],[HARGA/ CTN]]="",NOTA[[#This Row],[JUMLAH_H]],NOTA[[#This Row],[HARGA/ CTN]]*IF(NOTA[[#This Row],[C]]="",0,NOTA[[#This Row],[C]]))</f>
        <v/>
      </c>
      <c r="X1252" s="51" t="str">
        <f>IF(NOTA[[#This Row],[JUMLAH]]="","",NOTA[[#This Row],[JUMLAH]]*NOTA[[#This Row],[DISC 1]])</f>
        <v/>
      </c>
      <c r="Y1252" s="51" t="str">
        <f>IF(NOTA[[#This Row],[JUMLAH]]="","",(NOTA[[#This Row],[JUMLAH]]-NOTA[[#This Row],[DISC 1-]])*NOTA[[#This Row],[DISC 2]])</f>
        <v/>
      </c>
      <c r="Z1252" s="51" t="str">
        <f>IF(NOTA[[#This Row],[JUMLAH]]="","",NOTA[[#This Row],[DISC 1-]]+NOTA[[#This Row],[DISC 2-]])</f>
        <v/>
      </c>
      <c r="AA1252" s="51" t="str">
        <f>IF(NOTA[[#This Row],[JUMLAH]]="","",NOTA[[#This Row],[JUMLAH]]-NOTA[[#This Row],[DISC]])</f>
        <v/>
      </c>
      <c r="AB1252" s="51"/>
      <c r="AC1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2" s="51" t="str">
        <f>IF(OR(NOTA[[#This Row],[QTY]]="",NOTA[[#This Row],[HARGA SATUAN]]="",),"",NOTA[[#This Row],[QTY]]*NOTA[[#This Row],[HARGA SATUAN]])</f>
        <v/>
      </c>
      <c r="AG1252" s="40" t="str">
        <f ca="1">IF(NOTA[ID_H]="","",INDEX(NOTA[TANGGAL],MATCH(,INDIRECT(ADDRESS(ROW(NOTA[TANGGAL]),COLUMN(NOTA[TANGGAL]))&amp;":"&amp;ADDRESS(ROW(),COLUMN(NOTA[TANGGAL]))),-1)))</f>
        <v/>
      </c>
      <c r="AH1252" s="42" t="str">
        <f ca="1">IF(NOTA[[#This Row],[NAMA BARANG]]="","",INDEX(NOTA[SUPPLIER],MATCH(,INDIRECT(ADDRESS(ROW(NOTA[ID]),COLUMN(NOTA[ID]))&amp;":"&amp;ADDRESS(ROW(),COLUMN(NOTA[ID]))),-1)))</f>
        <v/>
      </c>
      <c r="AI1252" s="42" t="str">
        <f ca="1">IF(NOTA[[#This Row],[ID_H]]="","",IF(NOTA[[#This Row],[FAKTUR]]="",INDIRECT(ADDRESS(ROW()-1,COLUMN())),NOTA[[#This Row],[FAKTUR]]))</f>
        <v/>
      </c>
      <c r="AJ1252" s="39" t="str">
        <f ca="1">IF(NOTA[[#This Row],[ID]]="","",COUNTIF(NOTA[ID_H],NOTA[[#This Row],[ID_H]]))</f>
        <v/>
      </c>
      <c r="AK1252" s="39" t="str">
        <f ca="1">IF(NOTA[[#This Row],[TGL.NOTA]]="",IF(NOTA[[#This Row],[SUPPLIER_H]]="","",AK1251),MONTH(NOTA[[#This Row],[TGL.NOTA]]))</f>
        <v/>
      </c>
      <c r="AL1252" s="39" t="str">
        <f>LOWER(SUBSTITUTE(SUBSTITUTE(SUBSTITUTE(SUBSTITUTE(SUBSTITUTE(SUBSTITUTE(SUBSTITUTE(SUBSTITUTE(SUBSTITUTE(NOTA[NAMA BARANG]," ",),".",""),"-",""),"(",""),")",""),",",""),"/",""),"""",""),"+",""))</f>
        <v/>
      </c>
      <c r="AM12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2" s="39" t="str">
        <f>IF(NOTA[[#This Row],[CONCAT4]]="","",_xlfn.IFNA(MATCH(NOTA[[#This Row],[CONCAT4]],[2]!RAW[CONCAT_H],0),FALSE))</f>
        <v/>
      </c>
      <c r="AQ1252" s="39" t="str">
        <f>IF(NOTA[[#This Row],[CONCAT1]]="","",MATCH(NOTA[[#This Row],[CONCAT1]],[3]!db[NB NOTA_C],0))</f>
        <v/>
      </c>
      <c r="AR1252" s="39" t="str">
        <f>IF(NOTA[[#This Row],[QTY/ CTN]]="","",TRUE)</f>
        <v/>
      </c>
      <c r="AS1252" s="39" t="str">
        <f ca="1">IF(NOTA[[#This Row],[ID_H]]="","",IF(NOTA[[#This Row],[Column3]]=TRUE,NOTA[[#This Row],[QTY/ CTN]],INDEX([3]!db[QTY/ CTN],NOTA[[#This Row],[//DB]])))</f>
        <v/>
      </c>
      <c r="AT12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2" s="39" t="str">
        <f ca="1">IF(NOTA[[#This Row],[ID_H]]="","",MATCH(NOTA[[#This Row],[NB NOTA_C_QTY]],[4]!db[NB NOTA_C_QTY+F],0))</f>
        <v/>
      </c>
      <c r="AV1252" s="55" t="str">
        <f ca="1">IF(NOTA[[#This Row],[NB NOTA_C_QTY]]="","",ROW()-2)</f>
        <v/>
      </c>
    </row>
    <row r="1253" spans="1:48" ht="20.100000000000001" customHeight="1" x14ac:dyDescent="0.25">
      <c r="A12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3" s="39" t="str">
        <f>IF(NOTA[[#This Row],[ID_P]]="","",MATCH(NOTA[[#This Row],[ID_P]],[1]!B_MSK[N_ID],0))</f>
        <v/>
      </c>
      <c r="D1253" s="39" t="str">
        <f ca="1">IF(NOTA[[#This Row],[NAMA BARANG]]="","",INDEX(NOTA[ID],MATCH(,INDIRECT(ADDRESS(ROW(NOTA[ID]),COLUMN(NOTA[ID]))&amp;":"&amp;ADDRESS(ROW(),COLUMN(NOTA[ID]))),-1)))</f>
        <v/>
      </c>
      <c r="E1253" s="47"/>
      <c r="H1253" s="48"/>
      <c r="N1253" s="39"/>
      <c r="Q1253" s="43"/>
      <c r="R1253" s="49"/>
      <c r="S1253" s="50"/>
      <c r="U1253" s="51"/>
      <c r="V1253" s="46"/>
      <c r="W1253" s="51" t="str">
        <f>IF(NOTA[[#This Row],[HARGA/ CTN]]="",NOTA[[#This Row],[JUMLAH_H]],NOTA[[#This Row],[HARGA/ CTN]]*IF(NOTA[[#This Row],[C]]="",0,NOTA[[#This Row],[C]]))</f>
        <v/>
      </c>
      <c r="X1253" s="51" t="str">
        <f>IF(NOTA[[#This Row],[JUMLAH]]="","",NOTA[[#This Row],[JUMLAH]]*NOTA[[#This Row],[DISC 1]])</f>
        <v/>
      </c>
      <c r="Y1253" s="51" t="str">
        <f>IF(NOTA[[#This Row],[JUMLAH]]="","",(NOTA[[#This Row],[JUMLAH]]-NOTA[[#This Row],[DISC 1-]])*NOTA[[#This Row],[DISC 2]])</f>
        <v/>
      </c>
      <c r="Z1253" s="51" t="str">
        <f>IF(NOTA[[#This Row],[JUMLAH]]="","",NOTA[[#This Row],[DISC 1-]]+NOTA[[#This Row],[DISC 2-]])</f>
        <v/>
      </c>
      <c r="AA1253" s="51" t="str">
        <f>IF(NOTA[[#This Row],[JUMLAH]]="","",NOTA[[#This Row],[JUMLAH]]-NOTA[[#This Row],[DISC]])</f>
        <v/>
      </c>
      <c r="AB1253" s="51"/>
      <c r="AC12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3" s="51" t="str">
        <f>IF(OR(NOTA[[#This Row],[QTY]]="",NOTA[[#This Row],[HARGA SATUAN]]="",),"",NOTA[[#This Row],[QTY]]*NOTA[[#This Row],[HARGA SATUAN]])</f>
        <v/>
      </c>
      <c r="AG1253" s="40" t="str">
        <f ca="1">IF(NOTA[ID_H]="","",INDEX(NOTA[TANGGAL],MATCH(,INDIRECT(ADDRESS(ROW(NOTA[TANGGAL]),COLUMN(NOTA[TANGGAL]))&amp;":"&amp;ADDRESS(ROW(),COLUMN(NOTA[TANGGAL]))),-1)))</f>
        <v/>
      </c>
      <c r="AH1253" s="42" t="str">
        <f ca="1">IF(NOTA[[#This Row],[NAMA BARANG]]="","",INDEX(NOTA[SUPPLIER],MATCH(,INDIRECT(ADDRESS(ROW(NOTA[ID]),COLUMN(NOTA[ID]))&amp;":"&amp;ADDRESS(ROW(),COLUMN(NOTA[ID]))),-1)))</f>
        <v/>
      </c>
      <c r="AI1253" s="42" t="str">
        <f ca="1">IF(NOTA[[#This Row],[ID_H]]="","",IF(NOTA[[#This Row],[FAKTUR]]="",INDIRECT(ADDRESS(ROW()-1,COLUMN())),NOTA[[#This Row],[FAKTUR]]))</f>
        <v/>
      </c>
      <c r="AJ1253" s="39" t="str">
        <f ca="1">IF(NOTA[[#This Row],[ID]]="","",COUNTIF(NOTA[ID_H],NOTA[[#This Row],[ID_H]]))</f>
        <v/>
      </c>
      <c r="AK1253" s="39" t="str">
        <f ca="1">IF(NOTA[[#This Row],[TGL.NOTA]]="",IF(NOTA[[#This Row],[SUPPLIER_H]]="","",AK1252),MONTH(NOTA[[#This Row],[TGL.NOTA]]))</f>
        <v/>
      </c>
      <c r="AL1253" s="39" t="str">
        <f>LOWER(SUBSTITUTE(SUBSTITUTE(SUBSTITUTE(SUBSTITUTE(SUBSTITUTE(SUBSTITUTE(SUBSTITUTE(SUBSTITUTE(SUBSTITUTE(NOTA[NAMA BARANG]," ",),".",""),"-",""),"(",""),")",""),",",""),"/",""),"""",""),"+",""))</f>
        <v/>
      </c>
      <c r="AM12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3" s="39" t="str">
        <f>IF(NOTA[[#This Row],[CONCAT4]]="","",_xlfn.IFNA(MATCH(NOTA[[#This Row],[CONCAT4]],[2]!RAW[CONCAT_H],0),FALSE))</f>
        <v/>
      </c>
      <c r="AQ1253" s="39" t="str">
        <f>IF(NOTA[[#This Row],[CONCAT1]]="","",MATCH(NOTA[[#This Row],[CONCAT1]],[3]!db[NB NOTA_C],0))</f>
        <v/>
      </c>
      <c r="AR1253" s="39" t="str">
        <f>IF(NOTA[[#This Row],[QTY/ CTN]]="","",TRUE)</f>
        <v/>
      </c>
      <c r="AS1253" s="39" t="str">
        <f ca="1">IF(NOTA[[#This Row],[ID_H]]="","",IF(NOTA[[#This Row],[Column3]]=TRUE,NOTA[[#This Row],[QTY/ CTN]],INDEX([3]!db[QTY/ CTN],NOTA[[#This Row],[//DB]])))</f>
        <v/>
      </c>
      <c r="AT12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3" s="39" t="str">
        <f ca="1">IF(NOTA[[#This Row],[ID_H]]="","",MATCH(NOTA[[#This Row],[NB NOTA_C_QTY]],[4]!db[NB NOTA_C_QTY+F],0))</f>
        <v/>
      </c>
      <c r="AV1253" s="55" t="str">
        <f ca="1">IF(NOTA[[#This Row],[NB NOTA_C_QTY]]="","",ROW()-2)</f>
        <v/>
      </c>
    </row>
    <row r="1254" spans="1:48" ht="20.100000000000001" customHeight="1" x14ac:dyDescent="0.25">
      <c r="A12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4" s="39" t="str">
        <f>IF(NOTA[[#This Row],[ID_P]]="","",MATCH(NOTA[[#This Row],[ID_P]],[1]!B_MSK[N_ID],0))</f>
        <v/>
      </c>
      <c r="D1254" s="39" t="str">
        <f ca="1">IF(NOTA[[#This Row],[NAMA BARANG]]="","",INDEX(NOTA[ID],MATCH(,INDIRECT(ADDRESS(ROW(NOTA[ID]),COLUMN(NOTA[ID]))&amp;":"&amp;ADDRESS(ROW(),COLUMN(NOTA[ID]))),-1)))</f>
        <v/>
      </c>
      <c r="E1254" s="47"/>
      <c r="H1254" s="48"/>
      <c r="N1254" s="39"/>
      <c r="Q1254" s="43"/>
      <c r="R1254" s="49"/>
      <c r="S1254" s="50"/>
      <c r="U1254" s="51"/>
      <c r="V1254" s="46"/>
      <c r="W1254" s="51" t="str">
        <f>IF(NOTA[[#This Row],[HARGA/ CTN]]="",NOTA[[#This Row],[JUMLAH_H]],NOTA[[#This Row],[HARGA/ CTN]]*IF(NOTA[[#This Row],[C]]="",0,NOTA[[#This Row],[C]]))</f>
        <v/>
      </c>
      <c r="X1254" s="51" t="str">
        <f>IF(NOTA[[#This Row],[JUMLAH]]="","",NOTA[[#This Row],[JUMLAH]]*NOTA[[#This Row],[DISC 1]])</f>
        <v/>
      </c>
      <c r="Y1254" s="51" t="str">
        <f>IF(NOTA[[#This Row],[JUMLAH]]="","",(NOTA[[#This Row],[JUMLAH]]-NOTA[[#This Row],[DISC 1-]])*NOTA[[#This Row],[DISC 2]])</f>
        <v/>
      </c>
      <c r="Z1254" s="51" t="str">
        <f>IF(NOTA[[#This Row],[JUMLAH]]="","",NOTA[[#This Row],[DISC 1-]]+NOTA[[#This Row],[DISC 2-]])</f>
        <v/>
      </c>
      <c r="AA1254" s="51" t="str">
        <f>IF(NOTA[[#This Row],[JUMLAH]]="","",NOTA[[#This Row],[JUMLAH]]-NOTA[[#This Row],[DISC]])</f>
        <v/>
      </c>
      <c r="AB1254" s="51"/>
      <c r="AC1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4" s="51" t="str">
        <f>IF(OR(NOTA[[#This Row],[QTY]]="",NOTA[[#This Row],[HARGA SATUAN]]="",),"",NOTA[[#This Row],[QTY]]*NOTA[[#This Row],[HARGA SATUAN]])</f>
        <v/>
      </c>
      <c r="AG1254" s="40" t="str">
        <f ca="1">IF(NOTA[ID_H]="","",INDEX(NOTA[TANGGAL],MATCH(,INDIRECT(ADDRESS(ROW(NOTA[TANGGAL]),COLUMN(NOTA[TANGGAL]))&amp;":"&amp;ADDRESS(ROW(),COLUMN(NOTA[TANGGAL]))),-1)))</f>
        <v/>
      </c>
      <c r="AH1254" s="42" t="str">
        <f ca="1">IF(NOTA[[#This Row],[NAMA BARANG]]="","",INDEX(NOTA[SUPPLIER],MATCH(,INDIRECT(ADDRESS(ROW(NOTA[ID]),COLUMN(NOTA[ID]))&amp;":"&amp;ADDRESS(ROW(),COLUMN(NOTA[ID]))),-1)))</f>
        <v/>
      </c>
      <c r="AI1254" s="42" t="str">
        <f ca="1">IF(NOTA[[#This Row],[ID_H]]="","",IF(NOTA[[#This Row],[FAKTUR]]="",INDIRECT(ADDRESS(ROW()-1,COLUMN())),NOTA[[#This Row],[FAKTUR]]))</f>
        <v/>
      </c>
      <c r="AJ1254" s="39" t="str">
        <f ca="1">IF(NOTA[[#This Row],[ID]]="","",COUNTIF(NOTA[ID_H],NOTA[[#This Row],[ID_H]]))</f>
        <v/>
      </c>
      <c r="AK1254" s="39" t="str">
        <f ca="1">IF(NOTA[[#This Row],[TGL.NOTA]]="",IF(NOTA[[#This Row],[SUPPLIER_H]]="","",AK1253),MONTH(NOTA[[#This Row],[TGL.NOTA]]))</f>
        <v/>
      </c>
      <c r="AL1254" s="39" t="str">
        <f>LOWER(SUBSTITUTE(SUBSTITUTE(SUBSTITUTE(SUBSTITUTE(SUBSTITUTE(SUBSTITUTE(SUBSTITUTE(SUBSTITUTE(SUBSTITUTE(NOTA[NAMA BARANG]," ",),".",""),"-",""),"(",""),")",""),",",""),"/",""),"""",""),"+",""))</f>
        <v/>
      </c>
      <c r="AM12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4" s="39" t="str">
        <f>IF(NOTA[[#This Row],[CONCAT4]]="","",_xlfn.IFNA(MATCH(NOTA[[#This Row],[CONCAT4]],[2]!RAW[CONCAT_H],0),FALSE))</f>
        <v/>
      </c>
      <c r="AQ1254" s="39" t="str">
        <f>IF(NOTA[[#This Row],[CONCAT1]]="","",MATCH(NOTA[[#This Row],[CONCAT1]],[3]!db[NB NOTA_C],0))</f>
        <v/>
      </c>
      <c r="AR1254" s="39" t="str">
        <f>IF(NOTA[[#This Row],[QTY/ CTN]]="","",TRUE)</f>
        <v/>
      </c>
      <c r="AS1254" s="39" t="str">
        <f ca="1">IF(NOTA[[#This Row],[ID_H]]="","",IF(NOTA[[#This Row],[Column3]]=TRUE,NOTA[[#This Row],[QTY/ CTN]],INDEX([3]!db[QTY/ CTN],NOTA[[#This Row],[//DB]])))</f>
        <v/>
      </c>
      <c r="AT12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4" s="39" t="str">
        <f ca="1">IF(NOTA[[#This Row],[ID_H]]="","",MATCH(NOTA[[#This Row],[NB NOTA_C_QTY]],[4]!db[NB NOTA_C_QTY+F],0))</f>
        <v/>
      </c>
      <c r="AV1254" s="55" t="str">
        <f ca="1">IF(NOTA[[#This Row],[NB NOTA_C_QTY]]="","",ROW()-2)</f>
        <v/>
      </c>
    </row>
    <row r="1255" spans="1:48" ht="20.100000000000001" customHeight="1" x14ac:dyDescent="0.25">
      <c r="A12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5" s="39" t="str">
        <f>IF(NOTA[[#This Row],[ID_P]]="","",MATCH(NOTA[[#This Row],[ID_P]],[1]!B_MSK[N_ID],0))</f>
        <v/>
      </c>
      <c r="D1255" s="39" t="str">
        <f ca="1">IF(NOTA[[#This Row],[NAMA BARANG]]="","",INDEX(NOTA[ID],MATCH(,INDIRECT(ADDRESS(ROW(NOTA[ID]),COLUMN(NOTA[ID]))&amp;":"&amp;ADDRESS(ROW(),COLUMN(NOTA[ID]))),-1)))</f>
        <v/>
      </c>
      <c r="E1255" s="47"/>
      <c r="H1255" s="48"/>
      <c r="N1255" s="39"/>
      <c r="Q1255" s="43"/>
      <c r="R1255" s="49"/>
      <c r="S1255" s="50"/>
      <c r="U1255" s="51"/>
      <c r="V1255" s="46"/>
      <c r="W1255" s="51" t="str">
        <f>IF(NOTA[[#This Row],[HARGA/ CTN]]="",NOTA[[#This Row],[JUMLAH_H]],NOTA[[#This Row],[HARGA/ CTN]]*IF(NOTA[[#This Row],[C]]="",0,NOTA[[#This Row],[C]]))</f>
        <v/>
      </c>
      <c r="X1255" s="51" t="str">
        <f>IF(NOTA[[#This Row],[JUMLAH]]="","",NOTA[[#This Row],[JUMLAH]]*NOTA[[#This Row],[DISC 1]])</f>
        <v/>
      </c>
      <c r="Y1255" s="51" t="str">
        <f>IF(NOTA[[#This Row],[JUMLAH]]="","",(NOTA[[#This Row],[JUMLAH]]-NOTA[[#This Row],[DISC 1-]])*NOTA[[#This Row],[DISC 2]])</f>
        <v/>
      </c>
      <c r="Z1255" s="51" t="str">
        <f>IF(NOTA[[#This Row],[JUMLAH]]="","",NOTA[[#This Row],[DISC 1-]]+NOTA[[#This Row],[DISC 2-]])</f>
        <v/>
      </c>
      <c r="AA1255" s="51" t="str">
        <f>IF(NOTA[[#This Row],[JUMLAH]]="","",NOTA[[#This Row],[JUMLAH]]-NOTA[[#This Row],[DISC]])</f>
        <v/>
      </c>
      <c r="AB1255" s="51"/>
      <c r="AC1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5" s="51" t="str">
        <f>IF(OR(NOTA[[#This Row],[QTY]]="",NOTA[[#This Row],[HARGA SATUAN]]="",),"",NOTA[[#This Row],[QTY]]*NOTA[[#This Row],[HARGA SATUAN]])</f>
        <v/>
      </c>
      <c r="AG1255" s="40" t="str">
        <f ca="1">IF(NOTA[ID_H]="","",INDEX(NOTA[TANGGAL],MATCH(,INDIRECT(ADDRESS(ROW(NOTA[TANGGAL]),COLUMN(NOTA[TANGGAL]))&amp;":"&amp;ADDRESS(ROW(),COLUMN(NOTA[TANGGAL]))),-1)))</f>
        <v/>
      </c>
      <c r="AH1255" s="42" t="str">
        <f ca="1">IF(NOTA[[#This Row],[NAMA BARANG]]="","",INDEX(NOTA[SUPPLIER],MATCH(,INDIRECT(ADDRESS(ROW(NOTA[ID]),COLUMN(NOTA[ID]))&amp;":"&amp;ADDRESS(ROW(),COLUMN(NOTA[ID]))),-1)))</f>
        <v/>
      </c>
      <c r="AI1255" s="42" t="str">
        <f ca="1">IF(NOTA[[#This Row],[ID_H]]="","",IF(NOTA[[#This Row],[FAKTUR]]="",INDIRECT(ADDRESS(ROW()-1,COLUMN())),NOTA[[#This Row],[FAKTUR]]))</f>
        <v/>
      </c>
      <c r="AJ1255" s="39" t="str">
        <f ca="1">IF(NOTA[[#This Row],[ID]]="","",COUNTIF(NOTA[ID_H],NOTA[[#This Row],[ID_H]]))</f>
        <v/>
      </c>
      <c r="AK1255" s="39" t="str">
        <f ca="1">IF(NOTA[[#This Row],[TGL.NOTA]]="",IF(NOTA[[#This Row],[SUPPLIER_H]]="","",AK1254),MONTH(NOTA[[#This Row],[TGL.NOTA]]))</f>
        <v/>
      </c>
      <c r="AL1255" s="39" t="str">
        <f>LOWER(SUBSTITUTE(SUBSTITUTE(SUBSTITUTE(SUBSTITUTE(SUBSTITUTE(SUBSTITUTE(SUBSTITUTE(SUBSTITUTE(SUBSTITUTE(NOTA[NAMA BARANG]," ",),".",""),"-",""),"(",""),")",""),",",""),"/",""),"""",""),"+",""))</f>
        <v/>
      </c>
      <c r="AM12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5" s="39" t="str">
        <f>IF(NOTA[[#This Row],[CONCAT4]]="","",_xlfn.IFNA(MATCH(NOTA[[#This Row],[CONCAT4]],[2]!RAW[CONCAT_H],0),FALSE))</f>
        <v/>
      </c>
      <c r="AQ1255" s="39" t="str">
        <f>IF(NOTA[[#This Row],[CONCAT1]]="","",MATCH(NOTA[[#This Row],[CONCAT1]],[3]!db[NB NOTA_C],0))</f>
        <v/>
      </c>
      <c r="AR1255" s="39" t="str">
        <f>IF(NOTA[[#This Row],[QTY/ CTN]]="","",TRUE)</f>
        <v/>
      </c>
      <c r="AS1255" s="39" t="str">
        <f ca="1">IF(NOTA[[#This Row],[ID_H]]="","",IF(NOTA[[#This Row],[Column3]]=TRUE,NOTA[[#This Row],[QTY/ CTN]],INDEX([3]!db[QTY/ CTN],NOTA[[#This Row],[//DB]])))</f>
        <v/>
      </c>
      <c r="AT12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5" s="39" t="str">
        <f ca="1">IF(NOTA[[#This Row],[ID_H]]="","",MATCH(NOTA[[#This Row],[NB NOTA_C_QTY]],[4]!db[NB NOTA_C_QTY+F],0))</f>
        <v/>
      </c>
      <c r="AV1255" s="55" t="str">
        <f ca="1">IF(NOTA[[#This Row],[NB NOTA_C_QTY]]="","",ROW()-2)</f>
        <v/>
      </c>
    </row>
    <row r="1256" spans="1:48" ht="20.100000000000001" customHeight="1" x14ac:dyDescent="0.25">
      <c r="A12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6" s="39" t="str">
        <f>IF(NOTA[[#This Row],[ID_P]]="","",MATCH(NOTA[[#This Row],[ID_P]],[1]!B_MSK[N_ID],0))</f>
        <v/>
      </c>
      <c r="D1256" s="39" t="str">
        <f ca="1">IF(NOTA[[#This Row],[NAMA BARANG]]="","",INDEX(NOTA[ID],MATCH(,INDIRECT(ADDRESS(ROW(NOTA[ID]),COLUMN(NOTA[ID]))&amp;":"&amp;ADDRESS(ROW(),COLUMN(NOTA[ID]))),-1)))</f>
        <v/>
      </c>
      <c r="E1256" s="47"/>
      <c r="H1256" s="48"/>
      <c r="N1256" s="39"/>
      <c r="Q1256" s="43"/>
      <c r="R1256" s="49"/>
      <c r="S1256" s="50"/>
      <c r="U1256" s="51"/>
      <c r="V1256" s="46"/>
      <c r="W1256" s="51" t="str">
        <f>IF(NOTA[[#This Row],[HARGA/ CTN]]="",NOTA[[#This Row],[JUMLAH_H]],NOTA[[#This Row],[HARGA/ CTN]]*IF(NOTA[[#This Row],[C]]="",0,NOTA[[#This Row],[C]]))</f>
        <v/>
      </c>
      <c r="X1256" s="51" t="str">
        <f>IF(NOTA[[#This Row],[JUMLAH]]="","",NOTA[[#This Row],[JUMLAH]]*NOTA[[#This Row],[DISC 1]])</f>
        <v/>
      </c>
      <c r="Y1256" s="51" t="str">
        <f>IF(NOTA[[#This Row],[JUMLAH]]="","",(NOTA[[#This Row],[JUMLAH]]-NOTA[[#This Row],[DISC 1-]])*NOTA[[#This Row],[DISC 2]])</f>
        <v/>
      </c>
      <c r="Z1256" s="51" t="str">
        <f>IF(NOTA[[#This Row],[JUMLAH]]="","",NOTA[[#This Row],[DISC 1-]]+NOTA[[#This Row],[DISC 2-]])</f>
        <v/>
      </c>
      <c r="AA1256" s="51" t="str">
        <f>IF(NOTA[[#This Row],[JUMLAH]]="","",NOTA[[#This Row],[JUMLAH]]-NOTA[[#This Row],[DISC]])</f>
        <v/>
      </c>
      <c r="AB1256" s="51"/>
      <c r="AC1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6" s="51" t="str">
        <f>IF(OR(NOTA[[#This Row],[QTY]]="",NOTA[[#This Row],[HARGA SATUAN]]="",),"",NOTA[[#This Row],[QTY]]*NOTA[[#This Row],[HARGA SATUAN]])</f>
        <v/>
      </c>
      <c r="AG1256" s="40" t="str">
        <f ca="1">IF(NOTA[ID_H]="","",INDEX(NOTA[TANGGAL],MATCH(,INDIRECT(ADDRESS(ROW(NOTA[TANGGAL]),COLUMN(NOTA[TANGGAL]))&amp;":"&amp;ADDRESS(ROW(),COLUMN(NOTA[TANGGAL]))),-1)))</f>
        <v/>
      </c>
      <c r="AH1256" s="42" t="str">
        <f ca="1">IF(NOTA[[#This Row],[NAMA BARANG]]="","",INDEX(NOTA[SUPPLIER],MATCH(,INDIRECT(ADDRESS(ROW(NOTA[ID]),COLUMN(NOTA[ID]))&amp;":"&amp;ADDRESS(ROW(),COLUMN(NOTA[ID]))),-1)))</f>
        <v/>
      </c>
      <c r="AI1256" s="42" t="str">
        <f ca="1">IF(NOTA[[#This Row],[ID_H]]="","",IF(NOTA[[#This Row],[FAKTUR]]="",INDIRECT(ADDRESS(ROW()-1,COLUMN())),NOTA[[#This Row],[FAKTUR]]))</f>
        <v/>
      </c>
      <c r="AJ1256" s="39" t="str">
        <f ca="1">IF(NOTA[[#This Row],[ID]]="","",COUNTIF(NOTA[ID_H],NOTA[[#This Row],[ID_H]]))</f>
        <v/>
      </c>
      <c r="AK1256" s="39" t="str">
        <f ca="1">IF(NOTA[[#This Row],[TGL.NOTA]]="",IF(NOTA[[#This Row],[SUPPLIER_H]]="","",AK1255),MONTH(NOTA[[#This Row],[TGL.NOTA]]))</f>
        <v/>
      </c>
      <c r="AL1256" s="39" t="str">
        <f>LOWER(SUBSTITUTE(SUBSTITUTE(SUBSTITUTE(SUBSTITUTE(SUBSTITUTE(SUBSTITUTE(SUBSTITUTE(SUBSTITUTE(SUBSTITUTE(NOTA[NAMA BARANG]," ",),".",""),"-",""),"(",""),")",""),",",""),"/",""),"""",""),"+",""))</f>
        <v/>
      </c>
      <c r="AM12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6" s="39" t="str">
        <f>IF(NOTA[[#This Row],[CONCAT4]]="","",_xlfn.IFNA(MATCH(NOTA[[#This Row],[CONCAT4]],[2]!RAW[CONCAT_H],0),FALSE))</f>
        <v/>
      </c>
      <c r="AQ1256" s="39" t="str">
        <f>IF(NOTA[[#This Row],[CONCAT1]]="","",MATCH(NOTA[[#This Row],[CONCAT1]],[3]!db[NB NOTA_C],0))</f>
        <v/>
      </c>
      <c r="AR1256" s="39" t="str">
        <f>IF(NOTA[[#This Row],[QTY/ CTN]]="","",TRUE)</f>
        <v/>
      </c>
      <c r="AS1256" s="39" t="str">
        <f ca="1">IF(NOTA[[#This Row],[ID_H]]="","",IF(NOTA[[#This Row],[Column3]]=TRUE,NOTA[[#This Row],[QTY/ CTN]],INDEX([3]!db[QTY/ CTN],NOTA[[#This Row],[//DB]])))</f>
        <v/>
      </c>
      <c r="AT12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6" s="39" t="str">
        <f ca="1">IF(NOTA[[#This Row],[ID_H]]="","",MATCH(NOTA[[#This Row],[NB NOTA_C_QTY]],[4]!db[NB NOTA_C_QTY+F],0))</f>
        <v/>
      </c>
      <c r="AV1256" s="55" t="str">
        <f ca="1">IF(NOTA[[#This Row],[NB NOTA_C_QTY]]="","",ROW()-2)</f>
        <v/>
      </c>
    </row>
    <row r="1257" spans="1:48" ht="20.100000000000001" customHeight="1" x14ac:dyDescent="0.25">
      <c r="A12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7" s="39" t="str">
        <f>IF(NOTA[[#This Row],[ID_P]]="","",MATCH(NOTA[[#This Row],[ID_P]],[1]!B_MSK[N_ID],0))</f>
        <v/>
      </c>
      <c r="D1257" s="39" t="str">
        <f ca="1">IF(NOTA[[#This Row],[NAMA BARANG]]="","",INDEX(NOTA[ID],MATCH(,INDIRECT(ADDRESS(ROW(NOTA[ID]),COLUMN(NOTA[ID]))&amp;":"&amp;ADDRESS(ROW(),COLUMN(NOTA[ID]))),-1)))</f>
        <v/>
      </c>
      <c r="E1257" s="47"/>
      <c r="H1257" s="48"/>
      <c r="N1257" s="39"/>
      <c r="Q1257" s="43"/>
      <c r="R1257" s="49"/>
      <c r="S1257" s="50"/>
      <c r="U1257" s="51"/>
      <c r="V1257" s="46"/>
      <c r="W1257" s="51" t="str">
        <f>IF(NOTA[[#This Row],[HARGA/ CTN]]="",NOTA[[#This Row],[JUMLAH_H]],NOTA[[#This Row],[HARGA/ CTN]]*IF(NOTA[[#This Row],[C]]="",0,NOTA[[#This Row],[C]]))</f>
        <v/>
      </c>
      <c r="X1257" s="51" t="str">
        <f>IF(NOTA[[#This Row],[JUMLAH]]="","",NOTA[[#This Row],[JUMLAH]]*NOTA[[#This Row],[DISC 1]])</f>
        <v/>
      </c>
      <c r="Y1257" s="51" t="str">
        <f>IF(NOTA[[#This Row],[JUMLAH]]="","",(NOTA[[#This Row],[JUMLAH]]-NOTA[[#This Row],[DISC 1-]])*NOTA[[#This Row],[DISC 2]])</f>
        <v/>
      </c>
      <c r="Z1257" s="51" t="str">
        <f>IF(NOTA[[#This Row],[JUMLAH]]="","",NOTA[[#This Row],[DISC 1-]]+NOTA[[#This Row],[DISC 2-]])</f>
        <v/>
      </c>
      <c r="AA1257" s="51" t="str">
        <f>IF(NOTA[[#This Row],[JUMLAH]]="","",NOTA[[#This Row],[JUMLAH]]-NOTA[[#This Row],[DISC]])</f>
        <v/>
      </c>
      <c r="AB1257" s="51"/>
      <c r="AC1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7" s="51" t="str">
        <f>IF(OR(NOTA[[#This Row],[QTY]]="",NOTA[[#This Row],[HARGA SATUAN]]="",),"",NOTA[[#This Row],[QTY]]*NOTA[[#This Row],[HARGA SATUAN]])</f>
        <v/>
      </c>
      <c r="AG1257" s="40" t="str">
        <f ca="1">IF(NOTA[ID_H]="","",INDEX(NOTA[TANGGAL],MATCH(,INDIRECT(ADDRESS(ROW(NOTA[TANGGAL]),COLUMN(NOTA[TANGGAL]))&amp;":"&amp;ADDRESS(ROW(),COLUMN(NOTA[TANGGAL]))),-1)))</f>
        <v/>
      </c>
      <c r="AH1257" s="42" t="str">
        <f ca="1">IF(NOTA[[#This Row],[NAMA BARANG]]="","",INDEX(NOTA[SUPPLIER],MATCH(,INDIRECT(ADDRESS(ROW(NOTA[ID]),COLUMN(NOTA[ID]))&amp;":"&amp;ADDRESS(ROW(),COLUMN(NOTA[ID]))),-1)))</f>
        <v/>
      </c>
      <c r="AI1257" s="42" t="str">
        <f ca="1">IF(NOTA[[#This Row],[ID_H]]="","",IF(NOTA[[#This Row],[FAKTUR]]="",INDIRECT(ADDRESS(ROW()-1,COLUMN())),NOTA[[#This Row],[FAKTUR]]))</f>
        <v/>
      </c>
      <c r="AJ1257" s="39" t="str">
        <f ca="1">IF(NOTA[[#This Row],[ID]]="","",COUNTIF(NOTA[ID_H],NOTA[[#This Row],[ID_H]]))</f>
        <v/>
      </c>
      <c r="AK1257" s="39" t="str">
        <f ca="1">IF(NOTA[[#This Row],[TGL.NOTA]]="",IF(NOTA[[#This Row],[SUPPLIER_H]]="","",AK1256),MONTH(NOTA[[#This Row],[TGL.NOTA]]))</f>
        <v/>
      </c>
      <c r="AL1257" s="39" t="str">
        <f>LOWER(SUBSTITUTE(SUBSTITUTE(SUBSTITUTE(SUBSTITUTE(SUBSTITUTE(SUBSTITUTE(SUBSTITUTE(SUBSTITUTE(SUBSTITUTE(NOTA[NAMA BARANG]," ",),".",""),"-",""),"(",""),")",""),",",""),"/",""),"""",""),"+",""))</f>
        <v/>
      </c>
      <c r="AM12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7" s="39" t="str">
        <f>IF(NOTA[[#This Row],[CONCAT4]]="","",_xlfn.IFNA(MATCH(NOTA[[#This Row],[CONCAT4]],[2]!RAW[CONCAT_H],0),FALSE))</f>
        <v/>
      </c>
      <c r="AQ1257" s="39" t="str">
        <f>IF(NOTA[[#This Row],[CONCAT1]]="","",MATCH(NOTA[[#This Row],[CONCAT1]],[3]!db[NB NOTA_C],0))</f>
        <v/>
      </c>
      <c r="AR1257" s="39" t="str">
        <f>IF(NOTA[[#This Row],[QTY/ CTN]]="","",TRUE)</f>
        <v/>
      </c>
      <c r="AS1257" s="39" t="str">
        <f ca="1">IF(NOTA[[#This Row],[ID_H]]="","",IF(NOTA[[#This Row],[Column3]]=TRUE,NOTA[[#This Row],[QTY/ CTN]],INDEX([3]!db[QTY/ CTN],NOTA[[#This Row],[//DB]])))</f>
        <v/>
      </c>
      <c r="AT12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7" s="39" t="str">
        <f ca="1">IF(NOTA[[#This Row],[ID_H]]="","",MATCH(NOTA[[#This Row],[NB NOTA_C_QTY]],[4]!db[NB NOTA_C_QTY+F],0))</f>
        <v/>
      </c>
      <c r="AV1257" s="55" t="str">
        <f ca="1">IF(NOTA[[#This Row],[NB NOTA_C_QTY]]="","",ROW()-2)</f>
        <v/>
      </c>
    </row>
    <row r="1258" spans="1:48" ht="20.100000000000001" customHeight="1" x14ac:dyDescent="0.25">
      <c r="A12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8" s="39" t="str">
        <f>IF(NOTA[[#This Row],[ID_P]]="","",MATCH(NOTA[[#This Row],[ID_P]],[1]!B_MSK[N_ID],0))</f>
        <v/>
      </c>
      <c r="D1258" s="39" t="str">
        <f ca="1">IF(NOTA[[#This Row],[NAMA BARANG]]="","",INDEX(NOTA[ID],MATCH(,INDIRECT(ADDRESS(ROW(NOTA[ID]),COLUMN(NOTA[ID]))&amp;":"&amp;ADDRESS(ROW(),COLUMN(NOTA[ID]))),-1)))</f>
        <v/>
      </c>
      <c r="E1258" s="47"/>
      <c r="H1258" s="48"/>
      <c r="N1258" s="39"/>
      <c r="Q1258" s="43"/>
      <c r="R1258" s="49"/>
      <c r="S1258" s="50"/>
      <c r="U1258" s="51"/>
      <c r="V1258" s="46"/>
      <c r="W1258" s="51" t="str">
        <f>IF(NOTA[[#This Row],[HARGA/ CTN]]="",NOTA[[#This Row],[JUMLAH_H]],NOTA[[#This Row],[HARGA/ CTN]]*IF(NOTA[[#This Row],[C]]="",0,NOTA[[#This Row],[C]]))</f>
        <v/>
      </c>
      <c r="X1258" s="51" t="str">
        <f>IF(NOTA[[#This Row],[JUMLAH]]="","",NOTA[[#This Row],[JUMLAH]]*NOTA[[#This Row],[DISC 1]])</f>
        <v/>
      </c>
      <c r="Y1258" s="51" t="str">
        <f>IF(NOTA[[#This Row],[JUMLAH]]="","",(NOTA[[#This Row],[JUMLAH]]-NOTA[[#This Row],[DISC 1-]])*NOTA[[#This Row],[DISC 2]])</f>
        <v/>
      </c>
      <c r="Z1258" s="51" t="str">
        <f>IF(NOTA[[#This Row],[JUMLAH]]="","",NOTA[[#This Row],[DISC 1-]]+NOTA[[#This Row],[DISC 2-]])</f>
        <v/>
      </c>
      <c r="AA1258" s="51" t="str">
        <f>IF(NOTA[[#This Row],[JUMLAH]]="","",NOTA[[#This Row],[JUMLAH]]-NOTA[[#This Row],[DISC]])</f>
        <v/>
      </c>
      <c r="AB1258" s="51"/>
      <c r="AC1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8" s="51" t="str">
        <f>IF(OR(NOTA[[#This Row],[QTY]]="",NOTA[[#This Row],[HARGA SATUAN]]="",),"",NOTA[[#This Row],[QTY]]*NOTA[[#This Row],[HARGA SATUAN]])</f>
        <v/>
      </c>
      <c r="AG1258" s="40" t="str">
        <f ca="1">IF(NOTA[ID_H]="","",INDEX(NOTA[TANGGAL],MATCH(,INDIRECT(ADDRESS(ROW(NOTA[TANGGAL]),COLUMN(NOTA[TANGGAL]))&amp;":"&amp;ADDRESS(ROW(),COLUMN(NOTA[TANGGAL]))),-1)))</f>
        <v/>
      </c>
      <c r="AH1258" s="42" t="str">
        <f ca="1">IF(NOTA[[#This Row],[NAMA BARANG]]="","",INDEX(NOTA[SUPPLIER],MATCH(,INDIRECT(ADDRESS(ROW(NOTA[ID]),COLUMN(NOTA[ID]))&amp;":"&amp;ADDRESS(ROW(),COLUMN(NOTA[ID]))),-1)))</f>
        <v/>
      </c>
      <c r="AI1258" s="42" t="str">
        <f ca="1">IF(NOTA[[#This Row],[ID_H]]="","",IF(NOTA[[#This Row],[FAKTUR]]="",INDIRECT(ADDRESS(ROW()-1,COLUMN())),NOTA[[#This Row],[FAKTUR]]))</f>
        <v/>
      </c>
      <c r="AJ1258" s="39" t="str">
        <f ca="1">IF(NOTA[[#This Row],[ID]]="","",COUNTIF(NOTA[ID_H],NOTA[[#This Row],[ID_H]]))</f>
        <v/>
      </c>
      <c r="AK1258" s="39" t="str">
        <f ca="1">IF(NOTA[[#This Row],[TGL.NOTA]]="",IF(NOTA[[#This Row],[SUPPLIER_H]]="","",AK1257),MONTH(NOTA[[#This Row],[TGL.NOTA]]))</f>
        <v/>
      </c>
      <c r="AL1258" s="39" t="str">
        <f>LOWER(SUBSTITUTE(SUBSTITUTE(SUBSTITUTE(SUBSTITUTE(SUBSTITUTE(SUBSTITUTE(SUBSTITUTE(SUBSTITUTE(SUBSTITUTE(NOTA[NAMA BARANG]," ",),".",""),"-",""),"(",""),")",""),",",""),"/",""),"""",""),"+",""))</f>
        <v/>
      </c>
      <c r="AM12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8" s="39" t="str">
        <f>IF(NOTA[[#This Row],[CONCAT4]]="","",_xlfn.IFNA(MATCH(NOTA[[#This Row],[CONCAT4]],[2]!RAW[CONCAT_H],0),FALSE))</f>
        <v/>
      </c>
      <c r="AQ1258" s="39" t="str">
        <f>IF(NOTA[[#This Row],[CONCAT1]]="","",MATCH(NOTA[[#This Row],[CONCAT1]],[3]!db[NB NOTA_C],0))</f>
        <v/>
      </c>
      <c r="AR1258" s="39" t="str">
        <f>IF(NOTA[[#This Row],[QTY/ CTN]]="","",TRUE)</f>
        <v/>
      </c>
      <c r="AS1258" s="39" t="str">
        <f ca="1">IF(NOTA[[#This Row],[ID_H]]="","",IF(NOTA[[#This Row],[Column3]]=TRUE,NOTA[[#This Row],[QTY/ CTN]],INDEX([3]!db[QTY/ CTN],NOTA[[#This Row],[//DB]])))</f>
        <v/>
      </c>
      <c r="AT12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8" s="39" t="str">
        <f ca="1">IF(NOTA[[#This Row],[ID_H]]="","",MATCH(NOTA[[#This Row],[NB NOTA_C_QTY]],[4]!db[NB NOTA_C_QTY+F],0))</f>
        <v/>
      </c>
      <c r="AV1258" s="55" t="str">
        <f ca="1">IF(NOTA[[#This Row],[NB NOTA_C_QTY]]="","",ROW()-2)</f>
        <v/>
      </c>
    </row>
    <row r="1259" spans="1:48" ht="20.100000000000001" customHeight="1" x14ac:dyDescent="0.25">
      <c r="A12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9" s="39" t="str">
        <f>IF(NOTA[[#This Row],[ID_P]]="","",MATCH(NOTA[[#This Row],[ID_P]],[1]!B_MSK[N_ID],0))</f>
        <v/>
      </c>
      <c r="D1259" s="39" t="str">
        <f ca="1">IF(NOTA[[#This Row],[NAMA BARANG]]="","",INDEX(NOTA[ID],MATCH(,INDIRECT(ADDRESS(ROW(NOTA[ID]),COLUMN(NOTA[ID]))&amp;":"&amp;ADDRESS(ROW(),COLUMN(NOTA[ID]))),-1)))</f>
        <v/>
      </c>
      <c r="E1259" s="47"/>
      <c r="H1259" s="48"/>
      <c r="N1259" s="39"/>
      <c r="Q1259" s="43"/>
      <c r="R1259" s="49"/>
      <c r="S1259" s="50"/>
      <c r="U1259" s="51"/>
      <c r="V1259" s="46"/>
      <c r="W1259" s="51" t="str">
        <f>IF(NOTA[[#This Row],[HARGA/ CTN]]="",NOTA[[#This Row],[JUMLAH_H]],NOTA[[#This Row],[HARGA/ CTN]]*IF(NOTA[[#This Row],[C]]="",0,NOTA[[#This Row],[C]]))</f>
        <v/>
      </c>
      <c r="X1259" s="51" t="str">
        <f>IF(NOTA[[#This Row],[JUMLAH]]="","",NOTA[[#This Row],[JUMLAH]]*NOTA[[#This Row],[DISC 1]])</f>
        <v/>
      </c>
      <c r="Y1259" s="51" t="str">
        <f>IF(NOTA[[#This Row],[JUMLAH]]="","",(NOTA[[#This Row],[JUMLAH]]-NOTA[[#This Row],[DISC 1-]])*NOTA[[#This Row],[DISC 2]])</f>
        <v/>
      </c>
      <c r="Z1259" s="51" t="str">
        <f>IF(NOTA[[#This Row],[JUMLAH]]="","",NOTA[[#This Row],[DISC 1-]]+NOTA[[#This Row],[DISC 2-]])</f>
        <v/>
      </c>
      <c r="AA1259" s="51" t="str">
        <f>IF(NOTA[[#This Row],[JUMLAH]]="","",NOTA[[#This Row],[JUMLAH]]-NOTA[[#This Row],[DISC]])</f>
        <v/>
      </c>
      <c r="AB1259" s="51"/>
      <c r="AC1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9" s="51" t="str">
        <f>IF(OR(NOTA[[#This Row],[QTY]]="",NOTA[[#This Row],[HARGA SATUAN]]="",),"",NOTA[[#This Row],[QTY]]*NOTA[[#This Row],[HARGA SATUAN]])</f>
        <v/>
      </c>
      <c r="AG1259" s="40" t="str">
        <f ca="1">IF(NOTA[ID_H]="","",INDEX(NOTA[TANGGAL],MATCH(,INDIRECT(ADDRESS(ROW(NOTA[TANGGAL]),COLUMN(NOTA[TANGGAL]))&amp;":"&amp;ADDRESS(ROW(),COLUMN(NOTA[TANGGAL]))),-1)))</f>
        <v/>
      </c>
      <c r="AH1259" s="42" t="str">
        <f ca="1">IF(NOTA[[#This Row],[NAMA BARANG]]="","",INDEX(NOTA[SUPPLIER],MATCH(,INDIRECT(ADDRESS(ROW(NOTA[ID]),COLUMN(NOTA[ID]))&amp;":"&amp;ADDRESS(ROW(),COLUMN(NOTA[ID]))),-1)))</f>
        <v/>
      </c>
      <c r="AI1259" s="42" t="str">
        <f ca="1">IF(NOTA[[#This Row],[ID_H]]="","",IF(NOTA[[#This Row],[FAKTUR]]="",INDIRECT(ADDRESS(ROW()-1,COLUMN())),NOTA[[#This Row],[FAKTUR]]))</f>
        <v/>
      </c>
      <c r="AJ1259" s="39" t="str">
        <f ca="1">IF(NOTA[[#This Row],[ID]]="","",COUNTIF(NOTA[ID_H],NOTA[[#This Row],[ID_H]]))</f>
        <v/>
      </c>
      <c r="AK1259" s="39" t="str">
        <f ca="1">IF(NOTA[[#This Row],[TGL.NOTA]]="",IF(NOTA[[#This Row],[SUPPLIER_H]]="","",AK1258),MONTH(NOTA[[#This Row],[TGL.NOTA]]))</f>
        <v/>
      </c>
      <c r="AL1259" s="39" t="str">
        <f>LOWER(SUBSTITUTE(SUBSTITUTE(SUBSTITUTE(SUBSTITUTE(SUBSTITUTE(SUBSTITUTE(SUBSTITUTE(SUBSTITUTE(SUBSTITUTE(NOTA[NAMA BARANG]," ",),".",""),"-",""),"(",""),")",""),",",""),"/",""),"""",""),"+",""))</f>
        <v/>
      </c>
      <c r="AM12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9" s="39" t="str">
        <f>IF(NOTA[[#This Row],[CONCAT4]]="","",_xlfn.IFNA(MATCH(NOTA[[#This Row],[CONCAT4]],[2]!RAW[CONCAT_H],0),FALSE))</f>
        <v/>
      </c>
      <c r="AQ1259" s="39" t="str">
        <f>IF(NOTA[[#This Row],[CONCAT1]]="","",MATCH(NOTA[[#This Row],[CONCAT1]],[3]!db[NB NOTA_C],0))</f>
        <v/>
      </c>
      <c r="AR1259" s="39" t="str">
        <f>IF(NOTA[[#This Row],[QTY/ CTN]]="","",TRUE)</f>
        <v/>
      </c>
      <c r="AS1259" s="39" t="str">
        <f ca="1">IF(NOTA[[#This Row],[ID_H]]="","",IF(NOTA[[#This Row],[Column3]]=TRUE,NOTA[[#This Row],[QTY/ CTN]],INDEX([3]!db[QTY/ CTN],NOTA[[#This Row],[//DB]])))</f>
        <v/>
      </c>
      <c r="AT12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9" s="39" t="str">
        <f ca="1">IF(NOTA[[#This Row],[ID_H]]="","",MATCH(NOTA[[#This Row],[NB NOTA_C_QTY]],[4]!db[NB NOTA_C_QTY+F],0))</f>
        <v/>
      </c>
      <c r="AV1259" s="55" t="str">
        <f ca="1">IF(NOTA[[#This Row],[NB NOTA_C_QTY]]="","",ROW()-2)</f>
        <v/>
      </c>
    </row>
    <row r="1260" spans="1:48" ht="20.100000000000001" customHeight="1" x14ac:dyDescent="0.25">
      <c r="A12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0" s="39" t="str">
        <f>IF(NOTA[[#This Row],[ID_P]]="","",MATCH(NOTA[[#This Row],[ID_P]],[1]!B_MSK[N_ID],0))</f>
        <v/>
      </c>
      <c r="D1260" s="39" t="str">
        <f ca="1">IF(NOTA[[#This Row],[NAMA BARANG]]="","",INDEX(NOTA[ID],MATCH(,INDIRECT(ADDRESS(ROW(NOTA[ID]),COLUMN(NOTA[ID]))&amp;":"&amp;ADDRESS(ROW(),COLUMN(NOTA[ID]))),-1)))</f>
        <v/>
      </c>
      <c r="E1260" s="47"/>
      <c r="H1260" s="48"/>
      <c r="N1260" s="39"/>
      <c r="Q1260" s="43"/>
      <c r="R1260" s="49"/>
      <c r="S1260" s="50"/>
      <c r="U1260" s="51"/>
      <c r="V1260" s="46"/>
      <c r="W1260" s="51" t="str">
        <f>IF(NOTA[[#This Row],[HARGA/ CTN]]="",NOTA[[#This Row],[JUMLAH_H]],NOTA[[#This Row],[HARGA/ CTN]]*IF(NOTA[[#This Row],[C]]="",0,NOTA[[#This Row],[C]]))</f>
        <v/>
      </c>
      <c r="X1260" s="51" t="str">
        <f>IF(NOTA[[#This Row],[JUMLAH]]="","",NOTA[[#This Row],[JUMLAH]]*NOTA[[#This Row],[DISC 1]])</f>
        <v/>
      </c>
      <c r="Y1260" s="51" t="str">
        <f>IF(NOTA[[#This Row],[JUMLAH]]="","",(NOTA[[#This Row],[JUMLAH]]-NOTA[[#This Row],[DISC 1-]])*NOTA[[#This Row],[DISC 2]])</f>
        <v/>
      </c>
      <c r="Z1260" s="51" t="str">
        <f>IF(NOTA[[#This Row],[JUMLAH]]="","",NOTA[[#This Row],[DISC 1-]]+NOTA[[#This Row],[DISC 2-]])</f>
        <v/>
      </c>
      <c r="AA1260" s="51" t="str">
        <f>IF(NOTA[[#This Row],[JUMLAH]]="","",NOTA[[#This Row],[JUMLAH]]-NOTA[[#This Row],[DISC]])</f>
        <v/>
      </c>
      <c r="AB1260" s="51"/>
      <c r="AC1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0" s="51" t="str">
        <f>IF(OR(NOTA[[#This Row],[QTY]]="",NOTA[[#This Row],[HARGA SATUAN]]="",),"",NOTA[[#This Row],[QTY]]*NOTA[[#This Row],[HARGA SATUAN]])</f>
        <v/>
      </c>
      <c r="AG1260" s="40" t="str">
        <f ca="1">IF(NOTA[ID_H]="","",INDEX(NOTA[TANGGAL],MATCH(,INDIRECT(ADDRESS(ROW(NOTA[TANGGAL]),COLUMN(NOTA[TANGGAL]))&amp;":"&amp;ADDRESS(ROW(),COLUMN(NOTA[TANGGAL]))),-1)))</f>
        <v/>
      </c>
      <c r="AH1260" s="42" t="str">
        <f ca="1">IF(NOTA[[#This Row],[NAMA BARANG]]="","",INDEX(NOTA[SUPPLIER],MATCH(,INDIRECT(ADDRESS(ROW(NOTA[ID]),COLUMN(NOTA[ID]))&amp;":"&amp;ADDRESS(ROW(),COLUMN(NOTA[ID]))),-1)))</f>
        <v/>
      </c>
      <c r="AI1260" s="42" t="str">
        <f ca="1">IF(NOTA[[#This Row],[ID_H]]="","",IF(NOTA[[#This Row],[FAKTUR]]="",INDIRECT(ADDRESS(ROW()-1,COLUMN())),NOTA[[#This Row],[FAKTUR]]))</f>
        <v/>
      </c>
      <c r="AJ1260" s="39" t="str">
        <f ca="1">IF(NOTA[[#This Row],[ID]]="","",COUNTIF(NOTA[ID_H],NOTA[[#This Row],[ID_H]]))</f>
        <v/>
      </c>
      <c r="AK1260" s="39" t="str">
        <f ca="1">IF(NOTA[[#This Row],[TGL.NOTA]]="",IF(NOTA[[#This Row],[SUPPLIER_H]]="","",AK1259),MONTH(NOTA[[#This Row],[TGL.NOTA]]))</f>
        <v/>
      </c>
      <c r="AL1260" s="39" t="str">
        <f>LOWER(SUBSTITUTE(SUBSTITUTE(SUBSTITUTE(SUBSTITUTE(SUBSTITUTE(SUBSTITUTE(SUBSTITUTE(SUBSTITUTE(SUBSTITUTE(NOTA[NAMA BARANG]," ",),".",""),"-",""),"(",""),")",""),",",""),"/",""),"""",""),"+",""))</f>
        <v/>
      </c>
      <c r="AM12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0" s="39" t="str">
        <f>IF(NOTA[[#This Row],[CONCAT4]]="","",_xlfn.IFNA(MATCH(NOTA[[#This Row],[CONCAT4]],[2]!RAW[CONCAT_H],0),FALSE))</f>
        <v/>
      </c>
      <c r="AQ1260" s="39" t="str">
        <f>IF(NOTA[[#This Row],[CONCAT1]]="","",MATCH(NOTA[[#This Row],[CONCAT1]],[3]!db[NB NOTA_C],0))</f>
        <v/>
      </c>
      <c r="AR1260" s="39" t="str">
        <f>IF(NOTA[[#This Row],[QTY/ CTN]]="","",TRUE)</f>
        <v/>
      </c>
      <c r="AS1260" s="39" t="str">
        <f ca="1">IF(NOTA[[#This Row],[ID_H]]="","",IF(NOTA[[#This Row],[Column3]]=TRUE,NOTA[[#This Row],[QTY/ CTN]],INDEX([3]!db[QTY/ CTN],NOTA[[#This Row],[//DB]])))</f>
        <v/>
      </c>
      <c r="AT12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0" s="39" t="str">
        <f ca="1">IF(NOTA[[#This Row],[ID_H]]="","",MATCH(NOTA[[#This Row],[NB NOTA_C_QTY]],[4]!db[NB NOTA_C_QTY+F],0))</f>
        <v/>
      </c>
      <c r="AV1260" s="55" t="str">
        <f ca="1">IF(NOTA[[#This Row],[NB NOTA_C_QTY]]="","",ROW()-2)</f>
        <v/>
      </c>
    </row>
    <row r="1261" spans="1:48" ht="20.100000000000001" customHeight="1" x14ac:dyDescent="0.25">
      <c r="A12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1" s="39" t="str">
        <f>IF(NOTA[[#This Row],[ID_P]]="","",MATCH(NOTA[[#This Row],[ID_P]],[1]!B_MSK[N_ID],0))</f>
        <v/>
      </c>
      <c r="D1261" s="39" t="str">
        <f ca="1">IF(NOTA[[#This Row],[NAMA BARANG]]="","",INDEX(NOTA[ID],MATCH(,INDIRECT(ADDRESS(ROW(NOTA[ID]),COLUMN(NOTA[ID]))&amp;":"&amp;ADDRESS(ROW(),COLUMN(NOTA[ID]))),-1)))</f>
        <v/>
      </c>
      <c r="E1261" s="47"/>
      <c r="H1261" s="48"/>
      <c r="N1261" s="39"/>
      <c r="Q1261" s="43"/>
      <c r="R1261" s="49"/>
      <c r="S1261" s="50"/>
      <c r="U1261" s="51"/>
      <c r="V1261" s="46"/>
      <c r="W1261" s="51" t="str">
        <f>IF(NOTA[[#This Row],[HARGA/ CTN]]="",NOTA[[#This Row],[JUMLAH_H]],NOTA[[#This Row],[HARGA/ CTN]]*IF(NOTA[[#This Row],[C]]="",0,NOTA[[#This Row],[C]]))</f>
        <v/>
      </c>
      <c r="X1261" s="51" t="str">
        <f>IF(NOTA[[#This Row],[JUMLAH]]="","",NOTA[[#This Row],[JUMLAH]]*NOTA[[#This Row],[DISC 1]])</f>
        <v/>
      </c>
      <c r="Y1261" s="51" t="str">
        <f>IF(NOTA[[#This Row],[JUMLAH]]="","",(NOTA[[#This Row],[JUMLAH]]-NOTA[[#This Row],[DISC 1-]])*NOTA[[#This Row],[DISC 2]])</f>
        <v/>
      </c>
      <c r="Z1261" s="51" t="str">
        <f>IF(NOTA[[#This Row],[JUMLAH]]="","",NOTA[[#This Row],[DISC 1-]]+NOTA[[#This Row],[DISC 2-]])</f>
        <v/>
      </c>
      <c r="AA1261" s="51" t="str">
        <f>IF(NOTA[[#This Row],[JUMLAH]]="","",NOTA[[#This Row],[JUMLAH]]-NOTA[[#This Row],[DISC]])</f>
        <v/>
      </c>
      <c r="AB1261" s="51"/>
      <c r="AC1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1" s="51" t="str">
        <f>IF(OR(NOTA[[#This Row],[QTY]]="",NOTA[[#This Row],[HARGA SATUAN]]="",),"",NOTA[[#This Row],[QTY]]*NOTA[[#This Row],[HARGA SATUAN]])</f>
        <v/>
      </c>
      <c r="AG1261" s="40" t="str">
        <f ca="1">IF(NOTA[ID_H]="","",INDEX(NOTA[TANGGAL],MATCH(,INDIRECT(ADDRESS(ROW(NOTA[TANGGAL]),COLUMN(NOTA[TANGGAL]))&amp;":"&amp;ADDRESS(ROW(),COLUMN(NOTA[TANGGAL]))),-1)))</f>
        <v/>
      </c>
      <c r="AH1261" s="42" t="str">
        <f ca="1">IF(NOTA[[#This Row],[NAMA BARANG]]="","",INDEX(NOTA[SUPPLIER],MATCH(,INDIRECT(ADDRESS(ROW(NOTA[ID]),COLUMN(NOTA[ID]))&amp;":"&amp;ADDRESS(ROW(),COLUMN(NOTA[ID]))),-1)))</f>
        <v/>
      </c>
      <c r="AI1261" s="42" t="str">
        <f ca="1">IF(NOTA[[#This Row],[ID_H]]="","",IF(NOTA[[#This Row],[FAKTUR]]="",INDIRECT(ADDRESS(ROW()-1,COLUMN())),NOTA[[#This Row],[FAKTUR]]))</f>
        <v/>
      </c>
      <c r="AJ1261" s="39" t="str">
        <f ca="1">IF(NOTA[[#This Row],[ID]]="","",COUNTIF(NOTA[ID_H],NOTA[[#This Row],[ID_H]]))</f>
        <v/>
      </c>
      <c r="AK1261" s="39" t="str">
        <f ca="1">IF(NOTA[[#This Row],[TGL.NOTA]]="",IF(NOTA[[#This Row],[SUPPLIER_H]]="","",AK1260),MONTH(NOTA[[#This Row],[TGL.NOTA]]))</f>
        <v/>
      </c>
      <c r="AL1261" s="39" t="str">
        <f>LOWER(SUBSTITUTE(SUBSTITUTE(SUBSTITUTE(SUBSTITUTE(SUBSTITUTE(SUBSTITUTE(SUBSTITUTE(SUBSTITUTE(SUBSTITUTE(NOTA[NAMA BARANG]," ",),".",""),"-",""),"(",""),")",""),",",""),"/",""),"""",""),"+",""))</f>
        <v/>
      </c>
      <c r="AM12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1" s="39" t="str">
        <f>IF(NOTA[[#This Row],[CONCAT4]]="","",_xlfn.IFNA(MATCH(NOTA[[#This Row],[CONCAT4]],[2]!RAW[CONCAT_H],0),FALSE))</f>
        <v/>
      </c>
      <c r="AQ1261" s="39" t="str">
        <f>IF(NOTA[[#This Row],[CONCAT1]]="","",MATCH(NOTA[[#This Row],[CONCAT1]],[3]!db[NB NOTA_C],0))</f>
        <v/>
      </c>
      <c r="AR1261" s="39" t="str">
        <f>IF(NOTA[[#This Row],[QTY/ CTN]]="","",TRUE)</f>
        <v/>
      </c>
      <c r="AS1261" s="39" t="str">
        <f ca="1">IF(NOTA[[#This Row],[ID_H]]="","",IF(NOTA[[#This Row],[Column3]]=TRUE,NOTA[[#This Row],[QTY/ CTN]],INDEX([3]!db[QTY/ CTN],NOTA[[#This Row],[//DB]])))</f>
        <v/>
      </c>
      <c r="AT12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1" s="39" t="str">
        <f ca="1">IF(NOTA[[#This Row],[ID_H]]="","",MATCH(NOTA[[#This Row],[NB NOTA_C_QTY]],[4]!db[NB NOTA_C_QTY+F],0))</f>
        <v/>
      </c>
      <c r="AV1261" s="55" t="str">
        <f ca="1">IF(NOTA[[#This Row],[NB NOTA_C_QTY]]="","",ROW()-2)</f>
        <v/>
      </c>
    </row>
    <row r="1262" spans="1:48" ht="20.100000000000001" customHeight="1" x14ac:dyDescent="0.25">
      <c r="A12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2" s="39" t="str">
        <f>IF(NOTA[[#This Row],[ID_P]]="","",MATCH(NOTA[[#This Row],[ID_P]],[1]!B_MSK[N_ID],0))</f>
        <v/>
      </c>
      <c r="D1262" s="39" t="str">
        <f ca="1">IF(NOTA[[#This Row],[NAMA BARANG]]="","",INDEX(NOTA[ID],MATCH(,INDIRECT(ADDRESS(ROW(NOTA[ID]),COLUMN(NOTA[ID]))&amp;":"&amp;ADDRESS(ROW(),COLUMN(NOTA[ID]))),-1)))</f>
        <v/>
      </c>
      <c r="E1262" s="47"/>
      <c r="H1262" s="48"/>
      <c r="N1262" s="39"/>
      <c r="Q1262" s="43"/>
      <c r="R1262" s="49"/>
      <c r="S1262" s="50"/>
      <c r="U1262" s="51"/>
      <c r="V1262" s="46"/>
      <c r="W1262" s="51" t="str">
        <f>IF(NOTA[[#This Row],[HARGA/ CTN]]="",NOTA[[#This Row],[JUMLAH_H]],NOTA[[#This Row],[HARGA/ CTN]]*IF(NOTA[[#This Row],[C]]="",0,NOTA[[#This Row],[C]]))</f>
        <v/>
      </c>
      <c r="X1262" s="51" t="str">
        <f>IF(NOTA[[#This Row],[JUMLAH]]="","",NOTA[[#This Row],[JUMLAH]]*NOTA[[#This Row],[DISC 1]])</f>
        <v/>
      </c>
      <c r="Y1262" s="51" t="str">
        <f>IF(NOTA[[#This Row],[JUMLAH]]="","",(NOTA[[#This Row],[JUMLAH]]-NOTA[[#This Row],[DISC 1-]])*NOTA[[#This Row],[DISC 2]])</f>
        <v/>
      </c>
      <c r="Z1262" s="51" t="str">
        <f>IF(NOTA[[#This Row],[JUMLAH]]="","",NOTA[[#This Row],[DISC 1-]]+NOTA[[#This Row],[DISC 2-]])</f>
        <v/>
      </c>
      <c r="AA1262" s="51" t="str">
        <f>IF(NOTA[[#This Row],[JUMLAH]]="","",NOTA[[#This Row],[JUMLAH]]-NOTA[[#This Row],[DISC]])</f>
        <v/>
      </c>
      <c r="AB1262" s="51"/>
      <c r="AC1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2" s="51" t="str">
        <f>IF(OR(NOTA[[#This Row],[QTY]]="",NOTA[[#This Row],[HARGA SATUAN]]="",),"",NOTA[[#This Row],[QTY]]*NOTA[[#This Row],[HARGA SATUAN]])</f>
        <v/>
      </c>
      <c r="AG1262" s="40" t="str">
        <f ca="1">IF(NOTA[ID_H]="","",INDEX(NOTA[TANGGAL],MATCH(,INDIRECT(ADDRESS(ROW(NOTA[TANGGAL]),COLUMN(NOTA[TANGGAL]))&amp;":"&amp;ADDRESS(ROW(),COLUMN(NOTA[TANGGAL]))),-1)))</f>
        <v/>
      </c>
      <c r="AH1262" s="42" t="str">
        <f ca="1">IF(NOTA[[#This Row],[NAMA BARANG]]="","",INDEX(NOTA[SUPPLIER],MATCH(,INDIRECT(ADDRESS(ROW(NOTA[ID]),COLUMN(NOTA[ID]))&amp;":"&amp;ADDRESS(ROW(),COLUMN(NOTA[ID]))),-1)))</f>
        <v/>
      </c>
      <c r="AI1262" s="42" t="str">
        <f ca="1">IF(NOTA[[#This Row],[ID_H]]="","",IF(NOTA[[#This Row],[FAKTUR]]="",INDIRECT(ADDRESS(ROW()-1,COLUMN())),NOTA[[#This Row],[FAKTUR]]))</f>
        <v/>
      </c>
      <c r="AJ1262" s="39" t="str">
        <f ca="1">IF(NOTA[[#This Row],[ID]]="","",COUNTIF(NOTA[ID_H],NOTA[[#This Row],[ID_H]]))</f>
        <v/>
      </c>
      <c r="AK1262" s="39" t="str">
        <f ca="1">IF(NOTA[[#This Row],[TGL.NOTA]]="",IF(NOTA[[#This Row],[SUPPLIER_H]]="","",AK1261),MONTH(NOTA[[#This Row],[TGL.NOTA]]))</f>
        <v/>
      </c>
      <c r="AL1262" s="39" t="str">
        <f>LOWER(SUBSTITUTE(SUBSTITUTE(SUBSTITUTE(SUBSTITUTE(SUBSTITUTE(SUBSTITUTE(SUBSTITUTE(SUBSTITUTE(SUBSTITUTE(NOTA[NAMA BARANG]," ",),".",""),"-",""),"(",""),")",""),",",""),"/",""),"""",""),"+",""))</f>
        <v/>
      </c>
      <c r="AM12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2" s="39" t="str">
        <f>IF(NOTA[[#This Row],[CONCAT4]]="","",_xlfn.IFNA(MATCH(NOTA[[#This Row],[CONCAT4]],[2]!RAW[CONCAT_H],0),FALSE))</f>
        <v/>
      </c>
      <c r="AQ1262" s="39" t="str">
        <f>IF(NOTA[[#This Row],[CONCAT1]]="","",MATCH(NOTA[[#This Row],[CONCAT1]],[3]!db[NB NOTA_C],0))</f>
        <v/>
      </c>
      <c r="AR1262" s="39" t="str">
        <f>IF(NOTA[[#This Row],[QTY/ CTN]]="","",TRUE)</f>
        <v/>
      </c>
      <c r="AS1262" s="39" t="str">
        <f ca="1">IF(NOTA[[#This Row],[ID_H]]="","",IF(NOTA[[#This Row],[Column3]]=TRUE,NOTA[[#This Row],[QTY/ CTN]],INDEX([3]!db[QTY/ CTN],NOTA[[#This Row],[//DB]])))</f>
        <v/>
      </c>
      <c r="AT12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2" s="39" t="str">
        <f ca="1">IF(NOTA[[#This Row],[ID_H]]="","",MATCH(NOTA[[#This Row],[NB NOTA_C_QTY]],[4]!db[NB NOTA_C_QTY+F],0))</f>
        <v/>
      </c>
      <c r="AV1262" s="55" t="str">
        <f ca="1">IF(NOTA[[#This Row],[NB NOTA_C_QTY]]="","",ROW()-2)</f>
        <v/>
      </c>
    </row>
    <row r="1263" spans="1:48" ht="20.100000000000001" customHeight="1" x14ac:dyDescent="0.25">
      <c r="A12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3" s="39" t="str">
        <f>IF(NOTA[[#This Row],[ID_P]]="","",MATCH(NOTA[[#This Row],[ID_P]],[1]!B_MSK[N_ID],0))</f>
        <v/>
      </c>
      <c r="D1263" s="39" t="str">
        <f ca="1">IF(NOTA[[#This Row],[NAMA BARANG]]="","",INDEX(NOTA[ID],MATCH(,INDIRECT(ADDRESS(ROW(NOTA[ID]),COLUMN(NOTA[ID]))&amp;":"&amp;ADDRESS(ROW(),COLUMN(NOTA[ID]))),-1)))</f>
        <v/>
      </c>
      <c r="E1263" s="47"/>
      <c r="H1263" s="48"/>
      <c r="N1263" s="39"/>
      <c r="Q1263" s="43"/>
      <c r="R1263" s="49"/>
      <c r="S1263" s="50"/>
      <c r="U1263" s="51"/>
      <c r="V1263" s="46"/>
      <c r="W1263" s="51" t="str">
        <f>IF(NOTA[[#This Row],[HARGA/ CTN]]="",NOTA[[#This Row],[JUMLAH_H]],NOTA[[#This Row],[HARGA/ CTN]]*IF(NOTA[[#This Row],[C]]="",0,NOTA[[#This Row],[C]]))</f>
        <v/>
      </c>
      <c r="X1263" s="51" t="str">
        <f>IF(NOTA[[#This Row],[JUMLAH]]="","",NOTA[[#This Row],[JUMLAH]]*NOTA[[#This Row],[DISC 1]])</f>
        <v/>
      </c>
      <c r="Y1263" s="51" t="str">
        <f>IF(NOTA[[#This Row],[JUMLAH]]="","",(NOTA[[#This Row],[JUMLAH]]-NOTA[[#This Row],[DISC 1-]])*NOTA[[#This Row],[DISC 2]])</f>
        <v/>
      </c>
      <c r="Z1263" s="51" t="str">
        <f>IF(NOTA[[#This Row],[JUMLAH]]="","",NOTA[[#This Row],[DISC 1-]]+NOTA[[#This Row],[DISC 2-]])</f>
        <v/>
      </c>
      <c r="AA1263" s="51" t="str">
        <f>IF(NOTA[[#This Row],[JUMLAH]]="","",NOTA[[#This Row],[JUMLAH]]-NOTA[[#This Row],[DISC]])</f>
        <v/>
      </c>
      <c r="AB1263" s="51"/>
      <c r="AC1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3" s="51" t="str">
        <f>IF(OR(NOTA[[#This Row],[QTY]]="",NOTA[[#This Row],[HARGA SATUAN]]="",),"",NOTA[[#This Row],[QTY]]*NOTA[[#This Row],[HARGA SATUAN]])</f>
        <v/>
      </c>
      <c r="AG1263" s="40" t="str">
        <f ca="1">IF(NOTA[ID_H]="","",INDEX(NOTA[TANGGAL],MATCH(,INDIRECT(ADDRESS(ROW(NOTA[TANGGAL]),COLUMN(NOTA[TANGGAL]))&amp;":"&amp;ADDRESS(ROW(),COLUMN(NOTA[TANGGAL]))),-1)))</f>
        <v/>
      </c>
      <c r="AH1263" s="42" t="str">
        <f ca="1">IF(NOTA[[#This Row],[NAMA BARANG]]="","",INDEX(NOTA[SUPPLIER],MATCH(,INDIRECT(ADDRESS(ROW(NOTA[ID]),COLUMN(NOTA[ID]))&amp;":"&amp;ADDRESS(ROW(),COLUMN(NOTA[ID]))),-1)))</f>
        <v/>
      </c>
      <c r="AI1263" s="42" t="str">
        <f ca="1">IF(NOTA[[#This Row],[ID_H]]="","",IF(NOTA[[#This Row],[FAKTUR]]="",INDIRECT(ADDRESS(ROW()-1,COLUMN())),NOTA[[#This Row],[FAKTUR]]))</f>
        <v/>
      </c>
      <c r="AJ1263" s="39" t="str">
        <f ca="1">IF(NOTA[[#This Row],[ID]]="","",COUNTIF(NOTA[ID_H],NOTA[[#This Row],[ID_H]]))</f>
        <v/>
      </c>
      <c r="AK1263" s="39" t="str">
        <f ca="1">IF(NOTA[[#This Row],[TGL.NOTA]]="",IF(NOTA[[#This Row],[SUPPLIER_H]]="","",AK1262),MONTH(NOTA[[#This Row],[TGL.NOTA]]))</f>
        <v/>
      </c>
      <c r="AL1263" s="39" t="str">
        <f>LOWER(SUBSTITUTE(SUBSTITUTE(SUBSTITUTE(SUBSTITUTE(SUBSTITUTE(SUBSTITUTE(SUBSTITUTE(SUBSTITUTE(SUBSTITUTE(NOTA[NAMA BARANG]," ",),".",""),"-",""),"(",""),")",""),",",""),"/",""),"""",""),"+",""))</f>
        <v/>
      </c>
      <c r="AM12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3" s="39" t="str">
        <f>IF(NOTA[[#This Row],[CONCAT4]]="","",_xlfn.IFNA(MATCH(NOTA[[#This Row],[CONCAT4]],[2]!RAW[CONCAT_H],0),FALSE))</f>
        <v/>
      </c>
      <c r="AQ1263" s="39" t="str">
        <f>IF(NOTA[[#This Row],[CONCAT1]]="","",MATCH(NOTA[[#This Row],[CONCAT1]],[3]!db[NB NOTA_C],0))</f>
        <v/>
      </c>
      <c r="AR1263" s="39" t="str">
        <f>IF(NOTA[[#This Row],[QTY/ CTN]]="","",TRUE)</f>
        <v/>
      </c>
      <c r="AS1263" s="39" t="str">
        <f ca="1">IF(NOTA[[#This Row],[ID_H]]="","",IF(NOTA[[#This Row],[Column3]]=TRUE,NOTA[[#This Row],[QTY/ CTN]],INDEX([3]!db[QTY/ CTN],NOTA[[#This Row],[//DB]])))</f>
        <v/>
      </c>
      <c r="AT12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3" s="39" t="str">
        <f ca="1">IF(NOTA[[#This Row],[ID_H]]="","",MATCH(NOTA[[#This Row],[NB NOTA_C_QTY]],[4]!db[NB NOTA_C_QTY+F],0))</f>
        <v/>
      </c>
      <c r="AV1263" s="55" t="str">
        <f ca="1">IF(NOTA[[#This Row],[NB NOTA_C_QTY]]="","",ROW()-2)</f>
        <v/>
      </c>
    </row>
    <row r="1264" spans="1:48" ht="20.100000000000001" customHeight="1" x14ac:dyDescent="0.25">
      <c r="A12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4" s="39" t="str">
        <f>IF(NOTA[[#This Row],[ID_P]]="","",MATCH(NOTA[[#This Row],[ID_P]],[1]!B_MSK[N_ID],0))</f>
        <v/>
      </c>
      <c r="D1264" s="39" t="str">
        <f ca="1">IF(NOTA[[#This Row],[NAMA BARANG]]="","",INDEX(NOTA[ID],MATCH(,INDIRECT(ADDRESS(ROW(NOTA[ID]),COLUMN(NOTA[ID]))&amp;":"&amp;ADDRESS(ROW(),COLUMN(NOTA[ID]))),-1)))</f>
        <v/>
      </c>
      <c r="E1264" s="47"/>
      <c r="H1264" s="48"/>
      <c r="N1264" s="39"/>
      <c r="Q1264" s="43"/>
      <c r="R1264" s="49"/>
      <c r="S1264" s="50"/>
      <c r="U1264" s="51"/>
      <c r="V1264" s="46"/>
      <c r="W1264" s="51" t="str">
        <f>IF(NOTA[[#This Row],[HARGA/ CTN]]="",NOTA[[#This Row],[JUMLAH_H]],NOTA[[#This Row],[HARGA/ CTN]]*IF(NOTA[[#This Row],[C]]="",0,NOTA[[#This Row],[C]]))</f>
        <v/>
      </c>
      <c r="X1264" s="51" t="str">
        <f>IF(NOTA[[#This Row],[JUMLAH]]="","",NOTA[[#This Row],[JUMLAH]]*NOTA[[#This Row],[DISC 1]])</f>
        <v/>
      </c>
      <c r="Y1264" s="51" t="str">
        <f>IF(NOTA[[#This Row],[JUMLAH]]="","",(NOTA[[#This Row],[JUMLAH]]-NOTA[[#This Row],[DISC 1-]])*NOTA[[#This Row],[DISC 2]])</f>
        <v/>
      </c>
      <c r="Z1264" s="51" t="str">
        <f>IF(NOTA[[#This Row],[JUMLAH]]="","",NOTA[[#This Row],[DISC 1-]]+NOTA[[#This Row],[DISC 2-]])</f>
        <v/>
      </c>
      <c r="AA1264" s="51" t="str">
        <f>IF(NOTA[[#This Row],[JUMLAH]]="","",NOTA[[#This Row],[JUMLAH]]-NOTA[[#This Row],[DISC]])</f>
        <v/>
      </c>
      <c r="AB1264" s="51"/>
      <c r="AC1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4" s="51" t="str">
        <f>IF(OR(NOTA[[#This Row],[QTY]]="",NOTA[[#This Row],[HARGA SATUAN]]="",),"",NOTA[[#This Row],[QTY]]*NOTA[[#This Row],[HARGA SATUAN]])</f>
        <v/>
      </c>
      <c r="AG1264" s="40" t="str">
        <f ca="1">IF(NOTA[ID_H]="","",INDEX(NOTA[TANGGAL],MATCH(,INDIRECT(ADDRESS(ROW(NOTA[TANGGAL]),COLUMN(NOTA[TANGGAL]))&amp;":"&amp;ADDRESS(ROW(),COLUMN(NOTA[TANGGAL]))),-1)))</f>
        <v/>
      </c>
      <c r="AH1264" s="42" t="str">
        <f ca="1">IF(NOTA[[#This Row],[NAMA BARANG]]="","",INDEX(NOTA[SUPPLIER],MATCH(,INDIRECT(ADDRESS(ROW(NOTA[ID]),COLUMN(NOTA[ID]))&amp;":"&amp;ADDRESS(ROW(),COLUMN(NOTA[ID]))),-1)))</f>
        <v/>
      </c>
      <c r="AI1264" s="42" t="str">
        <f ca="1">IF(NOTA[[#This Row],[ID_H]]="","",IF(NOTA[[#This Row],[FAKTUR]]="",INDIRECT(ADDRESS(ROW()-1,COLUMN())),NOTA[[#This Row],[FAKTUR]]))</f>
        <v/>
      </c>
      <c r="AJ1264" s="39" t="str">
        <f ca="1">IF(NOTA[[#This Row],[ID]]="","",COUNTIF(NOTA[ID_H],NOTA[[#This Row],[ID_H]]))</f>
        <v/>
      </c>
      <c r="AK1264" s="39" t="str">
        <f ca="1">IF(NOTA[[#This Row],[TGL.NOTA]]="",IF(NOTA[[#This Row],[SUPPLIER_H]]="","",AK1263),MONTH(NOTA[[#This Row],[TGL.NOTA]]))</f>
        <v/>
      </c>
      <c r="AL1264" s="39" t="str">
        <f>LOWER(SUBSTITUTE(SUBSTITUTE(SUBSTITUTE(SUBSTITUTE(SUBSTITUTE(SUBSTITUTE(SUBSTITUTE(SUBSTITUTE(SUBSTITUTE(NOTA[NAMA BARANG]," ",),".",""),"-",""),"(",""),")",""),",",""),"/",""),"""",""),"+",""))</f>
        <v/>
      </c>
      <c r="AM12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4" s="39" t="str">
        <f>IF(NOTA[[#This Row],[CONCAT4]]="","",_xlfn.IFNA(MATCH(NOTA[[#This Row],[CONCAT4]],[2]!RAW[CONCAT_H],0),FALSE))</f>
        <v/>
      </c>
      <c r="AQ1264" s="39" t="str">
        <f>IF(NOTA[[#This Row],[CONCAT1]]="","",MATCH(NOTA[[#This Row],[CONCAT1]],[3]!db[NB NOTA_C],0))</f>
        <v/>
      </c>
      <c r="AR1264" s="39" t="str">
        <f>IF(NOTA[[#This Row],[QTY/ CTN]]="","",TRUE)</f>
        <v/>
      </c>
      <c r="AS1264" s="39" t="str">
        <f ca="1">IF(NOTA[[#This Row],[ID_H]]="","",IF(NOTA[[#This Row],[Column3]]=TRUE,NOTA[[#This Row],[QTY/ CTN]],INDEX([3]!db[QTY/ CTN],NOTA[[#This Row],[//DB]])))</f>
        <v/>
      </c>
      <c r="AT12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4" s="39" t="str">
        <f ca="1">IF(NOTA[[#This Row],[ID_H]]="","",MATCH(NOTA[[#This Row],[NB NOTA_C_QTY]],[4]!db[NB NOTA_C_QTY+F],0))</f>
        <v/>
      </c>
      <c r="AV1264" s="55" t="str">
        <f ca="1">IF(NOTA[[#This Row],[NB NOTA_C_QTY]]="","",ROW()-2)</f>
        <v/>
      </c>
    </row>
    <row r="1265" spans="1:48" ht="20.100000000000001" customHeight="1" x14ac:dyDescent="0.25">
      <c r="A12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5" s="39" t="str">
        <f>IF(NOTA[[#This Row],[ID_P]]="","",MATCH(NOTA[[#This Row],[ID_P]],[1]!B_MSK[N_ID],0))</f>
        <v/>
      </c>
      <c r="D1265" s="39" t="str">
        <f ca="1">IF(NOTA[[#This Row],[NAMA BARANG]]="","",INDEX(NOTA[ID],MATCH(,INDIRECT(ADDRESS(ROW(NOTA[ID]),COLUMN(NOTA[ID]))&amp;":"&amp;ADDRESS(ROW(),COLUMN(NOTA[ID]))),-1)))</f>
        <v/>
      </c>
      <c r="E1265" s="47"/>
      <c r="H1265" s="48"/>
      <c r="N1265" s="39"/>
      <c r="Q1265" s="43"/>
      <c r="R1265" s="49"/>
      <c r="S1265" s="50"/>
      <c r="U1265" s="51"/>
      <c r="V1265" s="46"/>
      <c r="W1265" s="51" t="str">
        <f>IF(NOTA[[#This Row],[HARGA/ CTN]]="",NOTA[[#This Row],[JUMLAH_H]],NOTA[[#This Row],[HARGA/ CTN]]*IF(NOTA[[#This Row],[C]]="",0,NOTA[[#This Row],[C]]))</f>
        <v/>
      </c>
      <c r="X1265" s="51" t="str">
        <f>IF(NOTA[[#This Row],[JUMLAH]]="","",NOTA[[#This Row],[JUMLAH]]*NOTA[[#This Row],[DISC 1]])</f>
        <v/>
      </c>
      <c r="Y1265" s="51" t="str">
        <f>IF(NOTA[[#This Row],[JUMLAH]]="","",(NOTA[[#This Row],[JUMLAH]]-NOTA[[#This Row],[DISC 1-]])*NOTA[[#This Row],[DISC 2]])</f>
        <v/>
      </c>
      <c r="Z1265" s="51" t="str">
        <f>IF(NOTA[[#This Row],[JUMLAH]]="","",NOTA[[#This Row],[DISC 1-]]+NOTA[[#This Row],[DISC 2-]])</f>
        <v/>
      </c>
      <c r="AA1265" s="51" t="str">
        <f>IF(NOTA[[#This Row],[JUMLAH]]="","",NOTA[[#This Row],[JUMLAH]]-NOTA[[#This Row],[DISC]])</f>
        <v/>
      </c>
      <c r="AB1265" s="51"/>
      <c r="AC1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5" s="51" t="str">
        <f>IF(OR(NOTA[[#This Row],[QTY]]="",NOTA[[#This Row],[HARGA SATUAN]]="",),"",NOTA[[#This Row],[QTY]]*NOTA[[#This Row],[HARGA SATUAN]])</f>
        <v/>
      </c>
      <c r="AG1265" s="40" t="str">
        <f ca="1">IF(NOTA[ID_H]="","",INDEX(NOTA[TANGGAL],MATCH(,INDIRECT(ADDRESS(ROW(NOTA[TANGGAL]),COLUMN(NOTA[TANGGAL]))&amp;":"&amp;ADDRESS(ROW(),COLUMN(NOTA[TANGGAL]))),-1)))</f>
        <v/>
      </c>
      <c r="AH1265" s="42" t="str">
        <f ca="1">IF(NOTA[[#This Row],[NAMA BARANG]]="","",INDEX(NOTA[SUPPLIER],MATCH(,INDIRECT(ADDRESS(ROW(NOTA[ID]),COLUMN(NOTA[ID]))&amp;":"&amp;ADDRESS(ROW(),COLUMN(NOTA[ID]))),-1)))</f>
        <v/>
      </c>
      <c r="AI1265" s="42" t="str">
        <f ca="1">IF(NOTA[[#This Row],[ID_H]]="","",IF(NOTA[[#This Row],[FAKTUR]]="",INDIRECT(ADDRESS(ROW()-1,COLUMN())),NOTA[[#This Row],[FAKTUR]]))</f>
        <v/>
      </c>
      <c r="AJ1265" s="39" t="str">
        <f ca="1">IF(NOTA[[#This Row],[ID]]="","",COUNTIF(NOTA[ID_H],NOTA[[#This Row],[ID_H]]))</f>
        <v/>
      </c>
      <c r="AK1265" s="39" t="str">
        <f ca="1">IF(NOTA[[#This Row],[TGL.NOTA]]="",IF(NOTA[[#This Row],[SUPPLIER_H]]="","",AK1264),MONTH(NOTA[[#This Row],[TGL.NOTA]]))</f>
        <v/>
      </c>
      <c r="AL1265" s="39" t="str">
        <f>LOWER(SUBSTITUTE(SUBSTITUTE(SUBSTITUTE(SUBSTITUTE(SUBSTITUTE(SUBSTITUTE(SUBSTITUTE(SUBSTITUTE(SUBSTITUTE(NOTA[NAMA BARANG]," ",),".",""),"-",""),"(",""),")",""),",",""),"/",""),"""",""),"+",""))</f>
        <v/>
      </c>
      <c r="AM12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5" s="39" t="str">
        <f>IF(NOTA[[#This Row],[CONCAT4]]="","",_xlfn.IFNA(MATCH(NOTA[[#This Row],[CONCAT4]],[2]!RAW[CONCAT_H],0),FALSE))</f>
        <v/>
      </c>
      <c r="AQ1265" s="39" t="str">
        <f>IF(NOTA[[#This Row],[CONCAT1]]="","",MATCH(NOTA[[#This Row],[CONCAT1]],[3]!db[NB NOTA_C],0))</f>
        <v/>
      </c>
      <c r="AR1265" s="39" t="str">
        <f>IF(NOTA[[#This Row],[QTY/ CTN]]="","",TRUE)</f>
        <v/>
      </c>
      <c r="AS1265" s="39" t="str">
        <f ca="1">IF(NOTA[[#This Row],[ID_H]]="","",IF(NOTA[[#This Row],[Column3]]=TRUE,NOTA[[#This Row],[QTY/ CTN]],INDEX([3]!db[QTY/ CTN],NOTA[[#This Row],[//DB]])))</f>
        <v/>
      </c>
      <c r="AT12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5" s="39" t="str">
        <f ca="1">IF(NOTA[[#This Row],[ID_H]]="","",MATCH(NOTA[[#This Row],[NB NOTA_C_QTY]],[4]!db[NB NOTA_C_QTY+F],0))</f>
        <v/>
      </c>
      <c r="AV1265" s="55" t="str">
        <f ca="1">IF(NOTA[[#This Row],[NB NOTA_C_QTY]]="","",ROW()-2)</f>
        <v/>
      </c>
    </row>
    <row r="1266" spans="1:48" ht="20.100000000000001" customHeight="1" x14ac:dyDescent="0.25">
      <c r="A12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6" s="39" t="str">
        <f>IF(NOTA[[#This Row],[ID_P]]="","",MATCH(NOTA[[#This Row],[ID_P]],[1]!B_MSK[N_ID],0))</f>
        <v/>
      </c>
      <c r="D1266" s="39" t="str">
        <f ca="1">IF(NOTA[[#This Row],[NAMA BARANG]]="","",INDEX(NOTA[ID],MATCH(,INDIRECT(ADDRESS(ROW(NOTA[ID]),COLUMN(NOTA[ID]))&amp;":"&amp;ADDRESS(ROW(),COLUMN(NOTA[ID]))),-1)))</f>
        <v/>
      </c>
      <c r="E1266" s="47"/>
      <c r="H1266" s="48"/>
      <c r="N1266" s="39"/>
      <c r="Q1266" s="43"/>
      <c r="R1266" s="49"/>
      <c r="S1266" s="50"/>
      <c r="U1266" s="51"/>
      <c r="V1266" s="46"/>
      <c r="W1266" s="51" t="str">
        <f>IF(NOTA[[#This Row],[HARGA/ CTN]]="",NOTA[[#This Row],[JUMLAH_H]],NOTA[[#This Row],[HARGA/ CTN]]*IF(NOTA[[#This Row],[C]]="",0,NOTA[[#This Row],[C]]))</f>
        <v/>
      </c>
      <c r="X1266" s="51" t="str">
        <f>IF(NOTA[[#This Row],[JUMLAH]]="","",NOTA[[#This Row],[JUMLAH]]*NOTA[[#This Row],[DISC 1]])</f>
        <v/>
      </c>
      <c r="Y1266" s="51" t="str">
        <f>IF(NOTA[[#This Row],[JUMLAH]]="","",(NOTA[[#This Row],[JUMLAH]]-NOTA[[#This Row],[DISC 1-]])*NOTA[[#This Row],[DISC 2]])</f>
        <v/>
      </c>
      <c r="Z1266" s="51" t="str">
        <f>IF(NOTA[[#This Row],[JUMLAH]]="","",NOTA[[#This Row],[DISC 1-]]+NOTA[[#This Row],[DISC 2-]])</f>
        <v/>
      </c>
      <c r="AA1266" s="51" t="str">
        <f>IF(NOTA[[#This Row],[JUMLAH]]="","",NOTA[[#This Row],[JUMLAH]]-NOTA[[#This Row],[DISC]])</f>
        <v/>
      </c>
      <c r="AB1266" s="51"/>
      <c r="AC12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6" s="51" t="str">
        <f>IF(OR(NOTA[[#This Row],[QTY]]="",NOTA[[#This Row],[HARGA SATUAN]]="",),"",NOTA[[#This Row],[QTY]]*NOTA[[#This Row],[HARGA SATUAN]])</f>
        <v/>
      </c>
      <c r="AG1266" s="40" t="str">
        <f ca="1">IF(NOTA[ID_H]="","",INDEX(NOTA[TANGGAL],MATCH(,INDIRECT(ADDRESS(ROW(NOTA[TANGGAL]),COLUMN(NOTA[TANGGAL]))&amp;":"&amp;ADDRESS(ROW(),COLUMN(NOTA[TANGGAL]))),-1)))</f>
        <v/>
      </c>
      <c r="AH1266" s="42" t="str">
        <f ca="1">IF(NOTA[[#This Row],[NAMA BARANG]]="","",INDEX(NOTA[SUPPLIER],MATCH(,INDIRECT(ADDRESS(ROW(NOTA[ID]),COLUMN(NOTA[ID]))&amp;":"&amp;ADDRESS(ROW(),COLUMN(NOTA[ID]))),-1)))</f>
        <v/>
      </c>
      <c r="AI1266" s="42" t="str">
        <f ca="1">IF(NOTA[[#This Row],[ID_H]]="","",IF(NOTA[[#This Row],[FAKTUR]]="",INDIRECT(ADDRESS(ROW()-1,COLUMN())),NOTA[[#This Row],[FAKTUR]]))</f>
        <v/>
      </c>
      <c r="AJ1266" s="39" t="str">
        <f ca="1">IF(NOTA[[#This Row],[ID]]="","",COUNTIF(NOTA[ID_H],NOTA[[#This Row],[ID_H]]))</f>
        <v/>
      </c>
      <c r="AK1266" s="39" t="str">
        <f ca="1">IF(NOTA[[#This Row],[TGL.NOTA]]="",IF(NOTA[[#This Row],[SUPPLIER_H]]="","",AK1265),MONTH(NOTA[[#This Row],[TGL.NOTA]]))</f>
        <v/>
      </c>
      <c r="AL1266" s="39" t="str">
        <f>LOWER(SUBSTITUTE(SUBSTITUTE(SUBSTITUTE(SUBSTITUTE(SUBSTITUTE(SUBSTITUTE(SUBSTITUTE(SUBSTITUTE(SUBSTITUTE(NOTA[NAMA BARANG]," ",),".",""),"-",""),"(",""),")",""),",",""),"/",""),"""",""),"+",""))</f>
        <v/>
      </c>
      <c r="AM12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6" s="39" t="str">
        <f>IF(NOTA[[#This Row],[CONCAT4]]="","",_xlfn.IFNA(MATCH(NOTA[[#This Row],[CONCAT4]],[2]!RAW[CONCAT_H],0),FALSE))</f>
        <v/>
      </c>
      <c r="AQ1266" s="39" t="str">
        <f>IF(NOTA[[#This Row],[CONCAT1]]="","",MATCH(NOTA[[#This Row],[CONCAT1]],[3]!db[NB NOTA_C],0))</f>
        <v/>
      </c>
      <c r="AR1266" s="39" t="str">
        <f>IF(NOTA[[#This Row],[QTY/ CTN]]="","",TRUE)</f>
        <v/>
      </c>
      <c r="AS1266" s="39" t="str">
        <f ca="1">IF(NOTA[[#This Row],[ID_H]]="","",IF(NOTA[[#This Row],[Column3]]=TRUE,NOTA[[#This Row],[QTY/ CTN]],INDEX([3]!db[QTY/ CTN],NOTA[[#This Row],[//DB]])))</f>
        <v/>
      </c>
      <c r="AT12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6" s="39" t="str">
        <f ca="1">IF(NOTA[[#This Row],[ID_H]]="","",MATCH(NOTA[[#This Row],[NB NOTA_C_QTY]],[4]!db[NB NOTA_C_QTY+F],0))</f>
        <v/>
      </c>
      <c r="AV1266" s="55" t="str">
        <f ca="1">IF(NOTA[[#This Row],[NB NOTA_C_QTY]]="","",ROW()-2)</f>
        <v/>
      </c>
    </row>
    <row r="1267" spans="1:48" ht="20.100000000000001" customHeight="1" x14ac:dyDescent="0.25">
      <c r="A12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7" s="39" t="str">
        <f>IF(NOTA[[#This Row],[ID_P]]="","",MATCH(NOTA[[#This Row],[ID_P]],[1]!B_MSK[N_ID],0))</f>
        <v/>
      </c>
      <c r="D1267" s="39" t="str">
        <f ca="1">IF(NOTA[[#This Row],[NAMA BARANG]]="","",INDEX(NOTA[ID],MATCH(,INDIRECT(ADDRESS(ROW(NOTA[ID]),COLUMN(NOTA[ID]))&amp;":"&amp;ADDRESS(ROW(),COLUMN(NOTA[ID]))),-1)))</f>
        <v/>
      </c>
      <c r="E1267" s="47"/>
      <c r="H1267" s="48"/>
      <c r="N1267" s="39"/>
      <c r="Q1267" s="43"/>
      <c r="R1267" s="49"/>
      <c r="S1267" s="50"/>
      <c r="U1267" s="51"/>
      <c r="V1267" s="46"/>
      <c r="W1267" s="51" t="str">
        <f>IF(NOTA[[#This Row],[HARGA/ CTN]]="",NOTA[[#This Row],[JUMLAH_H]],NOTA[[#This Row],[HARGA/ CTN]]*IF(NOTA[[#This Row],[C]]="",0,NOTA[[#This Row],[C]]))</f>
        <v/>
      </c>
      <c r="X1267" s="51" t="str">
        <f>IF(NOTA[[#This Row],[JUMLAH]]="","",NOTA[[#This Row],[JUMLAH]]*NOTA[[#This Row],[DISC 1]])</f>
        <v/>
      </c>
      <c r="Y1267" s="51" t="str">
        <f>IF(NOTA[[#This Row],[JUMLAH]]="","",(NOTA[[#This Row],[JUMLAH]]-NOTA[[#This Row],[DISC 1-]])*NOTA[[#This Row],[DISC 2]])</f>
        <v/>
      </c>
      <c r="Z1267" s="51" t="str">
        <f>IF(NOTA[[#This Row],[JUMLAH]]="","",NOTA[[#This Row],[DISC 1-]]+NOTA[[#This Row],[DISC 2-]])</f>
        <v/>
      </c>
      <c r="AA1267" s="51" t="str">
        <f>IF(NOTA[[#This Row],[JUMLAH]]="","",NOTA[[#This Row],[JUMLAH]]-NOTA[[#This Row],[DISC]])</f>
        <v/>
      </c>
      <c r="AB1267" s="51"/>
      <c r="AC1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7" s="51" t="str">
        <f>IF(OR(NOTA[[#This Row],[QTY]]="",NOTA[[#This Row],[HARGA SATUAN]]="",),"",NOTA[[#This Row],[QTY]]*NOTA[[#This Row],[HARGA SATUAN]])</f>
        <v/>
      </c>
      <c r="AG1267" s="40" t="str">
        <f ca="1">IF(NOTA[ID_H]="","",INDEX(NOTA[TANGGAL],MATCH(,INDIRECT(ADDRESS(ROW(NOTA[TANGGAL]),COLUMN(NOTA[TANGGAL]))&amp;":"&amp;ADDRESS(ROW(),COLUMN(NOTA[TANGGAL]))),-1)))</f>
        <v/>
      </c>
      <c r="AH1267" s="42" t="str">
        <f ca="1">IF(NOTA[[#This Row],[NAMA BARANG]]="","",INDEX(NOTA[SUPPLIER],MATCH(,INDIRECT(ADDRESS(ROW(NOTA[ID]),COLUMN(NOTA[ID]))&amp;":"&amp;ADDRESS(ROW(),COLUMN(NOTA[ID]))),-1)))</f>
        <v/>
      </c>
      <c r="AI1267" s="42" t="str">
        <f ca="1">IF(NOTA[[#This Row],[ID_H]]="","",IF(NOTA[[#This Row],[FAKTUR]]="",INDIRECT(ADDRESS(ROW()-1,COLUMN())),NOTA[[#This Row],[FAKTUR]]))</f>
        <v/>
      </c>
      <c r="AJ1267" s="39" t="str">
        <f ca="1">IF(NOTA[[#This Row],[ID]]="","",COUNTIF(NOTA[ID_H],NOTA[[#This Row],[ID_H]]))</f>
        <v/>
      </c>
      <c r="AK1267" s="39" t="str">
        <f ca="1">IF(NOTA[[#This Row],[TGL.NOTA]]="",IF(NOTA[[#This Row],[SUPPLIER_H]]="","",AK1266),MONTH(NOTA[[#This Row],[TGL.NOTA]]))</f>
        <v/>
      </c>
      <c r="AL1267" s="39" t="str">
        <f>LOWER(SUBSTITUTE(SUBSTITUTE(SUBSTITUTE(SUBSTITUTE(SUBSTITUTE(SUBSTITUTE(SUBSTITUTE(SUBSTITUTE(SUBSTITUTE(NOTA[NAMA BARANG]," ",),".",""),"-",""),"(",""),")",""),",",""),"/",""),"""",""),"+",""))</f>
        <v/>
      </c>
      <c r="AM12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7" s="39" t="str">
        <f>IF(NOTA[[#This Row],[CONCAT4]]="","",_xlfn.IFNA(MATCH(NOTA[[#This Row],[CONCAT4]],[2]!RAW[CONCAT_H],0),FALSE))</f>
        <v/>
      </c>
      <c r="AQ1267" s="39" t="str">
        <f>IF(NOTA[[#This Row],[CONCAT1]]="","",MATCH(NOTA[[#This Row],[CONCAT1]],[3]!db[NB NOTA_C],0))</f>
        <v/>
      </c>
      <c r="AR1267" s="39" t="str">
        <f>IF(NOTA[[#This Row],[QTY/ CTN]]="","",TRUE)</f>
        <v/>
      </c>
      <c r="AS1267" s="39" t="str">
        <f ca="1">IF(NOTA[[#This Row],[ID_H]]="","",IF(NOTA[[#This Row],[Column3]]=TRUE,NOTA[[#This Row],[QTY/ CTN]],INDEX([3]!db[QTY/ CTN],NOTA[[#This Row],[//DB]])))</f>
        <v/>
      </c>
      <c r="AT12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7" s="39" t="str">
        <f ca="1">IF(NOTA[[#This Row],[ID_H]]="","",MATCH(NOTA[[#This Row],[NB NOTA_C_QTY]],[4]!db[NB NOTA_C_QTY+F],0))</f>
        <v/>
      </c>
      <c r="AV1267" s="55" t="str">
        <f ca="1">IF(NOTA[[#This Row],[NB NOTA_C_QTY]]="","",ROW()-2)</f>
        <v/>
      </c>
    </row>
    <row r="1268" spans="1:48" ht="20.100000000000001" customHeight="1" x14ac:dyDescent="0.25">
      <c r="A12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8" s="39" t="str">
        <f>IF(NOTA[[#This Row],[ID_P]]="","",MATCH(NOTA[[#This Row],[ID_P]],[1]!B_MSK[N_ID],0))</f>
        <v/>
      </c>
      <c r="D1268" s="39" t="str">
        <f ca="1">IF(NOTA[[#This Row],[NAMA BARANG]]="","",INDEX(NOTA[ID],MATCH(,INDIRECT(ADDRESS(ROW(NOTA[ID]),COLUMN(NOTA[ID]))&amp;":"&amp;ADDRESS(ROW(),COLUMN(NOTA[ID]))),-1)))</f>
        <v/>
      </c>
      <c r="E1268" s="47"/>
      <c r="H1268" s="48"/>
      <c r="N1268" s="39"/>
      <c r="Q1268" s="43"/>
      <c r="R1268" s="49"/>
      <c r="S1268" s="50"/>
      <c r="U1268" s="51"/>
      <c r="V1268" s="46"/>
      <c r="W1268" s="51" t="str">
        <f>IF(NOTA[[#This Row],[HARGA/ CTN]]="",NOTA[[#This Row],[JUMLAH_H]],NOTA[[#This Row],[HARGA/ CTN]]*IF(NOTA[[#This Row],[C]]="",0,NOTA[[#This Row],[C]]))</f>
        <v/>
      </c>
      <c r="X1268" s="51" t="str">
        <f>IF(NOTA[[#This Row],[JUMLAH]]="","",NOTA[[#This Row],[JUMLAH]]*NOTA[[#This Row],[DISC 1]])</f>
        <v/>
      </c>
      <c r="Y1268" s="51" t="str">
        <f>IF(NOTA[[#This Row],[JUMLAH]]="","",(NOTA[[#This Row],[JUMLAH]]-NOTA[[#This Row],[DISC 1-]])*NOTA[[#This Row],[DISC 2]])</f>
        <v/>
      </c>
      <c r="Z1268" s="51" t="str">
        <f>IF(NOTA[[#This Row],[JUMLAH]]="","",NOTA[[#This Row],[DISC 1-]]+NOTA[[#This Row],[DISC 2-]])</f>
        <v/>
      </c>
      <c r="AA1268" s="51" t="str">
        <f>IF(NOTA[[#This Row],[JUMLAH]]="","",NOTA[[#This Row],[JUMLAH]]-NOTA[[#This Row],[DISC]])</f>
        <v/>
      </c>
      <c r="AB1268" s="51"/>
      <c r="AC1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8" s="51" t="str">
        <f>IF(OR(NOTA[[#This Row],[QTY]]="",NOTA[[#This Row],[HARGA SATUAN]]="",),"",NOTA[[#This Row],[QTY]]*NOTA[[#This Row],[HARGA SATUAN]])</f>
        <v/>
      </c>
      <c r="AG1268" s="40" t="str">
        <f ca="1">IF(NOTA[ID_H]="","",INDEX(NOTA[TANGGAL],MATCH(,INDIRECT(ADDRESS(ROW(NOTA[TANGGAL]),COLUMN(NOTA[TANGGAL]))&amp;":"&amp;ADDRESS(ROW(),COLUMN(NOTA[TANGGAL]))),-1)))</f>
        <v/>
      </c>
      <c r="AH1268" s="42" t="str">
        <f ca="1">IF(NOTA[[#This Row],[NAMA BARANG]]="","",INDEX(NOTA[SUPPLIER],MATCH(,INDIRECT(ADDRESS(ROW(NOTA[ID]),COLUMN(NOTA[ID]))&amp;":"&amp;ADDRESS(ROW(),COLUMN(NOTA[ID]))),-1)))</f>
        <v/>
      </c>
      <c r="AI1268" s="42" t="str">
        <f ca="1">IF(NOTA[[#This Row],[ID_H]]="","",IF(NOTA[[#This Row],[FAKTUR]]="",INDIRECT(ADDRESS(ROW()-1,COLUMN())),NOTA[[#This Row],[FAKTUR]]))</f>
        <v/>
      </c>
      <c r="AJ1268" s="39" t="str">
        <f ca="1">IF(NOTA[[#This Row],[ID]]="","",COUNTIF(NOTA[ID_H],NOTA[[#This Row],[ID_H]]))</f>
        <v/>
      </c>
      <c r="AK1268" s="39" t="str">
        <f ca="1">IF(NOTA[[#This Row],[TGL.NOTA]]="",IF(NOTA[[#This Row],[SUPPLIER_H]]="","",AK1267),MONTH(NOTA[[#This Row],[TGL.NOTA]]))</f>
        <v/>
      </c>
      <c r="AL1268" s="39" t="str">
        <f>LOWER(SUBSTITUTE(SUBSTITUTE(SUBSTITUTE(SUBSTITUTE(SUBSTITUTE(SUBSTITUTE(SUBSTITUTE(SUBSTITUTE(SUBSTITUTE(NOTA[NAMA BARANG]," ",),".",""),"-",""),"(",""),")",""),",",""),"/",""),"""",""),"+",""))</f>
        <v/>
      </c>
      <c r="AM12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8" s="39" t="str">
        <f>IF(NOTA[[#This Row],[CONCAT4]]="","",_xlfn.IFNA(MATCH(NOTA[[#This Row],[CONCAT4]],[2]!RAW[CONCAT_H],0),FALSE))</f>
        <v/>
      </c>
      <c r="AQ1268" s="39" t="str">
        <f>IF(NOTA[[#This Row],[CONCAT1]]="","",MATCH(NOTA[[#This Row],[CONCAT1]],[3]!db[NB NOTA_C],0))</f>
        <v/>
      </c>
      <c r="AR1268" s="39" t="str">
        <f>IF(NOTA[[#This Row],[QTY/ CTN]]="","",TRUE)</f>
        <v/>
      </c>
      <c r="AS1268" s="39" t="str">
        <f ca="1">IF(NOTA[[#This Row],[ID_H]]="","",IF(NOTA[[#This Row],[Column3]]=TRUE,NOTA[[#This Row],[QTY/ CTN]],INDEX([3]!db[QTY/ CTN],NOTA[[#This Row],[//DB]])))</f>
        <v/>
      </c>
      <c r="AT12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8" s="39" t="str">
        <f ca="1">IF(NOTA[[#This Row],[ID_H]]="","",MATCH(NOTA[[#This Row],[NB NOTA_C_QTY]],[4]!db[NB NOTA_C_QTY+F],0))</f>
        <v/>
      </c>
      <c r="AV1268" s="55" t="str">
        <f ca="1">IF(NOTA[[#This Row],[NB NOTA_C_QTY]]="","",ROW()-2)</f>
        <v/>
      </c>
    </row>
    <row r="1269" spans="1:48" ht="20.100000000000001" customHeight="1" x14ac:dyDescent="0.25">
      <c r="A12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9" s="39" t="str">
        <f>IF(NOTA[[#This Row],[ID_P]]="","",MATCH(NOTA[[#This Row],[ID_P]],[1]!B_MSK[N_ID],0))</f>
        <v/>
      </c>
      <c r="D1269" s="39" t="str">
        <f ca="1">IF(NOTA[[#This Row],[NAMA BARANG]]="","",INDEX(NOTA[ID],MATCH(,INDIRECT(ADDRESS(ROW(NOTA[ID]),COLUMN(NOTA[ID]))&amp;":"&amp;ADDRESS(ROW(),COLUMN(NOTA[ID]))),-1)))</f>
        <v/>
      </c>
      <c r="E1269" s="47"/>
      <c r="H1269" s="48"/>
      <c r="N1269" s="39"/>
      <c r="Q1269" s="43"/>
      <c r="R1269" s="49"/>
      <c r="S1269" s="50"/>
      <c r="U1269" s="51"/>
      <c r="V1269" s="46"/>
      <c r="W1269" s="51" t="str">
        <f>IF(NOTA[[#This Row],[HARGA/ CTN]]="",NOTA[[#This Row],[JUMLAH_H]],NOTA[[#This Row],[HARGA/ CTN]]*IF(NOTA[[#This Row],[C]]="",0,NOTA[[#This Row],[C]]))</f>
        <v/>
      </c>
      <c r="X1269" s="51" t="str">
        <f>IF(NOTA[[#This Row],[JUMLAH]]="","",NOTA[[#This Row],[JUMLAH]]*NOTA[[#This Row],[DISC 1]])</f>
        <v/>
      </c>
      <c r="Y1269" s="51" t="str">
        <f>IF(NOTA[[#This Row],[JUMLAH]]="","",(NOTA[[#This Row],[JUMLAH]]-NOTA[[#This Row],[DISC 1-]])*NOTA[[#This Row],[DISC 2]])</f>
        <v/>
      </c>
      <c r="Z1269" s="51" t="str">
        <f>IF(NOTA[[#This Row],[JUMLAH]]="","",NOTA[[#This Row],[DISC 1-]]+NOTA[[#This Row],[DISC 2-]])</f>
        <v/>
      </c>
      <c r="AA1269" s="51" t="str">
        <f>IF(NOTA[[#This Row],[JUMLAH]]="","",NOTA[[#This Row],[JUMLAH]]-NOTA[[#This Row],[DISC]])</f>
        <v/>
      </c>
      <c r="AB1269" s="51"/>
      <c r="AC1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9" s="51" t="str">
        <f>IF(OR(NOTA[[#This Row],[QTY]]="",NOTA[[#This Row],[HARGA SATUAN]]="",),"",NOTA[[#This Row],[QTY]]*NOTA[[#This Row],[HARGA SATUAN]])</f>
        <v/>
      </c>
      <c r="AG1269" s="40" t="str">
        <f ca="1">IF(NOTA[ID_H]="","",INDEX(NOTA[TANGGAL],MATCH(,INDIRECT(ADDRESS(ROW(NOTA[TANGGAL]),COLUMN(NOTA[TANGGAL]))&amp;":"&amp;ADDRESS(ROW(),COLUMN(NOTA[TANGGAL]))),-1)))</f>
        <v/>
      </c>
      <c r="AH1269" s="42" t="str">
        <f ca="1">IF(NOTA[[#This Row],[NAMA BARANG]]="","",INDEX(NOTA[SUPPLIER],MATCH(,INDIRECT(ADDRESS(ROW(NOTA[ID]),COLUMN(NOTA[ID]))&amp;":"&amp;ADDRESS(ROW(),COLUMN(NOTA[ID]))),-1)))</f>
        <v/>
      </c>
      <c r="AI1269" s="42" t="str">
        <f ca="1">IF(NOTA[[#This Row],[ID_H]]="","",IF(NOTA[[#This Row],[FAKTUR]]="",INDIRECT(ADDRESS(ROW()-1,COLUMN())),NOTA[[#This Row],[FAKTUR]]))</f>
        <v/>
      </c>
      <c r="AJ1269" s="39" t="str">
        <f ca="1">IF(NOTA[[#This Row],[ID]]="","",COUNTIF(NOTA[ID_H],NOTA[[#This Row],[ID_H]]))</f>
        <v/>
      </c>
      <c r="AK1269" s="39" t="str">
        <f ca="1">IF(NOTA[[#This Row],[TGL.NOTA]]="",IF(NOTA[[#This Row],[SUPPLIER_H]]="","",AK1268),MONTH(NOTA[[#This Row],[TGL.NOTA]]))</f>
        <v/>
      </c>
      <c r="AL1269" s="39" t="str">
        <f>LOWER(SUBSTITUTE(SUBSTITUTE(SUBSTITUTE(SUBSTITUTE(SUBSTITUTE(SUBSTITUTE(SUBSTITUTE(SUBSTITUTE(SUBSTITUTE(NOTA[NAMA BARANG]," ",),".",""),"-",""),"(",""),")",""),",",""),"/",""),"""",""),"+",""))</f>
        <v/>
      </c>
      <c r="AM12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9" s="39" t="str">
        <f>IF(NOTA[[#This Row],[CONCAT4]]="","",_xlfn.IFNA(MATCH(NOTA[[#This Row],[CONCAT4]],[2]!RAW[CONCAT_H],0),FALSE))</f>
        <v/>
      </c>
      <c r="AQ1269" s="39" t="str">
        <f>IF(NOTA[[#This Row],[CONCAT1]]="","",MATCH(NOTA[[#This Row],[CONCAT1]],[3]!db[NB NOTA_C],0))</f>
        <v/>
      </c>
      <c r="AR1269" s="39" t="str">
        <f>IF(NOTA[[#This Row],[QTY/ CTN]]="","",TRUE)</f>
        <v/>
      </c>
      <c r="AS1269" s="39" t="str">
        <f ca="1">IF(NOTA[[#This Row],[ID_H]]="","",IF(NOTA[[#This Row],[Column3]]=TRUE,NOTA[[#This Row],[QTY/ CTN]],INDEX([3]!db[QTY/ CTN],NOTA[[#This Row],[//DB]])))</f>
        <v/>
      </c>
      <c r="AT12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9" s="39" t="str">
        <f ca="1">IF(NOTA[[#This Row],[ID_H]]="","",MATCH(NOTA[[#This Row],[NB NOTA_C_QTY]],[4]!db[NB NOTA_C_QTY+F],0))</f>
        <v/>
      </c>
      <c r="AV1269" s="55" t="str">
        <f ca="1">IF(NOTA[[#This Row],[NB NOTA_C_QTY]]="","",ROW()-2)</f>
        <v/>
      </c>
    </row>
    <row r="1270" spans="1:48" ht="20.100000000000001" customHeight="1" x14ac:dyDescent="0.25">
      <c r="A12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0" s="39" t="str">
        <f>IF(NOTA[[#This Row],[ID_P]]="","",MATCH(NOTA[[#This Row],[ID_P]],[1]!B_MSK[N_ID],0))</f>
        <v/>
      </c>
      <c r="D1270" s="39" t="str">
        <f ca="1">IF(NOTA[[#This Row],[NAMA BARANG]]="","",INDEX(NOTA[ID],MATCH(,INDIRECT(ADDRESS(ROW(NOTA[ID]),COLUMN(NOTA[ID]))&amp;":"&amp;ADDRESS(ROW(),COLUMN(NOTA[ID]))),-1)))</f>
        <v/>
      </c>
      <c r="E1270" s="47"/>
      <c r="H1270" s="48"/>
      <c r="N1270" s="39"/>
      <c r="Q1270" s="43"/>
      <c r="R1270" s="49"/>
      <c r="S1270" s="50"/>
      <c r="U1270" s="51"/>
      <c r="V1270" s="46"/>
      <c r="W1270" s="51" t="str">
        <f>IF(NOTA[[#This Row],[HARGA/ CTN]]="",NOTA[[#This Row],[JUMLAH_H]],NOTA[[#This Row],[HARGA/ CTN]]*IF(NOTA[[#This Row],[C]]="",0,NOTA[[#This Row],[C]]))</f>
        <v/>
      </c>
      <c r="X1270" s="51" t="str">
        <f>IF(NOTA[[#This Row],[JUMLAH]]="","",NOTA[[#This Row],[JUMLAH]]*NOTA[[#This Row],[DISC 1]])</f>
        <v/>
      </c>
      <c r="Y1270" s="51" t="str">
        <f>IF(NOTA[[#This Row],[JUMLAH]]="","",(NOTA[[#This Row],[JUMLAH]]-NOTA[[#This Row],[DISC 1-]])*NOTA[[#This Row],[DISC 2]])</f>
        <v/>
      </c>
      <c r="Z1270" s="51" t="str">
        <f>IF(NOTA[[#This Row],[JUMLAH]]="","",NOTA[[#This Row],[DISC 1-]]+NOTA[[#This Row],[DISC 2-]])</f>
        <v/>
      </c>
      <c r="AA1270" s="51" t="str">
        <f>IF(NOTA[[#This Row],[JUMLAH]]="","",NOTA[[#This Row],[JUMLAH]]-NOTA[[#This Row],[DISC]])</f>
        <v/>
      </c>
      <c r="AB1270" s="51"/>
      <c r="AC1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0" s="51" t="str">
        <f>IF(OR(NOTA[[#This Row],[QTY]]="",NOTA[[#This Row],[HARGA SATUAN]]="",),"",NOTA[[#This Row],[QTY]]*NOTA[[#This Row],[HARGA SATUAN]])</f>
        <v/>
      </c>
      <c r="AG1270" s="40" t="str">
        <f ca="1">IF(NOTA[ID_H]="","",INDEX(NOTA[TANGGAL],MATCH(,INDIRECT(ADDRESS(ROW(NOTA[TANGGAL]),COLUMN(NOTA[TANGGAL]))&amp;":"&amp;ADDRESS(ROW(),COLUMN(NOTA[TANGGAL]))),-1)))</f>
        <v/>
      </c>
      <c r="AH1270" s="42" t="str">
        <f ca="1">IF(NOTA[[#This Row],[NAMA BARANG]]="","",INDEX(NOTA[SUPPLIER],MATCH(,INDIRECT(ADDRESS(ROW(NOTA[ID]),COLUMN(NOTA[ID]))&amp;":"&amp;ADDRESS(ROW(),COLUMN(NOTA[ID]))),-1)))</f>
        <v/>
      </c>
      <c r="AI1270" s="42" t="str">
        <f ca="1">IF(NOTA[[#This Row],[ID_H]]="","",IF(NOTA[[#This Row],[FAKTUR]]="",INDIRECT(ADDRESS(ROW()-1,COLUMN())),NOTA[[#This Row],[FAKTUR]]))</f>
        <v/>
      </c>
      <c r="AJ1270" s="39" t="str">
        <f ca="1">IF(NOTA[[#This Row],[ID]]="","",COUNTIF(NOTA[ID_H],NOTA[[#This Row],[ID_H]]))</f>
        <v/>
      </c>
      <c r="AK1270" s="39" t="str">
        <f ca="1">IF(NOTA[[#This Row],[TGL.NOTA]]="",IF(NOTA[[#This Row],[SUPPLIER_H]]="","",AK1269),MONTH(NOTA[[#This Row],[TGL.NOTA]]))</f>
        <v/>
      </c>
      <c r="AL1270" s="39" t="str">
        <f>LOWER(SUBSTITUTE(SUBSTITUTE(SUBSTITUTE(SUBSTITUTE(SUBSTITUTE(SUBSTITUTE(SUBSTITUTE(SUBSTITUTE(SUBSTITUTE(NOTA[NAMA BARANG]," ",),".",""),"-",""),"(",""),")",""),",",""),"/",""),"""",""),"+",""))</f>
        <v/>
      </c>
      <c r="AM12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0" s="39" t="str">
        <f>IF(NOTA[[#This Row],[CONCAT4]]="","",_xlfn.IFNA(MATCH(NOTA[[#This Row],[CONCAT4]],[2]!RAW[CONCAT_H],0),FALSE))</f>
        <v/>
      </c>
      <c r="AQ1270" s="39" t="str">
        <f>IF(NOTA[[#This Row],[CONCAT1]]="","",MATCH(NOTA[[#This Row],[CONCAT1]],[3]!db[NB NOTA_C],0))</f>
        <v/>
      </c>
      <c r="AR1270" s="39" t="str">
        <f>IF(NOTA[[#This Row],[QTY/ CTN]]="","",TRUE)</f>
        <v/>
      </c>
      <c r="AS1270" s="39" t="str">
        <f ca="1">IF(NOTA[[#This Row],[ID_H]]="","",IF(NOTA[[#This Row],[Column3]]=TRUE,NOTA[[#This Row],[QTY/ CTN]],INDEX([3]!db[QTY/ CTN],NOTA[[#This Row],[//DB]])))</f>
        <v/>
      </c>
      <c r="AT12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0" s="39" t="str">
        <f ca="1">IF(NOTA[[#This Row],[ID_H]]="","",MATCH(NOTA[[#This Row],[NB NOTA_C_QTY]],[4]!db[NB NOTA_C_QTY+F],0))</f>
        <v/>
      </c>
      <c r="AV1270" s="55" t="str">
        <f ca="1">IF(NOTA[[#This Row],[NB NOTA_C_QTY]]="","",ROW()-2)</f>
        <v/>
      </c>
    </row>
    <row r="1271" spans="1:48" ht="20.100000000000001" customHeight="1" x14ac:dyDescent="0.25">
      <c r="A12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1" s="39" t="str">
        <f>IF(NOTA[[#This Row],[ID_P]]="","",MATCH(NOTA[[#This Row],[ID_P]],[1]!B_MSK[N_ID],0))</f>
        <v/>
      </c>
      <c r="D1271" s="39" t="str">
        <f ca="1">IF(NOTA[[#This Row],[NAMA BARANG]]="","",INDEX(NOTA[ID],MATCH(,INDIRECT(ADDRESS(ROW(NOTA[ID]),COLUMN(NOTA[ID]))&amp;":"&amp;ADDRESS(ROW(),COLUMN(NOTA[ID]))),-1)))</f>
        <v/>
      </c>
      <c r="E1271" s="47"/>
      <c r="H1271" s="48"/>
      <c r="N1271" s="39"/>
      <c r="Q1271" s="43"/>
      <c r="R1271" s="49"/>
      <c r="S1271" s="50"/>
      <c r="U1271" s="51"/>
      <c r="V1271" s="46"/>
      <c r="W1271" s="51" t="str">
        <f>IF(NOTA[[#This Row],[HARGA/ CTN]]="",NOTA[[#This Row],[JUMLAH_H]],NOTA[[#This Row],[HARGA/ CTN]]*IF(NOTA[[#This Row],[C]]="",0,NOTA[[#This Row],[C]]))</f>
        <v/>
      </c>
      <c r="X1271" s="51" t="str">
        <f>IF(NOTA[[#This Row],[JUMLAH]]="","",NOTA[[#This Row],[JUMLAH]]*NOTA[[#This Row],[DISC 1]])</f>
        <v/>
      </c>
      <c r="Y1271" s="51" t="str">
        <f>IF(NOTA[[#This Row],[JUMLAH]]="","",(NOTA[[#This Row],[JUMLAH]]-NOTA[[#This Row],[DISC 1-]])*NOTA[[#This Row],[DISC 2]])</f>
        <v/>
      </c>
      <c r="Z1271" s="51" t="str">
        <f>IF(NOTA[[#This Row],[JUMLAH]]="","",NOTA[[#This Row],[DISC 1-]]+NOTA[[#This Row],[DISC 2-]])</f>
        <v/>
      </c>
      <c r="AA1271" s="51" t="str">
        <f>IF(NOTA[[#This Row],[JUMLAH]]="","",NOTA[[#This Row],[JUMLAH]]-NOTA[[#This Row],[DISC]])</f>
        <v/>
      </c>
      <c r="AB1271" s="51"/>
      <c r="AC1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1" s="51" t="str">
        <f>IF(OR(NOTA[[#This Row],[QTY]]="",NOTA[[#This Row],[HARGA SATUAN]]="",),"",NOTA[[#This Row],[QTY]]*NOTA[[#This Row],[HARGA SATUAN]])</f>
        <v/>
      </c>
      <c r="AG1271" s="40" t="str">
        <f ca="1">IF(NOTA[ID_H]="","",INDEX(NOTA[TANGGAL],MATCH(,INDIRECT(ADDRESS(ROW(NOTA[TANGGAL]),COLUMN(NOTA[TANGGAL]))&amp;":"&amp;ADDRESS(ROW(),COLUMN(NOTA[TANGGAL]))),-1)))</f>
        <v/>
      </c>
      <c r="AH1271" s="42" t="str">
        <f ca="1">IF(NOTA[[#This Row],[NAMA BARANG]]="","",INDEX(NOTA[SUPPLIER],MATCH(,INDIRECT(ADDRESS(ROW(NOTA[ID]),COLUMN(NOTA[ID]))&amp;":"&amp;ADDRESS(ROW(),COLUMN(NOTA[ID]))),-1)))</f>
        <v/>
      </c>
      <c r="AI1271" s="42" t="str">
        <f ca="1">IF(NOTA[[#This Row],[ID_H]]="","",IF(NOTA[[#This Row],[FAKTUR]]="",INDIRECT(ADDRESS(ROW()-1,COLUMN())),NOTA[[#This Row],[FAKTUR]]))</f>
        <v/>
      </c>
      <c r="AJ1271" s="39" t="str">
        <f ca="1">IF(NOTA[[#This Row],[ID]]="","",COUNTIF(NOTA[ID_H],NOTA[[#This Row],[ID_H]]))</f>
        <v/>
      </c>
      <c r="AK1271" s="39" t="str">
        <f ca="1">IF(NOTA[[#This Row],[TGL.NOTA]]="",IF(NOTA[[#This Row],[SUPPLIER_H]]="","",AK1270),MONTH(NOTA[[#This Row],[TGL.NOTA]]))</f>
        <v/>
      </c>
      <c r="AL1271" s="39" t="str">
        <f>LOWER(SUBSTITUTE(SUBSTITUTE(SUBSTITUTE(SUBSTITUTE(SUBSTITUTE(SUBSTITUTE(SUBSTITUTE(SUBSTITUTE(SUBSTITUTE(NOTA[NAMA BARANG]," ",),".",""),"-",""),"(",""),")",""),",",""),"/",""),"""",""),"+",""))</f>
        <v/>
      </c>
      <c r="AM12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1" s="39" t="str">
        <f>IF(NOTA[[#This Row],[CONCAT4]]="","",_xlfn.IFNA(MATCH(NOTA[[#This Row],[CONCAT4]],[2]!RAW[CONCAT_H],0),FALSE))</f>
        <v/>
      </c>
      <c r="AQ1271" s="39" t="str">
        <f>IF(NOTA[[#This Row],[CONCAT1]]="","",MATCH(NOTA[[#This Row],[CONCAT1]],[3]!db[NB NOTA_C],0))</f>
        <v/>
      </c>
      <c r="AR1271" s="39" t="str">
        <f>IF(NOTA[[#This Row],[QTY/ CTN]]="","",TRUE)</f>
        <v/>
      </c>
      <c r="AS1271" s="39" t="str">
        <f ca="1">IF(NOTA[[#This Row],[ID_H]]="","",IF(NOTA[[#This Row],[Column3]]=TRUE,NOTA[[#This Row],[QTY/ CTN]],INDEX([3]!db[QTY/ CTN],NOTA[[#This Row],[//DB]])))</f>
        <v/>
      </c>
      <c r="AT12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1" s="39" t="str">
        <f ca="1">IF(NOTA[[#This Row],[ID_H]]="","",MATCH(NOTA[[#This Row],[NB NOTA_C_QTY]],[4]!db[NB NOTA_C_QTY+F],0))</f>
        <v/>
      </c>
      <c r="AV1271" s="55" t="str">
        <f ca="1">IF(NOTA[[#This Row],[NB NOTA_C_QTY]]="","",ROW()-2)</f>
        <v/>
      </c>
    </row>
    <row r="1272" spans="1:48" ht="20.100000000000001" customHeight="1" x14ac:dyDescent="0.25">
      <c r="A12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2" s="39" t="str">
        <f>IF(NOTA[[#This Row],[ID_P]]="","",MATCH(NOTA[[#This Row],[ID_P]],[1]!B_MSK[N_ID],0))</f>
        <v/>
      </c>
      <c r="D1272" s="39" t="str">
        <f ca="1">IF(NOTA[[#This Row],[NAMA BARANG]]="","",INDEX(NOTA[ID],MATCH(,INDIRECT(ADDRESS(ROW(NOTA[ID]),COLUMN(NOTA[ID]))&amp;":"&amp;ADDRESS(ROW(),COLUMN(NOTA[ID]))),-1)))</f>
        <v/>
      </c>
      <c r="E1272" s="47"/>
      <c r="H1272" s="48"/>
      <c r="N1272" s="39"/>
      <c r="Q1272" s="43"/>
      <c r="R1272" s="49"/>
      <c r="S1272" s="50"/>
      <c r="U1272" s="51"/>
      <c r="V1272" s="46"/>
      <c r="W1272" s="51" t="str">
        <f>IF(NOTA[[#This Row],[HARGA/ CTN]]="",NOTA[[#This Row],[JUMLAH_H]],NOTA[[#This Row],[HARGA/ CTN]]*IF(NOTA[[#This Row],[C]]="",0,NOTA[[#This Row],[C]]))</f>
        <v/>
      </c>
      <c r="X1272" s="51" t="str">
        <f>IF(NOTA[[#This Row],[JUMLAH]]="","",NOTA[[#This Row],[JUMLAH]]*NOTA[[#This Row],[DISC 1]])</f>
        <v/>
      </c>
      <c r="Y1272" s="51" t="str">
        <f>IF(NOTA[[#This Row],[JUMLAH]]="","",(NOTA[[#This Row],[JUMLAH]]-NOTA[[#This Row],[DISC 1-]])*NOTA[[#This Row],[DISC 2]])</f>
        <v/>
      </c>
      <c r="Z1272" s="51" t="str">
        <f>IF(NOTA[[#This Row],[JUMLAH]]="","",NOTA[[#This Row],[DISC 1-]]+NOTA[[#This Row],[DISC 2-]])</f>
        <v/>
      </c>
      <c r="AA1272" s="51" t="str">
        <f>IF(NOTA[[#This Row],[JUMLAH]]="","",NOTA[[#This Row],[JUMLAH]]-NOTA[[#This Row],[DISC]])</f>
        <v/>
      </c>
      <c r="AB1272" s="51"/>
      <c r="AC1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2" s="51" t="str">
        <f>IF(OR(NOTA[[#This Row],[QTY]]="",NOTA[[#This Row],[HARGA SATUAN]]="",),"",NOTA[[#This Row],[QTY]]*NOTA[[#This Row],[HARGA SATUAN]])</f>
        <v/>
      </c>
      <c r="AG1272" s="40" t="str">
        <f ca="1">IF(NOTA[ID_H]="","",INDEX(NOTA[TANGGAL],MATCH(,INDIRECT(ADDRESS(ROW(NOTA[TANGGAL]),COLUMN(NOTA[TANGGAL]))&amp;":"&amp;ADDRESS(ROW(),COLUMN(NOTA[TANGGAL]))),-1)))</f>
        <v/>
      </c>
      <c r="AH1272" s="42" t="str">
        <f ca="1">IF(NOTA[[#This Row],[NAMA BARANG]]="","",INDEX(NOTA[SUPPLIER],MATCH(,INDIRECT(ADDRESS(ROW(NOTA[ID]),COLUMN(NOTA[ID]))&amp;":"&amp;ADDRESS(ROW(),COLUMN(NOTA[ID]))),-1)))</f>
        <v/>
      </c>
      <c r="AI1272" s="42" t="str">
        <f ca="1">IF(NOTA[[#This Row],[ID_H]]="","",IF(NOTA[[#This Row],[FAKTUR]]="",INDIRECT(ADDRESS(ROW()-1,COLUMN())),NOTA[[#This Row],[FAKTUR]]))</f>
        <v/>
      </c>
      <c r="AJ1272" s="39" t="str">
        <f ca="1">IF(NOTA[[#This Row],[ID]]="","",COUNTIF(NOTA[ID_H],NOTA[[#This Row],[ID_H]]))</f>
        <v/>
      </c>
      <c r="AK1272" s="39" t="str">
        <f ca="1">IF(NOTA[[#This Row],[TGL.NOTA]]="",IF(NOTA[[#This Row],[SUPPLIER_H]]="","",AK1271),MONTH(NOTA[[#This Row],[TGL.NOTA]]))</f>
        <v/>
      </c>
      <c r="AL1272" s="39" t="str">
        <f>LOWER(SUBSTITUTE(SUBSTITUTE(SUBSTITUTE(SUBSTITUTE(SUBSTITUTE(SUBSTITUTE(SUBSTITUTE(SUBSTITUTE(SUBSTITUTE(NOTA[NAMA BARANG]," ",),".",""),"-",""),"(",""),")",""),",",""),"/",""),"""",""),"+",""))</f>
        <v/>
      </c>
      <c r="AM12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2" s="39" t="str">
        <f>IF(NOTA[[#This Row],[CONCAT4]]="","",_xlfn.IFNA(MATCH(NOTA[[#This Row],[CONCAT4]],[2]!RAW[CONCAT_H],0),FALSE))</f>
        <v/>
      </c>
      <c r="AQ1272" s="39" t="str">
        <f>IF(NOTA[[#This Row],[CONCAT1]]="","",MATCH(NOTA[[#This Row],[CONCAT1]],[3]!db[NB NOTA_C],0))</f>
        <v/>
      </c>
      <c r="AR1272" s="39" t="str">
        <f>IF(NOTA[[#This Row],[QTY/ CTN]]="","",TRUE)</f>
        <v/>
      </c>
      <c r="AS1272" s="39" t="str">
        <f ca="1">IF(NOTA[[#This Row],[ID_H]]="","",IF(NOTA[[#This Row],[Column3]]=TRUE,NOTA[[#This Row],[QTY/ CTN]],INDEX([3]!db[QTY/ CTN],NOTA[[#This Row],[//DB]])))</f>
        <v/>
      </c>
      <c r="AT12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2" s="39" t="str">
        <f ca="1">IF(NOTA[[#This Row],[ID_H]]="","",MATCH(NOTA[[#This Row],[NB NOTA_C_QTY]],[4]!db[NB NOTA_C_QTY+F],0))</f>
        <v/>
      </c>
      <c r="AV1272" s="55" t="str">
        <f ca="1">IF(NOTA[[#This Row],[NB NOTA_C_QTY]]="","",ROW()-2)</f>
        <v/>
      </c>
    </row>
    <row r="1273" spans="1:48" ht="20.100000000000001" customHeight="1" x14ac:dyDescent="0.25">
      <c r="A12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3" s="39" t="str">
        <f>IF(NOTA[[#This Row],[ID_P]]="","",MATCH(NOTA[[#This Row],[ID_P]],[1]!B_MSK[N_ID],0))</f>
        <v/>
      </c>
      <c r="D1273" s="39" t="str">
        <f ca="1">IF(NOTA[[#This Row],[NAMA BARANG]]="","",INDEX(NOTA[ID],MATCH(,INDIRECT(ADDRESS(ROW(NOTA[ID]),COLUMN(NOTA[ID]))&amp;":"&amp;ADDRESS(ROW(),COLUMN(NOTA[ID]))),-1)))</f>
        <v/>
      </c>
      <c r="E1273" s="47"/>
      <c r="H1273" s="48"/>
      <c r="N1273" s="39"/>
      <c r="Q1273" s="43"/>
      <c r="R1273" s="49"/>
      <c r="S1273" s="50"/>
      <c r="U1273" s="51"/>
      <c r="V1273" s="46"/>
      <c r="W1273" s="51" t="str">
        <f>IF(NOTA[[#This Row],[HARGA/ CTN]]="",NOTA[[#This Row],[JUMLAH_H]],NOTA[[#This Row],[HARGA/ CTN]]*IF(NOTA[[#This Row],[C]]="",0,NOTA[[#This Row],[C]]))</f>
        <v/>
      </c>
      <c r="X1273" s="51" t="str">
        <f>IF(NOTA[[#This Row],[JUMLAH]]="","",NOTA[[#This Row],[JUMLAH]]*NOTA[[#This Row],[DISC 1]])</f>
        <v/>
      </c>
      <c r="Y1273" s="51" t="str">
        <f>IF(NOTA[[#This Row],[JUMLAH]]="","",(NOTA[[#This Row],[JUMLAH]]-NOTA[[#This Row],[DISC 1-]])*NOTA[[#This Row],[DISC 2]])</f>
        <v/>
      </c>
      <c r="Z1273" s="51" t="str">
        <f>IF(NOTA[[#This Row],[JUMLAH]]="","",NOTA[[#This Row],[DISC 1-]]+NOTA[[#This Row],[DISC 2-]])</f>
        <v/>
      </c>
      <c r="AA1273" s="51" t="str">
        <f>IF(NOTA[[#This Row],[JUMLAH]]="","",NOTA[[#This Row],[JUMLAH]]-NOTA[[#This Row],[DISC]])</f>
        <v/>
      </c>
      <c r="AB1273" s="51"/>
      <c r="AC1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3" s="51" t="str">
        <f>IF(OR(NOTA[[#This Row],[QTY]]="",NOTA[[#This Row],[HARGA SATUAN]]="",),"",NOTA[[#This Row],[QTY]]*NOTA[[#This Row],[HARGA SATUAN]])</f>
        <v/>
      </c>
      <c r="AG1273" s="40" t="str">
        <f ca="1">IF(NOTA[ID_H]="","",INDEX(NOTA[TANGGAL],MATCH(,INDIRECT(ADDRESS(ROW(NOTA[TANGGAL]),COLUMN(NOTA[TANGGAL]))&amp;":"&amp;ADDRESS(ROW(),COLUMN(NOTA[TANGGAL]))),-1)))</f>
        <v/>
      </c>
      <c r="AH1273" s="42" t="str">
        <f ca="1">IF(NOTA[[#This Row],[NAMA BARANG]]="","",INDEX(NOTA[SUPPLIER],MATCH(,INDIRECT(ADDRESS(ROW(NOTA[ID]),COLUMN(NOTA[ID]))&amp;":"&amp;ADDRESS(ROW(),COLUMN(NOTA[ID]))),-1)))</f>
        <v/>
      </c>
      <c r="AI1273" s="42" t="str">
        <f ca="1">IF(NOTA[[#This Row],[ID_H]]="","",IF(NOTA[[#This Row],[FAKTUR]]="",INDIRECT(ADDRESS(ROW()-1,COLUMN())),NOTA[[#This Row],[FAKTUR]]))</f>
        <v/>
      </c>
      <c r="AJ1273" s="39" t="str">
        <f ca="1">IF(NOTA[[#This Row],[ID]]="","",COUNTIF(NOTA[ID_H],NOTA[[#This Row],[ID_H]]))</f>
        <v/>
      </c>
      <c r="AK1273" s="39" t="str">
        <f ca="1">IF(NOTA[[#This Row],[TGL.NOTA]]="",IF(NOTA[[#This Row],[SUPPLIER_H]]="","",AK1272),MONTH(NOTA[[#This Row],[TGL.NOTA]]))</f>
        <v/>
      </c>
      <c r="AL1273" s="39" t="str">
        <f>LOWER(SUBSTITUTE(SUBSTITUTE(SUBSTITUTE(SUBSTITUTE(SUBSTITUTE(SUBSTITUTE(SUBSTITUTE(SUBSTITUTE(SUBSTITUTE(NOTA[NAMA BARANG]," ",),".",""),"-",""),"(",""),")",""),",",""),"/",""),"""",""),"+",""))</f>
        <v/>
      </c>
      <c r="AM12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3" s="39" t="str">
        <f>IF(NOTA[[#This Row],[CONCAT4]]="","",_xlfn.IFNA(MATCH(NOTA[[#This Row],[CONCAT4]],[2]!RAW[CONCAT_H],0),FALSE))</f>
        <v/>
      </c>
      <c r="AQ1273" s="39" t="str">
        <f>IF(NOTA[[#This Row],[CONCAT1]]="","",MATCH(NOTA[[#This Row],[CONCAT1]],[3]!db[NB NOTA_C],0))</f>
        <v/>
      </c>
      <c r="AR1273" s="39" t="str">
        <f>IF(NOTA[[#This Row],[QTY/ CTN]]="","",TRUE)</f>
        <v/>
      </c>
      <c r="AS1273" s="39" t="str">
        <f ca="1">IF(NOTA[[#This Row],[ID_H]]="","",IF(NOTA[[#This Row],[Column3]]=TRUE,NOTA[[#This Row],[QTY/ CTN]],INDEX([3]!db[QTY/ CTN],NOTA[[#This Row],[//DB]])))</f>
        <v/>
      </c>
      <c r="AT12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3" s="39" t="str">
        <f ca="1">IF(NOTA[[#This Row],[ID_H]]="","",MATCH(NOTA[[#This Row],[NB NOTA_C_QTY]],[4]!db[NB NOTA_C_QTY+F],0))</f>
        <v/>
      </c>
      <c r="AV1273" s="55" t="str">
        <f ca="1">IF(NOTA[[#This Row],[NB NOTA_C_QTY]]="","",ROW()-2)</f>
        <v/>
      </c>
    </row>
    <row r="1274" spans="1:48" ht="20.100000000000001" customHeight="1" x14ac:dyDescent="0.25">
      <c r="A12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4" s="39" t="str">
        <f>IF(NOTA[[#This Row],[ID_P]]="","",MATCH(NOTA[[#This Row],[ID_P]],[1]!B_MSK[N_ID],0))</f>
        <v/>
      </c>
      <c r="D1274" s="39" t="str">
        <f ca="1">IF(NOTA[[#This Row],[NAMA BARANG]]="","",INDEX(NOTA[ID],MATCH(,INDIRECT(ADDRESS(ROW(NOTA[ID]),COLUMN(NOTA[ID]))&amp;":"&amp;ADDRESS(ROW(),COLUMN(NOTA[ID]))),-1)))</f>
        <v/>
      </c>
      <c r="E1274" s="47"/>
      <c r="H1274" s="48"/>
      <c r="N1274" s="39"/>
      <c r="Q1274" s="43"/>
      <c r="R1274" s="49"/>
      <c r="S1274" s="50"/>
      <c r="U1274" s="51"/>
      <c r="V1274" s="46"/>
      <c r="W1274" s="51" t="str">
        <f>IF(NOTA[[#This Row],[HARGA/ CTN]]="",NOTA[[#This Row],[JUMLAH_H]],NOTA[[#This Row],[HARGA/ CTN]]*IF(NOTA[[#This Row],[C]]="",0,NOTA[[#This Row],[C]]))</f>
        <v/>
      </c>
      <c r="X1274" s="51" t="str">
        <f>IF(NOTA[[#This Row],[JUMLAH]]="","",NOTA[[#This Row],[JUMLAH]]*NOTA[[#This Row],[DISC 1]])</f>
        <v/>
      </c>
      <c r="Y1274" s="51" t="str">
        <f>IF(NOTA[[#This Row],[JUMLAH]]="","",(NOTA[[#This Row],[JUMLAH]]-NOTA[[#This Row],[DISC 1-]])*NOTA[[#This Row],[DISC 2]])</f>
        <v/>
      </c>
      <c r="Z1274" s="51" t="str">
        <f>IF(NOTA[[#This Row],[JUMLAH]]="","",NOTA[[#This Row],[DISC 1-]]+NOTA[[#This Row],[DISC 2-]])</f>
        <v/>
      </c>
      <c r="AA1274" s="51" t="str">
        <f>IF(NOTA[[#This Row],[JUMLAH]]="","",NOTA[[#This Row],[JUMLAH]]-NOTA[[#This Row],[DISC]])</f>
        <v/>
      </c>
      <c r="AB1274" s="51"/>
      <c r="AC1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4" s="51" t="str">
        <f>IF(OR(NOTA[[#This Row],[QTY]]="",NOTA[[#This Row],[HARGA SATUAN]]="",),"",NOTA[[#This Row],[QTY]]*NOTA[[#This Row],[HARGA SATUAN]])</f>
        <v/>
      </c>
      <c r="AG1274" s="40" t="str">
        <f ca="1">IF(NOTA[ID_H]="","",INDEX(NOTA[TANGGAL],MATCH(,INDIRECT(ADDRESS(ROW(NOTA[TANGGAL]),COLUMN(NOTA[TANGGAL]))&amp;":"&amp;ADDRESS(ROW(),COLUMN(NOTA[TANGGAL]))),-1)))</f>
        <v/>
      </c>
      <c r="AH1274" s="42" t="str">
        <f ca="1">IF(NOTA[[#This Row],[NAMA BARANG]]="","",INDEX(NOTA[SUPPLIER],MATCH(,INDIRECT(ADDRESS(ROW(NOTA[ID]),COLUMN(NOTA[ID]))&amp;":"&amp;ADDRESS(ROW(),COLUMN(NOTA[ID]))),-1)))</f>
        <v/>
      </c>
      <c r="AI1274" s="42" t="str">
        <f ca="1">IF(NOTA[[#This Row],[ID_H]]="","",IF(NOTA[[#This Row],[FAKTUR]]="",INDIRECT(ADDRESS(ROW()-1,COLUMN())),NOTA[[#This Row],[FAKTUR]]))</f>
        <v/>
      </c>
      <c r="AJ1274" s="39" t="str">
        <f ca="1">IF(NOTA[[#This Row],[ID]]="","",COUNTIF(NOTA[ID_H],NOTA[[#This Row],[ID_H]]))</f>
        <v/>
      </c>
      <c r="AK1274" s="39" t="str">
        <f ca="1">IF(NOTA[[#This Row],[TGL.NOTA]]="",IF(NOTA[[#This Row],[SUPPLIER_H]]="","",AK1273),MONTH(NOTA[[#This Row],[TGL.NOTA]]))</f>
        <v/>
      </c>
      <c r="AL1274" s="39" t="str">
        <f>LOWER(SUBSTITUTE(SUBSTITUTE(SUBSTITUTE(SUBSTITUTE(SUBSTITUTE(SUBSTITUTE(SUBSTITUTE(SUBSTITUTE(SUBSTITUTE(NOTA[NAMA BARANG]," ",),".",""),"-",""),"(",""),")",""),",",""),"/",""),"""",""),"+",""))</f>
        <v/>
      </c>
      <c r="AM12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4" s="39" t="str">
        <f>IF(NOTA[[#This Row],[CONCAT4]]="","",_xlfn.IFNA(MATCH(NOTA[[#This Row],[CONCAT4]],[2]!RAW[CONCAT_H],0),FALSE))</f>
        <v/>
      </c>
      <c r="AQ1274" s="39" t="str">
        <f>IF(NOTA[[#This Row],[CONCAT1]]="","",MATCH(NOTA[[#This Row],[CONCAT1]],[3]!db[NB NOTA_C],0))</f>
        <v/>
      </c>
      <c r="AR1274" s="39" t="str">
        <f>IF(NOTA[[#This Row],[QTY/ CTN]]="","",TRUE)</f>
        <v/>
      </c>
      <c r="AS1274" s="39" t="str">
        <f ca="1">IF(NOTA[[#This Row],[ID_H]]="","",IF(NOTA[[#This Row],[Column3]]=TRUE,NOTA[[#This Row],[QTY/ CTN]],INDEX([3]!db[QTY/ CTN],NOTA[[#This Row],[//DB]])))</f>
        <v/>
      </c>
      <c r="AT12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4" s="39" t="str">
        <f ca="1">IF(NOTA[[#This Row],[ID_H]]="","",MATCH(NOTA[[#This Row],[NB NOTA_C_QTY]],[4]!db[NB NOTA_C_QTY+F],0))</f>
        <v/>
      </c>
      <c r="AV1274" s="55" t="str">
        <f ca="1">IF(NOTA[[#This Row],[NB NOTA_C_QTY]]="","",ROW()-2)</f>
        <v/>
      </c>
    </row>
  </sheetData>
  <conditionalFormatting sqref="B1:C1048576">
    <cfRule type="duplicateValues" dxfId="264" priority="1617"/>
    <cfRule type="duplicateValues" dxfId="263" priority="1618"/>
  </conditionalFormatting>
  <conditionalFormatting sqref="B1:B1048576">
    <cfRule type="duplicateValues" dxfId="262" priority="1623"/>
  </conditionalFormatting>
  <conditionalFormatting sqref="B3:B28">
    <cfRule type="duplicateValues" dxfId="261" priority="1629"/>
  </conditionalFormatting>
  <conditionalFormatting sqref="AP3:AP28">
    <cfRule type="duplicateValues" dxfId="260" priority="1630"/>
  </conditionalFormatting>
  <conditionalFormatting sqref="H248:H281 H283:H407 H3:H18 H20:H246">
    <cfRule type="duplicateValues" dxfId="259" priority="1645"/>
  </conditionalFormatting>
  <conditionalFormatting sqref="H248:H281 H283:H634 H1:H18 H20:H246 H636:H1048576">
    <cfRule type="duplicateValues" dxfId="258" priority="1685"/>
  </conditionalFormatting>
  <conditionalFormatting sqref="AO3:AO1274">
    <cfRule type="duplicateValues" dxfId="257" priority="170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EXP\BARU\2023\07 JULI\[NOTA 07 JULI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610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58</v>
      </c>
      <c r="C3" s="12">
        <f ca="1">HYPERLINK("[NOTA_.xlsx]PAJAK!b"&amp;LIE[[#This Row],[//PAJAK]],IF(LIE[[#This Row],[//PAJAK]]="","",INDEX(INDIRECT("PAJAK["&amp;LIE[#Headers]&amp;"]"),LIE[[#This Row],[//PAJAK]]-1)))</f>
        <v>119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45131</v>
      </c>
      <c r="F3" s="2">
        <f ca="1">IF(LIE[[#This Row],[//PAJAK]]="","",INDEX(INDIRECT("PAJAK["&amp;LIE[#Headers]&amp;"]"),LIE[[#This Row],[//PAJAK]]-1))</f>
        <v>45128</v>
      </c>
      <c r="G3" s="14" t="str">
        <f ca="1">IF(LIE[[#This Row],[//PAJAK]]="","",INDEX(INDIRECT("PAJAK["&amp;LIE[#Headers]&amp;"]"),LIE[[#This Row],[//PAJAK]]-1))</f>
        <v>005604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17573520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15831999.999999998</v>
      </c>
      <c r="L3" s="1">
        <f ca="1">LIE[[#This Row],[DPP]]*11%</f>
        <v>1741519.9999999998</v>
      </c>
      <c r="M3" s="1">
        <f ca="1">LIE[[#This Row],[DPP]]+LIE[[#This Row],[PPN (11%)]]</f>
        <v>17573519.999999996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EXP\BARU\2023\07 JULI\[NOTA 07 JULI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6</v>
      </c>
      <c r="F1" t="str">
        <f ca="1">MID(G1,FIND("]",G1)+1,LEN(G1)-FIND("]",G1))</f>
        <v>PARAMA</v>
      </c>
      <c r="G1" s="4" t="str">
        <f ca="1">CELL("filename",G1)</f>
        <v>D:\kerja\BANK EXP\BARU\2023\07 JULI\[NOTA 07 JULI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859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396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39</v>
      </c>
      <c r="C3" s="12">
        <f ca="1">HYPERLINK("[NOTA_.xlsx]PAJAK!b"&amp;PARAMA[[#This Row],[//PAJAK]],IF(PARAMA[[#This Row],[//PAJAK]]="","",INDEX(INDIRECT("PAJAK["&amp;PARAMA[#Headers]&amp;"]"),PARAMA[[#This Row],[//PAJAK]]-1)))</f>
        <v>79</v>
      </c>
      <c r="D3" s="3" t="str">
        <f ca="1">IF(PARAMA[[#This Row],[//PAJAK]]="","",INDEX(INDIRECT("PAJAK["&amp;PARAMA[#Headers]&amp;"]"),PARAMA[[#This Row],[//PAJAK]]-1))</f>
        <v>PARAMA</v>
      </c>
      <c r="E3" s="2">
        <f ca="1">IF(PARAMA[[#This Row],[//PAJAK]]="","",INDEX(INDIRECT("PAJAK["&amp;PARAMA[#Headers]&amp;"]"),PARAMA[[#This Row],[//PAJAK]]-1))</f>
        <v>45122</v>
      </c>
      <c r="F3" s="2">
        <f ca="1">IF(PARAMA[[#This Row],[//PAJAK]]="","",INDEX(INDIRECT("PAJAK["&amp;PARAMA[#Headers]&amp;"]"),PARAMA[[#This Row],[//PAJAK]]-1))</f>
        <v>45120</v>
      </c>
      <c r="G3" s="7" t="str">
        <f ca="1">IF(PARAMA[[#This Row],[//PAJAK]]="","",INDEX(INDIRECT("PAJAK["&amp;PARAMA[#Headers]&amp;"]"),PARAMA[[#This Row],[//PAJAK]]-1))</f>
        <v>CV-29 / UTN-018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10839015</v>
      </c>
      <c r="J3" s="1">
        <f ca="1">IF(PARAMA[[#This Row],[//PAJAK]]="","",INDEX(PAJAK[DISKON],PARAMA[[#This Row],[//PAJAK]]-1))</f>
        <v>2542485</v>
      </c>
      <c r="K3" s="1"/>
      <c r="L3" s="1">
        <f ca="1">(PARAMA[[#This Row],[SUB TOTAL]]-PARAMA[[#This Row],[DISKON]])/1.11</f>
        <v>9764878.3783783782</v>
      </c>
      <c r="M3" s="1">
        <f ca="1">PARAMA[[#This Row],[DPP]]*11%</f>
        <v>1074136.6216216215</v>
      </c>
      <c r="N3" s="1">
        <f ca="1">PARAMA[[#This Row],[DPP]]+PARAMA[[#This Row],[PPN (11%)]]</f>
        <v>10839015</v>
      </c>
    </row>
    <row r="4" spans="1:14" x14ac:dyDescent="0.25">
      <c r="A4" s="13">
        <f ca="1">HYPERLINK("[NOTA_.xlsx]NOTA!A"&amp;MATCH(PARAMA[[#This Row],[ID]],NOTA[ID],0)+2,IF(PARAMA[[#This Row],[//PAJAK]]="","",MATCH(PARAMA[[#This Row],[ID]],NOTA[ID],0)+2))</f>
        <v>468</v>
      </c>
      <c r="B4" s="5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46</v>
      </c>
      <c r="C4" s="12">
        <f ca="1">HYPERLINK("[NOTA_.xlsx]PAJAK!b"&amp;PARAMA[[#This Row],[//PAJAK]],IF(PARAMA[[#This Row],[//PAJAK]]="","",INDEX(INDIRECT("PAJAK["&amp;PARAMA[#Headers]&amp;"]"),PARAMA[[#This Row],[//PAJAK]]-1)))</f>
        <v>97</v>
      </c>
      <c r="D4" t="str">
        <f ca="1">IF(PARAMA[[#This Row],[//PAJAK]]="","",INDEX(INDIRECT("PAJAK["&amp;PARAMA[#Headers]&amp;"]"),PARAMA[[#This Row],[//PAJAK]]-1))</f>
        <v>PARAMA</v>
      </c>
      <c r="E4" s="2">
        <f ca="1">IF(PARAMA[[#This Row],[//PAJAK]]="","",INDEX(INDIRECT("PAJAK["&amp;PARAMA[#Headers]&amp;"]"),PARAMA[[#This Row],[//PAJAK]]-1))</f>
        <v>45128</v>
      </c>
      <c r="F4" s="2">
        <f ca="1">IF(PARAMA[[#This Row],[//PAJAK]]="","",INDEX(INDIRECT("PAJAK["&amp;PARAMA[#Headers]&amp;"]"),PARAMA[[#This Row],[//PAJAK]]-1))</f>
        <v>45127</v>
      </c>
      <c r="G4" s="5" t="str">
        <f ca="1">IF(PARAMA[[#This Row],[//PAJAK]]="","",INDEX(INDIRECT("PAJAK["&amp;PARAMA[#Headers]&amp;"]"),PARAMA[[#This Row],[//PAJAK]]-1))</f>
        <v>CV-48 / UTN-020</v>
      </c>
      <c r="H4" t="str">
        <f ca="1">IF(PARAMA[[#This Row],[//PAJAK]]="","",INDEX(INDIRECT("PAJAK["&amp;PARAMA[#Headers]&amp;"]"),PARAMA[[#This Row],[//PAJAK]]-1))</f>
        <v/>
      </c>
      <c r="I4" s="1">
        <f ca="1">IF(PARAMA[[#This Row],[//PAJAK]]="","",INDEX(PAJAK[SUB TOTAL],PARAMA[[#This Row],[//PAJAK]]-1)-PARAMA[[#This Row],[DISKON_H]])</f>
        <v>10839015</v>
      </c>
      <c r="J4" s="1">
        <f ca="1">IF(PARAMA[[#This Row],[//PAJAK]]="","",INDEX(PAJAK[DISKON],PARAMA[[#This Row],[//PAJAK]]-1))</f>
        <v>2542485</v>
      </c>
      <c r="K4" s="1"/>
      <c r="L4" s="1">
        <f ca="1">(PARAMA[[#This Row],[SUB TOTAL]]-PARAMA[[#This Row],[DISKON]])/1.11</f>
        <v>9764878.3783783782</v>
      </c>
      <c r="M4" s="1">
        <f ca="1">PARAMA[[#This Row],[DPP]]*11%</f>
        <v>1074136.6216216215</v>
      </c>
      <c r="N4" s="1">
        <f ca="1">PARAMA[[#This Row],[DPP]]+PARAMA[[#This Row],[PPN (11%)]]</f>
        <v>10839015</v>
      </c>
    </row>
    <row r="5" spans="1:14" x14ac:dyDescent="0.25">
      <c r="A5" s="13">
        <f ca="1">HYPERLINK("[NOTA_.xlsx]NOTA!A"&amp;MATCH(PARAMA[[#This Row],[ID]],NOTA[ID],0)+2,IF(PARAMA[[#This Row],[//PAJAK]]="","",MATCH(PARAMA[[#This Row],[ID]],NOTA[ID],0)+2))</f>
        <v>524</v>
      </c>
      <c r="B5" s="5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>48</v>
      </c>
      <c r="C5" s="12">
        <f ca="1">HYPERLINK("[NOTA_.xlsx]PAJAK!b"&amp;PARAMA[[#This Row],[//PAJAK]],IF(PARAMA[[#This Row],[//PAJAK]]="","",INDEX(INDIRECT("PAJAK["&amp;PARAMA[#Headers]&amp;"]"),PARAMA[[#This Row],[//PAJAK]]-1)))</f>
        <v>107</v>
      </c>
      <c r="D5" t="str">
        <f ca="1">IF(PARAMA[[#This Row],[//PAJAK]]="","",INDEX(INDIRECT("PAJAK["&amp;PARAMA[#Headers]&amp;"]"),PARAMA[[#This Row],[//PAJAK]]-1))</f>
        <v>PARAMA</v>
      </c>
      <c r="E5" s="2">
        <f ca="1">IF(PARAMA[[#This Row],[//PAJAK]]="","",INDEX(INDIRECT("PAJAK["&amp;PARAMA[#Headers]&amp;"]"),PARAMA[[#This Row],[//PAJAK]]-1))</f>
        <v>45127</v>
      </c>
      <c r="F5" s="2">
        <f ca="1">IF(PARAMA[[#This Row],[//PAJAK]]="","",INDEX(INDIRECT("PAJAK["&amp;PARAMA[#Headers]&amp;"]"),PARAMA[[#This Row],[//PAJAK]]-1))</f>
        <v>45124</v>
      </c>
      <c r="G5" s="5" t="str">
        <f ca="1">IF(PARAMA[[#This Row],[//PAJAK]]="","",INDEX(INDIRECT("PAJAK["&amp;PARAMA[#Headers]&amp;"]"),PARAMA[[#This Row],[//PAJAK]]-1))</f>
        <v>CV-39 / UTN-019</v>
      </c>
      <c r="H5" t="str">
        <f ca="1">IF(PARAMA[[#This Row],[//PAJAK]]="","",INDEX(INDIRECT("PAJAK["&amp;PARAMA[#Headers]&amp;"]"),PARAMA[[#This Row],[//PAJAK]]-1))</f>
        <v/>
      </c>
      <c r="I5" s="1">
        <f ca="1">IF(PARAMA[[#This Row],[//PAJAK]]="","",INDEX(PAJAK[SUB TOTAL],PARAMA[[#This Row],[//PAJAK]]-1)-PARAMA[[#This Row],[DISKON_H]])</f>
        <v>11015190</v>
      </c>
      <c r="J5" s="1">
        <f ca="1">IF(PARAMA[[#This Row],[//PAJAK]]="","",INDEX(PAJAK[DISKON],PARAMA[[#This Row],[//PAJAK]]-1))</f>
        <v>2583810</v>
      </c>
      <c r="K5" s="1"/>
      <c r="L5" s="1">
        <f ca="1">(PARAMA[[#This Row],[SUB TOTAL]]-PARAMA[[#This Row],[DISKON]])/1.11</f>
        <v>9923594.5945945941</v>
      </c>
      <c r="M5" s="1">
        <f ca="1">PARAMA[[#This Row],[DPP]]*11%</f>
        <v>1091595.4054054054</v>
      </c>
      <c r="N5" s="1">
        <f ca="1">PARAMA[[#This Row],[DPP]]+PARAMA[[#This Row],[PPN (11%)]]</f>
        <v>11015190</v>
      </c>
    </row>
    <row r="6" spans="1:14" x14ac:dyDescent="0.25">
      <c r="A6" s="13" t="e">
        <f ca="1">HYPERLINK("[NOTA_.xlsx]NOTA!A"&amp;MATCH(PARAMA[[#This Row],[ID]],NOTA[ID],0)+2,IF(PARAMA[[#This Row],[//PAJAK]]="","",MATCH(PARAMA[[#This Row],[ID]],NOTA[ID],0)+2))</f>
        <v>#N/A</v>
      </c>
      <c r="B6" s="5" t="e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>#N/A</v>
      </c>
      <c r="C6" s="12" t="e">
        <f ca="1">HYPERLINK("[NOTA_.xlsx]PAJAK!b"&amp;PARAMA[[#This Row],[//PAJAK]],IF(PARAMA[[#This Row],[//PAJAK]]="","",INDEX(INDIRECT("PAJAK["&amp;PARAMA[#Headers]&amp;"]"),PARAMA[[#This Row],[//PAJAK]]-1)))</f>
        <v>#N/A</v>
      </c>
      <c r="D6" t="e">
        <f ca="1">IF(PARAMA[[#This Row],[//PAJAK]]="","",INDEX(INDIRECT("PAJAK["&amp;PARAMA[#Headers]&amp;"]"),PARAMA[[#This Row],[//PAJAK]]-1))</f>
        <v>#N/A</v>
      </c>
      <c r="E6" s="2" t="e">
        <f ca="1">IF(PARAMA[[#This Row],[//PAJAK]]="","",INDEX(INDIRECT("PAJAK["&amp;PARAMA[#Headers]&amp;"]"),PARAMA[[#This Row],[//PAJAK]]-1))</f>
        <v>#N/A</v>
      </c>
      <c r="F6" s="2" t="e">
        <f ca="1">IF(PARAMA[[#This Row],[//PAJAK]]="","",INDEX(INDIRECT("PAJAK["&amp;PARAMA[#Headers]&amp;"]"),PARAMA[[#This Row],[//PAJAK]]-1))</f>
        <v>#N/A</v>
      </c>
      <c r="G6" s="5" t="e">
        <f ca="1">IF(PARAMA[[#This Row],[//PAJAK]]="","",INDEX(INDIRECT("PAJAK["&amp;PARAMA[#Headers]&amp;"]"),PARAMA[[#This Row],[//PAJAK]]-1))</f>
        <v>#N/A</v>
      </c>
      <c r="H6" t="e">
        <f ca="1">IF(PARAMA[[#This Row],[//PAJAK]]="","",INDEX(INDIRECT("PAJAK["&amp;PARAMA[#Headers]&amp;"]"),PARAMA[[#This Row],[//PAJAK]]-1))</f>
        <v>#N/A</v>
      </c>
      <c r="I6" s="1" t="e">
        <f ca="1">IF(PARAMA[[#This Row],[//PAJAK]]="","",INDEX(PAJAK[SUB TOTAL],PARAMA[[#This Row],[//PAJAK]]-1)-PARAMA[[#This Row],[DISKON_H]])</f>
        <v>#N/A</v>
      </c>
      <c r="J6" s="1" t="e">
        <f ca="1">IF(PARAMA[[#This Row],[//PAJAK]]="","",INDEX(PAJAK[DISKON],PARAMA[[#This Row],[//PAJAK]]-1))</f>
        <v>#N/A</v>
      </c>
      <c r="K6" s="1"/>
      <c r="L6" s="1" t="e">
        <f ca="1">(PARAMA[[#This Row],[SUB TOTAL]]-PARAMA[[#This Row],[DISKON]])/1.11</f>
        <v>#N/A</v>
      </c>
      <c r="M6" s="1" t="e">
        <f ca="1">PARAMA[[#This Row],[DPP]]*11%</f>
        <v>#N/A</v>
      </c>
      <c r="N6" s="1" t="e">
        <f ca="1">PARAMA[[#This Row],[DPP]]+PARAMA[[#This Row],[PPN (11%)]]</f>
        <v>#N/A</v>
      </c>
    </row>
    <row r="7" spans="1:14" x14ac:dyDescent="0.25">
      <c r="A7" s="13" t="e">
        <f ca="1">HYPERLINK("[NOTA_.xlsx]NOTA!A"&amp;MATCH(PARAMA[[#This Row],[ID]],NOTA[ID],0)+2,IF(PARAMA[[#This Row],[//PAJAK]]="","",MATCH(PARAMA[[#This Row],[ID]],NOTA[ID],0)+2))</f>
        <v>#N/A</v>
      </c>
      <c r="B7" s="5" t="e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>#N/A</v>
      </c>
      <c r="C7" s="12" t="e">
        <f ca="1">HYPERLINK("[NOTA_.xlsx]PAJAK!b"&amp;PARAMA[[#This Row],[//PAJAK]],IF(PARAMA[[#This Row],[//PAJAK]]="","",INDEX(INDIRECT("PAJAK["&amp;PARAMA[#Headers]&amp;"]"),PARAMA[[#This Row],[//PAJAK]]-1)))</f>
        <v>#N/A</v>
      </c>
      <c r="D7" t="e">
        <f ca="1">IF(PARAMA[[#This Row],[//PAJAK]]="","",INDEX(INDIRECT("PAJAK["&amp;PARAMA[#Headers]&amp;"]"),PARAMA[[#This Row],[//PAJAK]]-1))</f>
        <v>#N/A</v>
      </c>
      <c r="E7" s="2" t="e">
        <f ca="1">IF(PARAMA[[#This Row],[//PAJAK]]="","",INDEX(INDIRECT("PAJAK["&amp;PARAMA[#Headers]&amp;"]"),PARAMA[[#This Row],[//PAJAK]]-1))</f>
        <v>#N/A</v>
      </c>
      <c r="F7" s="2" t="e">
        <f ca="1">IF(PARAMA[[#This Row],[//PAJAK]]="","",INDEX(INDIRECT("PAJAK["&amp;PARAMA[#Headers]&amp;"]"),PARAMA[[#This Row],[//PAJAK]]-1))</f>
        <v>#N/A</v>
      </c>
      <c r="G7" s="5" t="e">
        <f ca="1">IF(PARAMA[[#This Row],[//PAJAK]]="","",INDEX(INDIRECT("PAJAK["&amp;PARAMA[#Headers]&amp;"]"),PARAMA[[#This Row],[//PAJAK]]-1))</f>
        <v>#N/A</v>
      </c>
      <c r="H7" t="e">
        <f ca="1">IF(PARAMA[[#This Row],[//PAJAK]]="","",INDEX(INDIRECT("PAJAK["&amp;PARAMA[#Headers]&amp;"]"),PARAMA[[#This Row],[//PAJAK]]-1))</f>
        <v>#N/A</v>
      </c>
      <c r="I7" s="1" t="e">
        <f ca="1">IF(PARAMA[[#This Row],[//PAJAK]]="","",INDEX(PAJAK[SUB TOTAL],PARAMA[[#This Row],[//PAJAK]]-1)-PARAMA[[#This Row],[DISKON_H]])</f>
        <v>#N/A</v>
      </c>
      <c r="J7" s="1" t="e">
        <f ca="1">IF(PARAMA[[#This Row],[//PAJAK]]="","",INDEX(PAJAK[DISKON],PARAMA[[#This Row],[//PAJAK]]-1))</f>
        <v>#N/A</v>
      </c>
      <c r="K7" s="1"/>
      <c r="L7" s="1" t="e">
        <f ca="1">(PARAMA[[#This Row],[SUB TOTAL]]-PARAMA[[#This Row],[DISKON]])/1.11</f>
        <v>#N/A</v>
      </c>
      <c r="M7" s="1" t="e">
        <f ca="1">PARAMA[[#This Row],[DPP]]*11%</f>
        <v>#N/A</v>
      </c>
      <c r="N7" s="1" t="e">
        <f ca="1">PARAMA[[#This Row],[DPP]]+PARAMA[[#This Row],[PPN (11%)]]</f>
        <v>#N/A</v>
      </c>
    </row>
    <row r="8" spans="1:14" x14ac:dyDescent="0.25">
      <c r="A8" s="13" t="e">
        <f ca="1">HYPERLINK("[NOTA_.xlsx]NOTA!A"&amp;MATCH(PARAMA[[#This Row],[ID]],NOTA[ID],0)+2,IF(PARAMA[[#This Row],[//PAJAK]]="","",MATCH(PARAMA[[#This Row],[ID]],NOTA[ID],0)+2))</f>
        <v>#N/A</v>
      </c>
      <c r="B8" s="5" t="e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>#N/A</v>
      </c>
      <c r="C8" s="12" t="e">
        <f ca="1">HYPERLINK("[NOTA_.xlsx]PAJAK!b"&amp;PARAMA[[#This Row],[//PAJAK]],IF(PARAMA[[#This Row],[//PAJAK]]="","",INDEX(INDIRECT("PAJAK["&amp;PARAMA[#Headers]&amp;"]"),PARAMA[[#This Row],[//PAJAK]]-1)))</f>
        <v>#N/A</v>
      </c>
      <c r="D8" t="e">
        <f ca="1">IF(PARAMA[[#This Row],[//PAJAK]]="","",INDEX(INDIRECT("PAJAK["&amp;PARAMA[#Headers]&amp;"]"),PARAMA[[#This Row],[//PAJAK]]-1))</f>
        <v>#N/A</v>
      </c>
      <c r="E8" s="2" t="e">
        <f ca="1">IF(PARAMA[[#This Row],[//PAJAK]]="","",INDEX(INDIRECT("PAJAK["&amp;PARAMA[#Headers]&amp;"]"),PARAMA[[#This Row],[//PAJAK]]-1))</f>
        <v>#N/A</v>
      </c>
      <c r="F8" s="2" t="e">
        <f ca="1">IF(PARAMA[[#This Row],[//PAJAK]]="","",INDEX(INDIRECT("PAJAK["&amp;PARAMA[#Headers]&amp;"]"),PARAMA[[#This Row],[//PAJAK]]-1))</f>
        <v>#N/A</v>
      </c>
      <c r="G8" s="5" t="e">
        <f ca="1">IF(PARAMA[[#This Row],[//PAJAK]]="","",INDEX(INDIRECT("PAJAK["&amp;PARAMA[#Headers]&amp;"]"),PARAMA[[#This Row],[//PAJAK]]-1))</f>
        <v>#N/A</v>
      </c>
      <c r="H8" t="e">
        <f ca="1">IF(PARAMA[[#This Row],[//PAJAK]]="","",INDEX(INDIRECT("PAJAK["&amp;PARAMA[#Headers]&amp;"]"),PARAMA[[#This Row],[//PAJAK]]-1))</f>
        <v>#N/A</v>
      </c>
      <c r="I8" s="1" t="e">
        <f ca="1">IF(PARAMA[[#This Row],[//PAJAK]]="","",INDEX(PAJAK[SUB TOTAL],PARAMA[[#This Row],[//PAJAK]]-1)-PARAMA[[#This Row],[DISKON_H]])</f>
        <v>#N/A</v>
      </c>
      <c r="J8" s="1" t="e">
        <f ca="1">IF(PARAMA[[#This Row],[//PAJAK]]="","",INDEX(PAJAK[DISKON],PARAMA[[#This Row],[//PAJAK]]-1))</f>
        <v>#N/A</v>
      </c>
      <c r="K8" s="1"/>
      <c r="L8" s="1" t="e">
        <f ca="1">(PARAMA[[#This Row],[SUB TOTAL]]-PARAMA[[#This Row],[DISKON]])/1.11</f>
        <v>#N/A</v>
      </c>
      <c r="M8" s="1" t="e">
        <f ca="1">PARAMA[[#This Row],[DPP]]*11%</f>
        <v>#N/A</v>
      </c>
      <c r="N8" s="1" t="e">
        <f ca="1">PARAMA[[#This Row],[DPP]]+PARAMA[[#This Row],[PPN (11%)]]</f>
        <v>#N/A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75"/>
  <sheetViews>
    <sheetView topLeftCell="B1" workbookViewId="0">
      <selection activeCell="E13" sqref="E13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175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931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41</v>
      </c>
    </row>
    <row r="4" spans="1:7" x14ac:dyDescent="0.25">
      <c r="A4" t="s">
        <v>34</v>
      </c>
      <c r="B4">
        <f>COUNTIF(NOTA[FAKTUR],NM_FAKTUR)</f>
        <v>78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3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3</v>
      </c>
    </row>
    <row r="13" spans="1:7" x14ac:dyDescent="0.25">
      <c r="D13" t="s">
        <v>144</v>
      </c>
      <c r="E13" t="s">
        <v>144</v>
      </c>
      <c r="F13" t="s">
        <v>144</v>
      </c>
      <c r="G13" s="3">
        <f>COUNTIF(NOTA[SUPPLIER],CONV[[#This Row],[1]])</f>
        <v>6</v>
      </c>
    </row>
    <row r="14" spans="1:7" x14ac:dyDescent="0.25">
      <c r="A14" s="23" t="s">
        <v>87</v>
      </c>
      <c r="B14" t="s">
        <v>23</v>
      </c>
    </row>
    <row r="16" spans="1:7" x14ac:dyDescent="0.25">
      <c r="A16" s="23" t="s">
        <v>85</v>
      </c>
      <c r="B16" t="s">
        <v>88</v>
      </c>
    </row>
    <row r="17" spans="1:2" x14ac:dyDescent="0.25">
      <c r="A17" s="4" t="s">
        <v>107</v>
      </c>
      <c r="B17" s="3">
        <v>3</v>
      </c>
    </row>
    <row r="18" spans="1:2" x14ac:dyDescent="0.25">
      <c r="A18" s="4" t="s">
        <v>430</v>
      </c>
      <c r="B18" s="3">
        <v>3</v>
      </c>
    </row>
    <row r="19" spans="1:2" x14ac:dyDescent="0.25">
      <c r="A19" s="4" t="s">
        <v>133</v>
      </c>
      <c r="B19" s="3">
        <v>2</v>
      </c>
    </row>
    <row r="20" spans="1:2" x14ac:dyDescent="0.25">
      <c r="A20" s="4" t="s">
        <v>104</v>
      </c>
      <c r="B20" s="3">
        <v>10</v>
      </c>
    </row>
    <row r="21" spans="1:2" x14ac:dyDescent="0.25">
      <c r="A21" s="4" t="s">
        <v>451</v>
      </c>
      <c r="B21" s="3">
        <v>5</v>
      </c>
    </row>
    <row r="22" spans="1:2" x14ac:dyDescent="0.25">
      <c r="A22" s="4" t="s">
        <v>338</v>
      </c>
      <c r="B22" s="3">
        <v>1</v>
      </c>
    </row>
    <row r="23" spans="1:2" x14ac:dyDescent="0.25">
      <c r="A23" s="4" t="s">
        <v>339</v>
      </c>
      <c r="B23" s="3">
        <v>3</v>
      </c>
    </row>
    <row r="24" spans="1:2" x14ac:dyDescent="0.25">
      <c r="A24" s="4" t="s">
        <v>340</v>
      </c>
      <c r="B24" s="3">
        <v>1</v>
      </c>
    </row>
    <row r="25" spans="1:2" x14ac:dyDescent="0.25">
      <c r="A25" s="4" t="s">
        <v>137</v>
      </c>
      <c r="B25" s="3">
        <v>4</v>
      </c>
    </row>
    <row r="26" spans="1:2" x14ac:dyDescent="0.25">
      <c r="A26" s="4" t="s">
        <v>99</v>
      </c>
      <c r="B26" s="3">
        <v>3</v>
      </c>
    </row>
    <row r="27" spans="1:2" x14ac:dyDescent="0.25">
      <c r="A27" s="4" t="s">
        <v>406</v>
      </c>
      <c r="B27" s="3">
        <v>3</v>
      </c>
    </row>
    <row r="28" spans="1:2" x14ac:dyDescent="0.25">
      <c r="A28" s="4" t="s">
        <v>138</v>
      </c>
      <c r="B28" s="3">
        <v>1</v>
      </c>
    </row>
    <row r="29" spans="1:2" x14ac:dyDescent="0.25">
      <c r="A29" s="4" t="s">
        <v>331</v>
      </c>
      <c r="B29" s="3">
        <v>3</v>
      </c>
    </row>
    <row r="30" spans="1:2" x14ac:dyDescent="0.25">
      <c r="A30" s="4" t="s">
        <v>284</v>
      </c>
      <c r="B30" s="3">
        <v>1</v>
      </c>
    </row>
    <row r="31" spans="1:2" x14ac:dyDescent="0.25">
      <c r="A31" s="4" t="s">
        <v>292</v>
      </c>
      <c r="B31" s="3">
        <v>9</v>
      </c>
    </row>
    <row r="32" spans="1:2" x14ac:dyDescent="0.25">
      <c r="A32" s="4" t="s">
        <v>89</v>
      </c>
      <c r="B32" s="3">
        <v>23</v>
      </c>
    </row>
    <row r="33" spans="1:2" x14ac:dyDescent="0.25">
      <c r="A33" s="4" t="s">
        <v>102</v>
      </c>
      <c r="B33" s="3">
        <v>2</v>
      </c>
    </row>
    <row r="34" spans="1:2" x14ac:dyDescent="0.25">
      <c r="A34" s="4" t="s">
        <v>444</v>
      </c>
      <c r="B34" s="3">
        <v>1</v>
      </c>
    </row>
    <row r="35" spans="1:2" x14ac:dyDescent="0.25">
      <c r="A35" s="4" t="s">
        <v>106</v>
      </c>
      <c r="B35" s="3">
        <v>5</v>
      </c>
    </row>
    <row r="36" spans="1:2" x14ac:dyDescent="0.25">
      <c r="A36" s="4" t="s">
        <v>334</v>
      </c>
      <c r="B36" s="3">
        <v>2</v>
      </c>
    </row>
    <row r="37" spans="1:2" x14ac:dyDescent="0.25">
      <c r="A37" s="4" t="s">
        <v>317</v>
      </c>
      <c r="B37" s="3">
        <v>14</v>
      </c>
    </row>
    <row r="38" spans="1:2" x14ac:dyDescent="0.25">
      <c r="A38" s="4" t="s">
        <v>286</v>
      </c>
      <c r="B38" s="3">
        <v>7</v>
      </c>
    </row>
    <row r="39" spans="1:2" x14ac:dyDescent="0.25">
      <c r="A39" s="4" t="s">
        <v>330</v>
      </c>
      <c r="B39" s="3">
        <v>3</v>
      </c>
    </row>
    <row r="40" spans="1:2" x14ac:dyDescent="0.25">
      <c r="A40" s="4" t="s">
        <v>98</v>
      </c>
      <c r="B40" s="3">
        <v>5</v>
      </c>
    </row>
    <row r="41" spans="1:2" x14ac:dyDescent="0.25">
      <c r="A41" s="4" t="s">
        <v>100</v>
      </c>
      <c r="B41" s="3">
        <v>1</v>
      </c>
    </row>
    <row r="42" spans="1:2" x14ac:dyDescent="0.25">
      <c r="A42" s="4" t="s">
        <v>101</v>
      </c>
      <c r="B42" s="3">
        <v>6</v>
      </c>
    </row>
    <row r="43" spans="1:2" x14ac:dyDescent="0.25">
      <c r="A43" s="4" t="s">
        <v>103</v>
      </c>
      <c r="B43" s="3">
        <v>2</v>
      </c>
    </row>
    <row r="44" spans="1:2" x14ac:dyDescent="0.25">
      <c r="A44" s="4" t="s">
        <v>105</v>
      </c>
      <c r="B44" s="3">
        <v>2</v>
      </c>
    </row>
    <row r="45" spans="1:2" x14ac:dyDescent="0.25">
      <c r="A45" s="4" t="s">
        <v>108</v>
      </c>
      <c r="B45" s="3">
        <v>1</v>
      </c>
    </row>
    <row r="46" spans="1:2" x14ac:dyDescent="0.25">
      <c r="A46" s="4" t="s">
        <v>109</v>
      </c>
      <c r="B46" s="3">
        <v>2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5</v>
      </c>
    </row>
    <row r="49" spans="1:2" x14ac:dyDescent="0.25">
      <c r="A49" s="4" t="s">
        <v>113</v>
      </c>
      <c r="B49" s="3">
        <v>6</v>
      </c>
    </row>
    <row r="50" spans="1:2" x14ac:dyDescent="0.25">
      <c r="A50" s="4" t="s">
        <v>112</v>
      </c>
      <c r="B50" s="3">
        <v>7</v>
      </c>
    </row>
    <row r="51" spans="1:2" x14ac:dyDescent="0.25">
      <c r="A51" s="4" t="s">
        <v>116</v>
      </c>
      <c r="B51" s="3">
        <v>7</v>
      </c>
    </row>
    <row r="52" spans="1:2" x14ac:dyDescent="0.25">
      <c r="A52" s="4" t="s">
        <v>118</v>
      </c>
      <c r="B52" s="3">
        <v>1</v>
      </c>
    </row>
    <row r="53" spans="1:2" x14ac:dyDescent="0.25">
      <c r="A53" s="4" t="s">
        <v>119</v>
      </c>
      <c r="B53" s="3">
        <v>1</v>
      </c>
    </row>
    <row r="54" spans="1:2" x14ac:dyDescent="0.25">
      <c r="A54" s="4" t="s">
        <v>121</v>
      </c>
      <c r="B54" s="3">
        <v>2</v>
      </c>
    </row>
    <row r="55" spans="1:2" x14ac:dyDescent="0.25">
      <c r="A55" s="4" t="s">
        <v>122</v>
      </c>
      <c r="B55" s="3">
        <v>2</v>
      </c>
    </row>
    <row r="56" spans="1:2" x14ac:dyDescent="0.25">
      <c r="A56" s="4" t="s">
        <v>123</v>
      </c>
      <c r="B56" s="3">
        <v>8</v>
      </c>
    </row>
    <row r="57" spans="1:2" x14ac:dyDescent="0.25">
      <c r="A57" s="4" t="s">
        <v>124</v>
      </c>
      <c r="B57" s="3"/>
    </row>
    <row r="58" spans="1:2" x14ac:dyDescent="0.25">
      <c r="A58" s="4" t="s">
        <v>126</v>
      </c>
      <c r="B58" s="3">
        <v>1</v>
      </c>
    </row>
    <row r="59" spans="1:2" x14ac:dyDescent="0.25">
      <c r="A59" s="4" t="s">
        <v>127</v>
      </c>
      <c r="B59" s="3">
        <v>1</v>
      </c>
    </row>
    <row r="60" spans="1:2" x14ac:dyDescent="0.25">
      <c r="A60" s="4" t="s">
        <v>128</v>
      </c>
      <c r="B60" s="3">
        <v>1</v>
      </c>
    </row>
    <row r="61" spans="1:2" x14ac:dyDescent="0.25">
      <c r="A61" s="4" t="s">
        <v>129</v>
      </c>
      <c r="B61" s="3">
        <v>1</v>
      </c>
    </row>
    <row r="62" spans="1:2" x14ac:dyDescent="0.25">
      <c r="A62" s="4" t="s">
        <v>131</v>
      </c>
      <c r="B62" s="3">
        <v>4</v>
      </c>
    </row>
    <row r="63" spans="1:2" x14ac:dyDescent="0.25">
      <c r="A63" s="4" t="s">
        <v>132</v>
      </c>
      <c r="B63" s="3">
        <v>2</v>
      </c>
    </row>
    <row r="64" spans="1:2" x14ac:dyDescent="0.25">
      <c r="A64" s="4" t="s">
        <v>135</v>
      </c>
      <c r="B64" s="3">
        <v>1</v>
      </c>
    </row>
    <row r="65" spans="1:2" x14ac:dyDescent="0.25">
      <c r="A65" s="4" t="s">
        <v>136</v>
      </c>
      <c r="B65" s="3">
        <v>1</v>
      </c>
    </row>
    <row r="66" spans="1:2" x14ac:dyDescent="0.25">
      <c r="A66" s="4" t="s">
        <v>140</v>
      </c>
      <c r="B66" s="3">
        <v>10</v>
      </c>
    </row>
    <row r="67" spans="1:2" x14ac:dyDescent="0.25">
      <c r="A67" s="4" t="s">
        <v>142</v>
      </c>
      <c r="B67" s="3">
        <v>21</v>
      </c>
    </row>
    <row r="68" spans="1:2" x14ac:dyDescent="0.25">
      <c r="A68" s="4" t="s">
        <v>143</v>
      </c>
      <c r="B68" s="3">
        <v>26</v>
      </c>
    </row>
    <row r="69" spans="1:2" x14ac:dyDescent="0.25">
      <c r="A69" s="4" t="s">
        <v>235</v>
      </c>
      <c r="B69" s="3">
        <v>1</v>
      </c>
    </row>
    <row r="70" spans="1:2" x14ac:dyDescent="0.25">
      <c r="A70" s="4" t="s">
        <v>237</v>
      </c>
      <c r="B70" s="3">
        <v>1</v>
      </c>
    </row>
    <row r="71" spans="1:2" x14ac:dyDescent="0.25">
      <c r="A71" s="4" t="s">
        <v>239</v>
      </c>
      <c r="B71" s="3">
        <v>1</v>
      </c>
    </row>
    <row r="72" spans="1:2" x14ac:dyDescent="0.25">
      <c r="A72" s="4" t="s">
        <v>262</v>
      </c>
      <c r="B72" s="3">
        <v>69</v>
      </c>
    </row>
    <row r="73" spans="1:2" x14ac:dyDescent="0.25">
      <c r="A73" s="4" t="s">
        <v>264</v>
      </c>
      <c r="B73" s="3">
        <v>31</v>
      </c>
    </row>
    <row r="74" spans="1:2" x14ac:dyDescent="0.25">
      <c r="A74" s="4" t="s">
        <v>265</v>
      </c>
      <c r="B74" s="3">
        <v>50</v>
      </c>
    </row>
    <row r="75" spans="1:2" x14ac:dyDescent="0.25">
      <c r="A75" s="4" t="s">
        <v>266</v>
      </c>
      <c r="B75" s="3">
        <v>14</v>
      </c>
    </row>
    <row r="76" spans="1:2" x14ac:dyDescent="0.25">
      <c r="A76" s="4" t="s">
        <v>267</v>
      </c>
      <c r="B76" s="3">
        <v>2</v>
      </c>
    </row>
    <row r="77" spans="1:2" x14ac:dyDescent="0.25">
      <c r="A77" s="4" t="s">
        <v>268</v>
      </c>
      <c r="B77" s="3">
        <v>4</v>
      </c>
    </row>
    <row r="78" spans="1:2" x14ac:dyDescent="0.25">
      <c r="A78" s="4" t="s">
        <v>270</v>
      </c>
      <c r="B78" s="3">
        <v>1</v>
      </c>
    </row>
    <row r="79" spans="1:2" x14ac:dyDescent="0.25">
      <c r="A79" s="4" t="s">
        <v>271</v>
      </c>
      <c r="B79" s="3">
        <v>2</v>
      </c>
    </row>
    <row r="80" spans="1:2" x14ac:dyDescent="0.25">
      <c r="A80" s="4" t="s">
        <v>273</v>
      </c>
      <c r="B80" s="3">
        <v>10</v>
      </c>
    </row>
    <row r="81" spans="1:2" x14ac:dyDescent="0.25">
      <c r="A81" s="4" t="s">
        <v>274</v>
      </c>
      <c r="B81" s="3">
        <v>12</v>
      </c>
    </row>
    <row r="82" spans="1:2" x14ac:dyDescent="0.25">
      <c r="A82" s="4" t="s">
        <v>275</v>
      </c>
      <c r="B82" s="3">
        <v>3</v>
      </c>
    </row>
    <row r="83" spans="1:2" x14ac:dyDescent="0.25">
      <c r="A83" s="4" t="s">
        <v>276</v>
      </c>
      <c r="B83" s="3">
        <v>2</v>
      </c>
    </row>
    <row r="84" spans="1:2" x14ac:dyDescent="0.25">
      <c r="A84" s="4" t="s">
        <v>278</v>
      </c>
      <c r="B84" s="3">
        <v>1</v>
      </c>
    </row>
    <row r="85" spans="1:2" x14ac:dyDescent="0.25">
      <c r="A85" s="4" t="s">
        <v>279</v>
      </c>
      <c r="B85" s="3">
        <v>4</v>
      </c>
    </row>
    <row r="86" spans="1:2" x14ac:dyDescent="0.25">
      <c r="A86" s="4" t="s">
        <v>280</v>
      </c>
      <c r="B86" s="3">
        <v>1</v>
      </c>
    </row>
    <row r="87" spans="1:2" x14ac:dyDescent="0.25">
      <c r="A87" s="4" t="s">
        <v>281</v>
      </c>
      <c r="B87" s="3">
        <v>1</v>
      </c>
    </row>
    <row r="88" spans="1:2" x14ac:dyDescent="0.25">
      <c r="A88" s="4" t="s">
        <v>282</v>
      </c>
      <c r="B88" s="3">
        <v>1</v>
      </c>
    </row>
    <row r="89" spans="1:2" x14ac:dyDescent="0.25">
      <c r="A89" s="4" t="s">
        <v>283</v>
      </c>
      <c r="B89" s="3">
        <v>1</v>
      </c>
    </row>
    <row r="90" spans="1:2" x14ac:dyDescent="0.25">
      <c r="A90" s="4" t="s">
        <v>285</v>
      </c>
      <c r="B90" s="3">
        <v>4</v>
      </c>
    </row>
    <row r="91" spans="1:2" x14ac:dyDescent="0.25">
      <c r="A91" s="4" t="s">
        <v>288</v>
      </c>
      <c r="B91" s="3">
        <v>4</v>
      </c>
    </row>
    <row r="92" spans="1:2" x14ac:dyDescent="0.25">
      <c r="A92" s="4" t="s">
        <v>289</v>
      </c>
      <c r="B92" s="3">
        <v>1</v>
      </c>
    </row>
    <row r="93" spans="1:2" x14ac:dyDescent="0.25">
      <c r="A93" s="4" t="s">
        <v>290</v>
      </c>
      <c r="B93" s="3">
        <v>32</v>
      </c>
    </row>
    <row r="94" spans="1:2" x14ac:dyDescent="0.25">
      <c r="A94" s="4" t="s">
        <v>291</v>
      </c>
      <c r="B94" s="3">
        <v>12</v>
      </c>
    </row>
    <row r="95" spans="1:2" x14ac:dyDescent="0.25">
      <c r="A95" s="4" t="s">
        <v>304</v>
      </c>
      <c r="B95" s="3">
        <v>5</v>
      </c>
    </row>
    <row r="96" spans="1:2" x14ac:dyDescent="0.25">
      <c r="A96" s="4" t="s">
        <v>314</v>
      </c>
      <c r="B96" s="3">
        <v>14</v>
      </c>
    </row>
    <row r="97" spans="1:2" x14ac:dyDescent="0.25">
      <c r="A97" s="4" t="s">
        <v>307</v>
      </c>
      <c r="B97" s="3">
        <v>2</v>
      </c>
    </row>
    <row r="98" spans="1:2" x14ac:dyDescent="0.25">
      <c r="A98" s="4" t="s">
        <v>309</v>
      </c>
      <c r="B98" s="3">
        <v>1</v>
      </c>
    </row>
    <row r="99" spans="1:2" x14ac:dyDescent="0.25">
      <c r="A99" s="4" t="s">
        <v>310</v>
      </c>
      <c r="B99" s="3">
        <v>1</v>
      </c>
    </row>
    <row r="100" spans="1:2" x14ac:dyDescent="0.25">
      <c r="A100" s="4" t="s">
        <v>315</v>
      </c>
      <c r="B100" s="3">
        <v>1</v>
      </c>
    </row>
    <row r="101" spans="1:2" x14ac:dyDescent="0.25">
      <c r="A101" s="4" t="s">
        <v>311</v>
      </c>
      <c r="B101" s="3">
        <v>1</v>
      </c>
    </row>
    <row r="102" spans="1:2" x14ac:dyDescent="0.25">
      <c r="A102" s="4" t="s">
        <v>325</v>
      </c>
      <c r="B102" s="3">
        <v>3</v>
      </c>
    </row>
    <row r="103" spans="1:2" x14ac:dyDescent="0.25">
      <c r="A103" s="4" t="s">
        <v>312</v>
      </c>
      <c r="B103" s="3">
        <v>3</v>
      </c>
    </row>
    <row r="104" spans="1:2" x14ac:dyDescent="0.25">
      <c r="A104" s="4" t="s">
        <v>318</v>
      </c>
      <c r="B104" s="3">
        <v>9</v>
      </c>
    </row>
    <row r="105" spans="1:2" x14ac:dyDescent="0.25">
      <c r="A105" s="4" t="s">
        <v>322</v>
      </c>
      <c r="B105" s="3">
        <v>8</v>
      </c>
    </row>
    <row r="106" spans="1:2" x14ac:dyDescent="0.25">
      <c r="A106" s="4" t="s">
        <v>321</v>
      </c>
      <c r="B106" s="3">
        <v>5</v>
      </c>
    </row>
    <row r="107" spans="1:2" x14ac:dyDescent="0.25">
      <c r="A107" s="4" t="s">
        <v>320</v>
      </c>
      <c r="B107" s="3">
        <v>5</v>
      </c>
    </row>
    <row r="108" spans="1:2" x14ac:dyDescent="0.25">
      <c r="A108" s="4" t="s">
        <v>420</v>
      </c>
      <c r="B108" s="3"/>
    </row>
    <row r="109" spans="1:2" x14ac:dyDescent="0.25">
      <c r="A109" s="4" t="s">
        <v>324</v>
      </c>
      <c r="B109" s="3">
        <v>1</v>
      </c>
    </row>
    <row r="110" spans="1:2" x14ac:dyDescent="0.25">
      <c r="A110" s="4" t="s">
        <v>327</v>
      </c>
      <c r="B110" s="3">
        <v>2</v>
      </c>
    </row>
    <row r="111" spans="1:2" x14ac:dyDescent="0.25">
      <c r="A111" s="4" t="s">
        <v>328</v>
      </c>
      <c r="B111" s="3">
        <v>2</v>
      </c>
    </row>
    <row r="112" spans="1:2" x14ac:dyDescent="0.25">
      <c r="A112" s="4" t="s">
        <v>329</v>
      </c>
      <c r="B112" s="3">
        <v>3</v>
      </c>
    </row>
    <row r="113" spans="1:2" x14ac:dyDescent="0.25">
      <c r="A113" s="4" t="s">
        <v>333</v>
      </c>
      <c r="B113" s="3">
        <v>1</v>
      </c>
    </row>
    <row r="114" spans="1:2" x14ac:dyDescent="0.25">
      <c r="A114" s="4" t="s">
        <v>335</v>
      </c>
      <c r="B114" s="3">
        <v>10</v>
      </c>
    </row>
    <row r="115" spans="1:2" x14ac:dyDescent="0.25">
      <c r="A115" s="4" t="s">
        <v>336</v>
      </c>
      <c r="B115" s="3">
        <v>3</v>
      </c>
    </row>
    <row r="116" spans="1:2" x14ac:dyDescent="0.25">
      <c r="A116" s="4" t="s">
        <v>341</v>
      </c>
      <c r="B116" s="3">
        <v>4</v>
      </c>
    </row>
    <row r="117" spans="1:2" x14ac:dyDescent="0.25">
      <c r="A117" s="4" t="s">
        <v>337</v>
      </c>
      <c r="B117" s="3">
        <v>2</v>
      </c>
    </row>
    <row r="118" spans="1:2" x14ac:dyDescent="0.25">
      <c r="A118" s="4" t="s">
        <v>370</v>
      </c>
      <c r="B118" s="3">
        <v>1</v>
      </c>
    </row>
    <row r="119" spans="1:2" x14ac:dyDescent="0.25">
      <c r="A119" s="4" t="s">
        <v>374</v>
      </c>
      <c r="B119" s="3">
        <v>3</v>
      </c>
    </row>
    <row r="120" spans="1:2" x14ac:dyDescent="0.25">
      <c r="A120" s="4" t="s">
        <v>371</v>
      </c>
      <c r="B120" s="3">
        <v>3</v>
      </c>
    </row>
    <row r="121" spans="1:2" x14ac:dyDescent="0.25">
      <c r="A121" s="4" t="s">
        <v>372</v>
      </c>
      <c r="B121" s="3">
        <v>2</v>
      </c>
    </row>
    <row r="122" spans="1:2" x14ac:dyDescent="0.25">
      <c r="A122" s="4" t="s">
        <v>373</v>
      </c>
      <c r="B122" s="3">
        <v>2</v>
      </c>
    </row>
    <row r="123" spans="1:2" x14ac:dyDescent="0.25">
      <c r="A123" s="4" t="s">
        <v>376</v>
      </c>
      <c r="B123" s="3">
        <v>2</v>
      </c>
    </row>
    <row r="124" spans="1:2" x14ac:dyDescent="0.25">
      <c r="A124" s="4" t="s">
        <v>377</v>
      </c>
      <c r="B124" s="3">
        <v>10</v>
      </c>
    </row>
    <row r="125" spans="1:2" x14ac:dyDescent="0.25">
      <c r="A125" s="4" t="s">
        <v>379</v>
      </c>
      <c r="B125" s="3">
        <v>2</v>
      </c>
    </row>
    <row r="126" spans="1:2" x14ac:dyDescent="0.25">
      <c r="A126" s="4" t="s">
        <v>380</v>
      </c>
      <c r="B126" s="3">
        <v>5</v>
      </c>
    </row>
    <row r="127" spans="1:2" x14ac:dyDescent="0.25">
      <c r="A127" s="4" t="s">
        <v>381</v>
      </c>
      <c r="B127" s="3">
        <v>5</v>
      </c>
    </row>
    <row r="128" spans="1:2" x14ac:dyDescent="0.25">
      <c r="A128" s="4" t="s">
        <v>382</v>
      </c>
      <c r="B128" s="3">
        <v>2</v>
      </c>
    </row>
    <row r="129" spans="1:2" x14ac:dyDescent="0.25">
      <c r="A129" s="4" t="s">
        <v>389</v>
      </c>
      <c r="B129" s="3">
        <v>7</v>
      </c>
    </row>
    <row r="130" spans="1:2" x14ac:dyDescent="0.25">
      <c r="A130" s="4" t="s">
        <v>384</v>
      </c>
      <c r="B130" s="3">
        <v>2</v>
      </c>
    </row>
    <row r="131" spans="1:2" x14ac:dyDescent="0.25">
      <c r="A131" s="4" t="s">
        <v>385</v>
      </c>
      <c r="B131" s="3">
        <v>2</v>
      </c>
    </row>
    <row r="132" spans="1:2" x14ac:dyDescent="0.25">
      <c r="A132" s="4" t="s">
        <v>386</v>
      </c>
      <c r="B132" s="3">
        <v>2</v>
      </c>
    </row>
    <row r="133" spans="1:2" x14ac:dyDescent="0.25">
      <c r="A133" s="4" t="s">
        <v>387</v>
      </c>
      <c r="B133" s="3">
        <v>17</v>
      </c>
    </row>
    <row r="134" spans="1:2" x14ac:dyDescent="0.25">
      <c r="A134" s="4" t="s">
        <v>388</v>
      </c>
      <c r="B134" s="3">
        <v>1</v>
      </c>
    </row>
    <row r="135" spans="1:2" x14ac:dyDescent="0.25">
      <c r="A135" s="4" t="s">
        <v>421</v>
      </c>
      <c r="B135" s="3">
        <v>1</v>
      </c>
    </row>
    <row r="136" spans="1:2" x14ac:dyDescent="0.25">
      <c r="A136" s="4" t="s">
        <v>392</v>
      </c>
      <c r="B136" s="3">
        <v>1</v>
      </c>
    </row>
    <row r="137" spans="1:2" x14ac:dyDescent="0.25">
      <c r="A137" s="4" t="s">
        <v>393</v>
      </c>
      <c r="B137" s="3">
        <v>2</v>
      </c>
    </row>
    <row r="138" spans="1:2" x14ac:dyDescent="0.25">
      <c r="A138" s="4" t="s">
        <v>397</v>
      </c>
      <c r="B138" s="3">
        <v>4</v>
      </c>
    </row>
    <row r="139" spans="1:2" x14ac:dyDescent="0.25">
      <c r="A139" s="4" t="s">
        <v>398</v>
      </c>
      <c r="B139" s="3">
        <v>3</v>
      </c>
    </row>
    <row r="140" spans="1:2" x14ac:dyDescent="0.25">
      <c r="A140" s="4" t="s">
        <v>399</v>
      </c>
      <c r="B140" s="3">
        <v>1</v>
      </c>
    </row>
    <row r="141" spans="1:2" x14ac:dyDescent="0.25">
      <c r="A141" s="4" t="s">
        <v>400</v>
      </c>
      <c r="B141" s="3">
        <v>1</v>
      </c>
    </row>
    <row r="142" spans="1:2" x14ac:dyDescent="0.25">
      <c r="A142" s="4" t="s">
        <v>401</v>
      </c>
      <c r="B142" s="3">
        <v>2</v>
      </c>
    </row>
    <row r="143" spans="1:2" x14ac:dyDescent="0.25">
      <c r="A143" s="4" t="s">
        <v>402</v>
      </c>
      <c r="B143" s="3">
        <v>10</v>
      </c>
    </row>
    <row r="144" spans="1:2" x14ac:dyDescent="0.25">
      <c r="A144" s="4" t="s">
        <v>408</v>
      </c>
      <c r="B144" s="3">
        <v>2</v>
      </c>
    </row>
    <row r="145" spans="1:2" x14ac:dyDescent="0.25">
      <c r="A145" s="4" t="s">
        <v>407</v>
      </c>
      <c r="B145" s="3">
        <v>1</v>
      </c>
    </row>
    <row r="146" spans="1:2" x14ac:dyDescent="0.25">
      <c r="A146" s="4" t="s">
        <v>412</v>
      </c>
      <c r="B146" s="3">
        <v>3</v>
      </c>
    </row>
    <row r="147" spans="1:2" x14ac:dyDescent="0.25">
      <c r="A147" s="4" t="s">
        <v>414</v>
      </c>
      <c r="B147" s="3">
        <v>2</v>
      </c>
    </row>
    <row r="148" spans="1:2" x14ac:dyDescent="0.25">
      <c r="A148" s="4" t="s">
        <v>415</v>
      </c>
      <c r="B148" s="3">
        <v>1</v>
      </c>
    </row>
    <row r="149" spans="1:2" x14ac:dyDescent="0.25">
      <c r="A149" s="4" t="s">
        <v>427</v>
      </c>
      <c r="B149" s="3">
        <v>1</v>
      </c>
    </row>
    <row r="150" spans="1:2" x14ac:dyDescent="0.25">
      <c r="A150" s="4" t="s">
        <v>428</v>
      </c>
      <c r="B150" s="3">
        <v>1</v>
      </c>
    </row>
    <row r="151" spans="1:2" x14ac:dyDescent="0.25">
      <c r="A151" s="4" t="s">
        <v>431</v>
      </c>
      <c r="B151" s="3">
        <v>5</v>
      </c>
    </row>
    <row r="152" spans="1:2" x14ac:dyDescent="0.25">
      <c r="A152" s="4" t="s">
        <v>433</v>
      </c>
      <c r="B152" s="3">
        <v>2</v>
      </c>
    </row>
    <row r="153" spans="1:2" x14ac:dyDescent="0.25">
      <c r="A153" s="4" t="s">
        <v>434</v>
      </c>
      <c r="B153" s="3">
        <v>2</v>
      </c>
    </row>
    <row r="154" spans="1:2" x14ac:dyDescent="0.25">
      <c r="A154" s="4" t="s">
        <v>435</v>
      </c>
      <c r="B154" s="3">
        <v>3</v>
      </c>
    </row>
    <row r="155" spans="1:2" x14ac:dyDescent="0.25">
      <c r="A155" s="4" t="s">
        <v>437</v>
      </c>
      <c r="B155" s="3">
        <v>1</v>
      </c>
    </row>
    <row r="156" spans="1:2" x14ac:dyDescent="0.25">
      <c r="A156" s="4" t="s">
        <v>438</v>
      </c>
      <c r="B156" s="3">
        <v>1</v>
      </c>
    </row>
    <row r="157" spans="1:2" x14ac:dyDescent="0.25">
      <c r="A157" s="4" t="s">
        <v>440</v>
      </c>
      <c r="B157" s="3">
        <v>1</v>
      </c>
    </row>
    <row r="158" spans="1:2" x14ac:dyDescent="0.25">
      <c r="A158" s="4" t="s">
        <v>441</v>
      </c>
      <c r="B158" s="3">
        <v>1</v>
      </c>
    </row>
    <row r="159" spans="1:2" x14ac:dyDescent="0.25">
      <c r="A159" s="4" t="s">
        <v>442</v>
      </c>
      <c r="B159" s="3">
        <v>1</v>
      </c>
    </row>
    <row r="160" spans="1:2" x14ac:dyDescent="0.25">
      <c r="A160" s="4" t="s">
        <v>446</v>
      </c>
      <c r="B160" s="3">
        <v>1</v>
      </c>
    </row>
    <row r="161" spans="1:2" x14ac:dyDescent="0.25">
      <c r="A161" s="4" t="s">
        <v>445</v>
      </c>
      <c r="B161" s="3"/>
    </row>
    <row r="162" spans="1:2" x14ac:dyDescent="0.25">
      <c r="A162" s="4" t="s">
        <v>447</v>
      </c>
      <c r="B162" s="3"/>
    </row>
    <row r="163" spans="1:2" x14ac:dyDescent="0.25">
      <c r="A163" s="4" t="s">
        <v>448</v>
      </c>
      <c r="B163" s="3"/>
    </row>
    <row r="164" spans="1:2" x14ac:dyDescent="0.25">
      <c r="A164" s="4" t="s">
        <v>449</v>
      </c>
      <c r="B164" s="3"/>
    </row>
    <row r="165" spans="1:2" x14ac:dyDescent="0.25">
      <c r="A165" s="4" t="s">
        <v>453</v>
      </c>
      <c r="B165" s="3">
        <v>5</v>
      </c>
    </row>
    <row r="166" spans="1:2" x14ac:dyDescent="0.25">
      <c r="A166" s="4" t="s">
        <v>454</v>
      </c>
      <c r="B166" s="3">
        <v>10</v>
      </c>
    </row>
    <row r="167" spans="1:2" x14ac:dyDescent="0.25">
      <c r="A167" s="4" t="s">
        <v>455</v>
      </c>
      <c r="B167" s="3">
        <v>3</v>
      </c>
    </row>
    <row r="168" spans="1:2" x14ac:dyDescent="0.25">
      <c r="A168" s="4" t="s">
        <v>456</v>
      </c>
      <c r="B168" s="3">
        <v>1</v>
      </c>
    </row>
    <row r="169" spans="1:2" x14ac:dyDescent="0.25">
      <c r="A169" s="4" t="s">
        <v>460</v>
      </c>
      <c r="B169" s="3">
        <v>5</v>
      </c>
    </row>
    <row r="170" spans="1:2" x14ac:dyDescent="0.25">
      <c r="A170" s="4" t="s">
        <v>461</v>
      </c>
      <c r="B170" s="3">
        <v>5</v>
      </c>
    </row>
    <row r="171" spans="1:2" x14ac:dyDescent="0.25">
      <c r="A171" s="4" t="s">
        <v>463</v>
      </c>
      <c r="B171" s="3">
        <v>1</v>
      </c>
    </row>
    <row r="172" spans="1:2" x14ac:dyDescent="0.25">
      <c r="A172" s="4" t="s">
        <v>465</v>
      </c>
      <c r="B172" s="3">
        <v>12</v>
      </c>
    </row>
    <row r="173" spans="1:2" x14ac:dyDescent="0.25">
      <c r="A173" s="4" t="s">
        <v>467</v>
      </c>
      <c r="B173" s="3">
        <v>2</v>
      </c>
    </row>
    <row r="174" spans="1:2" x14ac:dyDescent="0.25">
      <c r="A174" s="4" t="s">
        <v>466</v>
      </c>
      <c r="B174" s="3">
        <v>1</v>
      </c>
    </row>
    <row r="175" spans="1:2" x14ac:dyDescent="0.25">
      <c r="A175" s="4" t="s">
        <v>86</v>
      </c>
      <c r="B175" s="3">
        <v>755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F73" sqref="F7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4" bestFit="1" customWidth="1"/>
    <col min="12" max="12" width="14.28515625" style="24" bestFit="1" customWidth="1"/>
    <col min="13" max="13" width="15.28515625" style="24" bestFit="1" customWidth="1"/>
    <col min="14" max="14" width="13.28515625" style="24" customWidth="1"/>
    <col min="15" max="15" width="15.28515625" style="24" bestFit="1" customWidth="1"/>
    <col min="16" max="16" width="14.28515625" style="24" bestFit="1" customWidth="1"/>
    <col min="17" max="17" width="15.28515625" style="24" bestFit="1" customWidth="1"/>
    <col min="18" max="18" width="4.7109375" style="19" customWidth="1"/>
    <col min="19" max="22" width="9.140625" style="19"/>
    <col min="23" max="23" width="19.42578125" style="24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4" t="s">
        <v>38</v>
      </c>
      <c r="L1" s="24" t="s">
        <v>39</v>
      </c>
      <c r="M1" s="24" t="s">
        <v>40</v>
      </c>
      <c r="N1" s="24" t="s">
        <v>19</v>
      </c>
      <c r="O1" s="24" t="s">
        <v>41</v>
      </c>
      <c r="P1" s="24" t="s">
        <v>43</v>
      </c>
      <c r="Q1" s="24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21">
        <f ca="1">HYPERLINK("[NOTA_.XLSX]NOTA!c"&amp;PAJAK[[#This Row],[//]],IF(PAJAK[[#This Row],[//]]="","",INDEX(INDIRECT("NOTA["&amp;PAJAK[#Headers]&amp;"]"),PAJAK[[#This Row],[//]]-2)))</f>
        <v>15</v>
      </c>
      <c r="C2" s="19" t="str">
        <f ca="1">IF(PAJAK[[#This Row],[//]]="","",INDEX(INDIRECT("NOTA["&amp;PAJAK[#Headers]&amp;"]"),PAJAK[[#This Row],[//]]-2))</f>
        <v>ATA_0507_107-7</v>
      </c>
      <c r="D2" s="19">
        <f ca="1">MATCH(PAJAK[[#This Row],[ID]],[5]!Table1[ID],0)</f>
        <v>33</v>
      </c>
      <c r="E2" s="20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45112</v>
      </c>
      <c r="H2" s="17">
        <f ca="1">IF(PAJAK[[#This Row],[//]]="","",INDEX(INDIRECT("NOTA["&amp;PAJAK[#Headers]&amp;"]"),PAJAK[[#This Row],[//]]-2))</f>
        <v>45110</v>
      </c>
      <c r="I2" s="16" t="str">
        <f ca="1">IF(PAJAK[[#This Row],[//]]="","",INDEX(INDIRECT("NOTA["&amp;PAJAK[#Headers]&amp;"]"),PAJAK[[#This Row],[//]]-2))</f>
        <v>SA230711107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4">
        <f ca="1">IF(PAJAK[[#This Row],[//]]="","",SUMIF(NOTA[ID_H],PAJAK[[#This Row],[ID]],NOTA[JUMLAH]))</f>
        <v>17624400</v>
      </c>
      <c r="L2" s="24">
        <f ca="1">IF(PAJAK[[#This Row],[//]]="","",SUMIF(NOTA[ID_H],PAJAK[[#This Row],[ID]],NOTA[DISC]))</f>
        <v>2970355.5</v>
      </c>
      <c r="M2" s="24">
        <f ca="1">PAJAK[[#This Row],[SUB TOTAL]]-PAJAK[[#This Row],[DISKON]]</f>
        <v>14654044.5</v>
      </c>
      <c r="N2" s="24">
        <f ca="1">IF(PAJAK[[#This Row],[//]]="","",INDEX(INDIRECT("NOTA["&amp;PAJAK[#Headers]&amp;"]"),PAJAK[[#This Row],[//]]-2+PAJAK[[#This Row],[QB]]-1))</f>
        <v>135432</v>
      </c>
      <c r="O2" s="24">
        <f ca="1">(PAJAK[[#This Row],[SUB T-DISC]]-PAJAK[[#This Row],[DISC DLL]])/111%</f>
        <v>13079831.081081079</v>
      </c>
      <c r="P2" s="24">
        <f ca="1">PAJAK[[#This Row],[DPP]]*PAJAK[[#This Row],[PPN]]</f>
        <v>1438781.4189189188</v>
      </c>
      <c r="Q2" s="24">
        <f ca="1">PAJAK[[#This Row],[DPP]]+PAJAK[[#This Row],[PPN 11%]]</f>
        <v>14518612.499999998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21">
        <f ca="1">HYPERLINK("[NOTA_.XLSX]NOTA!c"&amp;PAJAK[[#This Row],[//]],IF(PAJAK[[#This Row],[//]]="","",INDEX(INDIRECT("NOTA["&amp;PAJAK[#Headers]&amp;"]"),PAJAK[[#This Row],[//]]-2)))</f>
        <v>16</v>
      </c>
      <c r="C3" s="19" t="str">
        <f ca="1">IF(PAJAK[[#This Row],[//]]="","",INDEX(INDIRECT("NOTA["&amp;PAJAK[#Headers]&amp;"]"),PAJAK[[#This Row],[//]]-2))</f>
        <v>ATA_0507_032-4</v>
      </c>
      <c r="D3" s="19">
        <f ca="1">MATCH(PAJAK[[#This Row],[ID]],[5]!Table1[ID],0)</f>
        <v>32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45112</v>
      </c>
      <c r="H3" s="17">
        <f ca="1">IF(PAJAK[[#This Row],[//]]="","",INDEX(INDIRECT("NOTA["&amp;PAJAK[#Headers]&amp;"]"),PAJAK[[#This Row],[//]]-2))</f>
        <v>45108</v>
      </c>
      <c r="I3" s="16" t="str">
        <f ca="1">IF(PAJAK[[#This Row],[//]]="","",INDEX(INDIRECT("NOTA["&amp;PAJAK[#Headers]&amp;"]"),PAJAK[[#This Row],[//]]-2))</f>
        <v>SA230711032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4">
        <f ca="1">IF(PAJAK[[#This Row],[//]]="","",SUMIF(NOTA[ID_H],PAJAK[[#This Row],[ID]],NOTA[JUMLAH]))</f>
        <v>5529600</v>
      </c>
      <c r="L3" s="24">
        <f ca="1">IF(PAJAK[[#This Row],[//]]="","",SUMIF(NOTA[ID_H],PAJAK[[#This Row],[ID]],NOTA[DISC]))</f>
        <v>933120</v>
      </c>
      <c r="M3" s="24">
        <f ca="1">PAJAK[[#This Row],[SUB TOTAL]]-PAJAK[[#This Row],[DISKON]]</f>
        <v>4596480</v>
      </c>
      <c r="N3" s="24">
        <f ca="1">IF(PAJAK[[#This Row],[//]]="","",INDEX(INDIRECT("NOTA["&amp;PAJAK[#Headers]&amp;"]"),PAJAK[[#This Row],[//]]-2+PAJAK[[#This Row],[QB]]-1))</f>
        <v>0</v>
      </c>
      <c r="O3" s="24">
        <f ca="1">(PAJAK[[#This Row],[SUB T-DISC]]-PAJAK[[#This Row],[DISC DLL]])/111%</f>
        <v>4140972.9729729728</v>
      </c>
      <c r="P3" s="24">
        <f ca="1">PAJAK[[#This Row],[DPP]]*PAJAK[[#This Row],[PPN]]</f>
        <v>455507.02702702698</v>
      </c>
      <c r="Q3" s="24">
        <f ca="1">PAJAK[[#This Row],[DPP]]+PAJAK[[#This Row],[PPN 11%]]</f>
        <v>4596480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22">
        <f ca="1">HYPERLINK("[NOTA_.XLSX]NOTA!c"&amp;PAJAK[[#This Row],[//]],IF(PAJAK[[#This Row],[//]]="","",INDEX(INDIRECT("NOTA["&amp;PAJAK[#Headers]&amp;"]"),PAJAK[[#This Row],[//]]-2)))</f>
        <v>17</v>
      </c>
      <c r="C4" s="15" t="str">
        <f ca="1">IF(PAJAK[[#This Row],[//]]="","",INDEX(INDIRECT("NOTA["&amp;PAJAK[#Headers]&amp;"]"),PAJAK[[#This Row],[//]]-2))</f>
        <v>KEN_0507_111-6</v>
      </c>
      <c r="D4" s="15">
        <f ca="1">MATCH(PAJAK[[#This Row],[ID]],[5]!Table1[ID],0)</f>
        <v>3</v>
      </c>
      <c r="E4" s="16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45112</v>
      </c>
      <c r="H4" s="17">
        <f ca="1">IF(PAJAK[[#This Row],[//]]="","",INDEX(INDIRECT("NOTA["&amp;PAJAK[#Headers]&amp;"]"),PAJAK[[#This Row],[//]]-2))</f>
        <v>45110</v>
      </c>
      <c r="I4" s="16" t="str">
        <f ca="1">IF(PAJAK[[#This Row],[//]]="","",INDEX(INDIRECT("NOTA["&amp;PAJAK[#Headers]&amp;"]"),PAJAK[[#This Row],[//]]-2))</f>
        <v>23070111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4">
        <f ca="1">IF(PAJAK[[#This Row],[//]]="","",SUMIF(NOTA[ID_H],PAJAK[[#This Row],[ID]],NOTA[JUMLAH]))</f>
        <v>25830000</v>
      </c>
      <c r="L4" s="24">
        <f ca="1">IF(PAJAK[[#This Row],[//]]="","",SUMIF(NOTA[ID_H],PAJAK[[#This Row],[ID]],NOTA[DISC]))</f>
        <v>4391100</v>
      </c>
      <c r="M4" s="24">
        <f ca="1">PAJAK[[#This Row],[SUB TOTAL]]-PAJAK[[#This Row],[DISKON]]</f>
        <v>21438900</v>
      </c>
      <c r="N4" s="24">
        <f ca="1">IF(PAJAK[[#This Row],[//]]="","",INDEX(INDIRECT("NOTA["&amp;PAJAK[#Headers]&amp;"]"),PAJAK[[#This Row],[//]]-2+PAJAK[[#This Row],[QB]]-1))</f>
        <v>0</v>
      </c>
      <c r="O4" s="24">
        <f ca="1">(PAJAK[[#This Row],[SUB T-DISC]]-PAJAK[[#This Row],[DISC DLL]])/111%</f>
        <v>19314324.324324321</v>
      </c>
      <c r="P4" s="24">
        <f ca="1">PAJAK[[#This Row],[DPP]]*PAJAK[[#This Row],[PPN]]</f>
        <v>2124575.6756756753</v>
      </c>
      <c r="Q4" s="24">
        <f ca="1">PAJAK[[#This Row],[DPP]]+PAJAK[[#This Row],[PPN 11%]]</f>
        <v>21438899.999999996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21">
        <f ca="1">HYPERLINK("[NOTA_.XLSX]NOTA!c"&amp;PAJAK[[#This Row],[//]],IF(PAJAK[[#This Row],[//]]="","",INDEX(INDIRECT("NOTA["&amp;PAJAK[#Headers]&amp;"]"),PAJAK[[#This Row],[//]]-2)))</f>
        <v>18</v>
      </c>
      <c r="C5" s="19" t="str">
        <f ca="1">IF(PAJAK[[#This Row],[//]]="","",INDEX(INDIRECT("NOTA["&amp;PAJAK[#Headers]&amp;"]"),PAJAK[[#This Row],[//]]-2))</f>
        <v>KEN_0507_063-6</v>
      </c>
      <c r="D5" s="19">
        <f ca="1">MATCH(PAJAK[[#This Row],[ID]],[5]!Table1[ID],0)</f>
        <v>2</v>
      </c>
      <c r="E5" s="20">
        <f ca="1">IF(PAJAK[[#This Row],[ID]]="","",COUNTIF(NOTA[ID_H],PAJAK[[#This Row],[ID]]))</f>
        <v>6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45112</v>
      </c>
      <c r="H5" s="17">
        <f ca="1">IF(PAJAK[[#This Row],[//]]="","",INDEX(INDIRECT("NOTA["&amp;PAJAK[#Headers]&amp;"]"),PAJAK[[#This Row],[//]]-2))</f>
        <v>45108</v>
      </c>
      <c r="I5" s="16" t="str">
        <f ca="1">IF(PAJAK[[#This Row],[//]]="","",INDEX(INDIRECT("NOTA["&amp;PAJAK[#Headers]&amp;"]"),PAJAK[[#This Row],[//]]-2))</f>
        <v>23070063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4">
        <f ca="1">IF(PAJAK[[#This Row],[//]]="","",SUMIF(NOTA[ID_H],PAJAK[[#This Row],[ID]],NOTA[JUMLAH]))</f>
        <v>61653600</v>
      </c>
      <c r="L5" s="24">
        <f ca="1">IF(PAJAK[[#This Row],[//]]="","",SUMIF(NOTA[ID_H],PAJAK[[#This Row],[ID]],NOTA[DISC]))</f>
        <v>10481112</v>
      </c>
      <c r="M5" s="24">
        <f ca="1">PAJAK[[#This Row],[SUB TOTAL]]-PAJAK[[#This Row],[DISKON]]</f>
        <v>51172488</v>
      </c>
      <c r="N5" s="24">
        <f ca="1">IF(PAJAK[[#This Row],[//]]="","",INDEX(INDIRECT("NOTA["&amp;PAJAK[#Headers]&amp;"]"),PAJAK[[#This Row],[//]]-2+PAJAK[[#This Row],[QB]]-1))</f>
        <v>0</v>
      </c>
      <c r="O5" s="24">
        <f ca="1">(PAJAK[[#This Row],[SUB T-DISC]]-PAJAK[[#This Row],[DISC DLL]])/111%</f>
        <v>46101340.540540539</v>
      </c>
      <c r="P5" s="24">
        <f ca="1">PAJAK[[#This Row],[DPP]]*PAJAK[[#This Row],[PPN]]</f>
        <v>5071147.4594594594</v>
      </c>
      <c r="Q5" s="24">
        <f ca="1">PAJAK[[#This Row],[DPP]]+PAJAK[[#This Row],[PPN 11%]]</f>
        <v>51172488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21">
        <f ca="1">HYPERLINK("[NOTA_.XLSX]NOTA!c"&amp;PAJAK[[#This Row],[//]],IF(PAJAK[[#This Row],[//]]="","",INDEX(INDIRECT("NOTA["&amp;PAJAK[#Headers]&amp;"]"),PAJAK[[#This Row],[//]]-2)))</f>
        <v>23</v>
      </c>
      <c r="C6" s="19" t="str">
        <f ca="1">IF(PAJAK[[#This Row],[//]]="","",INDEX(INDIRECT("NOTA["&amp;PAJAK[#Headers]&amp;"]"),PAJAK[[#This Row],[//]]-2))</f>
        <v>SAM_0607_257-3</v>
      </c>
      <c r="D6" s="19">
        <f ca="1">MATCH(PAJAK[[#This Row],[ID]],[5]!Table1[ID],0)</f>
        <v>29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CV SAMUDERA ANGKASA JAYA</v>
      </c>
      <c r="G6" s="17">
        <f ca="1">IF(PAJAK[[#This Row],[//]]="","",INDEX(NOTA[TGL_H],PAJAK[[#This Row],[//]]-2))</f>
        <v>45113</v>
      </c>
      <c r="H6" s="17">
        <f ca="1">IF(PAJAK[[#This Row],[//]]="","",INDEX(INDIRECT("NOTA["&amp;PAJAK[#Headers]&amp;"]"),PAJAK[[#This Row],[//]]-2))</f>
        <v>45110</v>
      </c>
      <c r="I6" s="16" t="str">
        <f ca="1">IF(PAJAK[[#This Row],[//]]="","",INDEX(INDIRECT("NOTA["&amp;PAJAK[#Headers]&amp;"]"),PAJAK[[#This Row],[//]]-2))</f>
        <v>JL-55257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4">
        <f ca="1">IF(PAJAK[[#This Row],[//]]="","",SUMIF(NOTA[ID_H],PAJAK[[#This Row],[ID]],NOTA[JUMLAH]))</f>
        <v>102480000</v>
      </c>
      <c r="L6" s="24">
        <f ca="1">IF(PAJAK[[#This Row],[//]]="","",SUMIF(NOTA[ID_H],PAJAK[[#This Row],[ID]],NOTA[DISC]))</f>
        <v>7173600.0000000019</v>
      </c>
      <c r="M6" s="24">
        <f ca="1">PAJAK[[#This Row],[SUB TOTAL]]-PAJAK[[#This Row],[DISKON]]</f>
        <v>95306400</v>
      </c>
      <c r="N6" s="24">
        <f ca="1">IF(PAJAK[[#This Row],[//]]="","",INDEX(INDIRECT("NOTA["&amp;PAJAK[#Headers]&amp;"]"),PAJAK[[#This Row],[//]]-2+PAJAK[[#This Row],[QB]]-1))</f>
        <v>0</v>
      </c>
      <c r="O6" s="24">
        <f ca="1">(PAJAK[[#This Row],[SUB T-DISC]]-PAJAK[[#This Row],[DISC DLL]])/111%</f>
        <v>85861621.621621609</v>
      </c>
      <c r="P6" s="24">
        <f ca="1">PAJAK[[#This Row],[DPP]]*PAJAK[[#This Row],[PPN]]</f>
        <v>9444778.3783783764</v>
      </c>
      <c r="Q6" s="24">
        <f ca="1">PAJAK[[#This Row],[DPP]]+PAJAK[[#This Row],[PPN 11%]]</f>
        <v>95306399.999999985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21">
        <f ca="1">HYPERLINK("[NOTA_.XLSX]NOTA!c"&amp;PAJAK[[#This Row],[//]],IF(PAJAK[[#This Row],[//]]="","",INDEX(INDIRECT("NOTA["&amp;PAJAK[#Headers]&amp;"]"),PAJAK[[#This Row],[//]]-2)))</f>
        <v>28</v>
      </c>
      <c r="C7" s="19" t="str">
        <f ca="1">IF(PAJAK[[#This Row],[//]]="","",INDEX(INDIRECT("NOTA["&amp;PAJAK[#Headers]&amp;"]"),PAJAK[[#This Row],[//]]-2))</f>
        <v>SDI_0707_067-3</v>
      </c>
      <c r="D7" s="19">
        <f ca="1">MATCH(PAJAK[[#This Row],[ID]],[5]!Table1[ID],0)</f>
        <v>74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DWI TUNGGAL INDAH JAYA</v>
      </c>
      <c r="G7" s="17">
        <f ca="1">IF(PAJAK[[#This Row],[//]]="","",INDEX(NOTA[TGL_H],PAJAK[[#This Row],[//]]-2))</f>
        <v>45114</v>
      </c>
      <c r="H7" s="17">
        <f ca="1">IF(PAJAK[[#This Row],[//]]="","",INDEX(INDIRECT("NOTA["&amp;PAJAK[#Headers]&amp;"]"),PAJAK[[#This Row],[//]]-2))</f>
        <v>45112</v>
      </c>
      <c r="I7" s="16" t="str">
        <f ca="1">IF(PAJAK[[#This Row],[//]]="","",INDEX(INDIRECT("NOTA["&amp;PAJAK[#Headers]&amp;"]"),PAJAK[[#This Row],[//]]-2))</f>
        <v>SINV99-230700000067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4">
        <f ca="1">IF(PAJAK[[#This Row],[//]]="","",SUMIF(NOTA[ID_H],PAJAK[[#This Row],[ID]],NOTA[JUMLAH]))</f>
        <v>9464323.4399999995</v>
      </c>
      <c r="L7" s="24">
        <f ca="1">IF(PAJAK[[#This Row],[//]]="","",SUMIF(NOTA[ID_H],PAJAK[[#This Row],[ID]],NOTA[DISC]))</f>
        <v>1512905.2559999998</v>
      </c>
      <c r="M7" s="24">
        <f ca="1">PAJAK[[#This Row],[SUB TOTAL]]-PAJAK[[#This Row],[DISKON]]</f>
        <v>7951418.1839999994</v>
      </c>
      <c r="N7" s="24">
        <f ca="1">IF(PAJAK[[#This Row],[//]]="","",INDEX(INDIRECT("NOTA["&amp;PAJAK[#Headers]&amp;"]"),PAJAK[[#This Row],[//]]-2+PAJAK[[#This Row],[QB]]-1))</f>
        <v>238529.18052000002</v>
      </c>
      <c r="O7" s="24">
        <f ca="1">(PAJAK[[#This Row],[SUB T-DISC]]-PAJAK[[#This Row],[DISC DLL]])/111%</f>
        <v>6948548.651783783</v>
      </c>
      <c r="P7" s="24">
        <f ca="1">PAJAK[[#This Row],[DPP]]*PAJAK[[#This Row],[PPN]]</f>
        <v>764340.35169621615</v>
      </c>
      <c r="Q7" s="24">
        <f ca="1">PAJAK[[#This Row],[DPP]]+PAJAK[[#This Row],[PPN 11%]]</f>
        <v>7712889.0034799995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21">
        <f ca="1">HYPERLINK("[NOTA_.XLSX]NOTA!c"&amp;PAJAK[[#This Row],[//]],IF(PAJAK[[#This Row],[//]]="","",INDEX(INDIRECT("NOTA["&amp;PAJAK[#Headers]&amp;"]"),PAJAK[[#This Row],[//]]-2)))</f>
        <v>35</v>
      </c>
      <c r="C8" s="19" t="str">
        <f ca="1">IF(PAJAK[[#This Row],[//]]="","",INDEX(INDIRECT("NOTA["&amp;PAJAK[#Headers]&amp;"]"),PAJAK[[#This Row],[//]]-2))</f>
        <v>ATA_0707_218-6</v>
      </c>
      <c r="D8" s="19">
        <f ca="1">MATCH(PAJAK[[#This Row],[ID]],[5]!Table1[ID],0)</f>
        <v>36</v>
      </c>
      <c r="E8" s="20">
        <f ca="1">IF(PAJAK[[#This Row],[ID]]="","",COUNTIF(NOTA[ID_H],PAJAK[[#This Row],[ID]]))</f>
        <v>6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45114</v>
      </c>
      <c r="H8" s="17">
        <f ca="1">IF(PAJAK[[#This Row],[//]]="","",INDEX(INDIRECT("NOTA["&amp;PAJAK[#Headers]&amp;"]"),PAJAK[[#This Row],[//]]-2))</f>
        <v>45111</v>
      </c>
      <c r="I8" s="16" t="str">
        <f ca="1">IF(PAJAK[[#This Row],[//]]="","",INDEX(INDIRECT("NOTA["&amp;PAJAK[#Headers]&amp;"]"),PAJAK[[#This Row],[//]]-2))</f>
        <v>SA230711218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4">
        <f ca="1">IF(PAJAK[[#This Row],[//]]="","",SUMIF(NOTA[ID_H],PAJAK[[#This Row],[ID]],NOTA[JUMLAH]))</f>
        <v>36078000</v>
      </c>
      <c r="L8" s="24">
        <f ca="1">IF(PAJAK[[#This Row],[//]]="","",SUMIF(NOTA[ID_H],PAJAK[[#This Row],[ID]],NOTA[DISC]))</f>
        <v>6088162.5</v>
      </c>
      <c r="M8" s="24">
        <f ca="1">PAJAK[[#This Row],[SUB TOTAL]]-PAJAK[[#This Row],[DISKON]]</f>
        <v>29989837.5</v>
      </c>
      <c r="N8" s="24">
        <f ca="1">IF(PAJAK[[#This Row],[//]]="","",INDEX(INDIRECT("NOTA["&amp;PAJAK[#Headers]&amp;"]"),PAJAK[[#This Row],[//]]-2+PAJAK[[#This Row],[QB]]-1))</f>
        <v>0</v>
      </c>
      <c r="O8" s="24">
        <f ca="1">(PAJAK[[#This Row],[SUB T-DISC]]-PAJAK[[#This Row],[DISC DLL]])/111%</f>
        <v>27017871.62162162</v>
      </c>
      <c r="P8" s="24">
        <f ca="1">PAJAK[[#This Row],[DPP]]*PAJAK[[#This Row],[PPN]]</f>
        <v>2971965.8783783782</v>
      </c>
      <c r="Q8" s="24">
        <f ca="1">PAJAK[[#This Row],[DPP]]+PAJAK[[#This Row],[PPN 11%]]</f>
        <v>29989837.5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15">
        <f ca="1">HYPERLINK("[NOTA_.XLSX]NOTA!c"&amp;PAJAK[[#This Row],[//]],IF(PAJAK[[#This Row],[//]]="","",INDEX(INDIRECT("NOTA["&amp;PAJAK[#Headers]&amp;"]"),PAJAK[[#This Row],[//]]-2)))</f>
        <v>36</v>
      </c>
      <c r="C9" s="15" t="str">
        <f ca="1">IF(PAJAK[[#This Row],[//]]="","",INDEX(INDIRECT("NOTA["&amp;PAJAK[#Headers]&amp;"]"),PAJAK[[#This Row],[//]]-2))</f>
        <v>ATA_0707_161-9</v>
      </c>
      <c r="D9" s="15">
        <f ca="1">MATCH(PAJAK[[#This Row],[ID]],[5]!Table1[ID],0)</f>
        <v>35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45114</v>
      </c>
      <c r="H9" s="17">
        <f ca="1">IF(PAJAK[[#This Row],[//]]="","",INDEX(INDIRECT("NOTA["&amp;PAJAK[#Headers]&amp;"]"),PAJAK[[#This Row],[//]]-2))</f>
        <v>45111</v>
      </c>
      <c r="I9" s="16" t="str">
        <f ca="1">IF(PAJAK[[#This Row],[//]]="","",INDEX(INDIRECT("NOTA["&amp;PAJAK[#Headers]&amp;"]"),PAJAK[[#This Row],[//]]-2))</f>
        <v>SA230711161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4">
        <f ca="1">IF(PAJAK[[#This Row],[//]]="","",SUMIF(NOTA[ID_H],PAJAK[[#This Row],[ID]],NOTA[JUMLAH]))</f>
        <v>27888000</v>
      </c>
      <c r="L9" s="24">
        <f ca="1">IF(PAJAK[[#This Row],[//]]="","",SUMIF(NOTA[ID_H],PAJAK[[#This Row],[ID]],NOTA[DISC]))</f>
        <v>4702338</v>
      </c>
      <c r="M9" s="24">
        <f ca="1">PAJAK[[#This Row],[SUB TOTAL]]-PAJAK[[#This Row],[DISKON]]</f>
        <v>23185662</v>
      </c>
      <c r="N9" s="24">
        <f ca="1">IF(PAJAK[[#This Row],[//]]="","",INDEX(INDIRECT("NOTA["&amp;PAJAK[#Headers]&amp;"]"),PAJAK[[#This Row],[//]]-2+PAJAK[[#This Row],[QB]]-1))</f>
        <v>135432</v>
      </c>
      <c r="O9" s="24">
        <f ca="1">(PAJAK[[#This Row],[SUB T-DISC]]-PAJAK[[#This Row],[DISC DLL]])/111%</f>
        <v>20765972.97297297</v>
      </c>
      <c r="P9" s="24">
        <f ca="1">PAJAK[[#This Row],[DPP]]*PAJAK[[#This Row],[PPN]]</f>
        <v>2284257.0270270268</v>
      </c>
      <c r="Q9" s="24">
        <f ca="1">PAJAK[[#This Row],[DPP]]+PAJAK[[#This Row],[PPN 11%]]</f>
        <v>23050229.999999996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21">
        <f ca="1">HYPERLINK("[NOTA_.XLSX]NOTA!c"&amp;PAJAK[[#This Row],[//]],IF(PAJAK[[#This Row],[//]]="","",INDEX(INDIRECT("NOTA["&amp;PAJAK[#Headers]&amp;"]"),PAJAK[[#This Row],[//]]-2)))</f>
        <v>37</v>
      </c>
      <c r="C10" s="19" t="str">
        <f ca="1">IF(PAJAK[[#This Row],[//]]="","",INDEX(INDIRECT("NOTA["&amp;PAJAK[#Headers]&amp;"]"),PAJAK[[#This Row],[//]]-2))</f>
        <v>KEN_0707_246-4</v>
      </c>
      <c r="D10" s="19">
        <f ca="1">MATCH(PAJAK[[#This Row],[ID]],[5]!Table1[ID],0)</f>
        <v>6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45114</v>
      </c>
      <c r="H10" s="17">
        <f ca="1">IF(PAJAK[[#This Row],[//]]="","",INDEX(INDIRECT("NOTA["&amp;PAJAK[#Headers]&amp;"]"),PAJAK[[#This Row],[//]]-2))</f>
        <v>45112</v>
      </c>
      <c r="I10" s="16" t="str">
        <f ca="1">IF(PAJAK[[#This Row],[//]]="","",INDEX(INDIRECT("NOTA["&amp;PAJAK[#Headers]&amp;"]"),PAJAK[[#This Row],[//]]-2))</f>
        <v>23070246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24">
        <f ca="1">IF(PAJAK[[#This Row],[//]]="","",SUMIF(NOTA[ID_H],PAJAK[[#This Row],[ID]],NOTA[JUMLAH]))</f>
        <v>53961600</v>
      </c>
      <c r="L10" s="24">
        <f ca="1">IF(PAJAK[[#This Row],[//]]="","",SUMIF(NOTA[ID_H],PAJAK[[#This Row],[ID]],NOTA[DISC]))</f>
        <v>9173472</v>
      </c>
      <c r="M10" s="24">
        <f ca="1">PAJAK[[#This Row],[SUB TOTAL]]-PAJAK[[#This Row],[DISKON]]</f>
        <v>44788128</v>
      </c>
      <c r="N10" s="24">
        <f ca="1">IF(PAJAK[[#This Row],[//]]="","",INDEX(INDIRECT("NOTA["&amp;PAJAK[#Headers]&amp;"]"),PAJAK[[#This Row],[//]]-2+PAJAK[[#This Row],[QB]]-1))</f>
        <v>0</v>
      </c>
      <c r="O10" s="24">
        <f ca="1">(PAJAK[[#This Row],[SUB T-DISC]]-PAJAK[[#This Row],[DISC DLL]])/111%</f>
        <v>40349664.864864863</v>
      </c>
      <c r="P10" s="24">
        <f ca="1">PAJAK[[#This Row],[DPP]]*PAJAK[[#This Row],[PPN]]</f>
        <v>4438463.1351351347</v>
      </c>
      <c r="Q10" s="24">
        <f ca="1">PAJAK[[#This Row],[DPP]]+PAJAK[[#This Row],[PPN 11%]]</f>
        <v>44788128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21">
        <f ca="1">HYPERLINK("[NOTA_.XLSX]NOTA!c"&amp;PAJAK[[#This Row],[//]],IF(PAJAK[[#This Row],[//]]="","",INDEX(INDIRECT("NOTA["&amp;PAJAK[#Headers]&amp;"]"),PAJAK[[#This Row],[//]]-2)))</f>
        <v>38</v>
      </c>
      <c r="C11" s="19" t="str">
        <f ca="1">IF(PAJAK[[#This Row],[//]]="","",INDEX(INDIRECT("NOTA["&amp;PAJAK[#Headers]&amp;"]"),PAJAK[[#This Row],[//]]-2))</f>
        <v>KEN_0707_241-10</v>
      </c>
      <c r="D11" s="19">
        <f ca="1">MATCH(PAJAK[[#This Row],[ID]],[5]!Table1[ID],0)</f>
        <v>4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45114</v>
      </c>
      <c r="H11" s="17">
        <f ca="1">IF(PAJAK[[#This Row],[//]]="","",INDEX(INDIRECT("NOTA["&amp;PAJAK[#Headers]&amp;"]"),PAJAK[[#This Row],[//]]-2))</f>
        <v>45112</v>
      </c>
      <c r="I11" s="16" t="str">
        <f ca="1">IF(PAJAK[[#This Row],[//]]="","",INDEX(INDIRECT("NOTA["&amp;PAJAK[#Headers]&amp;"]"),PAJAK[[#This Row],[//]]-2))</f>
        <v>23070241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24">
        <f ca="1">IF(PAJAK[[#This Row],[//]]="","",SUMIF(NOTA[ID_H],PAJAK[[#This Row],[ID]],NOTA[JUMLAH]))</f>
        <v>11333600</v>
      </c>
      <c r="L11" s="24">
        <f ca="1">IF(PAJAK[[#This Row],[//]]="","",SUMIF(NOTA[ID_H],PAJAK[[#This Row],[ID]],NOTA[DISC]))</f>
        <v>1926712</v>
      </c>
      <c r="M11" s="24">
        <f ca="1">PAJAK[[#This Row],[SUB TOTAL]]-PAJAK[[#This Row],[DISKON]]</f>
        <v>9406888</v>
      </c>
      <c r="N11" s="24">
        <f ca="1">IF(PAJAK[[#This Row],[//]]="","",INDEX(INDIRECT("NOTA["&amp;PAJAK[#Headers]&amp;"]"),PAJAK[[#This Row],[//]]-2+PAJAK[[#This Row],[QB]]-1))</f>
        <v>0</v>
      </c>
      <c r="O11" s="24">
        <f ca="1">(PAJAK[[#This Row],[SUB T-DISC]]-PAJAK[[#This Row],[DISC DLL]])/111%</f>
        <v>8474673.8738738727</v>
      </c>
      <c r="P11" s="24">
        <f ca="1">PAJAK[[#This Row],[DPP]]*PAJAK[[#This Row],[PPN]]</f>
        <v>932214.12612612604</v>
      </c>
      <c r="Q11" s="24">
        <f ca="1">PAJAK[[#This Row],[DPP]]+PAJAK[[#This Row],[PPN 11%]]</f>
        <v>9406887.9999999981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5">
        <f ca="1">HYPERLINK("[NOTA_.XLSX]NOTA!c"&amp;PAJAK[[#This Row],[//]],IF(PAJAK[[#This Row],[//]]="","",INDEX(INDIRECT("NOTA["&amp;PAJAK[#Headers]&amp;"]"),PAJAK[[#This Row],[//]]-2)))</f>
        <v>39</v>
      </c>
      <c r="C12" s="15" t="str">
        <f ca="1">IF(PAJAK[[#This Row],[//]]="","",INDEX(INDIRECT("NOTA["&amp;PAJAK[#Headers]&amp;"]"),PAJAK[[#This Row],[//]]-2))</f>
        <v>KEN_0707_242-7</v>
      </c>
      <c r="D12" s="15">
        <f ca="1">MATCH(PAJAK[[#This Row],[ID]],[5]!Table1[ID],0)</f>
        <v>5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45114</v>
      </c>
      <c r="H12" s="17">
        <f ca="1">IF(PAJAK[[#This Row],[//]]="","",INDEX(INDIRECT("NOTA["&amp;PAJAK[#Headers]&amp;"]"),PAJAK[[#This Row],[//]]-2))</f>
        <v>45112</v>
      </c>
      <c r="I12" s="16" t="str">
        <f ca="1">IF(PAJAK[[#This Row],[//]]="","",INDEX(INDIRECT("NOTA["&amp;PAJAK[#Headers]&amp;"]"),PAJAK[[#This Row],[//]]-2))</f>
        <v>23070242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24">
        <f ca="1">IF(PAJAK[[#This Row],[//]]="","",SUMIF(NOTA[ID_H],PAJAK[[#This Row],[ID]],NOTA[JUMLAH]))</f>
        <v>63645600</v>
      </c>
      <c r="L12" s="24">
        <f ca="1">IF(PAJAK[[#This Row],[//]]="","",SUMIF(NOTA[ID_H],PAJAK[[#This Row],[ID]],NOTA[DISC]))</f>
        <v>10819752</v>
      </c>
      <c r="M12" s="24">
        <f ca="1">PAJAK[[#This Row],[SUB TOTAL]]-PAJAK[[#This Row],[DISKON]]</f>
        <v>52825848</v>
      </c>
      <c r="N12" s="24">
        <f ca="1">IF(PAJAK[[#This Row],[//]]="","",INDEX(INDIRECT("NOTA["&amp;PAJAK[#Headers]&amp;"]"),PAJAK[[#This Row],[//]]-2+PAJAK[[#This Row],[QB]]-1))</f>
        <v>0</v>
      </c>
      <c r="O12" s="24">
        <f ca="1">(PAJAK[[#This Row],[SUB T-DISC]]-PAJAK[[#This Row],[DISC DLL]])/111%</f>
        <v>47590854.054054052</v>
      </c>
      <c r="P12" s="24">
        <f ca="1">PAJAK[[#This Row],[DPP]]*PAJAK[[#This Row],[PPN]]</f>
        <v>5234993.9459459456</v>
      </c>
      <c r="Q12" s="24">
        <f ca="1">PAJAK[[#This Row],[DPP]]+PAJAK[[#This Row],[PPN 11%]]</f>
        <v>52825848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170</v>
      </c>
      <c r="B13" s="21">
        <f ca="1">HYPERLINK("[NOTA_.XLSX]NOTA!c"&amp;PAJAK[[#This Row],[//]],IF(PAJAK[[#This Row],[//]]="","",INDEX(INDIRECT("NOTA["&amp;PAJAK[#Headers]&amp;"]"),PAJAK[[#This Row],[//]]-2)))</f>
        <v>40</v>
      </c>
      <c r="C13" s="19" t="str">
        <f ca="1">IF(PAJAK[[#This Row],[//]]="","",INDEX(INDIRECT("NOTA["&amp;PAJAK[#Headers]&amp;"]"),PAJAK[[#This Row],[//]]-2))</f>
        <v>ATA_0807_160-9</v>
      </c>
      <c r="D13" s="19">
        <f ca="1">MATCH(PAJAK[[#This Row],[ID]],[5]!Table1[ID],0)</f>
        <v>34</v>
      </c>
      <c r="E13" s="20">
        <f ca="1">IF(PAJAK[[#This Row],[ID]]="","",COUNTIF(NOTA[ID_H],PAJAK[[#This Row],[ID]]))</f>
        <v>9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45115</v>
      </c>
      <c r="H13" s="17">
        <f ca="1">IF(PAJAK[[#This Row],[//]]="","",INDEX(INDIRECT("NOTA["&amp;PAJAK[#Headers]&amp;"]"),PAJAK[[#This Row],[//]]-2))</f>
        <v>45111</v>
      </c>
      <c r="I13" s="16" t="str">
        <f ca="1">IF(PAJAK[[#This Row],[//]]="","",INDEX(INDIRECT("NOTA["&amp;PAJAK[#Headers]&amp;"]"),PAJAK[[#This Row],[//]]-2))</f>
        <v>SA230711160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4">
        <f ca="1">IF(PAJAK[[#This Row],[//]]="","",SUMIF(NOTA[ID_H],PAJAK[[#This Row],[ID]],NOTA[JUMLAH]))</f>
        <v>32912000</v>
      </c>
      <c r="L13" s="24">
        <f ca="1">IF(PAJAK[[#This Row],[//]]="","",SUMIF(NOTA[ID_H],PAJAK[[#This Row],[ID]],NOTA[DISC]))</f>
        <v>5553900</v>
      </c>
      <c r="M13" s="24">
        <f ca="1">PAJAK[[#This Row],[SUB TOTAL]]-PAJAK[[#This Row],[DISKON]]</f>
        <v>27358100</v>
      </c>
      <c r="N13" s="24">
        <f ca="1">IF(PAJAK[[#This Row],[//]]="","",INDEX(INDIRECT("NOTA["&amp;PAJAK[#Headers]&amp;"]"),PAJAK[[#This Row],[//]]-2+PAJAK[[#This Row],[QB]]-1))</f>
        <v>0</v>
      </c>
      <c r="O13" s="24">
        <f ca="1">(PAJAK[[#This Row],[SUB T-DISC]]-PAJAK[[#This Row],[DISC DLL]])/111%</f>
        <v>24646936.936936934</v>
      </c>
      <c r="P13" s="24">
        <f ca="1">PAJAK[[#This Row],[DPP]]*PAJAK[[#This Row],[PPN]]</f>
        <v>2711163.0630630627</v>
      </c>
      <c r="Q13" s="24">
        <f ca="1">PAJAK[[#This Row],[DPP]]+PAJAK[[#This Row],[PPN 11%]]</f>
        <v>27358099.999999996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180</v>
      </c>
      <c r="B14" s="15">
        <f ca="1">HYPERLINK("[NOTA_.XLSX]NOTA!c"&amp;PAJAK[[#This Row],[//]],IF(PAJAK[[#This Row],[//]]="","",INDEX(INDIRECT("NOTA["&amp;PAJAK[#Headers]&amp;"]"),PAJAK[[#This Row],[//]]-2)))</f>
        <v>41</v>
      </c>
      <c r="C14" s="15" t="str">
        <f ca="1">IF(PAJAK[[#This Row],[//]]="","",INDEX(INDIRECT("NOTA["&amp;PAJAK[#Headers]&amp;"]"),PAJAK[[#This Row],[//]]-2))</f>
        <v>ATA_0807_255-8</v>
      </c>
      <c r="D14" s="15">
        <f ca="1">MATCH(PAJAK[[#This Row],[ID]],[5]!Table1[ID],0)</f>
        <v>37</v>
      </c>
      <c r="E14" s="16">
        <f ca="1">IF(PAJAK[[#This Row],[ID]]="","",COUNTIF(NOTA[ID_H],PAJAK[[#This Row],[ID]]))</f>
        <v>8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45115</v>
      </c>
      <c r="H14" s="17">
        <f ca="1">IF(PAJAK[[#This Row],[//]]="","",INDEX(INDIRECT("NOTA["&amp;PAJAK[#Headers]&amp;"]"),PAJAK[[#This Row],[//]]-2))</f>
        <v>45112</v>
      </c>
      <c r="I14" s="16" t="str">
        <f ca="1">IF(PAJAK[[#This Row],[//]]="","",INDEX(INDIRECT("NOTA["&amp;PAJAK[#Headers]&amp;"]"),PAJAK[[#This Row],[//]]-2))</f>
        <v>SA230711255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4">
        <f ca="1">IF(PAJAK[[#This Row],[//]]="","",SUMIF(NOTA[ID_H],PAJAK[[#This Row],[ID]],NOTA[JUMLAH]))</f>
        <v>53833000</v>
      </c>
      <c r="L14" s="24">
        <f ca="1">IF(PAJAK[[#This Row],[//]]="","",SUMIF(NOTA[ID_H],PAJAK[[#This Row],[ID]],NOTA[DISC]))</f>
        <v>9076794.75</v>
      </c>
      <c r="M14" s="24">
        <f ca="1">PAJAK[[#This Row],[SUB TOTAL]]-PAJAK[[#This Row],[DISKON]]</f>
        <v>44756205.25</v>
      </c>
      <c r="N14" s="24">
        <f ca="1">IF(PAJAK[[#This Row],[//]]="","",INDEX(INDIRECT("NOTA["&amp;PAJAK[#Headers]&amp;"]"),PAJAK[[#This Row],[//]]-2+PAJAK[[#This Row],[QB]]-1))</f>
        <v>270864</v>
      </c>
      <c r="O14" s="24">
        <f ca="1">(PAJAK[[#This Row],[SUB T-DISC]]-PAJAK[[#This Row],[DISC DLL]])/111%</f>
        <v>40076884.009009004</v>
      </c>
      <c r="P14" s="24">
        <f ca="1">PAJAK[[#This Row],[DPP]]*PAJAK[[#This Row],[PPN]]</f>
        <v>4408457.2409909908</v>
      </c>
      <c r="Q14" s="24">
        <f ca="1">PAJAK[[#This Row],[DPP]]+PAJAK[[#This Row],[PPN 11%]]</f>
        <v>44485341.249999993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189</v>
      </c>
      <c r="B15" s="22">
        <f ca="1">HYPERLINK("[NOTA_.XLSX]NOTA!c"&amp;PAJAK[[#This Row],[//]],IF(PAJAK[[#This Row],[//]]="","",INDEX(INDIRECT("NOTA["&amp;PAJAK[#Headers]&amp;"]"),PAJAK[[#This Row],[//]]-2)))</f>
        <v>42</v>
      </c>
      <c r="C15" s="15" t="str">
        <f ca="1">IF(PAJAK[[#This Row],[//]]="","",INDEX(INDIRECT("NOTA["&amp;PAJAK[#Headers]&amp;"]"),PAJAK[[#This Row],[//]]-2))</f>
        <v>ATA_0807_292-5</v>
      </c>
      <c r="D15" s="15">
        <f ca="1">MATCH(PAJAK[[#This Row],[ID]],[5]!Table1[ID],0)</f>
        <v>38</v>
      </c>
      <c r="E15" s="16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45115</v>
      </c>
      <c r="H15" s="17">
        <f ca="1">IF(PAJAK[[#This Row],[//]]="","",INDEX(INDIRECT("NOTA["&amp;PAJAK[#Headers]&amp;"]"),PAJAK[[#This Row],[//]]-2))</f>
        <v>45112</v>
      </c>
      <c r="I15" s="16" t="str">
        <f ca="1">IF(PAJAK[[#This Row],[//]]="","",INDEX(INDIRECT("NOTA["&amp;PAJAK[#Headers]&amp;"]"),PAJAK[[#This Row],[//]]-2))</f>
        <v>SA230711292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4">
        <f ca="1">IF(PAJAK[[#This Row],[//]]="","",SUMIF(NOTA[ID_H],PAJAK[[#This Row],[ID]],NOTA[JUMLAH]))</f>
        <v>24739200</v>
      </c>
      <c r="L15" s="24">
        <f ca="1">IF(PAJAK[[#This Row],[//]]="","",SUMIF(NOTA[ID_H],PAJAK[[#This Row],[ID]],NOTA[DISC]))</f>
        <v>4174740</v>
      </c>
      <c r="M15" s="24">
        <f ca="1">PAJAK[[#This Row],[SUB TOTAL]]-PAJAK[[#This Row],[DISKON]]</f>
        <v>20564460</v>
      </c>
      <c r="N15" s="24">
        <f ca="1">IF(PAJAK[[#This Row],[//]]="","",INDEX(INDIRECT("NOTA["&amp;PAJAK[#Headers]&amp;"]"),PAJAK[[#This Row],[//]]-2+PAJAK[[#This Row],[QB]]-1))</f>
        <v>0</v>
      </c>
      <c r="O15" s="24">
        <f ca="1">(PAJAK[[#This Row],[SUB T-DISC]]-PAJAK[[#This Row],[DISC DLL]])/111%</f>
        <v>18526540.540540539</v>
      </c>
      <c r="P15" s="24">
        <f ca="1">PAJAK[[#This Row],[DPP]]*PAJAK[[#This Row],[PPN]]</f>
        <v>2037919.4594594592</v>
      </c>
      <c r="Q15" s="24">
        <f ca="1">PAJAK[[#This Row],[DPP]]+PAJAK[[#This Row],[PPN 11%]]</f>
        <v>20564459.999999996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15">
        <f ca="1">HYPERLINK("[NOTA_.XLSX]NOTA!c"&amp;PAJAK[[#This Row],[//]],IF(PAJAK[[#This Row],[//]]="","",INDEX(INDIRECT("NOTA["&amp;PAJAK[#Headers]&amp;"]"),PAJAK[[#This Row],[//]]-2)))</f>
        <v>43</v>
      </c>
      <c r="C16" s="15" t="str">
        <f ca="1">IF(PAJAK[[#This Row],[//]]="","",INDEX(INDIRECT("NOTA["&amp;PAJAK[#Headers]&amp;"]"),PAJAK[[#This Row],[//]]-2))</f>
        <v>KEN_0807_383-8</v>
      </c>
      <c r="D16" s="15">
        <f ca="1">MATCH(PAJAK[[#This Row],[ID]],[5]!Table1[ID],0)</f>
        <v>8</v>
      </c>
      <c r="E16" s="16">
        <f ca="1">IF(PAJAK[[#This Row],[ID]]="","",COUNTIF(NOTA[ID_H],PAJAK[[#This Row],[ID]]))</f>
        <v>8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45115</v>
      </c>
      <c r="H16" s="17">
        <f ca="1">IF(PAJAK[[#This Row],[//]]="","",INDEX(INDIRECT("NOTA["&amp;PAJAK[#Headers]&amp;"]"),PAJAK[[#This Row],[//]]-2))</f>
        <v>45113</v>
      </c>
      <c r="I16" s="16" t="str">
        <f ca="1">IF(PAJAK[[#This Row],[//]]="","",INDEX(INDIRECT("NOTA["&amp;PAJAK[#Headers]&amp;"]"),PAJAK[[#This Row],[//]]-2))</f>
        <v>23070383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>SA 42834</v>
      </c>
      <c r="K16" s="24">
        <f ca="1">IF(PAJAK[[#This Row],[//]]="","",SUMIF(NOTA[ID_H],PAJAK[[#This Row],[ID]],NOTA[JUMLAH]))</f>
        <v>35006400</v>
      </c>
      <c r="L16" s="24">
        <f ca="1">IF(PAJAK[[#This Row],[//]]="","",SUMIF(NOTA[ID_H],PAJAK[[#This Row],[ID]],NOTA[DISC]))</f>
        <v>5951088</v>
      </c>
      <c r="M16" s="24">
        <f ca="1">PAJAK[[#This Row],[SUB TOTAL]]-PAJAK[[#This Row],[DISKON]]</f>
        <v>29055312</v>
      </c>
      <c r="N16" s="24">
        <f ca="1">IF(PAJAK[[#This Row],[//]]="","",INDEX(INDIRECT("NOTA["&amp;PAJAK[#Headers]&amp;"]"),PAJAK[[#This Row],[//]]-2+PAJAK[[#This Row],[QB]]-1))</f>
        <v>0</v>
      </c>
      <c r="O16" s="24">
        <f ca="1">(PAJAK[[#This Row],[SUB T-DISC]]-PAJAK[[#This Row],[DISC DLL]])/111%</f>
        <v>26175956.756756753</v>
      </c>
      <c r="P16" s="24">
        <f ca="1">PAJAK[[#This Row],[DPP]]*PAJAK[[#This Row],[PPN]]</f>
        <v>2879355.2432432426</v>
      </c>
      <c r="Q16" s="24">
        <f ca="1">PAJAK[[#This Row],[DPP]]+PAJAK[[#This Row],[PPN 11%]]</f>
        <v>29055311.999999996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21">
        <f ca="1">HYPERLINK("[NOTA_.XLSX]NOTA!c"&amp;PAJAK[[#This Row],[//]],IF(PAJAK[[#This Row],[//]]="","",INDEX(INDIRECT("NOTA["&amp;PAJAK[#Headers]&amp;"]"),PAJAK[[#This Row],[//]]-2)))</f>
        <v>44</v>
      </c>
      <c r="C17" s="19" t="str">
        <f ca="1">IF(PAJAK[[#This Row],[//]]="","",INDEX(INDIRECT("NOTA["&amp;PAJAK[#Headers]&amp;"]"),PAJAK[[#This Row],[//]]-2))</f>
        <v>KEN_0807_366-9</v>
      </c>
      <c r="D17" s="19">
        <f ca="1">MATCH(PAJAK[[#This Row],[ID]],[5]!Table1[ID],0)</f>
        <v>7</v>
      </c>
      <c r="E17" s="20">
        <f ca="1">IF(PAJAK[[#This Row],[ID]]="","",COUNTIF(NOTA[ID_H],PAJAK[[#This Row],[ID]]))</f>
        <v>9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45115</v>
      </c>
      <c r="H17" s="17">
        <f ca="1">IF(PAJAK[[#This Row],[//]]="","",INDEX(INDIRECT("NOTA["&amp;PAJAK[#Headers]&amp;"]"),PAJAK[[#This Row],[//]]-2))</f>
        <v>45113</v>
      </c>
      <c r="I17" s="16" t="str">
        <f ca="1">IF(PAJAK[[#This Row],[//]]="","",INDEX(INDIRECT("NOTA["&amp;PAJAK[#Headers]&amp;"]"),PAJAK[[#This Row],[//]]-2))</f>
        <v>23070366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>SA 42814</v>
      </c>
      <c r="K17" s="24">
        <f ca="1">IF(PAJAK[[#This Row],[//]]="","",SUMIF(NOTA[ID_H],PAJAK[[#This Row],[ID]],NOTA[JUMLAH]))</f>
        <v>106108000</v>
      </c>
      <c r="L17" s="24">
        <f ca="1">IF(PAJAK[[#This Row],[//]]="","",SUMIF(NOTA[ID_H],PAJAK[[#This Row],[ID]],NOTA[DISC]))</f>
        <v>18038360</v>
      </c>
      <c r="M17" s="24">
        <f ca="1">PAJAK[[#This Row],[SUB TOTAL]]-PAJAK[[#This Row],[DISKON]]</f>
        <v>88069640</v>
      </c>
      <c r="N17" s="24">
        <f ca="1">IF(PAJAK[[#This Row],[//]]="","",INDEX(INDIRECT("NOTA["&amp;PAJAK[#Headers]&amp;"]"),PAJAK[[#This Row],[//]]-2+PAJAK[[#This Row],[QB]]-1))</f>
        <v>0</v>
      </c>
      <c r="O17" s="24">
        <f ca="1">(PAJAK[[#This Row],[SUB T-DISC]]-PAJAK[[#This Row],[DISC DLL]])/111%</f>
        <v>79342018.018018007</v>
      </c>
      <c r="P17" s="24">
        <f ca="1">PAJAK[[#This Row],[DPP]]*PAJAK[[#This Row],[PPN]]</f>
        <v>8727621.9819819815</v>
      </c>
      <c r="Q17" s="24">
        <f ca="1">PAJAK[[#This Row],[DPP]]+PAJAK[[#This Row],[PPN 11%]]</f>
        <v>88069639.999999985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236</v>
      </c>
      <c r="B18" s="21">
        <f ca="1">HYPERLINK("[NOTA_.XLSX]NOTA!c"&amp;PAJAK[[#This Row],[//]],IF(PAJAK[[#This Row],[//]]="","",INDEX(INDIRECT("NOTA["&amp;PAJAK[#Headers]&amp;"]"),PAJAK[[#This Row],[//]]-2)))</f>
        <v>52</v>
      </c>
      <c r="C18" s="19" t="str">
        <f ca="1">IF(PAJAK[[#This Row],[//]]="","",INDEX(INDIRECT("NOTA["&amp;PAJAK[#Headers]&amp;"]"),PAJAK[[#This Row],[//]]-2))</f>
        <v>KEN_1007_535-7</v>
      </c>
      <c r="D18" s="19">
        <f ca="1">MATCH(PAJAK[[#This Row],[ID]],[5]!Table1[ID],0)</f>
        <v>9</v>
      </c>
      <c r="E18" s="20">
        <f ca="1">IF(PAJAK[[#This Row],[ID]]="","",COUNTIF(NOTA[ID_H],PAJAK[[#This Row],[ID]]))</f>
        <v>7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45117</v>
      </c>
      <c r="H18" s="17">
        <f ca="1">IF(PAJAK[[#This Row],[//]]="","",INDEX(INDIRECT("NOTA["&amp;PAJAK[#Headers]&amp;"]"),PAJAK[[#This Row],[//]]-2))</f>
        <v>45114</v>
      </c>
      <c r="I18" s="16" t="str">
        <f ca="1">IF(PAJAK[[#This Row],[//]]="","",INDEX(INDIRECT("NOTA["&amp;PAJAK[#Headers]&amp;"]"),PAJAK[[#This Row],[//]]-2))</f>
        <v>23070535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4">
        <f ca="1">IF(PAJAK[[#This Row],[//]]="","",SUMIF(NOTA[ID_H],PAJAK[[#This Row],[ID]],NOTA[JUMLAH]))</f>
        <v>60206400</v>
      </c>
      <c r="L18" s="24">
        <f ca="1">IF(PAJAK[[#This Row],[//]]="","",SUMIF(NOTA[ID_H],PAJAK[[#This Row],[ID]],NOTA[DISC]))</f>
        <v>10235088</v>
      </c>
      <c r="M18" s="24">
        <f ca="1">PAJAK[[#This Row],[SUB TOTAL]]-PAJAK[[#This Row],[DISKON]]</f>
        <v>49971312</v>
      </c>
      <c r="N18" s="24">
        <f ca="1">IF(PAJAK[[#This Row],[//]]="","",INDEX(INDIRECT("NOTA["&amp;PAJAK[#Headers]&amp;"]"),PAJAK[[#This Row],[//]]-2+PAJAK[[#This Row],[QB]]-1))</f>
        <v>0</v>
      </c>
      <c r="O18" s="24">
        <f ca="1">(PAJAK[[#This Row],[SUB T-DISC]]-PAJAK[[#This Row],[DISC DLL]])/111%</f>
        <v>45019199.999999993</v>
      </c>
      <c r="P18" s="24">
        <f ca="1">PAJAK[[#This Row],[DPP]]*PAJAK[[#This Row],[PPN]]</f>
        <v>4952111.9999999991</v>
      </c>
      <c r="Q18" s="24">
        <f ca="1">PAJAK[[#This Row],[DPP]]+PAJAK[[#This Row],[PPN 11%]]</f>
        <v>49971311.999999993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244</v>
      </c>
      <c r="B19" s="21">
        <f ca="1">HYPERLINK("[NOTA_.XLSX]NOTA!c"&amp;PAJAK[[#This Row],[//]],IF(PAJAK[[#This Row],[//]]="","",INDEX(INDIRECT("NOTA["&amp;PAJAK[#Headers]&amp;"]"),PAJAK[[#This Row],[//]]-2)))</f>
        <v>53</v>
      </c>
      <c r="C19" s="19" t="str">
        <f ca="1">IF(PAJAK[[#This Row],[//]]="","",INDEX(INDIRECT("NOTA["&amp;PAJAK[#Headers]&amp;"]"),PAJAK[[#This Row],[//]]-2))</f>
        <v>KEN_1007_709-2</v>
      </c>
      <c r="D19" s="19">
        <f ca="1">MATCH(PAJAK[[#This Row],[ID]],[5]!Table1[ID],0)</f>
        <v>10</v>
      </c>
      <c r="E19" s="20">
        <f ca="1">IF(PAJAK[[#This Row],[ID]]="","",COUNTIF(NOTA[ID_H],PAJAK[[#This Row],[ID]]))</f>
        <v>2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45117</v>
      </c>
      <c r="H19" s="17">
        <f ca="1">IF(PAJAK[[#This Row],[//]]="","",INDEX(INDIRECT("NOTA["&amp;PAJAK[#Headers]&amp;"]"),PAJAK[[#This Row],[//]]-2))</f>
        <v>45115</v>
      </c>
      <c r="I19" s="16" t="str">
        <f ca="1">IF(PAJAK[[#This Row],[//]]="","",INDEX(INDIRECT("NOTA["&amp;PAJAK[#Headers]&amp;"]"),PAJAK[[#This Row],[//]]-2))</f>
        <v>23070709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4">
        <f ca="1">IF(PAJAK[[#This Row],[//]]="","",SUMIF(NOTA[ID_H],PAJAK[[#This Row],[ID]],NOTA[JUMLAH]))</f>
        <v>27216000</v>
      </c>
      <c r="L19" s="24">
        <f ca="1">IF(PAJAK[[#This Row],[//]]="","",SUMIF(NOTA[ID_H],PAJAK[[#This Row],[ID]],NOTA[DISC]))</f>
        <v>4626720</v>
      </c>
      <c r="M19" s="24">
        <f ca="1">PAJAK[[#This Row],[SUB TOTAL]]-PAJAK[[#This Row],[DISKON]]</f>
        <v>22589280</v>
      </c>
      <c r="N19" s="24">
        <f ca="1">IF(PAJAK[[#This Row],[//]]="","",INDEX(INDIRECT("NOTA["&amp;PAJAK[#Headers]&amp;"]"),PAJAK[[#This Row],[//]]-2+PAJAK[[#This Row],[QB]]-1))</f>
        <v>0</v>
      </c>
      <c r="O19" s="24">
        <f ca="1">(PAJAK[[#This Row],[SUB T-DISC]]-PAJAK[[#This Row],[DISC DLL]])/111%</f>
        <v>20350702.702702701</v>
      </c>
      <c r="P19" s="24">
        <f ca="1">PAJAK[[#This Row],[DPP]]*PAJAK[[#This Row],[PPN]]</f>
        <v>2238577.297297297</v>
      </c>
      <c r="Q19" s="24">
        <f ca="1">PAJAK[[#This Row],[DPP]]+PAJAK[[#This Row],[PPN 11%]]</f>
        <v>22589280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247</v>
      </c>
      <c r="B20" s="15">
        <f ca="1">HYPERLINK("[NOTA_.XLSX]NOTA!c"&amp;PAJAK[[#This Row],[//]],IF(PAJAK[[#This Row],[//]]="","",INDEX(INDIRECT("NOTA["&amp;PAJAK[#Headers]&amp;"]"),PAJAK[[#This Row],[//]]-2)))</f>
        <v>54</v>
      </c>
      <c r="C20" s="15" t="str">
        <f ca="1">IF(PAJAK[[#This Row],[//]]="","",INDEX(INDIRECT("NOTA["&amp;PAJAK[#Headers]&amp;"]"),PAJAK[[#This Row],[//]]-2))</f>
        <v>ATA_1007_590-7</v>
      </c>
      <c r="D20" s="15">
        <f ca="1">MATCH(PAJAK[[#This Row],[ID]],[5]!Table1[ID],0)</f>
        <v>41</v>
      </c>
      <c r="E20" s="16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45117</v>
      </c>
      <c r="H20" s="17">
        <f ca="1">IF(PAJAK[[#This Row],[//]]="","",INDEX(INDIRECT("NOTA["&amp;PAJAK[#Headers]&amp;"]"),PAJAK[[#This Row],[//]]-2))</f>
        <v>45114</v>
      </c>
      <c r="I20" s="16" t="str">
        <f ca="1">IF(PAJAK[[#This Row],[//]]="","",INDEX(INDIRECT("NOTA["&amp;PAJAK[#Headers]&amp;"]"),PAJAK[[#This Row],[//]]-2))</f>
        <v>SA230711590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4">
        <f ca="1">IF(PAJAK[[#This Row],[//]]="","",SUMIF(NOTA[ID_H],PAJAK[[#This Row],[ID]],NOTA[JUMLAH]))</f>
        <v>48700000</v>
      </c>
      <c r="L20" s="24">
        <f ca="1">IF(PAJAK[[#This Row],[//]]="","",SUMIF(NOTA[ID_H],PAJAK[[#This Row],[ID]],NOTA[DISC]))</f>
        <v>8218125</v>
      </c>
      <c r="M20" s="24">
        <f ca="1">PAJAK[[#This Row],[SUB TOTAL]]-PAJAK[[#This Row],[DISKON]]</f>
        <v>40481875</v>
      </c>
      <c r="N20" s="24">
        <f ca="1">IF(PAJAK[[#This Row],[//]]="","",INDEX(INDIRECT("NOTA["&amp;PAJAK[#Headers]&amp;"]"),PAJAK[[#This Row],[//]]-2+PAJAK[[#This Row],[QB]]-1))</f>
        <v>0</v>
      </c>
      <c r="O20" s="24">
        <f ca="1">(PAJAK[[#This Row],[SUB T-DISC]]-PAJAK[[#This Row],[DISC DLL]])/111%</f>
        <v>36470157.657657653</v>
      </c>
      <c r="P20" s="24">
        <f ca="1">PAJAK[[#This Row],[DPP]]*PAJAK[[#This Row],[PPN]]</f>
        <v>4011717.3423423418</v>
      </c>
      <c r="Q20" s="24">
        <f ca="1">PAJAK[[#This Row],[DPP]]+PAJAK[[#This Row],[PPN 11%]]</f>
        <v>40481874.999999993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255</v>
      </c>
      <c r="B21" s="15">
        <f ca="1">HYPERLINK("[NOTA_.XLSX]NOTA!c"&amp;PAJAK[[#This Row],[//]],IF(PAJAK[[#This Row],[//]]="","",INDEX(INDIRECT("NOTA["&amp;PAJAK[#Headers]&amp;"]"),PAJAK[[#This Row],[//]]-2)))</f>
        <v>55</v>
      </c>
      <c r="C21" s="15" t="str">
        <f ca="1">IF(PAJAK[[#This Row],[//]]="","",INDEX(INDIRECT("NOTA["&amp;PAJAK[#Headers]&amp;"]"),PAJAK[[#This Row],[//]]-2))</f>
        <v>ATA_1007_611-12</v>
      </c>
      <c r="D21" s="15">
        <f ca="1">MATCH(PAJAK[[#This Row],[ID]],[5]!Table1[ID],0)</f>
        <v>42</v>
      </c>
      <c r="E21" s="16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45117</v>
      </c>
      <c r="H21" s="17">
        <f ca="1">IF(PAJAK[[#This Row],[//]]="","",INDEX(INDIRECT("NOTA["&amp;PAJAK[#Headers]&amp;"]"),PAJAK[[#This Row],[//]]-2))</f>
        <v>45114</v>
      </c>
      <c r="I21" s="16" t="str">
        <f ca="1">IF(PAJAK[[#This Row],[//]]="","",INDEX(INDIRECT("NOTA["&amp;PAJAK[#Headers]&amp;"]"),PAJAK[[#This Row],[//]]-2))</f>
        <v>SA230711611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4">
        <f ca="1">IF(PAJAK[[#This Row],[//]]="","",SUMIF(NOTA[ID_H],PAJAK[[#This Row],[ID]],NOTA[JUMLAH]))</f>
        <v>49079200</v>
      </c>
      <c r="L21" s="24">
        <f ca="1">IF(PAJAK[[#This Row],[//]]="","",SUMIF(NOTA[ID_H],PAJAK[[#This Row],[ID]],NOTA[DISC]))</f>
        <v>8282115</v>
      </c>
      <c r="M21" s="24">
        <f ca="1">PAJAK[[#This Row],[SUB TOTAL]]-PAJAK[[#This Row],[DISKON]]</f>
        <v>40797085</v>
      </c>
      <c r="N21" s="24">
        <f ca="1">IF(PAJAK[[#This Row],[//]]="","",INDEX(INDIRECT("NOTA["&amp;PAJAK[#Headers]&amp;"]"),PAJAK[[#This Row],[//]]-2+PAJAK[[#This Row],[QB]]-1))</f>
        <v>0</v>
      </c>
      <c r="O21" s="24">
        <f ca="1">(PAJAK[[#This Row],[SUB T-DISC]]-PAJAK[[#This Row],[DISC DLL]])/111%</f>
        <v>36754130.630630627</v>
      </c>
      <c r="P21" s="24">
        <f ca="1">PAJAK[[#This Row],[DPP]]*PAJAK[[#This Row],[PPN]]</f>
        <v>4042954.369369369</v>
      </c>
      <c r="Q21" s="24">
        <f ca="1">PAJAK[[#This Row],[DPP]]+PAJAK[[#This Row],[PPN 11%]]</f>
        <v>40797085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268</v>
      </c>
      <c r="B22" s="15">
        <f ca="1">HYPERLINK("[NOTA_.XLSX]NOTA!c"&amp;PAJAK[[#This Row],[//]],IF(PAJAK[[#This Row],[//]]="","",INDEX(INDIRECT("NOTA["&amp;PAJAK[#Headers]&amp;"]"),PAJAK[[#This Row],[//]]-2)))</f>
        <v>56</v>
      </c>
      <c r="C22" s="15" t="str">
        <f ca="1">IF(PAJAK[[#This Row],[//]]="","",INDEX(INDIRECT("NOTA["&amp;PAJAK[#Headers]&amp;"]"),PAJAK[[#This Row],[//]]-2))</f>
        <v>ATA_1007_537-9</v>
      </c>
      <c r="D22" s="15">
        <f ca="1">MATCH(PAJAK[[#This Row],[ID]],[5]!Table1[ID],0)</f>
        <v>40</v>
      </c>
      <c r="E22" s="16">
        <f ca="1">IF(PAJAK[[#This Row],[ID]]="","",COUNTIF(NOTA[ID_H],PAJAK[[#This Row],[ID]]))</f>
        <v>9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45117</v>
      </c>
      <c r="H22" s="17">
        <f ca="1">IF(PAJAK[[#This Row],[//]]="","",INDEX(INDIRECT("NOTA["&amp;PAJAK[#Headers]&amp;"]"),PAJAK[[#This Row],[//]]-2))</f>
        <v>45114</v>
      </c>
      <c r="I22" s="16" t="str">
        <f ca="1">IF(PAJAK[[#This Row],[//]]="","",INDEX(INDIRECT("NOTA["&amp;PAJAK[#Headers]&amp;"]"),PAJAK[[#This Row],[//]]-2))</f>
        <v>SA230711537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4">
        <f ca="1">IF(PAJAK[[#This Row],[//]]="","",SUMIF(NOTA[ID_H],PAJAK[[#This Row],[ID]],NOTA[JUMLAH]))</f>
        <v>66670400</v>
      </c>
      <c r="L22" s="24">
        <f ca="1">IF(PAJAK[[#This Row],[//]]="","",SUMIF(NOTA[ID_H],PAJAK[[#This Row],[ID]],NOTA[DISC]))</f>
        <v>11250630</v>
      </c>
      <c r="M22" s="24">
        <f ca="1">PAJAK[[#This Row],[SUB TOTAL]]-PAJAK[[#This Row],[DISKON]]</f>
        <v>55419770</v>
      </c>
      <c r="N22" s="24">
        <f ca="1">IF(PAJAK[[#This Row],[//]]="","",INDEX(INDIRECT("NOTA["&amp;PAJAK[#Headers]&amp;"]"),PAJAK[[#This Row],[//]]-2+PAJAK[[#This Row],[QB]]-1))</f>
        <v>0</v>
      </c>
      <c r="O22" s="24">
        <f ca="1">(PAJAK[[#This Row],[SUB T-DISC]]-PAJAK[[#This Row],[DISC DLL]])/111%</f>
        <v>49927720.720720716</v>
      </c>
      <c r="P22" s="24">
        <f ca="1">PAJAK[[#This Row],[DPP]]*PAJAK[[#This Row],[PPN]]</f>
        <v>5492049.2792792786</v>
      </c>
      <c r="Q22" s="24">
        <f ca="1">PAJAK[[#This Row],[DPP]]+PAJAK[[#This Row],[PPN 11%]]</f>
        <v>55419769.999999993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278</v>
      </c>
      <c r="B23" s="21">
        <f ca="1">HYPERLINK("[NOTA_.XLSX]NOTA!c"&amp;PAJAK[[#This Row],[//]],IF(PAJAK[[#This Row],[//]]="","",INDEX(INDIRECT("NOTA["&amp;PAJAK[#Headers]&amp;"]"),PAJAK[[#This Row],[//]]-2)))</f>
        <v>57</v>
      </c>
      <c r="C23" s="19" t="str">
        <f ca="1">IF(PAJAK[[#This Row],[//]]="","",INDEX(INDIRECT("NOTA["&amp;PAJAK[#Headers]&amp;"]"),PAJAK[[#This Row],[//]]-2))</f>
        <v>ATA_1007_402-11</v>
      </c>
      <c r="D23" s="19">
        <f ca="1">MATCH(PAJAK[[#This Row],[ID]],[5]!Table1[ID],0)</f>
        <v>39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45117</v>
      </c>
      <c r="H23" s="17">
        <f ca="1">IF(PAJAK[[#This Row],[//]]="","",INDEX(INDIRECT("NOTA["&amp;PAJAK[#Headers]&amp;"]"),PAJAK[[#This Row],[//]]-2))</f>
        <v>45113</v>
      </c>
      <c r="I23" s="16" t="str">
        <f ca="1">IF(PAJAK[[#This Row],[//]]="","",INDEX(INDIRECT("NOTA["&amp;PAJAK[#Headers]&amp;"]"),PAJAK[[#This Row],[//]]-2))</f>
        <v>SA230711402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4">
        <f ca="1">IF(PAJAK[[#This Row],[//]]="","",SUMIF(NOTA[ID_H],PAJAK[[#This Row],[ID]],NOTA[JUMLAH]))</f>
        <v>58739600</v>
      </c>
      <c r="L23" s="24">
        <f ca="1">IF(PAJAK[[#This Row],[//]]="","",SUMIF(NOTA[ID_H],PAJAK[[#This Row],[ID]],NOTA[DISC]))</f>
        <v>9912307.5</v>
      </c>
      <c r="M23" s="24">
        <f ca="1">PAJAK[[#This Row],[SUB TOTAL]]-PAJAK[[#This Row],[DISKON]]</f>
        <v>48827292.5</v>
      </c>
      <c r="N23" s="24">
        <f ca="1">IF(PAJAK[[#This Row],[//]]="","",INDEX(INDIRECT("NOTA["&amp;PAJAK[#Headers]&amp;"]"),PAJAK[[#This Row],[//]]-2+PAJAK[[#This Row],[QB]]-1))</f>
        <v>0</v>
      </c>
      <c r="O23" s="24">
        <f ca="1">(PAJAK[[#This Row],[SUB T-DISC]]-PAJAK[[#This Row],[DISC DLL]])/111%</f>
        <v>43988551.801801801</v>
      </c>
      <c r="P23" s="24">
        <f ca="1">PAJAK[[#This Row],[DPP]]*PAJAK[[#This Row],[PPN]]</f>
        <v>4838740.6981981983</v>
      </c>
      <c r="Q23" s="24">
        <f ca="1">PAJAK[[#This Row],[DPP]]+PAJAK[[#This Row],[PPN 11%]]</f>
        <v>48827292.5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293</v>
      </c>
      <c r="B24" s="15">
        <f ca="1">HYPERLINK("[NOTA_.XLSX]NOTA!c"&amp;PAJAK[[#This Row],[//]],IF(PAJAK[[#This Row],[//]]="","",INDEX(INDIRECT("NOTA["&amp;PAJAK[#Headers]&amp;"]"),PAJAK[[#This Row],[//]]-2)))</f>
        <v>59</v>
      </c>
      <c r="C24" s="15" t="str">
        <f ca="1">IF(PAJAK[[#This Row],[//]]="","",INDEX(INDIRECT("NOTA["&amp;PAJAK[#Headers]&amp;"]"),PAJAK[[#This Row],[//]]-2))</f>
        <v>KEN_1207_809-11</v>
      </c>
      <c r="D24" s="15">
        <f ca="1">MATCH(PAJAK[[#This Row],[ID]],[5]!Table1[ID],0)</f>
        <v>11</v>
      </c>
      <c r="E24" s="16">
        <f ca="1">IF(PAJAK[[#This Row],[ID]]="","",COUNTIF(NOTA[ID_H],PAJAK[[#This Row],[ID]]))</f>
        <v>11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45119</v>
      </c>
      <c r="H24" s="17">
        <f ca="1">IF(PAJAK[[#This Row],[//]]="","",INDEX(INDIRECT("NOTA["&amp;PAJAK[#Headers]&amp;"]"),PAJAK[[#This Row],[//]]-2))</f>
        <v>45117</v>
      </c>
      <c r="I24" s="16" t="str">
        <f ca="1">IF(PAJAK[[#This Row],[//]]="","",INDEX(INDIRECT("NOTA["&amp;PAJAK[#Headers]&amp;"]"),PAJAK[[#This Row],[//]]-2))</f>
        <v>23070809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>SA 42908</v>
      </c>
      <c r="K24" s="24">
        <f ca="1">IF(PAJAK[[#This Row],[//]]="","",SUMIF(NOTA[ID_H],PAJAK[[#This Row],[ID]],NOTA[JUMLAH]))</f>
        <v>46780400</v>
      </c>
      <c r="L24" s="24">
        <f ca="1">IF(PAJAK[[#This Row],[//]]="","",SUMIF(NOTA[ID_H],PAJAK[[#This Row],[ID]],NOTA[DISC]))</f>
        <v>7952668</v>
      </c>
      <c r="M24" s="24">
        <f ca="1">PAJAK[[#This Row],[SUB TOTAL]]-PAJAK[[#This Row],[DISKON]]</f>
        <v>38827732</v>
      </c>
      <c r="N24" s="24">
        <f ca="1">IF(PAJAK[[#This Row],[//]]="","",INDEX(INDIRECT("NOTA["&amp;PAJAK[#Headers]&amp;"]"),PAJAK[[#This Row],[//]]-2+PAJAK[[#This Row],[QB]]-1))</f>
        <v>0</v>
      </c>
      <c r="O24" s="24">
        <f ca="1">(PAJAK[[#This Row],[SUB T-DISC]]-PAJAK[[#This Row],[DISC DLL]])/111%</f>
        <v>34979938.738738738</v>
      </c>
      <c r="P24" s="24">
        <f ca="1">PAJAK[[#This Row],[DPP]]*PAJAK[[#This Row],[PPN]]</f>
        <v>3847793.2612612611</v>
      </c>
      <c r="Q24" s="24">
        <f ca="1">PAJAK[[#This Row],[DPP]]+PAJAK[[#This Row],[PPN 11%]]</f>
        <v>38827732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305</v>
      </c>
      <c r="B25" s="15">
        <f ca="1">HYPERLINK("[NOTA_.XLSX]NOTA!c"&amp;PAJAK[[#This Row],[//]],IF(PAJAK[[#This Row],[//]]="","",INDEX(INDIRECT("NOTA["&amp;PAJAK[#Headers]&amp;"]"),PAJAK[[#This Row],[//]]-2)))</f>
        <v>60</v>
      </c>
      <c r="C25" s="15" t="str">
        <f ca="1">IF(PAJAK[[#This Row],[//]]="","",INDEX(INDIRECT("NOTA["&amp;PAJAK[#Headers]&amp;"]"),PAJAK[[#This Row],[//]]-2))</f>
        <v>KEN_1207_865-5</v>
      </c>
      <c r="D25" s="15">
        <f ca="1">MATCH(PAJAK[[#This Row],[ID]],[5]!Table1[ID],0)</f>
        <v>12</v>
      </c>
      <c r="E25" s="16">
        <f ca="1">IF(PAJAK[[#This Row],[ID]]="","",COUNTIF(NOTA[ID_H],PAJAK[[#This Row],[ID]]))</f>
        <v>5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45119</v>
      </c>
      <c r="H25" s="17">
        <f ca="1">IF(PAJAK[[#This Row],[//]]="","",INDEX(INDIRECT("NOTA["&amp;PAJAK[#Headers]&amp;"]"),PAJAK[[#This Row],[//]]-2))</f>
        <v>45118</v>
      </c>
      <c r="I25" s="16" t="str">
        <f ca="1">IF(PAJAK[[#This Row],[//]]="","",INDEX(INDIRECT("NOTA["&amp;PAJAK[#Headers]&amp;"]"),PAJAK[[#This Row],[//]]-2))</f>
        <v>23070865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42939</v>
      </c>
      <c r="K25" s="24">
        <f ca="1">IF(PAJAK[[#This Row],[//]]="","",SUMIF(NOTA[ID_H],PAJAK[[#This Row],[ID]],NOTA[JUMLAH]))</f>
        <v>35096400</v>
      </c>
      <c r="L25" s="24">
        <f ca="1">IF(PAJAK[[#This Row],[//]]="","",SUMIF(NOTA[ID_H],PAJAK[[#This Row],[ID]],NOTA[DISC]))</f>
        <v>5966388</v>
      </c>
      <c r="M25" s="24">
        <f ca="1">PAJAK[[#This Row],[SUB TOTAL]]-PAJAK[[#This Row],[DISKON]]</f>
        <v>29130012</v>
      </c>
      <c r="N25" s="24">
        <f ca="1">IF(PAJAK[[#This Row],[//]]="","",INDEX(INDIRECT("NOTA["&amp;PAJAK[#Headers]&amp;"]"),PAJAK[[#This Row],[//]]-2+PAJAK[[#This Row],[QB]]-1))</f>
        <v>0</v>
      </c>
      <c r="O25" s="24">
        <f ca="1">(PAJAK[[#This Row],[SUB T-DISC]]-PAJAK[[#This Row],[DISC DLL]])/111%</f>
        <v>26243254.054054052</v>
      </c>
      <c r="P25" s="24">
        <f ca="1">PAJAK[[#This Row],[DPP]]*PAJAK[[#This Row],[PPN]]</f>
        <v>2886757.9459459456</v>
      </c>
      <c r="Q25" s="24">
        <f ca="1">PAJAK[[#This Row],[DPP]]+PAJAK[[#This Row],[PPN 11%]]</f>
        <v>29130011.999999996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311</v>
      </c>
      <c r="B26" s="21">
        <f ca="1">HYPERLINK("[NOTA_.XLSX]NOTA!c"&amp;PAJAK[[#This Row],[//]],IF(PAJAK[[#This Row],[//]]="","",INDEX(INDIRECT("NOTA["&amp;PAJAK[#Headers]&amp;"]"),PAJAK[[#This Row],[//]]-2)))</f>
        <v>61</v>
      </c>
      <c r="C26" s="19" t="str">
        <f ca="1">IF(PAJAK[[#This Row],[//]]="","",INDEX(INDIRECT("NOTA["&amp;PAJAK[#Headers]&amp;"]"),PAJAK[[#This Row],[//]]-2))</f>
        <v>SAM_1207_372-3</v>
      </c>
      <c r="D26" s="19">
        <f ca="1">MATCH(PAJAK[[#This Row],[ID]],[5]!Table1[ID],0)</f>
        <v>30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CV SAMUDERA ANGKASA JAYA</v>
      </c>
      <c r="G26" s="17">
        <f ca="1">IF(PAJAK[[#This Row],[//]]="","",INDEX(NOTA[TGL_H],PAJAK[[#This Row],[//]]-2))</f>
        <v>45119</v>
      </c>
      <c r="H26" s="17">
        <f ca="1">IF(PAJAK[[#This Row],[//]]="","",INDEX(INDIRECT("NOTA["&amp;PAJAK[#Headers]&amp;"]"),PAJAK[[#This Row],[//]]-2))</f>
        <v>45114</v>
      </c>
      <c r="I26" s="16" t="str">
        <f ca="1">IF(PAJAK[[#This Row],[//]]="","",INDEX(INDIRECT("NOTA["&amp;PAJAK[#Headers]&amp;"]"),PAJAK[[#This Row],[//]]-2))</f>
        <v>JL-55372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4">
        <f ca="1">IF(PAJAK[[#This Row],[//]]="","",SUMIF(NOTA[ID_H],PAJAK[[#This Row],[ID]],NOTA[JUMLAH]))</f>
        <v>8040000</v>
      </c>
      <c r="L26" s="24">
        <f ca="1">IF(PAJAK[[#This Row],[//]]="","",SUMIF(NOTA[ID_H],PAJAK[[#This Row],[ID]],NOTA[DISC]))</f>
        <v>562800</v>
      </c>
      <c r="M26" s="24">
        <f ca="1">PAJAK[[#This Row],[SUB TOTAL]]-PAJAK[[#This Row],[DISKON]]</f>
        <v>7477200</v>
      </c>
      <c r="N26" s="24">
        <f ca="1">IF(PAJAK[[#This Row],[//]]="","",INDEX(INDIRECT("NOTA["&amp;PAJAK[#Headers]&amp;"]"),PAJAK[[#This Row],[//]]-2+PAJAK[[#This Row],[QB]]-1))</f>
        <v>0</v>
      </c>
      <c r="O26" s="24">
        <f ca="1">(PAJAK[[#This Row],[SUB T-DISC]]-PAJAK[[#This Row],[DISC DLL]])/111%</f>
        <v>6736216.2162162159</v>
      </c>
      <c r="P26" s="24">
        <f ca="1">PAJAK[[#This Row],[DPP]]*PAJAK[[#This Row],[PPN]]</f>
        <v>740983.78378378379</v>
      </c>
      <c r="Q26" s="24">
        <f ca="1">PAJAK[[#This Row],[DPP]]+PAJAK[[#This Row],[PPN 11%]]</f>
        <v>7477200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324</v>
      </c>
      <c r="B27" s="15">
        <f ca="1">HYPERLINK("[NOTA_.XLSX]NOTA!c"&amp;PAJAK[[#This Row],[//]],IF(PAJAK[[#This Row],[//]]="","",INDEX(INDIRECT("NOTA["&amp;PAJAK[#Headers]&amp;"]"),PAJAK[[#This Row],[//]]-2)))</f>
        <v>66</v>
      </c>
      <c r="C27" s="15" t="str">
        <f ca="1">IF(PAJAK[[#This Row],[//]]="","",INDEX(INDIRECT("NOTA["&amp;PAJAK[#Headers]&amp;"]"),PAJAK[[#This Row],[//]]-2))</f>
        <v>KEN_1407_030-7</v>
      </c>
      <c r="D27" s="15">
        <f ca="1">MATCH(PAJAK[[#This Row],[ID]],[5]!Table1[ID],0)</f>
        <v>13</v>
      </c>
      <c r="E27" s="16">
        <f ca="1">IF(PAJAK[[#This Row],[ID]]="","",COUNTIF(NOTA[ID_H],PAJAK[[#This Row],[ID]]))</f>
        <v>7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45121</v>
      </c>
      <c r="H27" s="17">
        <f ca="1">IF(PAJAK[[#This Row],[//]]="","",INDEX(INDIRECT("NOTA["&amp;PAJAK[#Headers]&amp;"]"),PAJAK[[#This Row],[//]]-2))</f>
        <v>45119</v>
      </c>
      <c r="I27" s="16" t="str">
        <f ca="1">IF(PAJAK[[#This Row],[//]]="","",INDEX(INDIRECT("NOTA["&amp;PAJAK[#Headers]&amp;"]"),PAJAK[[#This Row],[//]]-2))</f>
        <v>23071030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4">
        <f ca="1">IF(PAJAK[[#This Row],[//]]="","",SUMIF(NOTA[ID_H],PAJAK[[#This Row],[ID]],NOTA[JUMLAH]))</f>
        <v>33285600</v>
      </c>
      <c r="L27" s="24">
        <f ca="1">IF(PAJAK[[#This Row],[//]]="","",SUMIF(NOTA[ID_H],PAJAK[[#This Row],[ID]],NOTA[DISC]))</f>
        <v>5658552</v>
      </c>
      <c r="M27" s="24">
        <f ca="1">PAJAK[[#This Row],[SUB TOTAL]]-PAJAK[[#This Row],[DISKON]]</f>
        <v>27627048</v>
      </c>
      <c r="N27" s="24">
        <f ca="1">IF(PAJAK[[#This Row],[//]]="","",INDEX(INDIRECT("NOTA["&amp;PAJAK[#Headers]&amp;"]"),PAJAK[[#This Row],[//]]-2+PAJAK[[#This Row],[QB]]-1))</f>
        <v>0</v>
      </c>
      <c r="O27" s="24">
        <f ca="1">(PAJAK[[#This Row],[SUB T-DISC]]-PAJAK[[#This Row],[DISC DLL]])/111%</f>
        <v>24889232.432432432</v>
      </c>
      <c r="P27" s="24">
        <f ca="1">PAJAK[[#This Row],[DPP]]*PAJAK[[#This Row],[PPN]]</f>
        <v>2737815.5675675673</v>
      </c>
      <c r="Q27" s="24">
        <f ca="1">PAJAK[[#This Row],[DPP]]+PAJAK[[#This Row],[PPN 11%]]</f>
        <v>27627048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21">
        <f ca="1">HYPERLINK("[NOTA_.XLSX]NOTA!c"&amp;PAJAK[[#This Row],[//]],IF(PAJAK[[#This Row],[//]]="","",INDEX(INDIRECT("NOTA["&amp;PAJAK[#Headers]&amp;"]"),PAJAK[[#This Row],[//]]-2)))</f>
        <v>67</v>
      </c>
      <c r="C28" s="19" t="str">
        <f ca="1">IF(PAJAK[[#This Row],[//]]="","",INDEX(INDIRECT("NOTA["&amp;PAJAK[#Headers]&amp;"]"),PAJAK[[#This Row],[//]]-2))</f>
        <v>KEN_1407_173-6</v>
      </c>
      <c r="D28" s="19">
        <f ca="1">MATCH(PAJAK[[#This Row],[ID]],[5]!Table1[ID],0)</f>
        <v>15</v>
      </c>
      <c r="E28" s="20">
        <f ca="1">IF(PAJAK[[#This Row],[ID]]="","",COUNTIF(NOTA[ID_H],PAJAK[[#This Row],[ID]]))</f>
        <v>6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45121</v>
      </c>
      <c r="H28" s="17">
        <f ca="1">IF(PAJAK[[#This Row],[//]]="","",INDEX(INDIRECT("NOTA["&amp;PAJAK[#Headers]&amp;"]"),PAJAK[[#This Row],[//]]-2))</f>
        <v>45120</v>
      </c>
      <c r="I28" s="16" t="str">
        <f ca="1">IF(PAJAK[[#This Row],[//]]="","",INDEX(INDIRECT("NOTA["&amp;PAJAK[#Headers]&amp;"]"),PAJAK[[#This Row],[//]]-2))</f>
        <v>23071173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4">
        <f ca="1">IF(PAJAK[[#This Row],[//]]="","",SUMIF(NOTA[ID_H],PAJAK[[#This Row],[ID]],NOTA[JUMLAH]))</f>
        <v>32127200</v>
      </c>
      <c r="L28" s="24">
        <f ca="1">IF(PAJAK[[#This Row],[//]]="","",SUMIF(NOTA[ID_H],PAJAK[[#This Row],[ID]],NOTA[DISC]))</f>
        <v>5461624</v>
      </c>
      <c r="M28" s="24">
        <f ca="1">PAJAK[[#This Row],[SUB TOTAL]]-PAJAK[[#This Row],[DISKON]]</f>
        <v>26665576</v>
      </c>
      <c r="N28" s="24">
        <f ca="1">IF(PAJAK[[#This Row],[//]]="","",INDEX(INDIRECT("NOTA["&amp;PAJAK[#Headers]&amp;"]"),PAJAK[[#This Row],[//]]-2+PAJAK[[#This Row],[QB]]-1))</f>
        <v>0</v>
      </c>
      <c r="O28" s="24">
        <f ca="1">(PAJAK[[#This Row],[SUB T-DISC]]-PAJAK[[#This Row],[DISC DLL]])/111%</f>
        <v>24023041.441441439</v>
      </c>
      <c r="P28" s="24">
        <f ca="1">PAJAK[[#This Row],[DPP]]*PAJAK[[#This Row],[PPN]]</f>
        <v>2642534.5585585581</v>
      </c>
      <c r="Q28" s="24">
        <f ca="1">PAJAK[[#This Row],[DPP]]+PAJAK[[#This Row],[PPN 11%]]</f>
        <v>26665575.999999996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339</v>
      </c>
      <c r="B29" s="22">
        <f ca="1">HYPERLINK("[NOTA_.XLSX]NOTA!c"&amp;PAJAK[[#This Row],[//]],IF(PAJAK[[#This Row],[//]]="","",INDEX(INDIRECT("NOTA["&amp;PAJAK[#Headers]&amp;"]"),PAJAK[[#This Row],[//]]-2)))</f>
        <v>68</v>
      </c>
      <c r="C29" s="15" t="str">
        <f ca="1">IF(PAJAK[[#This Row],[//]]="","",INDEX(INDIRECT("NOTA["&amp;PAJAK[#Headers]&amp;"]"),PAJAK[[#This Row],[//]]-2))</f>
        <v>KEN_1407_162-6</v>
      </c>
      <c r="D29" s="15">
        <f ca="1">MATCH(PAJAK[[#This Row],[ID]],[5]!Table1[ID],0)</f>
        <v>14</v>
      </c>
      <c r="E29" s="16">
        <f ca="1">IF(PAJAK[[#This Row],[ID]]="","",COUNTIF(NOTA[ID_H],PAJAK[[#This Row],[ID]]))</f>
        <v>6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45121</v>
      </c>
      <c r="H29" s="17">
        <f ca="1">IF(PAJAK[[#This Row],[//]]="","",INDEX(INDIRECT("NOTA["&amp;PAJAK[#Headers]&amp;"]"),PAJAK[[#This Row],[//]]-2))</f>
        <v>45120</v>
      </c>
      <c r="I29" s="16" t="str">
        <f ca="1">IF(PAJAK[[#This Row],[//]]="","",INDEX(INDIRECT("NOTA["&amp;PAJAK[#Headers]&amp;"]"),PAJAK[[#This Row],[//]]-2))</f>
        <v>23071162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4">
        <f ca="1">IF(PAJAK[[#This Row],[//]]="","",SUMIF(NOTA[ID_H],PAJAK[[#This Row],[ID]],NOTA[JUMLAH]))</f>
        <v>26742000</v>
      </c>
      <c r="L29" s="24">
        <f ca="1">IF(PAJAK[[#This Row],[//]]="","",SUMIF(NOTA[ID_H],PAJAK[[#This Row],[ID]],NOTA[DISC]))</f>
        <v>4546140</v>
      </c>
      <c r="M29" s="24">
        <f ca="1">PAJAK[[#This Row],[SUB TOTAL]]-PAJAK[[#This Row],[DISKON]]</f>
        <v>22195860</v>
      </c>
      <c r="N29" s="24">
        <f ca="1">IF(PAJAK[[#This Row],[//]]="","",INDEX(INDIRECT("NOTA["&amp;PAJAK[#Headers]&amp;"]"),PAJAK[[#This Row],[//]]-2+PAJAK[[#This Row],[QB]]-1))</f>
        <v>0</v>
      </c>
      <c r="O29" s="24">
        <f ca="1">(PAJAK[[#This Row],[SUB T-DISC]]-PAJAK[[#This Row],[DISC DLL]])/111%</f>
        <v>19996270.270270269</v>
      </c>
      <c r="P29" s="24">
        <f ca="1">PAJAK[[#This Row],[DPP]]*PAJAK[[#This Row],[PPN]]</f>
        <v>2199589.7297297297</v>
      </c>
      <c r="Q29" s="24">
        <f ca="1">PAJAK[[#This Row],[DPP]]+PAJAK[[#This Row],[PPN 11%]]</f>
        <v>22195860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346</v>
      </c>
      <c r="B30" s="21">
        <f ca="1">HYPERLINK("[NOTA_.XLSX]NOTA!c"&amp;PAJAK[[#This Row],[//]],IF(PAJAK[[#This Row],[//]]="","",INDEX(INDIRECT("NOTA["&amp;PAJAK[#Headers]&amp;"]"),PAJAK[[#This Row],[//]]-2)))</f>
        <v>69</v>
      </c>
      <c r="C30" s="19" t="str">
        <f ca="1">IF(PAJAK[[#This Row],[//]]="","",INDEX(INDIRECT("NOTA["&amp;PAJAK[#Headers]&amp;"]"),PAJAK[[#This Row],[//]]-2))</f>
        <v>ATA_1407_837-5</v>
      </c>
      <c r="D30" s="19">
        <f ca="1">MATCH(PAJAK[[#This Row],[ID]],[5]!Table1[ID],0)</f>
        <v>47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45121</v>
      </c>
      <c r="H30" s="17">
        <f ca="1">IF(PAJAK[[#This Row],[//]]="","",INDEX(INDIRECT("NOTA["&amp;PAJAK[#Headers]&amp;"]"),PAJAK[[#This Row],[//]]-2))</f>
        <v>45118</v>
      </c>
      <c r="I30" s="16" t="str">
        <f ca="1">IF(PAJAK[[#This Row],[//]]="","",INDEX(INDIRECT("NOTA["&amp;PAJAK[#Headers]&amp;"]"),PAJAK[[#This Row],[//]]-2))</f>
        <v>SA230711837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4">
        <f ca="1">IF(PAJAK[[#This Row],[//]]="","",SUMIF(NOTA[ID_H],PAJAK[[#This Row],[ID]],NOTA[JUMLAH]))</f>
        <v>8000800</v>
      </c>
      <c r="L30" s="24">
        <f ca="1">IF(PAJAK[[#This Row],[//]]="","",SUMIF(NOTA[ID_H],PAJAK[[#This Row],[ID]],NOTA[DISC]))</f>
        <v>1350135</v>
      </c>
      <c r="M30" s="24">
        <f ca="1">PAJAK[[#This Row],[SUB TOTAL]]-PAJAK[[#This Row],[DISKON]]</f>
        <v>6650665</v>
      </c>
      <c r="N30" s="24">
        <f ca="1">IF(PAJAK[[#This Row],[//]]="","",INDEX(INDIRECT("NOTA["&amp;PAJAK[#Headers]&amp;"]"),PAJAK[[#This Row],[//]]-2+PAJAK[[#This Row],[QB]]-1))</f>
        <v>0</v>
      </c>
      <c r="O30" s="24">
        <f ca="1">(PAJAK[[#This Row],[SUB T-DISC]]-PAJAK[[#This Row],[DISC DLL]])/111%</f>
        <v>5991590.0900900895</v>
      </c>
      <c r="P30" s="24">
        <f ca="1">PAJAK[[#This Row],[DPP]]*PAJAK[[#This Row],[PPN]]</f>
        <v>659074.90990990982</v>
      </c>
      <c r="Q30" s="24">
        <f ca="1">PAJAK[[#This Row],[DPP]]+PAJAK[[#This Row],[PPN 11%]]</f>
        <v>6650664.9999999991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352</v>
      </c>
      <c r="B31" s="21">
        <f ca="1">HYPERLINK("[NOTA_.XLSX]NOTA!c"&amp;PAJAK[[#This Row],[//]],IF(PAJAK[[#This Row],[//]]="","",INDEX(INDIRECT("NOTA["&amp;PAJAK[#Headers]&amp;"]"),PAJAK[[#This Row],[//]]-2)))</f>
        <v>70</v>
      </c>
      <c r="C31" s="19" t="str">
        <f ca="1">IF(PAJAK[[#This Row],[//]]="","",INDEX(INDIRECT("NOTA["&amp;PAJAK[#Headers]&amp;"]"),PAJAK[[#This Row],[//]]-2))</f>
        <v>ATA_1407_970-7</v>
      </c>
      <c r="D31" s="19">
        <f ca="1">MATCH(PAJAK[[#This Row],[ID]],[5]!Table1[ID],0)</f>
        <v>51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45121</v>
      </c>
      <c r="H31" s="17">
        <f ca="1">IF(PAJAK[[#This Row],[//]]="","",INDEX(INDIRECT("NOTA["&amp;PAJAK[#Headers]&amp;"]"),PAJAK[[#This Row],[//]]-2))</f>
        <v>45119</v>
      </c>
      <c r="I31" s="16" t="str">
        <f ca="1">IF(PAJAK[[#This Row],[//]]="","",INDEX(INDIRECT("NOTA["&amp;PAJAK[#Headers]&amp;"]"),PAJAK[[#This Row],[//]]-2))</f>
        <v>SA230711970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4">
        <f ca="1">IF(PAJAK[[#This Row],[//]]="","",SUMIF(NOTA[ID_H],PAJAK[[#This Row],[ID]],NOTA[JUMLAH]))</f>
        <v>7045000</v>
      </c>
      <c r="L31" s="24">
        <f ca="1">IF(PAJAK[[#This Row],[//]]="","",SUMIF(NOTA[ID_H],PAJAK[[#This Row],[ID]],NOTA[DISC]))</f>
        <v>1188843.75</v>
      </c>
      <c r="M31" s="24">
        <f ca="1">PAJAK[[#This Row],[SUB TOTAL]]-PAJAK[[#This Row],[DISKON]]</f>
        <v>5856156.25</v>
      </c>
      <c r="N31" s="24">
        <f ca="1">IF(PAJAK[[#This Row],[//]]="","",INDEX(INDIRECT("NOTA["&amp;PAJAK[#Headers]&amp;"]"),PAJAK[[#This Row],[//]]-2+PAJAK[[#This Row],[QB]]-1))</f>
        <v>0</v>
      </c>
      <c r="O31" s="24">
        <f ca="1">(PAJAK[[#This Row],[SUB T-DISC]]-PAJAK[[#This Row],[DISC DLL]])/111%</f>
        <v>5275816.441441441</v>
      </c>
      <c r="P31" s="24">
        <f ca="1">PAJAK[[#This Row],[DPP]]*PAJAK[[#This Row],[PPN]]</f>
        <v>580339.80855855846</v>
      </c>
      <c r="Q31" s="24">
        <f ca="1">PAJAK[[#This Row],[DPP]]+PAJAK[[#This Row],[PPN 11%]]</f>
        <v>5856156.2499999991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360</v>
      </c>
      <c r="B32" s="21">
        <f ca="1">HYPERLINK("[NOTA_.XLSX]NOTA!c"&amp;PAJAK[[#This Row],[//]],IF(PAJAK[[#This Row],[//]]="","",INDEX(INDIRECT("NOTA["&amp;PAJAK[#Headers]&amp;"]"),PAJAK[[#This Row],[//]]-2)))</f>
        <v>71</v>
      </c>
      <c r="C32" s="19" t="str">
        <f ca="1">IF(PAJAK[[#This Row],[//]]="","",INDEX(INDIRECT("NOTA["&amp;PAJAK[#Headers]&amp;"]"),PAJAK[[#This Row],[//]]-2))</f>
        <v>ATA_1407_914-2</v>
      </c>
      <c r="D32" s="19">
        <f ca="1">MATCH(PAJAK[[#This Row],[ID]],[5]!Table1[ID],0)</f>
        <v>49</v>
      </c>
      <c r="E32" s="20">
        <f ca="1">IF(PAJAK[[#This Row],[ID]]="","",COUNTIF(NOTA[ID_H],PAJAK[[#This Row],[ID]]))</f>
        <v>2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45121</v>
      </c>
      <c r="H32" s="17">
        <f ca="1">IF(PAJAK[[#This Row],[//]]="","",INDEX(INDIRECT("NOTA["&amp;PAJAK[#Headers]&amp;"]"),PAJAK[[#This Row],[//]]-2))</f>
        <v>45118</v>
      </c>
      <c r="I32" s="16" t="str">
        <f ca="1">IF(PAJAK[[#This Row],[//]]="","",INDEX(INDIRECT("NOTA["&amp;PAJAK[#Headers]&amp;"]"),PAJAK[[#This Row],[//]]-2))</f>
        <v>SA230711914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4">
        <f ca="1">IF(PAJAK[[#This Row],[//]]="","",SUMIF(NOTA[ID_H],PAJAK[[#This Row],[ID]],NOTA[JUMLAH]))</f>
        <v>32940000</v>
      </c>
      <c r="L32" s="24">
        <f ca="1">IF(PAJAK[[#This Row],[//]]="","",SUMIF(NOTA[ID_H],PAJAK[[#This Row],[ID]],NOTA[DISC]))</f>
        <v>5558625</v>
      </c>
      <c r="M32" s="24">
        <f ca="1">PAJAK[[#This Row],[SUB TOTAL]]-PAJAK[[#This Row],[DISKON]]</f>
        <v>27381375</v>
      </c>
      <c r="N32" s="24">
        <f ca="1">IF(PAJAK[[#This Row],[//]]="","",INDEX(INDIRECT("NOTA["&amp;PAJAK[#Headers]&amp;"]"),PAJAK[[#This Row],[//]]-2+PAJAK[[#This Row],[QB]]-1))</f>
        <v>0</v>
      </c>
      <c r="O32" s="24">
        <f ca="1">(PAJAK[[#This Row],[SUB T-DISC]]-PAJAK[[#This Row],[DISC DLL]])/111%</f>
        <v>24667905.405405402</v>
      </c>
      <c r="P32" s="24">
        <f ca="1">PAJAK[[#This Row],[DPP]]*PAJAK[[#This Row],[PPN]]</f>
        <v>2713469.5945945941</v>
      </c>
      <c r="Q32" s="24">
        <f ca="1">PAJAK[[#This Row],[DPP]]+PAJAK[[#This Row],[PPN 11%]]</f>
        <v>27381374.999999996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363</v>
      </c>
      <c r="B33" s="21">
        <f ca="1">HYPERLINK("[NOTA_.XLSX]NOTA!c"&amp;PAJAK[[#This Row],[//]],IF(PAJAK[[#This Row],[//]]="","",INDEX(INDIRECT("NOTA["&amp;PAJAK[#Headers]&amp;"]"),PAJAK[[#This Row],[//]]-2)))</f>
        <v>72</v>
      </c>
      <c r="C33" s="19" t="str">
        <f ca="1">IF(PAJAK[[#This Row],[//]]="","",INDEX(INDIRECT("NOTA["&amp;PAJAK[#Headers]&amp;"]"),PAJAK[[#This Row],[//]]-2))</f>
        <v>ATA_1407_838-9</v>
      </c>
      <c r="D33" s="19">
        <f ca="1">MATCH(PAJAK[[#This Row],[ID]],[5]!Table1[ID],0)</f>
        <v>48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45121</v>
      </c>
      <c r="H33" s="17">
        <f ca="1">IF(PAJAK[[#This Row],[//]]="","",INDEX(INDIRECT("NOTA["&amp;PAJAK[#Headers]&amp;"]"),PAJAK[[#This Row],[//]]-2))</f>
        <v>45118</v>
      </c>
      <c r="I33" s="16" t="str">
        <f ca="1">IF(PAJAK[[#This Row],[//]]="","",INDEX(INDIRECT("NOTA["&amp;PAJAK[#Headers]&amp;"]"),PAJAK[[#This Row],[//]]-2))</f>
        <v>SA230711838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4">
        <f ca="1">IF(PAJAK[[#This Row],[//]]="","",SUMIF(NOTA[ID_H],PAJAK[[#This Row],[ID]],NOTA[JUMLAH]))</f>
        <v>75277600</v>
      </c>
      <c r="L33" s="24">
        <f ca="1">IF(PAJAK[[#This Row],[//]]="","",SUMIF(NOTA[ID_H],PAJAK[[#This Row],[ID]],NOTA[DISC]))</f>
        <v>12703095</v>
      </c>
      <c r="M33" s="24">
        <f ca="1">PAJAK[[#This Row],[SUB TOTAL]]-PAJAK[[#This Row],[DISKON]]</f>
        <v>62574505</v>
      </c>
      <c r="N33" s="24">
        <f ca="1">IF(PAJAK[[#This Row],[//]]="","",INDEX(INDIRECT("NOTA["&amp;PAJAK[#Headers]&amp;"]"),PAJAK[[#This Row],[//]]-2+PAJAK[[#This Row],[QB]]-1))</f>
        <v>0</v>
      </c>
      <c r="O33" s="24">
        <f ca="1">(PAJAK[[#This Row],[SUB T-DISC]]-PAJAK[[#This Row],[DISC DLL]])/111%</f>
        <v>56373427.927927926</v>
      </c>
      <c r="P33" s="24">
        <f ca="1">PAJAK[[#This Row],[DPP]]*PAJAK[[#This Row],[PPN]]</f>
        <v>6201077.072072072</v>
      </c>
      <c r="Q33" s="24">
        <f ca="1">PAJAK[[#This Row],[DPP]]+PAJAK[[#This Row],[PPN 11%]]</f>
        <v>62574505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373</v>
      </c>
      <c r="B34" s="15">
        <f ca="1">HYPERLINK("[NOTA_.XLSX]NOTA!c"&amp;PAJAK[[#This Row],[//]],IF(PAJAK[[#This Row],[//]]="","",INDEX(INDIRECT("NOTA["&amp;PAJAK[#Headers]&amp;"]"),PAJAK[[#This Row],[//]]-2)))</f>
        <v>73</v>
      </c>
      <c r="C34" s="15" t="str">
        <f ca="1">IF(PAJAK[[#This Row],[//]]="","",INDEX(INDIRECT("NOTA["&amp;PAJAK[#Headers]&amp;"]"),PAJAK[[#This Row],[//]]-2))</f>
        <v>ATA_1407_938-2</v>
      </c>
      <c r="D34" s="15">
        <f ca="1">MATCH(PAJAK[[#This Row],[ID]],[5]!Table1[ID],0)</f>
        <v>50</v>
      </c>
      <c r="E34" s="16">
        <f ca="1">IF(PAJAK[[#This Row],[ID]]="","",COUNTIF(NOTA[ID_H],PAJAK[[#This Row],[ID]]))</f>
        <v>2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45121</v>
      </c>
      <c r="H34" s="17">
        <f ca="1">IF(PAJAK[[#This Row],[//]]="","",INDEX(INDIRECT("NOTA["&amp;PAJAK[#Headers]&amp;"]"),PAJAK[[#This Row],[//]]-2))</f>
        <v>45119</v>
      </c>
      <c r="I34" s="16" t="str">
        <f ca="1">IF(PAJAK[[#This Row],[//]]="","",INDEX(INDIRECT("NOTA["&amp;PAJAK[#Headers]&amp;"]"),PAJAK[[#This Row],[//]]-2))</f>
        <v>SA230711938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4">
        <f ca="1">IF(PAJAK[[#This Row],[//]]="","",SUMIF(NOTA[ID_H],PAJAK[[#This Row],[ID]],NOTA[JUMLAH]))</f>
        <v>29148000</v>
      </c>
      <c r="L34" s="24">
        <f ca="1">IF(PAJAK[[#This Row],[//]]="","",SUMIF(NOTA[ID_H],PAJAK[[#This Row],[ID]],NOTA[DISC]))</f>
        <v>4918725</v>
      </c>
      <c r="M34" s="24">
        <f ca="1">PAJAK[[#This Row],[SUB TOTAL]]-PAJAK[[#This Row],[DISKON]]</f>
        <v>24229275</v>
      </c>
      <c r="N34" s="24">
        <f ca="1">IF(PAJAK[[#This Row],[//]]="","",INDEX(INDIRECT("NOTA["&amp;PAJAK[#Headers]&amp;"]"),PAJAK[[#This Row],[//]]-2+PAJAK[[#This Row],[QB]]-1))</f>
        <v>0</v>
      </c>
      <c r="O34" s="24">
        <f ca="1">(PAJAK[[#This Row],[SUB T-DISC]]-PAJAK[[#This Row],[DISC DLL]])/111%</f>
        <v>21828175.675675675</v>
      </c>
      <c r="P34" s="24">
        <f ca="1">PAJAK[[#This Row],[DPP]]*PAJAK[[#This Row],[PPN]]</f>
        <v>2401099.3243243243</v>
      </c>
      <c r="Q34" s="24">
        <f ca="1">PAJAK[[#This Row],[DPP]]+PAJAK[[#This Row],[PPN 11%]]</f>
        <v>24229275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376</v>
      </c>
      <c r="B35" s="15">
        <f ca="1">HYPERLINK("[NOTA_.XLSX]NOTA!c"&amp;PAJAK[[#This Row],[//]],IF(PAJAK[[#This Row],[//]]="","",INDEX(INDIRECT("NOTA["&amp;PAJAK[#Headers]&amp;"]"),PAJAK[[#This Row],[//]]-2)))</f>
        <v>74</v>
      </c>
      <c r="C35" s="15" t="str">
        <f ca="1">IF(PAJAK[[#This Row],[//]]="","",INDEX(INDIRECT("NOTA["&amp;PAJAK[#Headers]&amp;"]"),PAJAK[[#This Row],[//]]-2))</f>
        <v>ATA_1407_734-3</v>
      </c>
      <c r="D35" s="15">
        <f ca="1">MATCH(PAJAK[[#This Row],[ID]],[5]!Table1[ID],0)</f>
        <v>44</v>
      </c>
      <c r="E35" s="16">
        <f ca="1">IF(PAJAK[[#This Row],[ID]]="","",COUNTIF(NOTA[ID_H],PAJAK[[#This Row],[ID]]))</f>
        <v>3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45121</v>
      </c>
      <c r="H35" s="17">
        <f ca="1">IF(PAJAK[[#This Row],[//]]="","",INDEX(INDIRECT("NOTA["&amp;PAJAK[#Headers]&amp;"]"),PAJAK[[#This Row],[//]]-2))</f>
        <v>45117</v>
      </c>
      <c r="I35" s="16" t="str">
        <f ca="1">IF(PAJAK[[#This Row],[//]]="","",INDEX(INDIRECT("NOTA["&amp;PAJAK[#Headers]&amp;"]"),PAJAK[[#This Row],[//]]-2))</f>
        <v>SA230711734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4">
        <f ca="1">IF(PAJAK[[#This Row],[//]]="","",SUMIF(NOTA[ID_H],PAJAK[[#This Row],[ID]],NOTA[JUMLAH]))</f>
        <v>65040000</v>
      </c>
      <c r="L35" s="24">
        <f ca="1">IF(PAJAK[[#This Row],[//]]="","",SUMIF(NOTA[ID_H],PAJAK[[#This Row],[ID]],NOTA[DISC]))</f>
        <v>10975500</v>
      </c>
      <c r="M35" s="24">
        <f ca="1">PAJAK[[#This Row],[SUB TOTAL]]-PAJAK[[#This Row],[DISKON]]</f>
        <v>54064500</v>
      </c>
      <c r="N35" s="24">
        <f ca="1">IF(PAJAK[[#This Row],[//]]="","",INDEX(INDIRECT("NOTA["&amp;PAJAK[#Headers]&amp;"]"),PAJAK[[#This Row],[//]]-2+PAJAK[[#This Row],[QB]]-1))</f>
        <v>0</v>
      </c>
      <c r="O35" s="24">
        <f ca="1">(PAJAK[[#This Row],[SUB T-DISC]]-PAJAK[[#This Row],[DISC DLL]])/111%</f>
        <v>48706756.756756753</v>
      </c>
      <c r="P35" s="24">
        <f ca="1">PAJAK[[#This Row],[DPP]]*PAJAK[[#This Row],[PPN]]</f>
        <v>5357743.2432432426</v>
      </c>
      <c r="Q35" s="24">
        <f ca="1">PAJAK[[#This Row],[DPP]]+PAJAK[[#This Row],[PPN 11%]]</f>
        <v>54064499.999999993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380</v>
      </c>
      <c r="B36" s="21">
        <f ca="1">HYPERLINK("[NOTA_.XLSX]NOTA!c"&amp;PAJAK[[#This Row],[//]],IF(PAJAK[[#This Row],[//]]="","",INDEX(INDIRECT("NOTA["&amp;PAJAK[#Headers]&amp;"]"),PAJAK[[#This Row],[//]]-2)))</f>
        <v>75</v>
      </c>
      <c r="C36" s="19" t="str">
        <f ca="1">IF(PAJAK[[#This Row],[//]]="","",INDEX(INDIRECT("NOTA["&amp;PAJAK[#Headers]&amp;"]"),PAJAK[[#This Row],[//]]-2))</f>
        <v>ATA_1407_735-2</v>
      </c>
      <c r="D36" s="19">
        <f ca="1">MATCH(PAJAK[[#This Row],[ID]],[5]!Table1[ID],0)</f>
        <v>45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45121</v>
      </c>
      <c r="H36" s="17">
        <f ca="1">IF(PAJAK[[#This Row],[//]]="","",INDEX(INDIRECT("NOTA["&amp;PAJAK[#Headers]&amp;"]"),PAJAK[[#This Row],[//]]-2))</f>
        <v>45117</v>
      </c>
      <c r="I36" s="16" t="str">
        <f ca="1">IF(PAJAK[[#This Row],[//]]="","",INDEX(INDIRECT("NOTA["&amp;PAJAK[#Headers]&amp;"]"),PAJAK[[#This Row],[//]]-2))</f>
        <v>SA230711735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4">
        <f ca="1">IF(PAJAK[[#This Row],[//]]="","",SUMIF(NOTA[ID_H],PAJAK[[#This Row],[ID]],NOTA[JUMLAH]))</f>
        <v>15228000</v>
      </c>
      <c r="L36" s="24">
        <f ca="1">IF(PAJAK[[#This Row],[//]]="","",SUMIF(NOTA[ID_H],PAJAK[[#This Row],[ID]],NOTA[DISC]))</f>
        <v>2569725</v>
      </c>
      <c r="M36" s="24">
        <f ca="1">PAJAK[[#This Row],[SUB TOTAL]]-PAJAK[[#This Row],[DISKON]]</f>
        <v>12658275</v>
      </c>
      <c r="N36" s="24">
        <f ca="1">IF(PAJAK[[#This Row],[//]]="","",INDEX(INDIRECT("NOTA["&amp;PAJAK[#Headers]&amp;"]"),PAJAK[[#This Row],[//]]-2+PAJAK[[#This Row],[QB]]-1))</f>
        <v>0</v>
      </c>
      <c r="O36" s="24">
        <f ca="1">(PAJAK[[#This Row],[SUB T-DISC]]-PAJAK[[#This Row],[DISC DLL]])/111%</f>
        <v>11403851.351351351</v>
      </c>
      <c r="P36" s="24">
        <f ca="1">PAJAK[[#This Row],[DPP]]*PAJAK[[#This Row],[PPN]]</f>
        <v>1254423.6486486485</v>
      </c>
      <c r="Q36" s="24">
        <f ca="1">PAJAK[[#This Row],[DPP]]+PAJAK[[#This Row],[PPN 11%]]</f>
        <v>12658275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383</v>
      </c>
      <c r="B37" s="21">
        <f ca="1">HYPERLINK("[NOTA_.XLSX]NOTA!c"&amp;PAJAK[[#This Row],[//]],IF(PAJAK[[#This Row],[//]]="","",INDEX(INDIRECT("NOTA["&amp;PAJAK[#Headers]&amp;"]"),PAJAK[[#This Row],[//]]-2)))</f>
        <v>76</v>
      </c>
      <c r="C37" s="19" t="str">
        <f ca="1">IF(PAJAK[[#This Row],[//]]="","",INDEX(INDIRECT("NOTA["&amp;PAJAK[#Headers]&amp;"]"),PAJAK[[#This Row],[//]]-2))</f>
        <v>ATA_1407_783-5</v>
      </c>
      <c r="D37" s="19">
        <f ca="1">MATCH(PAJAK[[#This Row],[ID]],[5]!Table1[ID],0)</f>
        <v>46</v>
      </c>
      <c r="E37" s="20">
        <f ca="1">IF(PAJAK[[#This Row],[ID]]="","",COUNTIF(NOTA[ID_H],PAJAK[[#This Row],[ID]]))</f>
        <v>5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45121</v>
      </c>
      <c r="H37" s="17">
        <f ca="1">IF(PAJAK[[#This Row],[//]]="","",INDEX(INDIRECT("NOTA["&amp;PAJAK[#Headers]&amp;"]"),PAJAK[[#This Row],[//]]-2))</f>
        <v>45117</v>
      </c>
      <c r="I37" s="16" t="str">
        <f ca="1">IF(PAJAK[[#This Row],[//]]="","",INDEX(INDIRECT("NOTA["&amp;PAJAK[#Headers]&amp;"]"),PAJAK[[#This Row],[//]]-2))</f>
        <v>SA230711783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4">
        <f ca="1">IF(PAJAK[[#This Row],[//]]="","",SUMIF(NOTA[ID_H],PAJAK[[#This Row],[ID]],NOTA[JUMLAH]))</f>
        <v>14508000</v>
      </c>
      <c r="L37" s="24">
        <f ca="1">IF(PAJAK[[#This Row],[//]]="","",SUMIF(NOTA[ID_H],PAJAK[[#This Row],[ID]],NOTA[DISC]))</f>
        <v>2448225</v>
      </c>
      <c r="M37" s="24">
        <f ca="1">PAJAK[[#This Row],[SUB TOTAL]]-PAJAK[[#This Row],[DISKON]]</f>
        <v>12059775</v>
      </c>
      <c r="N37" s="24">
        <f ca="1">IF(PAJAK[[#This Row],[//]]="","",INDEX(INDIRECT("NOTA["&amp;PAJAK[#Headers]&amp;"]"),PAJAK[[#This Row],[//]]-2+PAJAK[[#This Row],[QB]]-1))</f>
        <v>0</v>
      </c>
      <c r="O37" s="24">
        <f ca="1">(PAJAK[[#This Row],[SUB T-DISC]]-PAJAK[[#This Row],[DISC DLL]])/111%</f>
        <v>10864662.162162161</v>
      </c>
      <c r="P37" s="24">
        <f ca="1">PAJAK[[#This Row],[DPP]]*PAJAK[[#This Row],[PPN]]</f>
        <v>1195112.8378378376</v>
      </c>
      <c r="Q37" s="24">
        <f ca="1">PAJAK[[#This Row],[DPP]]+PAJAK[[#This Row],[PPN 11%]]</f>
        <v>12059774.999999998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389</v>
      </c>
      <c r="B38" s="22">
        <f ca="1">HYPERLINK("[NOTA_.XLSX]NOTA!c"&amp;PAJAK[[#This Row],[//]],IF(PAJAK[[#This Row],[//]]="","",INDEX(INDIRECT("NOTA["&amp;PAJAK[#Headers]&amp;"]"),PAJAK[[#This Row],[//]]-2)))</f>
        <v>77</v>
      </c>
      <c r="C38" s="15" t="str">
        <f ca="1">IF(PAJAK[[#This Row],[//]]="","",INDEX(INDIRECT("NOTA["&amp;PAJAK[#Headers]&amp;"]"),PAJAK[[#This Row],[//]]-2))</f>
        <v>ATA_1407_666-4</v>
      </c>
      <c r="D38" s="15">
        <f ca="1">MATCH(PAJAK[[#This Row],[ID]],[5]!Table1[ID],0)</f>
        <v>43</v>
      </c>
      <c r="E38" s="16">
        <f ca="1">IF(PAJAK[[#This Row],[ID]]="","",COUNTIF(NOTA[ID_H],PAJAK[[#This Row],[ID]]))</f>
        <v>4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45121</v>
      </c>
      <c r="H38" s="17">
        <f ca="1">IF(PAJAK[[#This Row],[//]]="","",INDEX(INDIRECT("NOTA["&amp;PAJAK[#Headers]&amp;"]"),PAJAK[[#This Row],[//]]-2))</f>
        <v>45115</v>
      </c>
      <c r="I38" s="16" t="str">
        <f ca="1">IF(PAJAK[[#This Row],[//]]="","",INDEX(INDIRECT("NOTA["&amp;PAJAK[#Headers]&amp;"]"),PAJAK[[#This Row],[//]]-2))</f>
        <v>SA230711666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4">
        <f ca="1">IF(PAJAK[[#This Row],[//]]="","",SUMIF(NOTA[ID_H],PAJAK[[#This Row],[ID]],NOTA[JUMLAH]))</f>
        <v>17961600</v>
      </c>
      <c r="L38" s="24">
        <f ca="1">IF(PAJAK[[#This Row],[//]]="","",SUMIF(NOTA[ID_H],PAJAK[[#This Row],[ID]],NOTA[DISC]))</f>
        <v>3031020</v>
      </c>
      <c r="M38" s="24">
        <f ca="1">PAJAK[[#This Row],[SUB TOTAL]]-PAJAK[[#This Row],[DISKON]]</f>
        <v>14930580</v>
      </c>
      <c r="N38" s="24">
        <f ca="1">IF(PAJAK[[#This Row],[//]]="","",INDEX(INDIRECT("NOTA["&amp;PAJAK[#Headers]&amp;"]"),PAJAK[[#This Row],[//]]-2+PAJAK[[#This Row],[QB]]-1))</f>
        <v>0</v>
      </c>
      <c r="O38" s="24">
        <f ca="1">(PAJAK[[#This Row],[SUB T-DISC]]-PAJAK[[#This Row],[DISC DLL]])/111%</f>
        <v>13450972.972972972</v>
      </c>
      <c r="P38" s="24">
        <f ca="1">PAJAK[[#This Row],[DPP]]*PAJAK[[#This Row],[PPN]]</f>
        <v>1479607.027027027</v>
      </c>
      <c r="Q38" s="24">
        <f ca="1">PAJAK[[#This Row],[DPP]]+PAJAK[[#This Row],[PPN 11%]]</f>
        <v>14930580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396</v>
      </c>
      <c r="B39" s="21">
        <f ca="1">HYPERLINK("[NOTA_.XLSX]NOTA!c"&amp;PAJAK[[#This Row],[//]],IF(PAJAK[[#This Row],[//]]="","",INDEX(INDIRECT("NOTA["&amp;PAJAK[#Headers]&amp;"]"),PAJAK[[#This Row],[//]]-2)))</f>
        <v>79</v>
      </c>
      <c r="C39" s="19" t="str">
        <f ca="1">IF(PAJAK[[#This Row],[//]]="","",INDEX(INDIRECT("NOTA["&amp;PAJAK[#Headers]&amp;"]"),PAJAK[[#This Row],[//]]-2))</f>
        <v>PAR_1507_018-2</v>
      </c>
      <c r="D39" s="19">
        <f ca="1">MATCH(PAJAK[[#This Row],[ID]],[5]!Table1[ID],0)</f>
        <v>84</v>
      </c>
      <c r="E39" s="20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PARAMA</v>
      </c>
      <c r="G39" s="17">
        <f ca="1">IF(PAJAK[[#This Row],[//]]="","",INDEX(NOTA[TGL_H],PAJAK[[#This Row],[//]]-2))</f>
        <v>45122</v>
      </c>
      <c r="H39" s="17">
        <f ca="1">IF(PAJAK[[#This Row],[//]]="","",INDEX(INDIRECT("NOTA["&amp;PAJAK[#Headers]&amp;"]"),PAJAK[[#This Row],[//]]-2))</f>
        <v>45120</v>
      </c>
      <c r="I39" s="16" t="str">
        <f ca="1">IF(PAJAK[[#This Row],[//]]="","",INDEX(INDIRECT("NOTA["&amp;PAJAK[#Headers]&amp;"]"),PAJAK[[#This Row],[//]]-2))</f>
        <v>CV-29 / UTN-018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4">
        <f ca="1">IF(PAJAK[[#This Row],[//]]="","",SUMIF(NOTA[ID_H],PAJAK[[#This Row],[ID]],NOTA[JUMLAH]))</f>
        <v>13381500</v>
      </c>
      <c r="L39" s="24">
        <f ca="1">IF(PAJAK[[#This Row],[//]]="","",SUMIF(NOTA[ID_H],PAJAK[[#This Row],[ID]],NOTA[DISC]))</f>
        <v>2542485</v>
      </c>
      <c r="M39" s="24">
        <f ca="1">PAJAK[[#This Row],[SUB TOTAL]]-PAJAK[[#This Row],[DISKON]]</f>
        <v>10839015</v>
      </c>
      <c r="N39" s="24">
        <f ca="1">IF(PAJAK[[#This Row],[//]]="","",INDEX(INDIRECT("NOTA["&amp;PAJAK[#Headers]&amp;"]"),PAJAK[[#This Row],[//]]-2+PAJAK[[#This Row],[QB]]-1))</f>
        <v>0</v>
      </c>
      <c r="O39" s="24">
        <f ca="1">(PAJAK[[#This Row],[SUB T-DISC]]-PAJAK[[#This Row],[DISC DLL]])/111%</f>
        <v>9764878.3783783782</v>
      </c>
      <c r="P39" s="24">
        <f ca="1">PAJAK[[#This Row],[DPP]]*PAJAK[[#This Row],[PPN]]</f>
        <v>1074136.6216216215</v>
      </c>
      <c r="Q39" s="24">
        <f ca="1">PAJAK[[#This Row],[DPP]]+PAJAK[[#This Row],[PPN 11%]]</f>
        <v>10839015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401</v>
      </c>
      <c r="B40" s="21">
        <f ca="1">HYPERLINK("[NOTA_.XLSX]NOTA!c"&amp;PAJAK[[#This Row],[//]],IF(PAJAK[[#This Row],[//]]="","",INDEX(INDIRECT("NOTA["&amp;PAJAK[#Headers]&amp;"]"),PAJAK[[#This Row],[//]]-2)))</f>
        <v>81</v>
      </c>
      <c r="C40" s="19" t="str">
        <f ca="1">IF(PAJAK[[#This Row],[//]]="","",INDEX(INDIRECT("NOTA["&amp;PAJAK[#Headers]&amp;"]"),PAJAK[[#This Row],[//]]-2))</f>
        <v>KEN_1807_355-2</v>
      </c>
      <c r="D40" s="19">
        <f ca="1">MATCH(PAJAK[[#This Row],[ID]],[5]!Table1[ID],0)</f>
        <v>17</v>
      </c>
      <c r="E40" s="20">
        <f ca="1">IF(PAJAK[[#This Row],[ID]]="","",COUNTIF(NOTA[ID_H],PAJAK[[#This Row],[ID]]))</f>
        <v>2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45125</v>
      </c>
      <c r="H40" s="17">
        <f ca="1">IF(PAJAK[[#This Row],[//]]="","",INDEX(INDIRECT("NOTA["&amp;PAJAK[#Headers]&amp;"]"),PAJAK[[#This Row],[//]]-2))</f>
        <v>45122</v>
      </c>
      <c r="I40" s="16" t="str">
        <f ca="1">IF(PAJAK[[#This Row],[//]]="","",INDEX(INDIRECT("NOTA["&amp;PAJAK[#Headers]&amp;"]"),PAJAK[[#This Row],[//]]-2))</f>
        <v>23071355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4">
        <f ca="1">IF(PAJAK[[#This Row],[//]]="","",SUMIF(NOTA[ID_H],PAJAK[[#This Row],[ID]],NOTA[JUMLAH]))</f>
        <v>9324000</v>
      </c>
      <c r="L40" s="24">
        <f ca="1">IF(PAJAK[[#This Row],[//]]="","",SUMIF(NOTA[ID_H],PAJAK[[#This Row],[ID]],NOTA[DISC]))</f>
        <v>1585080</v>
      </c>
      <c r="M40" s="24">
        <f ca="1">PAJAK[[#This Row],[SUB TOTAL]]-PAJAK[[#This Row],[DISKON]]</f>
        <v>7738920</v>
      </c>
      <c r="N40" s="24">
        <f ca="1">IF(PAJAK[[#This Row],[//]]="","",INDEX(INDIRECT("NOTA["&amp;PAJAK[#Headers]&amp;"]"),PAJAK[[#This Row],[//]]-2+PAJAK[[#This Row],[QB]]-1))</f>
        <v>0</v>
      </c>
      <c r="O40" s="24">
        <f ca="1">(PAJAK[[#This Row],[SUB T-DISC]]-PAJAK[[#This Row],[DISC DLL]])/111%</f>
        <v>6971999.9999999991</v>
      </c>
      <c r="P40" s="24">
        <f ca="1">PAJAK[[#This Row],[DPP]]*PAJAK[[#This Row],[PPN]]</f>
        <v>766919.99999999988</v>
      </c>
      <c r="Q40" s="24">
        <f ca="1">PAJAK[[#This Row],[DPP]]+PAJAK[[#This Row],[PPN 11%]]</f>
        <v>7738919.9999999991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404</v>
      </c>
      <c r="B41" s="21">
        <f ca="1">HYPERLINK("[NOTA_.XLSX]NOTA!c"&amp;PAJAK[[#This Row],[//]],IF(PAJAK[[#This Row],[//]]="","",INDEX(INDIRECT("NOTA["&amp;PAJAK[#Headers]&amp;"]"),PAJAK[[#This Row],[//]]-2)))</f>
        <v>82</v>
      </c>
      <c r="C41" s="19" t="str">
        <f ca="1">IF(PAJAK[[#This Row],[//]]="","",INDEX(INDIRECT("NOTA["&amp;PAJAK[#Headers]&amp;"]"),PAJAK[[#This Row],[//]]-2))</f>
        <v>KEN_1807_464-8</v>
      </c>
      <c r="D41" s="19">
        <f ca="1">MATCH(PAJAK[[#This Row],[ID]],[5]!Table1[ID],0)</f>
        <v>18</v>
      </c>
      <c r="E41" s="20">
        <f ca="1">IF(PAJAK[[#This Row],[ID]]="","",COUNTIF(NOTA[ID_H],PAJAK[[#This Row],[ID]]))</f>
        <v>8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45125</v>
      </c>
      <c r="H41" s="17">
        <f ca="1">IF(PAJAK[[#This Row],[//]]="","",INDEX(INDIRECT("NOTA["&amp;PAJAK[#Headers]&amp;"]"),PAJAK[[#This Row],[//]]-2))</f>
        <v>45124</v>
      </c>
      <c r="I41" s="16" t="str">
        <f ca="1">IF(PAJAK[[#This Row],[//]]="","",INDEX(INDIRECT("NOTA["&amp;PAJAK[#Headers]&amp;"]"),PAJAK[[#This Row],[//]]-2))</f>
        <v>23071464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4">
        <f ca="1">IF(PAJAK[[#This Row],[//]]="","",SUMIF(NOTA[ID_H],PAJAK[[#This Row],[ID]],NOTA[JUMLAH]))</f>
        <v>20867600</v>
      </c>
      <c r="L41" s="24">
        <f ca="1">IF(PAJAK[[#This Row],[//]]="","",SUMIF(NOTA[ID_H],PAJAK[[#This Row],[ID]],NOTA[DISC]))</f>
        <v>3547492</v>
      </c>
      <c r="M41" s="24">
        <f ca="1">PAJAK[[#This Row],[SUB TOTAL]]-PAJAK[[#This Row],[DISKON]]</f>
        <v>17320108</v>
      </c>
      <c r="N41" s="24">
        <f ca="1">IF(PAJAK[[#This Row],[//]]="","",INDEX(INDIRECT("NOTA["&amp;PAJAK[#Headers]&amp;"]"),PAJAK[[#This Row],[//]]-2+PAJAK[[#This Row],[QB]]-1))</f>
        <v>0</v>
      </c>
      <c r="O41" s="24">
        <f ca="1">(PAJAK[[#This Row],[SUB T-DISC]]-PAJAK[[#This Row],[DISC DLL]])/111%</f>
        <v>15603700.9009009</v>
      </c>
      <c r="P41" s="24">
        <f ca="1">PAJAK[[#This Row],[DPP]]*PAJAK[[#This Row],[PPN]]</f>
        <v>1716407.0990990989</v>
      </c>
      <c r="Q41" s="24">
        <f ca="1">PAJAK[[#This Row],[DPP]]+PAJAK[[#This Row],[PPN 11%]]</f>
        <v>17320108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430</v>
      </c>
      <c r="B42" s="15">
        <f ca="1">HYPERLINK("[NOTA_.XLSX]NOTA!c"&amp;PAJAK[[#This Row],[//]],IF(PAJAK[[#This Row],[//]]="","",INDEX(INDIRECT("NOTA["&amp;PAJAK[#Headers]&amp;"]"),PAJAK[[#This Row],[//]]-2)))</f>
        <v>87</v>
      </c>
      <c r="C42" s="15" t="str">
        <f ca="1">IF(PAJAK[[#This Row],[//]]="","",INDEX(INDIRECT("NOTA["&amp;PAJAK[#Headers]&amp;"]"),PAJAK[[#This Row],[//]]-2))</f>
        <v>KEN_1707_248-5</v>
      </c>
      <c r="D42" s="15">
        <f ca="1">MATCH(PAJAK[[#This Row],[ID]],[5]!Table1[ID],0)</f>
        <v>16</v>
      </c>
      <c r="E42" s="16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45124</v>
      </c>
      <c r="H42" s="17">
        <f ca="1">IF(PAJAK[[#This Row],[//]]="","",INDEX(INDIRECT("NOTA["&amp;PAJAK[#Headers]&amp;"]"),PAJAK[[#This Row],[//]]-2))</f>
        <v>45121</v>
      </c>
      <c r="I42" s="16" t="str">
        <f ca="1">IF(PAJAK[[#This Row],[//]]="","",INDEX(INDIRECT("NOTA["&amp;PAJAK[#Headers]&amp;"]"),PAJAK[[#This Row],[//]]-2))</f>
        <v>23071248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4">
        <f ca="1">IF(PAJAK[[#This Row],[//]]="","",SUMIF(NOTA[ID_H],PAJAK[[#This Row],[ID]],NOTA[JUMLAH]))</f>
        <v>33846000</v>
      </c>
      <c r="L42" s="24">
        <f ca="1">IF(PAJAK[[#This Row],[//]]="","",SUMIF(NOTA[ID_H],PAJAK[[#This Row],[ID]],NOTA[DISC]))</f>
        <v>5753820</v>
      </c>
      <c r="M42" s="24">
        <f ca="1">PAJAK[[#This Row],[SUB TOTAL]]-PAJAK[[#This Row],[DISKON]]</f>
        <v>28092180</v>
      </c>
      <c r="N42" s="24">
        <f ca="1">IF(PAJAK[[#This Row],[//]]="","",INDEX(INDIRECT("NOTA["&amp;PAJAK[#Headers]&amp;"]"),PAJAK[[#This Row],[//]]-2+PAJAK[[#This Row],[QB]]-1))</f>
        <v>0</v>
      </c>
      <c r="O42" s="24">
        <f ca="1">(PAJAK[[#This Row],[SUB T-DISC]]-PAJAK[[#This Row],[DISC DLL]])/111%</f>
        <v>25308270.270270269</v>
      </c>
      <c r="P42" s="24">
        <f ca="1">PAJAK[[#This Row],[DPP]]*PAJAK[[#This Row],[PPN]]</f>
        <v>2783909.7297297297</v>
      </c>
      <c r="Q42" s="24">
        <f ca="1">PAJAK[[#This Row],[DPP]]+PAJAK[[#This Row],[PPN 11%]]</f>
        <v>28092180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445</v>
      </c>
      <c r="B43" s="15">
        <f ca="1">HYPERLINK("[NOTA_.XLSX]NOTA!c"&amp;PAJAK[[#This Row],[//]],IF(PAJAK[[#This Row],[//]]="","",INDEX(INDIRECT("NOTA["&amp;PAJAK[#Headers]&amp;"]"),PAJAK[[#This Row],[//]]-2)))</f>
        <v>91</v>
      </c>
      <c r="C43" s="15" t="str">
        <f ca="1">IF(PAJAK[[#This Row],[//]]="","",INDEX(INDIRECT("NOTA["&amp;PAJAK[#Headers]&amp;"]"),PAJAK[[#This Row],[//]]-2))</f>
        <v>SDI_1707_259-2</v>
      </c>
      <c r="D43" s="15">
        <f ca="1">MATCH(PAJAK[[#This Row],[ID]],[5]!Table1[ID],0)</f>
        <v>76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DWI TUNGGAL INDAH JAYA</v>
      </c>
      <c r="G43" s="17">
        <f ca="1">IF(PAJAK[[#This Row],[//]]="","",INDEX(NOTA[TGL_H],PAJAK[[#This Row],[//]]-2))</f>
        <v>45124</v>
      </c>
      <c r="H43" s="17">
        <f ca="1">IF(PAJAK[[#This Row],[//]]="","",INDEX(INDIRECT("NOTA["&amp;PAJAK[#Headers]&amp;"]"),PAJAK[[#This Row],[//]]-2))</f>
        <v>45120</v>
      </c>
      <c r="I43" s="16" t="str">
        <f ca="1">IF(PAJAK[[#This Row],[//]]="","",INDEX(INDIRECT("NOTA["&amp;PAJAK[#Headers]&amp;"]"),PAJAK[[#This Row],[//]]-2))</f>
        <v>SINV99-230700000259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4">
        <f ca="1">IF(PAJAK[[#This Row],[//]]="","",SUMIF(NOTA[ID_H],PAJAK[[#This Row],[ID]],NOTA[JUMLAH]))</f>
        <v>4364027</v>
      </c>
      <c r="L43" s="24">
        <f ca="1">IF(PAJAK[[#This Row],[//]]="","",SUMIF(NOTA[ID_H],PAJAK[[#This Row],[ID]],NOTA[DISC]))</f>
        <v>0</v>
      </c>
      <c r="M43" s="24">
        <f ca="1">PAJAK[[#This Row],[SUB TOTAL]]-PAJAK[[#This Row],[DISKON]]</f>
        <v>4364027</v>
      </c>
      <c r="N43" s="24">
        <f ca="1">IF(PAJAK[[#This Row],[//]]="","",INDEX(INDIRECT("NOTA["&amp;PAJAK[#Headers]&amp;"]"),PAJAK[[#This Row],[//]]-2+PAJAK[[#This Row],[QB]]-1))</f>
        <v>38351.35</v>
      </c>
      <c r="O43" s="24">
        <f ca="1">(PAJAK[[#This Row],[SUB T-DISC]]-PAJAK[[#This Row],[DISC DLL]])/111%</f>
        <v>3897005.0900900899</v>
      </c>
      <c r="P43" s="24">
        <f ca="1">PAJAK[[#This Row],[DPP]]*PAJAK[[#This Row],[PPN]]</f>
        <v>428670.55990990991</v>
      </c>
      <c r="Q43" s="24">
        <f ca="1">PAJAK[[#This Row],[DPP]]+PAJAK[[#This Row],[PPN 11%]]</f>
        <v>4325675.6499999994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448</v>
      </c>
      <c r="B44" s="21">
        <f ca="1">HYPERLINK("[NOTA_.XLSX]NOTA!c"&amp;PAJAK[[#This Row],[//]],IF(PAJAK[[#This Row],[//]]="","",INDEX(INDIRECT("NOTA["&amp;PAJAK[#Headers]&amp;"]"),PAJAK[[#This Row],[//]]-2)))</f>
        <v>92</v>
      </c>
      <c r="C44" s="19" t="str">
        <f ca="1">IF(PAJAK[[#This Row],[//]]="","",INDEX(INDIRECT("NOTA["&amp;PAJAK[#Headers]&amp;"]"),PAJAK[[#This Row],[//]]-2))</f>
        <v>SDI_1707_258-1</v>
      </c>
      <c r="D44" s="19">
        <f ca="1">MATCH(PAJAK[[#This Row],[ID]],[5]!Table1[ID],0)</f>
        <v>75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DWI TUNGGAL INDAH JAYA</v>
      </c>
      <c r="G44" s="17">
        <f ca="1">IF(PAJAK[[#This Row],[//]]="","",INDEX(NOTA[TGL_H],PAJAK[[#This Row],[//]]-2))</f>
        <v>45124</v>
      </c>
      <c r="H44" s="17">
        <f ca="1">IF(PAJAK[[#This Row],[//]]="","",INDEX(INDIRECT("NOTA["&amp;PAJAK[#Headers]&amp;"]"),PAJAK[[#This Row],[//]]-2))</f>
        <v>45120</v>
      </c>
      <c r="I44" s="16" t="str">
        <f ca="1">IF(PAJAK[[#This Row],[//]]="","",INDEX(INDIRECT("NOTA["&amp;PAJAK[#Headers]&amp;"]"),PAJAK[[#This Row],[//]]-2))</f>
        <v>SINV99-230700000258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4">
        <f ca="1">IF(PAJAK[[#This Row],[//]]="","",SUMIF(NOTA[ID_H],PAJAK[[#This Row],[ID]],NOTA[JUMLAH]))</f>
        <v>3730269.6</v>
      </c>
      <c r="L44" s="24">
        <f ca="1">IF(PAJAK[[#This Row],[//]]="","",SUMIF(NOTA[ID_H],PAJAK[[#This Row],[ID]],NOTA[DISC]))</f>
        <v>652797.17999999993</v>
      </c>
      <c r="M44" s="24">
        <f ca="1">PAJAK[[#This Row],[SUB TOTAL]]-PAJAK[[#This Row],[DISKON]]</f>
        <v>3077472.42</v>
      </c>
      <c r="N44" s="24">
        <f ca="1">IF(PAJAK[[#This Row],[//]]="","",INDEX(INDIRECT("NOTA["&amp;PAJAK[#Headers]&amp;"]"),PAJAK[[#This Row],[//]]-2+PAJAK[[#This Row],[QB]]-1))</f>
        <v>91310.81</v>
      </c>
      <c r="O44" s="24">
        <f ca="1">(PAJAK[[#This Row],[SUB T-DISC]]-PAJAK[[#This Row],[DISC DLL]])/111%</f>
        <v>2690235.6846846845</v>
      </c>
      <c r="P44" s="24">
        <f ca="1">PAJAK[[#This Row],[DPP]]*PAJAK[[#This Row],[PPN]]</f>
        <v>295925.92531531531</v>
      </c>
      <c r="Q44" s="24">
        <f ca="1">PAJAK[[#This Row],[DPP]]+PAJAK[[#This Row],[PPN 11%]]</f>
        <v>2986161.61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466</v>
      </c>
      <c r="B45" s="21">
        <f ca="1">HYPERLINK("[NOTA_.XLSX]NOTA!c"&amp;PAJAK[[#This Row],[//]],IF(PAJAK[[#This Row],[//]]="","",INDEX(INDIRECT("NOTA["&amp;PAJAK[#Headers]&amp;"]"),PAJAK[[#This Row],[//]]-2)))</f>
        <v>96</v>
      </c>
      <c r="C45" s="19" t="str">
        <f ca="1">IF(PAJAK[[#This Row],[//]]="","",INDEX(INDIRECT("NOTA["&amp;PAJAK[#Headers]&amp;"]"),PAJAK[[#This Row],[//]]-2))</f>
        <v>LAY_1707_031-1</v>
      </c>
      <c r="D45" s="19">
        <f ca="1">MATCH(PAJAK[[#This Row],[ID]],[5]!Table1[ID],0)</f>
        <v>80</v>
      </c>
      <c r="E45" s="20">
        <f ca="1">IF(PAJAK[[#This Row],[ID]]="","",COUNTIF(NOTA[ID_H],PAJAK[[#This Row],[ID]]))</f>
        <v>1</v>
      </c>
      <c r="F45" s="15" t="str">
        <f ca="1">IF(PAJAK[[#This Row],[//]]="","",INDEX(CONV[2],MATCH(INDEX(INDIRECT("NOTA["&amp;PAJAK[#Headers]&amp;"]"),PAJAK[[#This Row],[//]]-2),CONV[1],0),0))</f>
        <v>PT MITRA GLOBAL NIAGA</v>
      </c>
      <c r="G45" s="17">
        <f ca="1">IF(PAJAK[[#This Row],[//]]="","",INDEX(NOTA[TGL_H],PAJAK[[#This Row],[//]]-2))</f>
        <v>45124</v>
      </c>
      <c r="H45" s="17">
        <f ca="1">IF(PAJAK[[#This Row],[//]]="","",INDEX(INDIRECT("NOTA["&amp;PAJAK[#Headers]&amp;"]"),PAJAK[[#This Row],[//]]-2))</f>
        <v>45121</v>
      </c>
      <c r="I45" s="16" t="str">
        <f ca="1">IF(PAJAK[[#This Row],[//]]="","",INDEX(INDIRECT("NOTA["&amp;PAJAK[#Headers]&amp;"]"),PAJAK[[#This Row],[//]]-2))</f>
        <v>L207031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4">
        <f ca="1">IF(PAJAK[[#This Row],[//]]="","",SUMIF(NOTA[ID_H],PAJAK[[#This Row],[ID]],NOTA[JUMLAH]))</f>
        <v>28000000</v>
      </c>
      <c r="L45" s="24">
        <f ca="1">IF(PAJAK[[#This Row],[//]]="","",SUMIF(NOTA[ID_H],PAJAK[[#This Row],[ID]],NOTA[DISC]))</f>
        <v>2800000</v>
      </c>
      <c r="M45" s="24">
        <f ca="1">PAJAK[[#This Row],[SUB TOTAL]]-PAJAK[[#This Row],[DISKON]]</f>
        <v>25200000</v>
      </c>
      <c r="N45" s="24">
        <f ca="1">IF(PAJAK[[#This Row],[//]]="","",INDEX(INDIRECT("NOTA["&amp;PAJAK[#Headers]&amp;"]"),PAJAK[[#This Row],[//]]-2+PAJAK[[#This Row],[QB]]-1))</f>
        <v>0</v>
      </c>
      <c r="O45" s="24">
        <f ca="1">(PAJAK[[#This Row],[SUB T-DISC]]-PAJAK[[#This Row],[DISC DLL]])/111%</f>
        <v>22702702.702702701</v>
      </c>
      <c r="P45" s="24">
        <f ca="1">PAJAK[[#This Row],[DPP]]*PAJAK[[#This Row],[PPN]]</f>
        <v>2497297.297297297</v>
      </c>
      <c r="Q45" s="24">
        <f ca="1">PAJAK[[#This Row],[DPP]]+PAJAK[[#This Row],[PPN 11%]]</f>
        <v>25200000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468</v>
      </c>
      <c r="B46" s="15">
        <f ca="1">HYPERLINK("[NOTA_.XLSX]NOTA!c"&amp;PAJAK[[#This Row],[//]],IF(PAJAK[[#This Row],[//]]="","",INDEX(INDIRECT("NOTA["&amp;PAJAK[#Headers]&amp;"]"),PAJAK[[#This Row],[//]]-2)))</f>
        <v>97</v>
      </c>
      <c r="C46" s="15" t="str">
        <f ca="1">IF(PAJAK[[#This Row],[//]]="","",INDEX(INDIRECT("NOTA["&amp;PAJAK[#Headers]&amp;"]"),PAJAK[[#This Row],[//]]-2))</f>
        <v>PAR_2107_020-2</v>
      </c>
      <c r="D46" s="15">
        <f ca="1">MATCH(PAJAK[[#This Row],[ID]],[5]!Table1[ID],0)</f>
        <v>86</v>
      </c>
      <c r="E46" s="16">
        <f ca="1">IF(PAJAK[[#This Row],[ID]]="","",COUNTIF(NOTA[ID_H],PAJAK[[#This Row],[ID]]))</f>
        <v>2</v>
      </c>
      <c r="F46" s="15" t="str">
        <f ca="1">IF(PAJAK[[#This Row],[//]]="","",INDEX(CONV[2],MATCH(INDEX(INDIRECT("NOTA["&amp;PAJAK[#Headers]&amp;"]"),PAJAK[[#This Row],[//]]-2),CONV[1],0),0))</f>
        <v>PARAMA</v>
      </c>
      <c r="G46" s="17">
        <f ca="1">IF(PAJAK[[#This Row],[//]]="","",INDEX(NOTA[TGL_H],PAJAK[[#This Row],[//]]-2))</f>
        <v>45128</v>
      </c>
      <c r="H46" s="17">
        <f ca="1">IF(PAJAK[[#This Row],[//]]="","",INDEX(INDIRECT("NOTA["&amp;PAJAK[#Headers]&amp;"]"),PAJAK[[#This Row],[//]]-2))</f>
        <v>45127</v>
      </c>
      <c r="I46" s="16" t="str">
        <f ca="1">IF(PAJAK[[#This Row],[//]]="","",INDEX(INDIRECT("NOTA["&amp;PAJAK[#Headers]&amp;"]"),PAJAK[[#This Row],[//]]-2))</f>
        <v>CV-48 / UTN-020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4">
        <f ca="1">IF(PAJAK[[#This Row],[//]]="","",SUMIF(NOTA[ID_H],PAJAK[[#This Row],[ID]],NOTA[JUMLAH]))</f>
        <v>13381500</v>
      </c>
      <c r="L46" s="24">
        <f ca="1">IF(PAJAK[[#This Row],[//]]="","",SUMIF(NOTA[ID_H],PAJAK[[#This Row],[ID]],NOTA[DISC]))</f>
        <v>2542485</v>
      </c>
      <c r="M46" s="24">
        <f ca="1">PAJAK[[#This Row],[SUB TOTAL]]-PAJAK[[#This Row],[DISKON]]</f>
        <v>10839015</v>
      </c>
      <c r="N46" s="24">
        <f ca="1">IF(PAJAK[[#This Row],[//]]="","",INDEX(INDIRECT("NOTA["&amp;PAJAK[#Headers]&amp;"]"),PAJAK[[#This Row],[//]]-2+PAJAK[[#This Row],[QB]]-1))</f>
        <v>0</v>
      </c>
      <c r="O46" s="24">
        <f ca="1">(PAJAK[[#This Row],[SUB T-DISC]]-PAJAK[[#This Row],[DISC DLL]])/111%</f>
        <v>9764878.3783783782</v>
      </c>
      <c r="P46" s="24">
        <f ca="1">PAJAK[[#This Row],[DPP]]*PAJAK[[#This Row],[PPN]]</f>
        <v>1074136.6216216215</v>
      </c>
      <c r="Q46" s="24">
        <f ca="1">PAJAK[[#This Row],[DPP]]+PAJAK[[#This Row],[PPN 11%]]</f>
        <v>10839015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477</v>
      </c>
      <c r="B47" s="21">
        <f ca="1">HYPERLINK("[NOTA_.XLSX]NOTA!c"&amp;PAJAK[[#This Row],[//]],IF(PAJAK[[#This Row],[//]]="","",INDEX(INDIRECT("NOTA["&amp;PAJAK[#Headers]&amp;"]"),PAJAK[[#This Row],[//]]-2)))</f>
        <v>101</v>
      </c>
      <c r="C47" s="19" t="str">
        <f ca="1">IF(PAJAK[[#This Row],[//]]="","",INDEX(INDIRECT("NOTA["&amp;PAJAK[#Headers]&amp;"]"),PAJAK[[#This Row],[//]]-2))</f>
        <v>99J_2007_023-7</v>
      </c>
      <c r="D47" s="19">
        <f ca="1">MATCH(PAJAK[[#This Row],[ID]],[5]!Table1[ID],0)</f>
        <v>78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SEMBILAN-SEMBILAN JAYA UTAMA</v>
      </c>
      <c r="G47" s="17">
        <f ca="1">IF(PAJAK[[#This Row],[//]]="","",INDEX(NOTA[TGL_H],PAJAK[[#This Row],[//]]-2))</f>
        <v>45127</v>
      </c>
      <c r="H47" s="17">
        <f ca="1">IF(PAJAK[[#This Row],[//]]="","",INDEX(INDIRECT("NOTA["&amp;PAJAK[#Headers]&amp;"]"),PAJAK[[#This Row],[//]]-2))</f>
        <v>45125</v>
      </c>
      <c r="I47" s="16" t="str">
        <f ca="1">IF(PAJAK[[#This Row],[//]]="","",INDEX(INDIRECT("NOTA["&amp;PAJAK[#Headers]&amp;"]"),PAJAK[[#This Row],[//]]-2))</f>
        <v>JUG430/23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4">
        <f ca="1">IF(PAJAK[[#This Row],[//]]="","",SUMIF(NOTA[ID_H],PAJAK[[#This Row],[ID]],NOTA[JUMLAH]))</f>
        <v>28440000</v>
      </c>
      <c r="L47" s="24">
        <f ca="1">IF(PAJAK[[#This Row],[//]]="","",SUMIF(NOTA[ID_H],PAJAK[[#This Row],[ID]],NOTA[DISC]))</f>
        <v>0</v>
      </c>
      <c r="M47" s="24">
        <f ca="1">PAJAK[[#This Row],[SUB TOTAL]]-PAJAK[[#This Row],[DISKON]]</f>
        <v>28440000</v>
      </c>
      <c r="N47" s="24">
        <f ca="1">IF(PAJAK[[#This Row],[//]]="","",INDEX(INDIRECT("NOTA["&amp;PAJAK[#Headers]&amp;"]"),PAJAK[[#This Row],[//]]-2+PAJAK[[#This Row],[QB]]-1))</f>
        <v>0</v>
      </c>
      <c r="O47" s="24">
        <f ca="1">(PAJAK[[#This Row],[SUB T-DISC]]-PAJAK[[#This Row],[DISC DLL]])/111%</f>
        <v>25621621.62162162</v>
      </c>
      <c r="P47" s="24">
        <f ca="1">PAJAK[[#This Row],[DPP]]*PAJAK[[#This Row],[PPN]]</f>
        <v>2818378.3783783782</v>
      </c>
      <c r="Q47" s="24">
        <f ca="1">PAJAK[[#This Row],[DPP]]+PAJAK[[#This Row],[PPN 11%]]</f>
        <v>28440000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524</v>
      </c>
      <c r="B48" s="15">
        <f ca="1">HYPERLINK("[NOTA_.XLSX]NOTA!c"&amp;PAJAK[[#This Row],[//]],IF(PAJAK[[#This Row],[//]]="","",INDEX(INDIRECT("NOTA["&amp;PAJAK[#Headers]&amp;"]"),PAJAK[[#This Row],[//]]-2)))</f>
        <v>107</v>
      </c>
      <c r="C48" s="15" t="str">
        <f ca="1">IF(PAJAK[[#This Row],[//]]="","",INDEX(INDIRECT("NOTA["&amp;PAJAK[#Headers]&amp;"]"),PAJAK[[#This Row],[//]]-2))</f>
        <v>PAR_2007_019-1</v>
      </c>
      <c r="D48" s="15">
        <f ca="1">MATCH(PAJAK[[#This Row],[ID]],[5]!Table1[ID],0)</f>
        <v>85</v>
      </c>
      <c r="E48" s="16">
        <f ca="1">IF(PAJAK[[#This Row],[ID]]="","",COUNTIF(NOTA[ID_H],PAJAK[[#This Row],[ID]]))</f>
        <v>1</v>
      </c>
      <c r="F48" s="15" t="str">
        <f ca="1">IF(PAJAK[[#This Row],[//]]="","",INDEX(CONV[2],MATCH(INDEX(INDIRECT("NOTA["&amp;PAJAK[#Headers]&amp;"]"),PAJAK[[#This Row],[//]]-2),CONV[1],0),0))</f>
        <v>PARAMA</v>
      </c>
      <c r="G48" s="17">
        <f ca="1">IF(PAJAK[[#This Row],[//]]="","",INDEX(NOTA[TGL_H],PAJAK[[#This Row],[//]]-2))</f>
        <v>45127</v>
      </c>
      <c r="H48" s="17">
        <f ca="1">IF(PAJAK[[#This Row],[//]]="","",INDEX(INDIRECT("NOTA["&amp;PAJAK[#Headers]&amp;"]"),PAJAK[[#This Row],[//]]-2))</f>
        <v>45124</v>
      </c>
      <c r="I48" s="16" t="str">
        <f ca="1">IF(PAJAK[[#This Row],[//]]="","",INDEX(INDIRECT("NOTA["&amp;PAJAK[#Headers]&amp;"]"),PAJAK[[#This Row],[//]]-2))</f>
        <v>CV-39 / UTN-019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4">
        <f ca="1">IF(PAJAK[[#This Row],[//]]="","",SUMIF(NOTA[ID_H],PAJAK[[#This Row],[ID]],NOTA[JUMLAH]))</f>
        <v>13599000</v>
      </c>
      <c r="L48" s="24">
        <f ca="1">IF(PAJAK[[#This Row],[//]]="","",SUMIF(NOTA[ID_H],PAJAK[[#This Row],[ID]],NOTA[DISC]))</f>
        <v>2583810</v>
      </c>
      <c r="M48" s="24">
        <f ca="1">PAJAK[[#This Row],[SUB TOTAL]]-PAJAK[[#This Row],[DISKON]]</f>
        <v>11015190</v>
      </c>
      <c r="N48" s="24">
        <f ca="1">IF(PAJAK[[#This Row],[//]]="","",INDEX(INDIRECT("NOTA["&amp;PAJAK[#Headers]&amp;"]"),PAJAK[[#This Row],[//]]-2+PAJAK[[#This Row],[QB]]-1))</f>
        <v>0</v>
      </c>
      <c r="O48" s="24">
        <f ca="1">(PAJAK[[#This Row],[SUB T-DISC]]-PAJAK[[#This Row],[DISC DLL]])/111%</f>
        <v>9923594.5945945941</v>
      </c>
      <c r="P48" s="24">
        <f ca="1">PAJAK[[#This Row],[DPP]]*PAJAK[[#This Row],[PPN]]</f>
        <v>1091595.4054054054</v>
      </c>
      <c r="Q48" s="24">
        <f ca="1">PAJAK[[#This Row],[DPP]]+PAJAK[[#This Row],[PPN 11%]]</f>
        <v>11015190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526</v>
      </c>
      <c r="B49" s="21">
        <f ca="1">HYPERLINK("[NOTA_.XLSX]NOTA!c"&amp;PAJAK[[#This Row],[//]],IF(PAJAK[[#This Row],[//]]="","",INDEX(INDIRECT("NOTA["&amp;PAJAK[#Headers]&amp;"]"),PAJAK[[#This Row],[//]]-2)))</f>
        <v>108</v>
      </c>
      <c r="C49" s="19" t="str">
        <f ca="1">IF(PAJAK[[#This Row],[//]]="","",INDEX(INDIRECT("NOTA["&amp;PAJAK[#Headers]&amp;"]"),PAJAK[[#This Row],[//]]-2))</f>
        <v>ATA_2007_047-11</v>
      </c>
      <c r="D49" s="19">
        <f ca="1">MATCH(PAJAK[[#This Row],[ID]],[5]!Table1[ID],0)</f>
        <v>52</v>
      </c>
      <c r="E49" s="20">
        <f ca="1">IF(PAJAK[[#This Row],[ID]]="","",COUNTIF(NOTA[ID_H],PAJAK[[#This Row],[ID]]))</f>
        <v>11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45127</v>
      </c>
      <c r="H49" s="17">
        <f ca="1">IF(PAJAK[[#This Row],[//]]="","",INDEX(INDIRECT("NOTA["&amp;PAJAK[#Headers]&amp;"]"),PAJAK[[#This Row],[//]]-2))</f>
        <v>45120</v>
      </c>
      <c r="I49" s="16" t="str">
        <f ca="1">IF(PAJAK[[#This Row],[//]]="","",INDEX(INDIRECT("NOTA["&amp;PAJAK[#Headers]&amp;"]"),PAJAK[[#This Row],[//]]-2))</f>
        <v>SA230712047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4">
        <f ca="1">IF(PAJAK[[#This Row],[//]]="","",SUMIF(NOTA[ID_H],PAJAK[[#This Row],[ID]],NOTA[JUMLAH]))</f>
        <v>54318400</v>
      </c>
      <c r="L49" s="24">
        <f ca="1">IF(PAJAK[[#This Row],[//]]="","",SUMIF(NOTA[ID_H],PAJAK[[#This Row],[ID]],NOTA[DISC]))</f>
        <v>9166230</v>
      </c>
      <c r="M49" s="24">
        <f ca="1">PAJAK[[#This Row],[SUB TOTAL]]-PAJAK[[#This Row],[DISKON]]</f>
        <v>45152170</v>
      </c>
      <c r="N49" s="24">
        <f ca="1">IF(PAJAK[[#This Row],[//]]="","",INDEX(INDIRECT("NOTA["&amp;PAJAK[#Headers]&amp;"]"),PAJAK[[#This Row],[//]]-2+PAJAK[[#This Row],[QB]]-1))</f>
        <v>0</v>
      </c>
      <c r="O49" s="24">
        <f ca="1">(PAJAK[[#This Row],[SUB T-DISC]]-PAJAK[[#This Row],[DISC DLL]])/111%</f>
        <v>40677630.630630627</v>
      </c>
      <c r="P49" s="24">
        <f ca="1">PAJAK[[#This Row],[DPP]]*PAJAK[[#This Row],[PPN]]</f>
        <v>4474539.369369369</v>
      </c>
      <c r="Q49" s="24">
        <f ca="1">PAJAK[[#This Row],[DPP]]+PAJAK[[#This Row],[PPN 11%]]</f>
        <v>45152170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538</v>
      </c>
      <c r="B50" s="21">
        <f ca="1">HYPERLINK("[NOTA_.XLSX]NOTA!c"&amp;PAJAK[[#This Row],[//]],IF(PAJAK[[#This Row],[//]]="","",INDEX(INDIRECT("NOTA["&amp;PAJAK[#Headers]&amp;"]"),PAJAK[[#This Row],[//]]-2)))</f>
        <v>109</v>
      </c>
      <c r="C50" s="19" t="str">
        <f ca="1">IF(PAJAK[[#This Row],[//]]="","",INDEX(INDIRECT("NOTA["&amp;PAJAK[#Headers]&amp;"]"),PAJAK[[#This Row],[//]]-2))</f>
        <v>ATA_2007_048-11</v>
      </c>
      <c r="D50" s="19">
        <f ca="1">MATCH(PAJAK[[#This Row],[ID]],[5]!Table1[ID],0)</f>
        <v>53</v>
      </c>
      <c r="E50" s="20">
        <f ca="1">IF(PAJAK[[#This Row],[ID]]="","",COUNTIF(NOTA[ID_H],PAJAK[[#This Row],[ID]]))</f>
        <v>11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45127</v>
      </c>
      <c r="H50" s="17">
        <f ca="1">IF(PAJAK[[#This Row],[//]]="","",INDEX(INDIRECT("NOTA["&amp;PAJAK[#Headers]&amp;"]"),PAJAK[[#This Row],[//]]-2))</f>
        <v>45120</v>
      </c>
      <c r="I50" s="16" t="str">
        <f ca="1">IF(PAJAK[[#This Row],[//]]="","",INDEX(INDIRECT("NOTA["&amp;PAJAK[#Headers]&amp;"]"),PAJAK[[#This Row],[//]]-2))</f>
        <v>SA230712048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4">
        <f ca="1">IF(PAJAK[[#This Row],[//]]="","",SUMIF(NOTA[ID_H],PAJAK[[#This Row],[ID]],NOTA[JUMLAH]))</f>
        <v>27622080</v>
      </c>
      <c r="L50" s="24">
        <f ca="1">IF(PAJAK[[#This Row],[//]]="","",SUMIF(NOTA[ID_H],PAJAK[[#This Row],[ID]],NOTA[DISC]))</f>
        <v>4661226</v>
      </c>
      <c r="M50" s="24">
        <f ca="1">PAJAK[[#This Row],[SUB TOTAL]]-PAJAK[[#This Row],[DISKON]]</f>
        <v>22960854</v>
      </c>
      <c r="N50" s="24">
        <f ca="1">IF(PAJAK[[#This Row],[//]]="","",INDEX(INDIRECT("NOTA["&amp;PAJAK[#Headers]&amp;"]"),PAJAK[[#This Row],[//]]-2+PAJAK[[#This Row],[QB]]-1))</f>
        <v>0</v>
      </c>
      <c r="O50" s="24">
        <f ca="1">(PAJAK[[#This Row],[SUB T-DISC]]-PAJAK[[#This Row],[DISC DLL]])/111%</f>
        <v>20685454.054054052</v>
      </c>
      <c r="P50" s="24">
        <f ca="1">PAJAK[[#This Row],[DPP]]*PAJAK[[#This Row],[PPN]]</f>
        <v>2275399.9459459456</v>
      </c>
      <c r="Q50" s="24">
        <f ca="1">PAJAK[[#This Row],[DPP]]+PAJAK[[#This Row],[PPN 11%]]</f>
        <v>22960853.999999996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550</v>
      </c>
      <c r="B51" s="15">
        <f ca="1">HYPERLINK("[NOTA_.XLSX]NOTA!c"&amp;PAJAK[[#This Row],[//]],IF(PAJAK[[#This Row],[//]]="","",INDEX(INDIRECT("NOTA["&amp;PAJAK[#Headers]&amp;"]"),PAJAK[[#This Row],[//]]-2)))</f>
        <v>110</v>
      </c>
      <c r="C51" s="15" t="str">
        <f ca="1">IF(PAJAK[[#This Row],[//]]="","",INDEX(INDIRECT("NOTA["&amp;PAJAK[#Headers]&amp;"]"),PAJAK[[#This Row],[//]]-2))</f>
        <v>ATA_2007_049-6</v>
      </c>
      <c r="D51" s="15">
        <f ca="1">MATCH(PAJAK[[#This Row],[ID]],[5]!Table1[ID],0)</f>
        <v>54</v>
      </c>
      <c r="E51" s="16">
        <f ca="1">IF(PAJAK[[#This Row],[ID]]="","",COUNTIF(NOTA[ID_H],PAJAK[[#This Row],[ID]]))</f>
        <v>6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45127</v>
      </c>
      <c r="H51" s="17">
        <f ca="1">IF(PAJAK[[#This Row],[//]]="","",INDEX(INDIRECT("NOTA["&amp;PAJAK[#Headers]&amp;"]"),PAJAK[[#This Row],[//]]-2))</f>
        <v>45120</v>
      </c>
      <c r="I51" s="16" t="str">
        <f ca="1">IF(PAJAK[[#This Row],[//]]="","",INDEX(INDIRECT("NOTA["&amp;PAJAK[#Headers]&amp;"]"),PAJAK[[#This Row],[//]]-2))</f>
        <v>SA230712049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4">
        <f ca="1">IF(PAJAK[[#This Row],[//]]="","",SUMIF(NOTA[ID_H],PAJAK[[#This Row],[ID]],NOTA[JUMLAH]))</f>
        <v>12926800</v>
      </c>
      <c r="L51" s="24">
        <f ca="1">IF(PAJAK[[#This Row],[//]]="","",SUMIF(NOTA[ID_H],PAJAK[[#This Row],[ID]],NOTA[DISC]))</f>
        <v>2181397.5</v>
      </c>
      <c r="M51" s="24">
        <f ca="1">PAJAK[[#This Row],[SUB TOTAL]]-PAJAK[[#This Row],[DISKON]]</f>
        <v>10745402.5</v>
      </c>
      <c r="N51" s="24">
        <f ca="1">IF(PAJAK[[#This Row],[//]]="","",INDEX(INDIRECT("NOTA["&amp;PAJAK[#Headers]&amp;"]"),PAJAK[[#This Row],[//]]-2+PAJAK[[#This Row],[QB]]-1))</f>
        <v>0</v>
      </c>
      <c r="O51" s="24">
        <f ca="1">(PAJAK[[#This Row],[SUB T-DISC]]-PAJAK[[#This Row],[DISC DLL]])/111%</f>
        <v>9680542.7927927915</v>
      </c>
      <c r="P51" s="24">
        <f ca="1">PAJAK[[#This Row],[DPP]]*PAJAK[[#This Row],[PPN]]</f>
        <v>1064859.7072072071</v>
      </c>
      <c r="Q51" s="24">
        <f ca="1">PAJAK[[#This Row],[DPP]]+PAJAK[[#This Row],[PPN 11%]]</f>
        <v>10745402.499999998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557</v>
      </c>
      <c r="B52" s="21">
        <f ca="1">HYPERLINK("[NOTA_.XLSX]NOTA!c"&amp;PAJAK[[#This Row],[//]],IF(PAJAK[[#This Row],[//]]="","",INDEX(INDIRECT("NOTA["&amp;PAJAK[#Headers]&amp;"]"),PAJAK[[#This Row],[//]]-2)))</f>
        <v>111</v>
      </c>
      <c r="C52" s="19" t="str">
        <f ca="1">IF(PAJAK[[#This Row],[//]]="","",INDEX(INDIRECT("NOTA["&amp;PAJAK[#Headers]&amp;"]"),PAJAK[[#This Row],[//]]-2))</f>
        <v>ATA_2007_050-7</v>
      </c>
      <c r="D52" s="19">
        <f ca="1">MATCH(PAJAK[[#This Row],[ID]],[5]!Table1[ID],0)</f>
        <v>55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45127</v>
      </c>
      <c r="H52" s="17">
        <f ca="1">IF(PAJAK[[#This Row],[//]]="","",INDEX(INDIRECT("NOTA["&amp;PAJAK[#Headers]&amp;"]"),PAJAK[[#This Row],[//]]-2))</f>
        <v>45120</v>
      </c>
      <c r="I52" s="16" t="str">
        <f ca="1">IF(PAJAK[[#This Row],[//]]="","",INDEX(INDIRECT("NOTA["&amp;PAJAK[#Headers]&amp;"]"),PAJAK[[#This Row],[//]]-2))</f>
        <v>SA230712050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4">
        <f ca="1">IF(PAJAK[[#This Row],[//]]="","",SUMIF(NOTA[ID_H],PAJAK[[#This Row],[ID]],NOTA[JUMLAH]))</f>
        <v>4704000</v>
      </c>
      <c r="L52" s="24">
        <f ca="1">IF(PAJAK[[#This Row],[//]]="","",SUMIF(NOTA[ID_H],PAJAK[[#This Row],[ID]],NOTA[DISC]))</f>
        <v>793800</v>
      </c>
      <c r="M52" s="24">
        <f ca="1">PAJAK[[#This Row],[SUB TOTAL]]-PAJAK[[#This Row],[DISKON]]</f>
        <v>3910200</v>
      </c>
      <c r="N52" s="24">
        <f ca="1">IF(PAJAK[[#This Row],[//]]="","",INDEX(INDIRECT("NOTA["&amp;PAJAK[#Headers]&amp;"]"),PAJAK[[#This Row],[//]]-2+PAJAK[[#This Row],[QB]]-1))</f>
        <v>553612</v>
      </c>
      <c r="O52" s="24">
        <f ca="1">(PAJAK[[#This Row],[SUB T-DISC]]-PAJAK[[#This Row],[DISC DLL]])/111%</f>
        <v>3023953.1531531527</v>
      </c>
      <c r="P52" s="24">
        <f ca="1">PAJAK[[#This Row],[DPP]]*PAJAK[[#This Row],[PPN]]</f>
        <v>332634.84684684681</v>
      </c>
      <c r="Q52" s="24">
        <f ca="1">PAJAK[[#This Row],[DPP]]+PAJAK[[#This Row],[PPN 11%]]</f>
        <v>3356587.9999999995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565</v>
      </c>
      <c r="B53" s="22">
        <f ca="1">HYPERLINK("[NOTA_.XLSX]NOTA!c"&amp;PAJAK[[#This Row],[//]],IF(PAJAK[[#This Row],[//]]="","",INDEX(INDIRECT("NOTA["&amp;PAJAK[#Headers]&amp;"]"),PAJAK[[#This Row],[//]]-2)))</f>
        <v>112</v>
      </c>
      <c r="C53" s="15" t="str">
        <f ca="1">IF(PAJAK[[#This Row],[//]]="","",INDEX(INDIRECT("NOTA["&amp;PAJAK[#Headers]&amp;"]"),PAJAK[[#This Row],[//]]-2))</f>
        <v>ATA_2007_212-10</v>
      </c>
      <c r="D53" s="15">
        <f ca="1">MATCH(PAJAK[[#This Row],[ID]],[5]!Table1[ID],0)</f>
        <v>57</v>
      </c>
      <c r="E53" s="16">
        <f ca="1">IF(PAJAK[[#This Row],[ID]]="","",COUNTIF(NOTA[ID_H],PAJAK[[#This Row],[ID]]))</f>
        <v>10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45127</v>
      </c>
      <c r="H53" s="17">
        <f ca="1">IF(PAJAK[[#This Row],[//]]="","",INDEX(INDIRECT("NOTA["&amp;PAJAK[#Headers]&amp;"]"),PAJAK[[#This Row],[//]]-2))</f>
        <v>45121</v>
      </c>
      <c r="I53" s="16" t="str">
        <f ca="1">IF(PAJAK[[#This Row],[//]]="","",INDEX(INDIRECT("NOTA["&amp;PAJAK[#Headers]&amp;"]"),PAJAK[[#This Row],[//]]-2))</f>
        <v>SA230712212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4">
        <f ca="1">IF(PAJAK[[#This Row],[//]]="","",SUMIF(NOTA[ID_H],PAJAK[[#This Row],[ID]],NOTA[JUMLAH]))</f>
        <v>54232800</v>
      </c>
      <c r="L53" s="24">
        <f ca="1">IF(PAJAK[[#This Row],[//]]="","",SUMIF(NOTA[ID_H],PAJAK[[#This Row],[ID]],NOTA[DISC]))</f>
        <v>9151785</v>
      </c>
      <c r="M53" s="24">
        <f ca="1">PAJAK[[#This Row],[SUB TOTAL]]-PAJAK[[#This Row],[DISKON]]</f>
        <v>45081015</v>
      </c>
      <c r="N53" s="24">
        <f ca="1">IF(PAJAK[[#This Row],[//]]="","",INDEX(INDIRECT("NOTA["&amp;PAJAK[#Headers]&amp;"]"),PAJAK[[#This Row],[//]]-2+PAJAK[[#This Row],[QB]]-1))</f>
        <v>0</v>
      </c>
      <c r="O53" s="24">
        <f ca="1">(PAJAK[[#This Row],[SUB T-DISC]]-PAJAK[[#This Row],[DISC DLL]])/111%</f>
        <v>40613527.027027026</v>
      </c>
      <c r="P53" s="24">
        <f ca="1">PAJAK[[#This Row],[DPP]]*PAJAK[[#This Row],[PPN]]</f>
        <v>4467487.9729729732</v>
      </c>
      <c r="Q53" s="24">
        <f ca="1">PAJAK[[#This Row],[DPP]]+PAJAK[[#This Row],[PPN 11%]]</f>
        <v>45081015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576</v>
      </c>
      <c r="B54" s="21">
        <f ca="1">HYPERLINK("[NOTA_.XLSX]NOTA!c"&amp;PAJAK[[#This Row],[//]],IF(PAJAK[[#This Row],[//]]="","",INDEX(INDIRECT("NOTA["&amp;PAJAK[#Headers]&amp;"]"),PAJAK[[#This Row],[//]]-2)))</f>
        <v>113</v>
      </c>
      <c r="C54" s="19" t="str">
        <f ca="1">IF(PAJAK[[#This Row],[//]]="","",INDEX(INDIRECT("NOTA["&amp;PAJAK[#Headers]&amp;"]"),PAJAK[[#This Row],[//]]-2))</f>
        <v>ATA_2007_175-2</v>
      </c>
      <c r="D54" s="19">
        <f ca="1">MATCH(PAJAK[[#This Row],[ID]],[5]!Table1[ID],0)</f>
        <v>56</v>
      </c>
      <c r="E54" s="20">
        <f ca="1">IF(PAJAK[[#This Row],[ID]]="","",COUNTIF(NOTA[ID_H],PAJAK[[#This Row],[ID]]))</f>
        <v>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45127</v>
      </c>
      <c r="H54" s="17">
        <f ca="1">IF(PAJAK[[#This Row],[//]]="","",INDEX(INDIRECT("NOTA["&amp;PAJAK[#Headers]&amp;"]"),PAJAK[[#This Row],[//]]-2))</f>
        <v>45121</v>
      </c>
      <c r="I54" s="16" t="str">
        <f ca="1">IF(PAJAK[[#This Row],[//]]="","",INDEX(INDIRECT("NOTA["&amp;PAJAK[#Headers]&amp;"]"),PAJAK[[#This Row],[//]]-2))</f>
        <v>SA230712175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4">
        <f ca="1">IF(PAJAK[[#This Row],[//]]="","",SUMIF(NOTA[ID_H],PAJAK[[#This Row],[ID]],NOTA[JUMLAH]))</f>
        <v>3780000</v>
      </c>
      <c r="L54" s="24">
        <f ca="1">IF(PAJAK[[#This Row],[//]]="","",SUMIF(NOTA[ID_H],PAJAK[[#This Row],[ID]],NOTA[DISC]))</f>
        <v>637875</v>
      </c>
      <c r="M54" s="24">
        <f ca="1">PAJAK[[#This Row],[SUB TOTAL]]-PAJAK[[#This Row],[DISKON]]</f>
        <v>3142125</v>
      </c>
      <c r="N54" s="24">
        <f ca="1">IF(PAJAK[[#This Row],[//]]="","",INDEX(INDIRECT("NOTA["&amp;PAJAK[#Headers]&amp;"]"),PAJAK[[#This Row],[//]]-2+PAJAK[[#This Row],[QB]]-1))</f>
        <v>0</v>
      </c>
      <c r="O54" s="24">
        <f ca="1">(PAJAK[[#This Row],[SUB T-DISC]]-PAJAK[[#This Row],[DISC DLL]])/111%</f>
        <v>2830743.2432432431</v>
      </c>
      <c r="P54" s="24">
        <f ca="1">PAJAK[[#This Row],[DPP]]*PAJAK[[#This Row],[PPN]]</f>
        <v>311381.75675675675</v>
      </c>
      <c r="Q54" s="24">
        <f ca="1">PAJAK[[#This Row],[DPP]]+PAJAK[[#This Row],[PPN 11%]]</f>
        <v>3142125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579</v>
      </c>
      <c r="B55" s="21">
        <f ca="1">HYPERLINK("[NOTA_.XLSX]NOTA!c"&amp;PAJAK[[#This Row],[//]],IF(PAJAK[[#This Row],[//]]="","",INDEX(INDIRECT("NOTA["&amp;PAJAK[#Headers]&amp;"]"),PAJAK[[#This Row],[//]]-2)))</f>
        <v>114</v>
      </c>
      <c r="C55" s="19" t="str">
        <f ca="1">IF(PAJAK[[#This Row],[//]]="","",INDEX(INDIRECT("NOTA["&amp;PAJAK[#Headers]&amp;"]"),PAJAK[[#This Row],[//]]-2))</f>
        <v>KEN_2207_686-10</v>
      </c>
      <c r="D55" s="19">
        <f ca="1">MATCH(PAJAK[[#This Row],[ID]],[5]!Table1[ID],0)</f>
        <v>19</v>
      </c>
      <c r="E55" s="20">
        <f ca="1">IF(PAJAK[[#This Row],[ID]]="","",COUNTIF(NOTA[ID_H],PAJAK[[#This Row],[ID]]))</f>
        <v>10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45129</v>
      </c>
      <c r="H55" s="17">
        <f ca="1">IF(PAJAK[[#This Row],[//]]="","",INDEX(INDIRECT("NOTA["&amp;PAJAK[#Headers]&amp;"]"),PAJAK[[#This Row],[//]]-2))</f>
        <v>45127</v>
      </c>
      <c r="I55" s="16" t="str">
        <f ca="1">IF(PAJAK[[#This Row],[//]]="","",INDEX(INDIRECT("NOTA["&amp;PAJAK[#Headers]&amp;"]"),PAJAK[[#This Row],[//]]-2))</f>
        <v>23071686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4">
        <f ca="1">IF(PAJAK[[#This Row],[//]]="","",SUMIF(NOTA[ID_H],PAJAK[[#This Row],[ID]],NOTA[JUMLAH]))</f>
        <v>54686800</v>
      </c>
      <c r="L55" s="24">
        <f ca="1">IF(PAJAK[[#This Row],[//]]="","",SUMIF(NOTA[ID_H],PAJAK[[#This Row],[ID]],NOTA[DISC]))</f>
        <v>9296756</v>
      </c>
      <c r="M55" s="24">
        <f ca="1">PAJAK[[#This Row],[SUB TOTAL]]-PAJAK[[#This Row],[DISKON]]</f>
        <v>45390044</v>
      </c>
      <c r="N55" s="24">
        <f ca="1">IF(PAJAK[[#This Row],[//]]="","",INDEX(INDIRECT("NOTA["&amp;PAJAK[#Headers]&amp;"]"),PAJAK[[#This Row],[//]]-2+PAJAK[[#This Row],[QB]]-1))</f>
        <v>0</v>
      </c>
      <c r="O55" s="24">
        <f ca="1">(PAJAK[[#This Row],[SUB T-DISC]]-PAJAK[[#This Row],[DISC DLL]])/111%</f>
        <v>40891931.531531528</v>
      </c>
      <c r="P55" s="24">
        <f ca="1">PAJAK[[#This Row],[DPP]]*PAJAK[[#This Row],[PPN]]</f>
        <v>4498112.4684684677</v>
      </c>
      <c r="Q55" s="24">
        <f ca="1">PAJAK[[#This Row],[DPP]]+PAJAK[[#This Row],[PPN 11%]]</f>
        <v>45390043.999999993</v>
      </c>
      <c r="R55" s="18" t="str">
        <f ca="1">IF(ISNUMBER(PAJAK[[#This Row],[//]]),PPN,"")</f>
        <v>11%</v>
      </c>
    </row>
    <row r="56" spans="1:18" x14ac:dyDescent="0.25">
      <c r="A56" s="31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590</v>
      </c>
      <c r="B56" s="32">
        <f ca="1">HYPERLINK("[NOTA_.XLSX]NOTA!c"&amp;PAJAK[[#This Row],[//]],IF(PAJAK[[#This Row],[//]]="","",INDEX(INDIRECT("NOTA["&amp;PAJAK[#Headers]&amp;"]"),PAJAK[[#This Row],[//]]-2)))</f>
        <v>115</v>
      </c>
      <c r="C56" s="31" t="str">
        <f ca="1">IF(PAJAK[[#This Row],[//]]="","",INDEX(INDIRECT("NOTA["&amp;PAJAK[#Headers]&amp;"]"),PAJAK[[#This Row],[//]]-2))</f>
        <v>KEN_2207_701-8</v>
      </c>
      <c r="D56" s="31">
        <f ca="1">MATCH(PAJAK[[#This Row],[ID]],[5]!Table1[ID],0)</f>
        <v>20</v>
      </c>
      <c r="E56" s="33">
        <f ca="1">IF(PAJAK[[#This Row],[ID]]="","",COUNTIF(NOTA[ID_H],PAJAK[[#This Row],[ID]]))</f>
        <v>8</v>
      </c>
      <c r="F56" s="28" t="str">
        <f ca="1">IF(PAJAK[[#This Row],[//]]="","",INDEX(CONV[2],MATCH(INDEX(INDIRECT("NOTA["&amp;PAJAK[#Headers]&amp;"]"),PAJAK[[#This Row],[//]]-2),CONV[1],0),0))</f>
        <v>PT KENKO SINAR INDONESIA</v>
      </c>
      <c r="G56" s="30">
        <f ca="1">IF(PAJAK[[#This Row],[//]]="","",INDEX(NOTA[TGL_H],PAJAK[[#This Row],[//]]-2))</f>
        <v>45129</v>
      </c>
      <c r="H56" s="30">
        <f ca="1">IF(PAJAK[[#This Row],[//]]="","",INDEX(INDIRECT("NOTA["&amp;PAJAK[#Headers]&amp;"]"),PAJAK[[#This Row],[//]]-2))</f>
        <v>45127</v>
      </c>
      <c r="I56" s="29" t="str">
        <f ca="1">IF(PAJAK[[#This Row],[//]]="","",INDEX(INDIRECT("NOTA["&amp;PAJAK[#Headers]&amp;"]"),PAJAK[[#This Row],[//]]-2))</f>
        <v>23071701</v>
      </c>
      <c r="J56" s="28" t="str">
        <f ca="1">IF(OR(PAJAK[[#This Row],[//]]="",INDEX(INDIRECT("NOTA["&amp;PAJAK[#Headers]&amp;"]"),PAJAK[[#This Row],[//]]-2)=""),"",INDEX(INDIRECT("NOTA["&amp;PAJAK[#Headers]&amp;"]"),PAJAK[[#This Row],[//]]-2))</f>
        <v/>
      </c>
      <c r="K56" s="34">
        <f ca="1">IF(PAJAK[[#This Row],[//]]="","",SUMIF(NOTA[ID_H],PAJAK[[#This Row],[ID]],NOTA[JUMLAH]))</f>
        <v>128782800</v>
      </c>
      <c r="L56" s="34">
        <f ca="1">IF(PAJAK[[#This Row],[//]]="","",SUMIF(NOTA[ID_H],PAJAK[[#This Row],[ID]],NOTA[DISC]))</f>
        <v>21893076</v>
      </c>
      <c r="M56" s="34">
        <f ca="1">PAJAK[[#This Row],[SUB TOTAL]]-PAJAK[[#This Row],[DISKON]]</f>
        <v>106889724</v>
      </c>
      <c r="N56" s="34">
        <f ca="1">IF(PAJAK[[#This Row],[//]]="","",INDEX(INDIRECT("NOTA["&amp;PAJAK[#Headers]&amp;"]"),PAJAK[[#This Row],[//]]-2+PAJAK[[#This Row],[QB]]-1))</f>
        <v>0</v>
      </c>
      <c r="O56" s="34">
        <f ca="1">(PAJAK[[#This Row],[SUB T-DISC]]-PAJAK[[#This Row],[DISC DLL]])/111%</f>
        <v>96297048.648648635</v>
      </c>
      <c r="P56" s="34">
        <f ca="1">PAJAK[[#This Row],[DPP]]*PAJAK[[#This Row],[PPN]]</f>
        <v>10592675.351351351</v>
      </c>
      <c r="Q56" s="34">
        <f ca="1">PAJAK[[#This Row],[DPP]]+PAJAK[[#This Row],[PPN 11%]]</f>
        <v>106889723.99999999</v>
      </c>
      <c r="R56" s="35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599</v>
      </c>
      <c r="B57" s="21">
        <f ca="1">HYPERLINK("[NOTA_.XLSX]NOTA!c"&amp;PAJAK[[#This Row],[//]],IF(PAJAK[[#This Row],[//]]="","",INDEX(INDIRECT("NOTA["&amp;PAJAK[#Headers]&amp;"]"),PAJAK[[#This Row],[//]]-2)))</f>
        <v>116</v>
      </c>
      <c r="C57" s="19" t="str">
        <f ca="1">IF(PAJAK[[#This Row],[//]]="","",INDEX(INDIRECT("NOTA["&amp;PAJAK[#Headers]&amp;"]"),PAJAK[[#This Row],[//]]-2))</f>
        <v>ATA_2207_527-2</v>
      </c>
      <c r="D57" s="19">
        <f ca="1">MATCH(PAJAK[[#This Row],[ID]],[5]!Table1[ID],0)</f>
        <v>58</v>
      </c>
      <c r="E57" s="20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ATALI MAKMUR</v>
      </c>
      <c r="G57" s="17">
        <f ca="1">IF(PAJAK[[#This Row],[//]]="","",INDEX(NOTA[TGL_H],PAJAK[[#This Row],[//]]-2))</f>
        <v>45129</v>
      </c>
      <c r="H57" s="17">
        <f ca="1">IF(PAJAK[[#This Row],[//]]="","",INDEX(INDIRECT("NOTA["&amp;PAJAK[#Headers]&amp;"]"),PAJAK[[#This Row],[//]]-2))</f>
        <v>45125</v>
      </c>
      <c r="I57" s="16" t="str">
        <f ca="1">IF(PAJAK[[#This Row],[//]]="","",INDEX(INDIRECT("NOTA["&amp;PAJAK[#Headers]&amp;"]"),PAJAK[[#This Row],[//]]-2))</f>
        <v>SA230712527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4">
        <f ca="1">IF(PAJAK[[#This Row],[//]]="","",SUMIF(NOTA[ID_H],PAJAK[[#This Row],[ID]],NOTA[JUMLAH]))</f>
        <v>25416000</v>
      </c>
      <c r="L57" s="24">
        <f ca="1">IF(PAJAK[[#This Row],[//]]="","",SUMIF(NOTA[ID_H],PAJAK[[#This Row],[ID]],NOTA[DISC]))</f>
        <v>4288950</v>
      </c>
      <c r="M57" s="24">
        <f ca="1">PAJAK[[#This Row],[SUB TOTAL]]-PAJAK[[#This Row],[DISKON]]</f>
        <v>21127050</v>
      </c>
      <c r="N57" s="24">
        <f ca="1">IF(PAJAK[[#This Row],[//]]="","",INDEX(INDIRECT("NOTA["&amp;PAJAK[#Headers]&amp;"]"),PAJAK[[#This Row],[//]]-2+PAJAK[[#This Row],[QB]]-1))</f>
        <v>0</v>
      </c>
      <c r="O57" s="24">
        <f ca="1">(PAJAK[[#This Row],[SUB T-DISC]]-PAJAK[[#This Row],[DISC DLL]])/111%</f>
        <v>19033378.378378376</v>
      </c>
      <c r="P57" s="24">
        <f ca="1">PAJAK[[#This Row],[DPP]]*PAJAK[[#This Row],[PPN]]</f>
        <v>2093671.6216216213</v>
      </c>
      <c r="Q57" s="24">
        <f ca="1">PAJAK[[#This Row],[DPP]]+PAJAK[[#This Row],[PPN 11%]]</f>
        <v>21127049.999999996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610</v>
      </c>
      <c r="B58" s="22">
        <f ca="1">HYPERLINK("[NOTA_.XLSX]NOTA!c"&amp;PAJAK[[#This Row],[//]],IF(PAJAK[[#This Row],[//]]="","",INDEX(INDIRECT("NOTA["&amp;PAJAK[#Headers]&amp;"]"),PAJAK[[#This Row],[//]]-2)))</f>
        <v>119</v>
      </c>
      <c r="C58" s="15" t="str">
        <f ca="1">IF(PAJAK[[#This Row],[//]]="","",INDEX(INDIRECT("NOTA["&amp;PAJAK[#Headers]&amp;"]"),PAJAK[[#This Row],[//]]-2))</f>
        <v>KUN_2407_604-2</v>
      </c>
      <c r="D58" s="15">
        <f ca="1">MATCH(PAJAK[[#This Row],[ID]],[5]!Table1[ID],0)</f>
        <v>82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LIE ARMAND</v>
      </c>
      <c r="G58" s="17">
        <f ca="1">IF(PAJAK[[#This Row],[//]]="","",INDEX(NOTA[TGL_H],PAJAK[[#This Row],[//]]-2))</f>
        <v>45131</v>
      </c>
      <c r="H58" s="17">
        <f ca="1">IF(PAJAK[[#This Row],[//]]="","",INDEX(INDIRECT("NOTA["&amp;PAJAK[#Headers]&amp;"]"),PAJAK[[#This Row],[//]]-2))</f>
        <v>45128</v>
      </c>
      <c r="I58" s="16" t="str">
        <f ca="1">IF(PAJAK[[#This Row],[//]]="","",INDEX(INDIRECT("NOTA["&amp;PAJAK[#Headers]&amp;"]"),PAJAK[[#This Row],[//]]-2))</f>
        <v>005604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4">
        <f ca="1">IF(PAJAK[[#This Row],[//]]="","",SUMIF(NOTA[ID_H],PAJAK[[#This Row],[ID]],NOTA[JUMLAH]))</f>
        <v>15832000</v>
      </c>
      <c r="L58" s="24">
        <f ca="1">IF(PAJAK[[#This Row],[//]]="","",SUMIF(NOTA[ID_H],PAJAK[[#This Row],[ID]],NOTA[DISC]))</f>
        <v>0</v>
      </c>
      <c r="M58" s="24">
        <f ca="1">PAJAK[[#This Row],[SUB TOTAL]]-PAJAK[[#This Row],[DISKON]]</f>
        <v>15832000</v>
      </c>
      <c r="N58" s="24">
        <f ca="1">IF(PAJAK[[#This Row],[//]]="","",INDEX(INDIRECT("NOTA["&amp;PAJAK[#Headers]&amp;"]"),PAJAK[[#This Row],[//]]-2+PAJAK[[#This Row],[QB]]-1))</f>
        <v>0</v>
      </c>
      <c r="O58" s="24">
        <f ca="1">(PAJAK[[#This Row],[SUB T-DISC]]-PAJAK[[#This Row],[DISC DLL]])/111%</f>
        <v>14263063.063063063</v>
      </c>
      <c r="P58" s="24">
        <f ca="1">PAJAK[[#This Row],[DPP]]*PAJAK[[#This Row],[PPN]]</f>
        <v>1568936.9369369368</v>
      </c>
      <c r="Q58" s="24">
        <f ca="1">PAJAK[[#This Row],[DPP]]+PAJAK[[#This Row],[PPN 11%]]</f>
        <v>15832000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625</v>
      </c>
      <c r="B59" s="21">
        <f ca="1">HYPERLINK("[NOTA_.XLSX]NOTA!c"&amp;PAJAK[[#This Row],[//]],IF(PAJAK[[#This Row],[//]]="","",INDEX(INDIRECT("NOTA["&amp;PAJAK[#Headers]&amp;"]"),PAJAK[[#This Row],[//]]-2)))</f>
        <v>125</v>
      </c>
      <c r="C59" s="19" t="str">
        <f ca="1">IF(PAJAK[[#This Row],[//]]="","",INDEX(INDIRECT("NOTA["&amp;PAJAK[#Headers]&amp;"]"),PAJAK[[#This Row],[//]]-2))</f>
        <v>ATA_2407_769-8</v>
      </c>
      <c r="D59" s="19">
        <f ca="1">MATCH(PAJAK[[#This Row],[ID]],[5]!Table1[ID],0)</f>
        <v>61</v>
      </c>
      <c r="E59" s="20">
        <f ca="1">IF(PAJAK[[#This Row],[ID]]="","",COUNTIF(NOTA[ID_H],PAJAK[[#This Row],[ID]]))</f>
        <v>8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45131</v>
      </c>
      <c r="H59" s="17">
        <f ca="1">IF(PAJAK[[#This Row],[//]]="","",INDEX(INDIRECT("NOTA["&amp;PAJAK[#Headers]&amp;"]"),PAJAK[[#This Row],[//]]-2))</f>
        <v>45128</v>
      </c>
      <c r="I59" s="16" t="str">
        <f ca="1">IF(PAJAK[[#This Row],[//]]="","",INDEX(INDIRECT("NOTA["&amp;PAJAK[#Headers]&amp;"]"),PAJAK[[#This Row],[//]]-2))</f>
        <v>SA230712769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4">
        <f ca="1">IF(PAJAK[[#This Row],[//]]="","",SUMIF(NOTA[ID_H],PAJAK[[#This Row],[ID]],NOTA[JUMLAH]))</f>
        <v>23321900</v>
      </c>
      <c r="L59" s="24">
        <f ca="1">IF(PAJAK[[#This Row],[//]]="","",SUMIF(NOTA[ID_H],PAJAK[[#This Row],[ID]],NOTA[DISC]))</f>
        <v>3935570.625</v>
      </c>
      <c r="M59" s="24">
        <f ca="1">PAJAK[[#This Row],[SUB TOTAL]]-PAJAK[[#This Row],[DISKON]]</f>
        <v>19386329.375</v>
      </c>
      <c r="N59" s="24">
        <f ca="1">IF(PAJAK[[#This Row],[//]]="","",INDEX(INDIRECT("NOTA["&amp;PAJAK[#Headers]&amp;"]"),PAJAK[[#This Row],[//]]-2+PAJAK[[#This Row],[QB]]-1))</f>
        <v>0</v>
      </c>
      <c r="O59" s="24">
        <f ca="1">(PAJAK[[#This Row],[SUB T-DISC]]-PAJAK[[#This Row],[DISC DLL]])/111%</f>
        <v>17465161.599099096</v>
      </c>
      <c r="P59" s="24">
        <f ca="1">PAJAK[[#This Row],[DPP]]*PAJAK[[#This Row],[PPN]]</f>
        <v>1921167.7759009006</v>
      </c>
      <c r="Q59" s="24">
        <f ca="1">PAJAK[[#This Row],[DPP]]+PAJAK[[#This Row],[PPN 11%]]</f>
        <v>19386329.374999996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634</v>
      </c>
      <c r="B60" s="21">
        <f ca="1">HYPERLINK("[NOTA_.XLSX]NOTA!c"&amp;PAJAK[[#This Row],[//]],IF(PAJAK[[#This Row],[//]]="","",INDEX(INDIRECT("NOTA["&amp;PAJAK[#Headers]&amp;"]"),PAJAK[[#This Row],[//]]-2)))</f>
        <v>126</v>
      </c>
      <c r="C60" s="19" t="str">
        <f ca="1">IF(PAJAK[[#This Row],[//]]="","",INDEX(INDIRECT("NOTA["&amp;PAJAK[#Headers]&amp;"]"),PAJAK[[#This Row],[//]]-2))</f>
        <v>ATA_2407_770-7</v>
      </c>
      <c r="D60" s="19">
        <f ca="1">MATCH(PAJAK[[#This Row],[ID]],[5]!Table1[ID],0)</f>
        <v>62</v>
      </c>
      <c r="E60" s="20">
        <f ca="1">IF(PAJAK[[#This Row],[ID]]="","",COUNTIF(NOTA[ID_H],PAJAK[[#This Row],[ID]]))</f>
        <v>7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45131</v>
      </c>
      <c r="H60" s="17">
        <f ca="1">IF(PAJAK[[#This Row],[//]]="","",INDEX(INDIRECT("NOTA["&amp;PAJAK[#Headers]&amp;"]"),PAJAK[[#This Row],[//]]-2))</f>
        <v>45128</v>
      </c>
      <c r="I60" s="16" t="str">
        <f ca="1">IF(PAJAK[[#This Row],[//]]="","",INDEX(INDIRECT("NOTA["&amp;PAJAK[#Headers]&amp;"]"),PAJAK[[#This Row],[//]]-2))</f>
        <v>SA230712770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4">
        <f ca="1">IF(PAJAK[[#This Row],[//]]="","",SUMIF(NOTA[ID_H],PAJAK[[#This Row],[ID]],NOTA[JUMLAH]))</f>
        <v>34644400</v>
      </c>
      <c r="L60" s="24">
        <f ca="1">IF(PAJAK[[#This Row],[//]]="","",SUMIF(NOTA[ID_H],PAJAK[[#This Row],[ID]],NOTA[DISC]))</f>
        <v>5846242.5</v>
      </c>
      <c r="M60" s="24">
        <f ca="1">PAJAK[[#This Row],[SUB TOTAL]]-PAJAK[[#This Row],[DISKON]]</f>
        <v>28798157.5</v>
      </c>
      <c r="N60" s="24">
        <f ca="1">IF(PAJAK[[#This Row],[//]]="","",INDEX(INDIRECT("NOTA["&amp;PAJAK[#Headers]&amp;"]"),PAJAK[[#This Row],[//]]-2+PAJAK[[#This Row],[QB]]-1))</f>
        <v>0</v>
      </c>
      <c r="O60" s="24">
        <f ca="1">(PAJAK[[#This Row],[SUB T-DISC]]-PAJAK[[#This Row],[DISC DLL]])/111%</f>
        <v>25944286.036036033</v>
      </c>
      <c r="P60" s="24">
        <f ca="1">PAJAK[[#This Row],[DPP]]*PAJAK[[#This Row],[PPN]]</f>
        <v>2853871.4639639636</v>
      </c>
      <c r="Q60" s="24">
        <f ca="1">PAJAK[[#This Row],[DPP]]+PAJAK[[#This Row],[PPN 11%]]</f>
        <v>28798157.499999996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642</v>
      </c>
      <c r="B61" s="21">
        <f ca="1">HYPERLINK("[NOTA_.XLSX]NOTA!c"&amp;PAJAK[[#This Row],[//]],IF(PAJAK[[#This Row],[//]]="","",INDEX(INDIRECT("NOTA["&amp;PAJAK[#Headers]&amp;"]"),PAJAK[[#This Row],[//]]-2)))</f>
        <v>127</v>
      </c>
      <c r="C61" s="19" t="str">
        <f ca="1">IF(PAJAK[[#This Row],[//]]="","",INDEX(INDIRECT("NOTA["&amp;PAJAK[#Headers]&amp;"]"),PAJAK[[#This Row],[//]]-2))</f>
        <v>ATA_2407_848-5</v>
      </c>
      <c r="D61" s="19">
        <f ca="1">MATCH(PAJAK[[#This Row],[ID]],[5]!Table1[ID],0)</f>
        <v>63</v>
      </c>
      <c r="E61" s="20">
        <f ca="1">IF(PAJAK[[#This Row],[ID]]="","",COUNTIF(NOTA[ID_H],PAJAK[[#This Row],[ID]]))</f>
        <v>5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45131</v>
      </c>
      <c r="H61" s="17">
        <f ca="1">IF(PAJAK[[#This Row],[//]]="","",INDEX(INDIRECT("NOTA["&amp;PAJAK[#Headers]&amp;"]"),PAJAK[[#This Row],[//]]-2))</f>
        <v>45128</v>
      </c>
      <c r="I61" s="16" t="str">
        <f ca="1">IF(PAJAK[[#This Row],[//]]="","",INDEX(INDIRECT("NOTA["&amp;PAJAK[#Headers]&amp;"]"),PAJAK[[#This Row],[//]]-2))</f>
        <v>SA230712848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4">
        <f ca="1">IF(PAJAK[[#This Row],[//]]="","",SUMIF(NOTA[ID_H],PAJAK[[#This Row],[ID]],NOTA[JUMLAH]))</f>
        <v>39892800</v>
      </c>
      <c r="L61" s="24">
        <f ca="1">IF(PAJAK[[#This Row],[//]]="","",SUMIF(NOTA[ID_H],PAJAK[[#This Row],[ID]],NOTA[DISC]))</f>
        <v>6731910</v>
      </c>
      <c r="M61" s="24">
        <f ca="1">PAJAK[[#This Row],[SUB TOTAL]]-PAJAK[[#This Row],[DISKON]]</f>
        <v>33160890</v>
      </c>
      <c r="N61" s="24">
        <f ca="1">IF(PAJAK[[#This Row],[//]]="","",INDEX(INDIRECT("NOTA["&amp;PAJAK[#Headers]&amp;"]"),PAJAK[[#This Row],[//]]-2+PAJAK[[#This Row],[QB]]-1))</f>
        <v>0</v>
      </c>
      <c r="O61" s="24">
        <f ca="1">(PAJAK[[#This Row],[SUB T-DISC]]-PAJAK[[#This Row],[DISC DLL]])/111%</f>
        <v>29874675.675675672</v>
      </c>
      <c r="P61" s="24">
        <f ca="1">PAJAK[[#This Row],[DPP]]*PAJAK[[#This Row],[PPN]]</f>
        <v>3286214.3243243238</v>
      </c>
      <c r="Q61" s="24">
        <f ca="1">PAJAK[[#This Row],[DPP]]+PAJAK[[#This Row],[PPN 11%]]</f>
        <v>33160889.999999996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648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ATA_2407_676-1</v>
      </c>
      <c r="D62" s="19">
        <f ca="1">MATCH(PAJAK[[#This Row],[ID]],[5]!Table1[ID],0)</f>
        <v>60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45131</v>
      </c>
      <c r="H62" s="17">
        <f ca="1">IF(PAJAK[[#This Row],[//]]="","",INDEX(INDIRECT("NOTA["&amp;PAJAK[#Headers]&amp;"]"),PAJAK[[#This Row],[//]]-2))</f>
        <v>45127</v>
      </c>
      <c r="I62" s="16" t="str">
        <f ca="1">IF(PAJAK[[#This Row],[//]]="","",INDEX(INDIRECT("NOTA["&amp;PAJAK[#Headers]&amp;"]"),PAJAK[[#This Row],[//]]-2))</f>
        <v>SA230712676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4">
        <f ca="1">IF(PAJAK[[#This Row],[//]]="","",SUMIF(NOTA[ID_H],PAJAK[[#This Row],[ID]],NOTA[JUMLAH]))</f>
        <v>7632000</v>
      </c>
      <c r="L62" s="24">
        <f ca="1">IF(PAJAK[[#This Row],[//]]="","",SUMIF(NOTA[ID_H],PAJAK[[#This Row],[ID]],NOTA[DISC]))</f>
        <v>1287900</v>
      </c>
      <c r="M62" s="24">
        <f ca="1">PAJAK[[#This Row],[SUB TOTAL]]-PAJAK[[#This Row],[DISKON]]</f>
        <v>6344100</v>
      </c>
      <c r="N62" s="24">
        <f ca="1">IF(PAJAK[[#This Row],[//]]="","",INDEX(INDIRECT("NOTA["&amp;PAJAK[#Headers]&amp;"]"),PAJAK[[#This Row],[//]]-2+PAJAK[[#This Row],[QB]]-1))</f>
        <v>0</v>
      </c>
      <c r="O62" s="24">
        <f ca="1">(PAJAK[[#This Row],[SUB T-DISC]]-PAJAK[[#This Row],[DISC DLL]])/111%</f>
        <v>5715405.405405405</v>
      </c>
      <c r="P62" s="24">
        <f ca="1">PAJAK[[#This Row],[DPP]]*PAJAK[[#This Row],[PPN]]</f>
        <v>628694.59459459456</v>
      </c>
      <c r="Q62" s="24">
        <f ca="1">PAJAK[[#This Row],[DPP]]+PAJAK[[#This Row],[PPN 11%]]</f>
        <v>6344100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650</v>
      </c>
      <c r="B63" s="21">
        <f ca="1">HYPERLINK("[NOTA_.XLSX]NOTA!c"&amp;PAJAK[[#This Row],[//]],IF(PAJAK[[#This Row],[//]]="","",INDEX(INDIRECT("NOTA["&amp;PAJAK[#Headers]&amp;"]"),PAJAK[[#This Row],[//]]-2)))</f>
        <v>129</v>
      </c>
      <c r="C63" s="19" t="str">
        <f ca="1">IF(PAJAK[[#This Row],[//]]="","",INDEX(INDIRECT("NOTA["&amp;PAJAK[#Headers]&amp;"]"),PAJAK[[#This Row],[//]]-2))</f>
        <v>ATA_2407_604-9</v>
      </c>
      <c r="D63" s="19">
        <f ca="1">MATCH(PAJAK[[#This Row],[ID]],[5]!Table1[ID],0)</f>
        <v>59</v>
      </c>
      <c r="E63" s="20">
        <f ca="1">IF(PAJAK[[#This Row],[ID]]="","",COUNTIF(NOTA[ID_H],PAJAK[[#This Row],[ID]]))</f>
        <v>9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45131</v>
      </c>
      <c r="H63" s="17">
        <f ca="1">IF(PAJAK[[#This Row],[//]]="","",INDEX(INDIRECT("NOTA["&amp;PAJAK[#Headers]&amp;"]"),PAJAK[[#This Row],[//]]-2))</f>
        <v>45127</v>
      </c>
      <c r="I63" s="16" t="str">
        <f ca="1">IF(PAJAK[[#This Row],[//]]="","",INDEX(INDIRECT("NOTA["&amp;PAJAK[#Headers]&amp;"]"),PAJAK[[#This Row],[//]]-2))</f>
        <v>SA230712604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4">
        <f ca="1">IF(PAJAK[[#This Row],[//]]="","",SUMIF(NOTA[ID_H],PAJAK[[#This Row],[ID]],NOTA[JUMLAH]))</f>
        <v>42654000</v>
      </c>
      <c r="L63" s="24">
        <f ca="1">IF(PAJAK[[#This Row],[//]]="","",SUMIF(NOTA[ID_H],PAJAK[[#This Row],[ID]],NOTA[DISC]))</f>
        <v>7197862.5</v>
      </c>
      <c r="M63" s="24">
        <f ca="1">PAJAK[[#This Row],[SUB TOTAL]]-PAJAK[[#This Row],[DISKON]]</f>
        <v>35456137.5</v>
      </c>
      <c r="N63" s="24">
        <f ca="1">IF(PAJAK[[#This Row],[//]]="","",INDEX(INDIRECT("NOTA["&amp;PAJAK[#Headers]&amp;"]"),PAJAK[[#This Row],[//]]-2+PAJAK[[#This Row],[QB]]-1))</f>
        <v>0</v>
      </c>
      <c r="O63" s="24">
        <f ca="1">(PAJAK[[#This Row],[SUB T-DISC]]-PAJAK[[#This Row],[DISC DLL]])/111%</f>
        <v>31942466.216216214</v>
      </c>
      <c r="P63" s="24">
        <f ca="1">PAJAK[[#This Row],[DPP]]*PAJAK[[#This Row],[PPN]]</f>
        <v>3513671.2837837837</v>
      </c>
      <c r="Q63" s="24">
        <f ca="1">PAJAK[[#This Row],[DPP]]+PAJAK[[#This Row],[PPN 11%]]</f>
        <v>35456137.5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660</v>
      </c>
      <c r="B64" s="21">
        <f ca="1">HYPERLINK("[NOTA_.XLSX]NOTA!c"&amp;PAJAK[[#This Row],[//]],IF(PAJAK[[#This Row],[//]]="","",INDEX(INDIRECT("NOTA["&amp;PAJAK[#Headers]&amp;"]"),PAJAK[[#This Row],[//]]-2)))</f>
        <v>130</v>
      </c>
      <c r="C64" s="19" t="str">
        <f ca="1">IF(PAJAK[[#This Row],[//]]="","",INDEX(INDIRECT("NOTA["&amp;PAJAK[#Headers]&amp;"]"),PAJAK[[#This Row],[//]]-2))</f>
        <v>KEN_2407_827-11</v>
      </c>
      <c r="D64" s="19">
        <f ca="1">MATCH(PAJAK[[#This Row],[ID]],[5]!Table1[ID],0)</f>
        <v>21</v>
      </c>
      <c r="E64" s="20">
        <f ca="1">IF(PAJAK[[#This Row],[ID]]="","",COUNTIF(NOTA[ID_H],PAJAK[[#This Row],[ID]]))</f>
        <v>11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45131</v>
      </c>
      <c r="H64" s="17">
        <f ca="1">IF(PAJAK[[#This Row],[//]]="","",INDEX(INDIRECT("NOTA["&amp;PAJAK[#Headers]&amp;"]"),PAJAK[[#This Row],[//]]-2))</f>
        <v>45128</v>
      </c>
      <c r="I64" s="16" t="str">
        <f ca="1">IF(PAJAK[[#This Row],[//]]="","",INDEX(INDIRECT("NOTA["&amp;PAJAK[#Headers]&amp;"]"),PAJAK[[#This Row],[//]]-2))</f>
        <v>23071827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4">
        <f ca="1">IF(PAJAK[[#This Row],[//]]="","",SUMIF(NOTA[ID_H],PAJAK[[#This Row],[ID]],NOTA[JUMLAH]))</f>
        <v>101024400</v>
      </c>
      <c r="L64" s="24">
        <f ca="1">IF(PAJAK[[#This Row],[//]]="","",SUMIF(NOTA[ID_H],PAJAK[[#This Row],[ID]],NOTA[DISC]))</f>
        <v>17174148</v>
      </c>
      <c r="M64" s="24">
        <f ca="1">PAJAK[[#This Row],[SUB TOTAL]]-PAJAK[[#This Row],[DISKON]]</f>
        <v>83850252</v>
      </c>
      <c r="N64" s="24">
        <f ca="1">IF(PAJAK[[#This Row],[//]]="","",INDEX(INDIRECT("NOTA["&amp;PAJAK[#Headers]&amp;"]"),PAJAK[[#This Row],[//]]-2+PAJAK[[#This Row],[QB]]-1))</f>
        <v>0</v>
      </c>
      <c r="O64" s="24">
        <f ca="1">(PAJAK[[#This Row],[SUB T-DISC]]-PAJAK[[#This Row],[DISC DLL]])/111%</f>
        <v>75540767.567567557</v>
      </c>
      <c r="P64" s="24">
        <f ca="1">PAJAK[[#This Row],[DPP]]*PAJAK[[#This Row],[PPN]]</f>
        <v>8309484.4324324317</v>
      </c>
      <c r="Q64" s="24">
        <f ca="1">PAJAK[[#This Row],[DPP]]+PAJAK[[#This Row],[PPN 11%]]</f>
        <v>83850251.999999985</v>
      </c>
      <c r="R64" s="18" t="str">
        <f ca="1">IF(ISNUMBER(PAJAK[[#This Row],[//]]),PPN,"")</f>
        <v>11%</v>
      </c>
    </row>
    <row r="65" spans="1:23" x14ac:dyDescent="0.25">
      <c r="A65" s="1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672</v>
      </c>
      <c r="B65" s="15">
        <f ca="1">HYPERLINK("[NOTA_.XLSX]NOTA!c"&amp;PAJAK[[#This Row],[//]],IF(PAJAK[[#This Row],[//]]="","",INDEX(INDIRECT("NOTA["&amp;PAJAK[#Headers]&amp;"]"),PAJAK[[#This Row],[//]]-2)))</f>
        <v>131</v>
      </c>
      <c r="C65" s="15" t="str">
        <f ca="1">IF(PAJAK[[#This Row],[//]]="","",INDEX(INDIRECT("NOTA["&amp;PAJAK[#Headers]&amp;"]"),PAJAK[[#This Row],[//]]-2))</f>
        <v>KEN_2407_987-10</v>
      </c>
      <c r="D65" s="15">
        <f ca="1">MATCH(PAJAK[[#This Row],[ID]],[5]!Table1[ID],0)</f>
        <v>22</v>
      </c>
      <c r="E65" s="16">
        <f ca="1">IF(PAJAK[[#This Row],[ID]]="","",COUNTIF(NOTA[ID_H],PAJAK[[#This Row],[ID]]))</f>
        <v>10</v>
      </c>
      <c r="F65" s="15" t="str">
        <f ca="1">IF(PAJAK[[#This Row],[//]]="","",INDEX(CONV[2],MATCH(INDEX(INDIRECT("NOTA["&amp;PAJAK[#Headers]&amp;"]"),PAJAK[[#This Row],[//]]-2),CONV[1],0),0))</f>
        <v>PT KENKO SINAR INDONESIA</v>
      </c>
      <c r="G65" s="17">
        <f ca="1">IF(PAJAK[[#This Row],[//]]="","",INDEX(NOTA[TGL_H],PAJAK[[#This Row],[//]]-2))</f>
        <v>45131</v>
      </c>
      <c r="H65" s="17">
        <f ca="1">IF(PAJAK[[#This Row],[//]]="","",INDEX(INDIRECT("NOTA["&amp;PAJAK[#Headers]&amp;"]"),PAJAK[[#This Row],[//]]-2))</f>
        <v>45129</v>
      </c>
      <c r="I65" s="16" t="str">
        <f ca="1">IF(PAJAK[[#This Row],[//]]="","",INDEX(INDIRECT("NOTA["&amp;PAJAK[#Headers]&amp;"]"),PAJAK[[#This Row],[//]]-2))</f>
        <v>23071987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4">
        <f ca="1">IF(PAJAK[[#This Row],[//]]="","",SUMIF(NOTA[ID_H],PAJAK[[#This Row],[ID]],NOTA[JUMLAH]))</f>
        <v>58502800</v>
      </c>
      <c r="L65" s="24">
        <f ca="1">IF(PAJAK[[#This Row],[//]]="","",SUMIF(NOTA[ID_H],PAJAK[[#This Row],[ID]],NOTA[DISC]))</f>
        <v>9945476</v>
      </c>
      <c r="M65" s="24">
        <f ca="1">PAJAK[[#This Row],[SUB TOTAL]]-PAJAK[[#This Row],[DISKON]]</f>
        <v>48557324</v>
      </c>
      <c r="N65" s="24">
        <f ca="1">IF(PAJAK[[#This Row],[//]]="","",INDEX(INDIRECT("NOTA["&amp;PAJAK[#Headers]&amp;"]"),PAJAK[[#This Row],[//]]-2+PAJAK[[#This Row],[QB]]-1))</f>
        <v>0</v>
      </c>
      <c r="O65" s="24">
        <f ca="1">(PAJAK[[#This Row],[SUB T-DISC]]-PAJAK[[#This Row],[DISC DLL]])/111%</f>
        <v>43745336.93693693</v>
      </c>
      <c r="P65" s="24">
        <f ca="1">PAJAK[[#This Row],[DPP]]*PAJAK[[#This Row],[PPN]]</f>
        <v>4811987.0630630627</v>
      </c>
      <c r="Q65" s="24">
        <f ca="1">PAJAK[[#This Row],[DPP]]+PAJAK[[#This Row],[PPN 11%]]</f>
        <v>48557323.999999993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683</v>
      </c>
      <c r="B66" s="21">
        <f ca="1">HYPERLINK("[NOTA_.XLSX]NOTA!c"&amp;PAJAK[[#This Row],[//]],IF(PAJAK[[#This Row],[//]]="","",INDEX(INDIRECT("NOTA["&amp;PAJAK[#Headers]&amp;"]"),PAJAK[[#This Row],[//]]-2)))</f>
        <v>132</v>
      </c>
      <c r="C66" s="19" t="str">
        <f ca="1">IF(PAJAK[[#This Row],[//]]="","",INDEX(INDIRECT("NOTA["&amp;PAJAK[#Headers]&amp;"]"),PAJAK[[#This Row],[//]]-2))</f>
        <v>KEN_2407_020-8</v>
      </c>
      <c r="D66" s="19">
        <f ca="1">MATCH(PAJAK[[#This Row],[ID]],[5]!Table1[ID],0)</f>
        <v>23</v>
      </c>
      <c r="E66" s="20">
        <f ca="1">IF(PAJAK[[#This Row],[ID]]="","",COUNTIF(NOTA[ID_H],PAJAK[[#This Row],[ID]]))</f>
        <v>8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45131</v>
      </c>
      <c r="H66" s="17">
        <f ca="1">IF(PAJAK[[#This Row],[//]]="","",INDEX(INDIRECT("NOTA["&amp;PAJAK[#Headers]&amp;"]"),PAJAK[[#This Row],[//]]-2))</f>
        <v>45129</v>
      </c>
      <c r="I66" s="16" t="str">
        <f ca="1">IF(PAJAK[[#This Row],[//]]="","",INDEX(INDIRECT("NOTA["&amp;PAJAK[#Headers]&amp;"]"),PAJAK[[#This Row],[//]]-2))</f>
        <v>23072020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4">
        <f ca="1">IF(PAJAK[[#This Row],[//]]="","",SUMIF(NOTA[ID_H],PAJAK[[#This Row],[ID]],NOTA[JUMLAH]))</f>
        <v>41065200</v>
      </c>
      <c r="L66" s="24">
        <f ca="1">IF(PAJAK[[#This Row],[//]]="","",SUMIF(NOTA[ID_H],PAJAK[[#This Row],[ID]],NOTA[DISC]))</f>
        <v>6981084</v>
      </c>
      <c r="M66" s="24">
        <f ca="1">PAJAK[[#This Row],[SUB TOTAL]]-PAJAK[[#This Row],[DISKON]]</f>
        <v>34084116</v>
      </c>
      <c r="N66" s="24">
        <f ca="1">IF(PAJAK[[#This Row],[//]]="","",INDEX(INDIRECT("NOTA["&amp;PAJAK[#Headers]&amp;"]"),PAJAK[[#This Row],[//]]-2+PAJAK[[#This Row],[QB]]-1))</f>
        <v>0</v>
      </c>
      <c r="O66" s="24">
        <f ca="1">(PAJAK[[#This Row],[SUB T-DISC]]-PAJAK[[#This Row],[DISC DLL]])/111%</f>
        <v>30706410.810810808</v>
      </c>
      <c r="P66" s="24">
        <f ca="1">PAJAK[[#This Row],[DPP]]*PAJAK[[#This Row],[PPN]]</f>
        <v>3377705.1891891891</v>
      </c>
      <c r="Q66" s="24">
        <f ca="1">PAJAK[[#This Row],[DPP]]+PAJAK[[#This Row],[PPN 11%]]</f>
        <v>34084116</v>
      </c>
      <c r="R66" s="18" t="str">
        <f ca="1">IF(ISNUMBER(PAJAK[[#This Row],[//]]),PPN,"")</f>
        <v>11%</v>
      </c>
    </row>
    <row r="67" spans="1:23" x14ac:dyDescent="0.25">
      <c r="A67" s="15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760</v>
      </c>
      <c r="B67" s="15">
        <f ca="1">HYPERLINK("[NOTA_.XLSX]NOTA!c"&amp;PAJAK[[#This Row],[//]],IF(PAJAK[[#This Row],[//]]="","",INDEX(INDIRECT("NOTA["&amp;PAJAK[#Headers]&amp;"]"),PAJAK[[#This Row],[//]]-2)))</f>
        <v>147</v>
      </c>
      <c r="C67" s="15" t="str">
        <f ca="1">IF(PAJAK[[#This Row],[//]]="","",INDEX(INDIRECT("NOTA["&amp;PAJAK[#Headers]&amp;"]"),PAJAK[[#This Row],[//]]-2))</f>
        <v>ATA_2707_897-10</v>
      </c>
      <c r="D67" s="15">
        <f ca="1">MATCH(PAJAK[[#This Row],[ID]],[5]!Table1[ID],0)</f>
        <v>64</v>
      </c>
      <c r="E67" s="16">
        <f ca="1">IF(PAJAK[[#This Row],[ID]]="","",COUNTIF(NOTA[ID_H],PAJAK[[#This Row],[ID]]))</f>
        <v>10</v>
      </c>
      <c r="F67" s="15" t="str">
        <f ca="1">IF(PAJAK[[#This Row],[//]]="","",INDEX(CONV[2],MATCH(INDEX(INDIRECT("NOTA["&amp;PAJAK[#Headers]&amp;"]"),PAJAK[[#This Row],[//]]-2),CONV[1],0),0))</f>
        <v>PT ATALI MAKMUR</v>
      </c>
      <c r="G67" s="17">
        <f ca="1">IF(PAJAK[[#This Row],[//]]="","",INDEX(NOTA[TGL_H],PAJAK[[#This Row],[//]]-2))</f>
        <v>45134</v>
      </c>
      <c r="H67" s="17">
        <f ca="1">IF(PAJAK[[#This Row],[//]]="","",INDEX(INDIRECT("NOTA["&amp;PAJAK[#Headers]&amp;"]"),PAJAK[[#This Row],[//]]-2))</f>
        <v>45129</v>
      </c>
      <c r="I67" s="16" t="str">
        <f ca="1">IF(PAJAK[[#This Row],[//]]="","",INDEX(INDIRECT("NOTA["&amp;PAJAK[#Headers]&amp;"]"),PAJAK[[#This Row],[//]]-2))</f>
        <v>SA230712897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4">
        <f ca="1">IF(PAJAK[[#This Row],[//]]="","",SUMIF(NOTA[ID_H],PAJAK[[#This Row],[ID]],NOTA[JUMLAH]))</f>
        <v>42326400</v>
      </c>
      <c r="L67" s="24">
        <f ca="1">IF(PAJAK[[#This Row],[//]]="","",SUMIF(NOTA[ID_H],PAJAK[[#This Row],[ID]],NOTA[DISC]))</f>
        <v>7142580</v>
      </c>
      <c r="M67" s="24">
        <f ca="1">PAJAK[[#This Row],[SUB TOTAL]]-PAJAK[[#This Row],[DISKON]]</f>
        <v>35183820</v>
      </c>
      <c r="N67" s="24">
        <f ca="1">IF(PAJAK[[#This Row],[//]]="","",INDEX(INDIRECT("NOTA["&amp;PAJAK[#Headers]&amp;"]"),PAJAK[[#This Row],[//]]-2+PAJAK[[#This Row],[QB]]-1))</f>
        <v>0</v>
      </c>
      <c r="O67" s="24">
        <f ca="1">(PAJAK[[#This Row],[SUB T-DISC]]-PAJAK[[#This Row],[DISC DLL]])/111%</f>
        <v>31697135.135135133</v>
      </c>
      <c r="P67" s="24">
        <f ca="1">PAJAK[[#This Row],[DPP]]*PAJAK[[#This Row],[PPN]]</f>
        <v>3486684.8648648649</v>
      </c>
      <c r="Q67" s="24">
        <f ca="1">PAJAK[[#This Row],[DPP]]+PAJAK[[#This Row],[PPN 11%]]</f>
        <v>35183820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771</v>
      </c>
      <c r="B68" s="21">
        <f ca="1">HYPERLINK("[NOTA_.XLSX]NOTA!c"&amp;PAJAK[[#This Row],[//]],IF(PAJAK[[#This Row],[//]]="","",INDEX(INDIRECT("NOTA["&amp;PAJAK[#Headers]&amp;"]"),PAJAK[[#This Row],[//]]-2)))</f>
        <v>148</v>
      </c>
      <c r="C68" s="19" t="str">
        <f ca="1">IF(PAJAK[[#This Row],[//]]="","",INDEX(INDIRECT("NOTA["&amp;PAJAK[#Headers]&amp;"]"),PAJAK[[#This Row],[//]]-2))</f>
        <v>ATA_2707_989-2</v>
      </c>
      <c r="D68" s="19">
        <f ca="1">MATCH(PAJAK[[#This Row],[ID]],[5]!Table1[ID],0)</f>
        <v>65</v>
      </c>
      <c r="E68" s="20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ATALI MAKMUR</v>
      </c>
      <c r="G68" s="17">
        <f ca="1">IF(PAJAK[[#This Row],[//]]="","",INDEX(NOTA[TGL_H],PAJAK[[#This Row],[//]]-2))</f>
        <v>45134</v>
      </c>
      <c r="H68" s="17">
        <f ca="1">IF(PAJAK[[#This Row],[//]]="","",INDEX(INDIRECT("NOTA["&amp;PAJAK[#Headers]&amp;"]"),PAJAK[[#This Row],[//]]-2))</f>
        <v>45131</v>
      </c>
      <c r="I68" s="16" t="str">
        <f ca="1">IF(PAJAK[[#This Row],[//]]="","",INDEX(INDIRECT("NOTA["&amp;PAJAK[#Headers]&amp;"]"),PAJAK[[#This Row],[//]]-2))</f>
        <v>SA230712989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4">
        <f ca="1">IF(PAJAK[[#This Row],[//]]="","",SUMIF(NOTA[ID_H],PAJAK[[#This Row],[ID]],NOTA[JUMLAH]))</f>
        <v>4147200</v>
      </c>
      <c r="L68" s="24">
        <f ca="1">IF(PAJAK[[#This Row],[//]]="","",SUMIF(NOTA[ID_H],PAJAK[[#This Row],[ID]],NOTA[DISC]))</f>
        <v>699840</v>
      </c>
      <c r="M68" s="24">
        <f ca="1">PAJAK[[#This Row],[SUB TOTAL]]-PAJAK[[#This Row],[DISKON]]</f>
        <v>3447360</v>
      </c>
      <c r="N68" s="24">
        <f ca="1">IF(PAJAK[[#This Row],[//]]="","",INDEX(INDIRECT("NOTA["&amp;PAJAK[#Headers]&amp;"]"),PAJAK[[#This Row],[//]]-2+PAJAK[[#This Row],[QB]]-1))</f>
        <v>0</v>
      </c>
      <c r="O68" s="24">
        <f ca="1">(PAJAK[[#This Row],[SUB T-DISC]]-PAJAK[[#This Row],[DISC DLL]])/111%</f>
        <v>3105729.7297297292</v>
      </c>
      <c r="P68" s="24">
        <f ca="1">PAJAK[[#This Row],[DPP]]*PAJAK[[#This Row],[PPN]]</f>
        <v>341630.27027027024</v>
      </c>
      <c r="Q68" s="24">
        <f ca="1">PAJAK[[#This Row],[DPP]]+PAJAK[[#This Row],[PPN 11%]]</f>
        <v>3447359.9999999995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774</v>
      </c>
      <c r="B69" s="21">
        <f ca="1">HYPERLINK("[NOTA_.XLSX]NOTA!c"&amp;PAJAK[[#This Row],[//]],IF(PAJAK[[#This Row],[//]]="","",INDEX(INDIRECT("NOTA["&amp;PAJAK[#Headers]&amp;"]"),PAJAK[[#This Row],[//]]-2)))</f>
        <v>149</v>
      </c>
      <c r="C69" s="19" t="str">
        <f ca="1">IF(PAJAK[[#This Row],[//]]="","",INDEX(INDIRECT("NOTA["&amp;PAJAK[#Headers]&amp;"]"),PAJAK[[#This Row],[//]]-2))</f>
        <v>KEN_2707_121-9</v>
      </c>
      <c r="D69" s="19">
        <f ca="1">MATCH(PAJAK[[#This Row],[ID]],[5]!Table1[ID],0)</f>
        <v>24</v>
      </c>
      <c r="E69" s="20">
        <f ca="1">IF(PAJAK[[#This Row],[ID]]="","",COUNTIF(NOTA[ID_H],PAJAK[[#This Row],[ID]]))</f>
        <v>9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45134</v>
      </c>
      <c r="H69" s="17">
        <f ca="1">IF(PAJAK[[#This Row],[//]]="","",INDEX(INDIRECT("NOTA["&amp;PAJAK[#Headers]&amp;"]"),PAJAK[[#This Row],[//]]-2))</f>
        <v>45131</v>
      </c>
      <c r="I69" s="16" t="str">
        <f ca="1">IF(PAJAK[[#This Row],[//]]="","",INDEX(INDIRECT("NOTA["&amp;PAJAK[#Headers]&amp;"]"),PAJAK[[#This Row],[//]]-2))</f>
        <v>23072121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4">
        <f ca="1">IF(PAJAK[[#This Row],[//]]="","",SUMIF(NOTA[ID_H],PAJAK[[#This Row],[ID]],NOTA[JUMLAH]))</f>
        <v>38613600</v>
      </c>
      <c r="L69" s="24">
        <f ca="1">IF(PAJAK[[#This Row],[//]]="","",SUMIF(NOTA[ID_H],PAJAK[[#This Row],[ID]],NOTA[DISC]))</f>
        <v>6564312</v>
      </c>
      <c r="M69" s="24">
        <f ca="1">PAJAK[[#This Row],[SUB TOTAL]]-PAJAK[[#This Row],[DISKON]]</f>
        <v>32049288</v>
      </c>
      <c r="N69" s="24">
        <f ca="1">IF(PAJAK[[#This Row],[//]]="","",INDEX(INDIRECT("NOTA["&amp;PAJAK[#Headers]&amp;"]"),PAJAK[[#This Row],[//]]-2+PAJAK[[#This Row],[QB]]-1))</f>
        <v>0</v>
      </c>
      <c r="O69" s="24">
        <f ca="1">(PAJAK[[#This Row],[SUB T-DISC]]-PAJAK[[#This Row],[DISC DLL]])/111%</f>
        <v>28873232.432432432</v>
      </c>
      <c r="P69" s="24">
        <f ca="1">PAJAK[[#This Row],[DPP]]*PAJAK[[#This Row],[PPN]]</f>
        <v>3176055.5675675673</v>
      </c>
      <c r="Q69" s="24">
        <f ca="1">PAJAK[[#This Row],[DPP]]+PAJAK[[#This Row],[PPN 11%]]</f>
        <v>32049288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784</v>
      </c>
      <c r="B70" s="21">
        <f ca="1">HYPERLINK("[NOTA_.XLSX]NOTA!c"&amp;PAJAK[[#This Row],[//]],IF(PAJAK[[#This Row],[//]]="","",INDEX(INDIRECT("NOTA["&amp;PAJAK[#Headers]&amp;"]"),PAJAK[[#This Row],[//]]-2)))</f>
        <v>150</v>
      </c>
      <c r="C70" s="19" t="str">
        <f ca="1">IF(PAJAK[[#This Row],[//]]="","",INDEX(INDIRECT("NOTA["&amp;PAJAK[#Headers]&amp;"]"),PAJAK[[#This Row],[//]]-2))</f>
        <v>KEN_2707_403-8</v>
      </c>
      <c r="D70" s="19">
        <f ca="1">MATCH(PAJAK[[#This Row],[ID]],[5]!Table1[ID],0)</f>
        <v>26</v>
      </c>
      <c r="E70" s="20">
        <f ca="1">IF(PAJAK[[#This Row],[ID]]="","",COUNTIF(NOTA[ID_H],PAJAK[[#This Row],[ID]]))</f>
        <v>8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45134</v>
      </c>
      <c r="H70" s="17">
        <f ca="1">IF(PAJAK[[#This Row],[//]]="","",INDEX(INDIRECT("NOTA["&amp;PAJAK[#Headers]&amp;"]"),PAJAK[[#This Row],[//]]-2))</f>
        <v>45133</v>
      </c>
      <c r="I70" s="16" t="str">
        <f ca="1">IF(PAJAK[[#This Row],[//]]="","",INDEX(INDIRECT("NOTA["&amp;PAJAK[#Headers]&amp;"]"),PAJAK[[#This Row],[//]]-2))</f>
        <v>23072403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4">
        <f ca="1">IF(PAJAK[[#This Row],[//]]="","",SUMIF(NOTA[ID_H],PAJAK[[#This Row],[ID]],NOTA[JUMLAH]))</f>
        <v>33696000</v>
      </c>
      <c r="L70" s="24">
        <f ca="1">IF(PAJAK[[#This Row],[//]]="","",SUMIF(NOTA[ID_H],PAJAK[[#This Row],[ID]],NOTA[DISC]))</f>
        <v>5728320</v>
      </c>
      <c r="M70" s="24">
        <f ca="1">PAJAK[[#This Row],[SUB TOTAL]]-PAJAK[[#This Row],[DISKON]]</f>
        <v>27967680</v>
      </c>
      <c r="N70" s="24">
        <f ca="1">IF(PAJAK[[#This Row],[//]]="","",INDEX(INDIRECT("NOTA["&amp;PAJAK[#Headers]&amp;"]"),PAJAK[[#This Row],[//]]-2+PAJAK[[#This Row],[QB]]-1))</f>
        <v>0</v>
      </c>
      <c r="O70" s="24">
        <f ca="1">(PAJAK[[#This Row],[SUB T-DISC]]-PAJAK[[#This Row],[DISC DLL]])/111%</f>
        <v>25196108.108108107</v>
      </c>
      <c r="P70" s="24">
        <f ca="1">PAJAK[[#This Row],[DPP]]*PAJAK[[#This Row],[PPN]]</f>
        <v>2771571.8918918916</v>
      </c>
      <c r="Q70" s="24">
        <f ca="1">PAJAK[[#This Row],[DPP]]+PAJAK[[#This Row],[PPN 11%]]</f>
        <v>27967680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793</v>
      </c>
      <c r="B71" s="21">
        <f ca="1">HYPERLINK("[NOTA_.XLSX]NOTA!c"&amp;PAJAK[[#This Row],[//]],IF(PAJAK[[#This Row],[//]]="","",INDEX(INDIRECT("NOTA["&amp;PAJAK[#Headers]&amp;"]"),PAJAK[[#This Row],[//]]-2)))</f>
        <v>151</v>
      </c>
      <c r="C71" s="19" t="str">
        <f ca="1">IF(PAJAK[[#This Row],[//]]="","",INDEX(INDIRECT("NOTA["&amp;PAJAK[#Headers]&amp;"]"),PAJAK[[#This Row],[//]]-2))</f>
        <v>KEN_2707_393-6</v>
      </c>
      <c r="D71" s="19">
        <f ca="1">MATCH(PAJAK[[#This Row],[ID]],[5]!Table1[ID],0)</f>
        <v>25</v>
      </c>
      <c r="E71" s="20">
        <f ca="1">IF(PAJAK[[#This Row],[ID]]="","",COUNTIF(NOTA[ID_H],PAJAK[[#This Row],[ID]]))</f>
        <v>6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45134</v>
      </c>
      <c r="H71" s="17">
        <f ca="1">IF(PAJAK[[#This Row],[//]]="","",INDEX(INDIRECT("NOTA["&amp;PAJAK[#Headers]&amp;"]"),PAJAK[[#This Row],[//]]-2))</f>
        <v>45133</v>
      </c>
      <c r="I71" s="16" t="str">
        <f ca="1">IF(PAJAK[[#This Row],[//]]="","",INDEX(INDIRECT("NOTA["&amp;PAJAK[#Headers]&amp;"]"),PAJAK[[#This Row],[//]]-2))</f>
        <v>23072393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4">
        <f ca="1">IF(PAJAK[[#This Row],[//]]="","",SUMIF(NOTA[ID_H],PAJAK[[#This Row],[ID]],NOTA[JUMLAH]))</f>
        <v>44102400</v>
      </c>
      <c r="L71" s="24">
        <f ca="1">IF(PAJAK[[#This Row],[//]]="","",SUMIF(NOTA[ID_H],PAJAK[[#This Row],[ID]],NOTA[DISC]))</f>
        <v>7497408</v>
      </c>
      <c r="M71" s="24">
        <f ca="1">PAJAK[[#This Row],[SUB TOTAL]]-PAJAK[[#This Row],[DISKON]]</f>
        <v>36604992</v>
      </c>
      <c r="N71" s="24">
        <f ca="1">IF(PAJAK[[#This Row],[//]]="","",INDEX(INDIRECT("NOTA["&amp;PAJAK[#Headers]&amp;"]"),PAJAK[[#This Row],[//]]-2+PAJAK[[#This Row],[QB]]-1))</f>
        <v>0</v>
      </c>
      <c r="O71" s="24">
        <f ca="1">(PAJAK[[#This Row],[SUB T-DISC]]-PAJAK[[#This Row],[DISC DLL]])/111%</f>
        <v>32977470.270270266</v>
      </c>
      <c r="P71" s="24">
        <f ca="1">PAJAK[[#This Row],[DPP]]*PAJAK[[#This Row],[PPN]]</f>
        <v>3627521.7297297292</v>
      </c>
      <c r="Q71" s="24">
        <f ca="1">PAJAK[[#This Row],[DPP]]+PAJAK[[#This Row],[PPN 11%]]</f>
        <v>36604991.999999993</v>
      </c>
      <c r="R71" s="18" t="str">
        <f ca="1">IF(ISNUMBER(PAJAK[[#This Row],[//]]),PPN,"")</f>
        <v>11%</v>
      </c>
    </row>
    <row r="72" spans="1:23" x14ac:dyDescent="0.25">
      <c r="A72" s="15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804</v>
      </c>
      <c r="B72" s="15">
        <f ca="1">HYPERLINK("[NOTA_.XLSX]NOTA!c"&amp;PAJAK[[#This Row],[//]],IF(PAJAK[[#This Row],[//]]="","",INDEX(INDIRECT("NOTA["&amp;PAJAK[#Headers]&amp;"]"),PAJAK[[#This Row],[//]]-2)))</f>
        <v>153</v>
      </c>
      <c r="C72" s="15" t="str">
        <f ca="1">IF(PAJAK[[#This Row],[//]]="","",INDEX(INDIRECT("NOTA["&amp;PAJAK[#Headers]&amp;"]"),PAJAK[[#This Row],[//]]-2))</f>
        <v>KEN_2807_522-1</v>
      </c>
      <c r="D72" s="15">
        <f ca="1">MATCH(PAJAK[[#This Row],[ID]],[5]!Table1[ID],0)</f>
        <v>27</v>
      </c>
      <c r="E72" s="16">
        <f ca="1">IF(PAJAK[[#This Row],[ID]]="","",COUNTIF(NOTA[ID_H],PAJAK[[#This Row],[ID]]))</f>
        <v>1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45135</v>
      </c>
      <c r="H72" s="17">
        <f ca="1">IF(PAJAK[[#This Row],[//]]="","",INDEX(INDIRECT("NOTA["&amp;PAJAK[#Headers]&amp;"]"),PAJAK[[#This Row],[//]]-2))</f>
        <v>45134</v>
      </c>
      <c r="I72" s="16" t="str">
        <f ca="1">IF(PAJAK[[#This Row],[//]]="","",INDEX(INDIRECT("NOTA["&amp;PAJAK[#Headers]&amp;"]"),PAJAK[[#This Row],[//]]-2))</f>
        <v>23072522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4">
        <f ca="1">IF(PAJAK[[#This Row],[//]]="","",SUMIF(NOTA[ID_H],PAJAK[[#This Row],[ID]],NOTA[JUMLAH]))</f>
        <v>19548000</v>
      </c>
      <c r="L72" s="24">
        <f ca="1">IF(PAJAK[[#This Row],[//]]="","",SUMIF(NOTA[ID_H],PAJAK[[#This Row],[ID]],NOTA[DISC]))</f>
        <v>3323160.0000000005</v>
      </c>
      <c r="M72" s="24">
        <f ca="1">PAJAK[[#This Row],[SUB TOTAL]]-PAJAK[[#This Row],[DISKON]]</f>
        <v>16224840</v>
      </c>
      <c r="N72" s="24">
        <f ca="1">IF(PAJAK[[#This Row],[//]]="","",INDEX(INDIRECT("NOTA["&amp;PAJAK[#Headers]&amp;"]"),PAJAK[[#This Row],[//]]-2+PAJAK[[#This Row],[QB]]-1))</f>
        <v>0</v>
      </c>
      <c r="O72" s="24">
        <f ca="1">(PAJAK[[#This Row],[SUB T-DISC]]-PAJAK[[#This Row],[DISC DLL]])/111%</f>
        <v>14616972.972972972</v>
      </c>
      <c r="P72" s="24">
        <f ca="1">PAJAK[[#This Row],[DPP]]*PAJAK[[#This Row],[PPN]]</f>
        <v>1607867.027027027</v>
      </c>
      <c r="Q72" s="24">
        <f ca="1">PAJAK[[#This Row],[DPP]]+PAJAK[[#This Row],[PPN 11%]]</f>
        <v>16224840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806</v>
      </c>
      <c r="B73" s="15">
        <f ca="1">HYPERLINK("[NOTA_.XLSX]NOTA!c"&amp;PAJAK[[#This Row],[//]],IF(PAJAK[[#This Row],[//]]="","",INDEX(INDIRECT("NOTA["&amp;PAJAK[#Headers]&amp;"]"),PAJAK[[#This Row],[//]]-2)))</f>
        <v>154</v>
      </c>
      <c r="C73" s="15" t="str">
        <f ca="1">IF(PAJAK[[#This Row],[//]]="","",INDEX(INDIRECT("NOTA["&amp;PAJAK[#Headers]&amp;"]"),PAJAK[[#This Row],[//]]-2))</f>
        <v>ATA_2807_073-3</v>
      </c>
      <c r="D73" s="15">
        <f ca="1">MATCH(PAJAK[[#This Row],[ID]],[5]!Table1[ID],0)</f>
        <v>66</v>
      </c>
      <c r="E73" s="16">
        <f ca="1">IF(PAJAK[[#This Row],[ID]]="","",COUNTIF(NOTA[ID_H],PAJAK[[#This Row],[ID]]))</f>
        <v>3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45135</v>
      </c>
      <c r="H73" s="17">
        <f ca="1">IF(PAJAK[[#This Row],[//]]="","",INDEX(INDIRECT("NOTA["&amp;PAJAK[#Headers]&amp;"]"),PAJAK[[#This Row],[//]]-2))</f>
        <v>45132</v>
      </c>
      <c r="I73" s="16" t="str">
        <f ca="1">IF(PAJAK[[#This Row],[//]]="","",INDEX(INDIRECT("NOTA["&amp;PAJAK[#Headers]&amp;"]"),PAJAK[[#This Row],[//]]-2))</f>
        <v>SA230713073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4">
        <f ca="1">IF(PAJAK[[#This Row],[//]]="","",SUMIF(NOTA[ID_H],PAJAK[[#This Row],[ID]],NOTA[JUMLAH]))</f>
        <v>15465600</v>
      </c>
      <c r="L73" s="24">
        <f ca="1">IF(PAJAK[[#This Row],[//]]="","",SUMIF(NOTA[ID_H],PAJAK[[#This Row],[ID]],NOTA[DISC]))</f>
        <v>2609820</v>
      </c>
      <c r="M73" s="24">
        <f ca="1">PAJAK[[#This Row],[SUB TOTAL]]-PAJAK[[#This Row],[DISKON]]</f>
        <v>12855780</v>
      </c>
      <c r="N73" s="24">
        <f ca="1">IF(PAJAK[[#This Row],[//]]="","",INDEX(INDIRECT("NOTA["&amp;PAJAK[#Headers]&amp;"]"),PAJAK[[#This Row],[//]]-2+PAJAK[[#This Row],[QB]]-1))</f>
        <v>0</v>
      </c>
      <c r="O73" s="24">
        <f ca="1">(PAJAK[[#This Row],[SUB T-DISC]]-PAJAK[[#This Row],[DISC DLL]])/111%</f>
        <v>11581783.783783782</v>
      </c>
      <c r="P73" s="24">
        <f ca="1">PAJAK[[#This Row],[DPP]]*PAJAK[[#This Row],[PPN]]</f>
        <v>1273996.2162162161</v>
      </c>
      <c r="Q73" s="24">
        <f ca="1">PAJAK[[#This Row],[DPP]]+PAJAK[[#This Row],[PPN 11%]]</f>
        <v>12855779.999999998</v>
      </c>
      <c r="R73" s="18" t="str">
        <f ca="1">IF(ISNUMBER(PAJAK[[#This Row],[//]]),PPN,"")</f>
        <v>11%</v>
      </c>
    </row>
    <row r="74" spans="1:23" x14ac:dyDescent="0.25">
      <c r="A74" s="1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810</v>
      </c>
      <c r="B74" s="21">
        <f ca="1">HYPERLINK("[NOTA_.XLSX]NOTA!c"&amp;PAJAK[[#This Row],[//]],IF(PAJAK[[#This Row],[//]]="","",INDEX(INDIRECT("NOTA["&amp;PAJAK[#Headers]&amp;"]"),PAJAK[[#This Row],[//]]-2)))</f>
        <v>155</v>
      </c>
      <c r="C74" s="19" t="str">
        <f ca="1">IF(PAJAK[[#This Row],[//]]="","",INDEX(INDIRECT("NOTA["&amp;PAJAK[#Headers]&amp;"]"),PAJAK[[#This Row],[//]]-2))</f>
        <v>ATA_2807_095-6</v>
      </c>
      <c r="D74" s="19">
        <f ca="1">MATCH(PAJAK[[#This Row],[ID]],[5]!Table1[ID],0)</f>
        <v>67</v>
      </c>
      <c r="E74" s="20">
        <f ca="1">IF(PAJAK[[#This Row],[ID]]="","",COUNTIF(NOTA[ID_H],PAJAK[[#This Row],[ID]]))</f>
        <v>6</v>
      </c>
      <c r="F74" s="15" t="str">
        <f ca="1">IF(PAJAK[[#This Row],[//]]="","",INDEX(CONV[2],MATCH(INDEX(INDIRECT("NOTA["&amp;PAJAK[#Headers]&amp;"]"),PAJAK[[#This Row],[//]]-2),CONV[1],0),0))</f>
        <v>PT ATALI MAKMUR</v>
      </c>
      <c r="G74" s="17">
        <f ca="1">IF(PAJAK[[#This Row],[//]]="","",INDEX(NOTA[TGL_H],PAJAK[[#This Row],[//]]-2))</f>
        <v>45135</v>
      </c>
      <c r="H74" s="17">
        <f ca="1">IF(PAJAK[[#This Row],[//]]="","",INDEX(INDIRECT("NOTA["&amp;PAJAK[#Headers]&amp;"]"),PAJAK[[#This Row],[//]]-2))</f>
        <v>45133</v>
      </c>
      <c r="I74" s="16" t="str">
        <f ca="1">IF(PAJAK[[#This Row],[//]]="","",INDEX(INDIRECT("NOTA["&amp;PAJAK[#Headers]&amp;"]"),PAJAK[[#This Row],[//]]-2))</f>
        <v>SA230713095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4">
        <f ca="1">IF(PAJAK[[#This Row],[//]]="","",SUMIF(NOTA[ID_H],PAJAK[[#This Row],[ID]],NOTA[JUMLAH]))</f>
        <v>3412800</v>
      </c>
      <c r="L74" s="24">
        <f ca="1">IF(PAJAK[[#This Row],[//]]="","",SUMIF(NOTA[ID_H],PAJAK[[#This Row],[ID]],NOTA[DISC]))</f>
        <v>575910</v>
      </c>
      <c r="M74" s="24">
        <f ca="1">PAJAK[[#This Row],[SUB TOTAL]]-PAJAK[[#This Row],[DISKON]]</f>
        <v>2836890</v>
      </c>
      <c r="N74" s="24">
        <f ca="1">IF(PAJAK[[#This Row],[//]]="","",INDEX(INDIRECT("NOTA["&amp;PAJAK[#Headers]&amp;"]"),PAJAK[[#This Row],[//]]-2+PAJAK[[#This Row],[QB]]-1))</f>
        <v>0</v>
      </c>
      <c r="O74" s="24">
        <f ca="1">(PAJAK[[#This Row],[SUB T-DISC]]-PAJAK[[#This Row],[DISC DLL]])/111%</f>
        <v>2555756.7567567565</v>
      </c>
      <c r="P74" s="24">
        <f ca="1">PAJAK[[#This Row],[DPP]]*PAJAK[[#This Row],[PPN]]</f>
        <v>281133.2432432432</v>
      </c>
      <c r="Q74" s="24">
        <f ca="1">PAJAK[[#This Row],[DPP]]+PAJAK[[#This Row],[PPN 11%]]</f>
        <v>2836889.9999999995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824</v>
      </c>
      <c r="B75" s="21">
        <f ca="1">HYPERLINK("[NOTA_.XLSX]NOTA!c"&amp;PAJAK[[#This Row],[//]],IF(PAJAK[[#This Row],[//]]="","",INDEX(INDIRECT("NOTA["&amp;PAJAK[#Headers]&amp;"]"),PAJAK[[#This Row],[//]]-2)))</f>
        <v>157</v>
      </c>
      <c r="C75" s="19" t="str">
        <f ca="1">IF(PAJAK[[#This Row],[//]]="","",INDEX(INDIRECT("NOTA["&amp;PAJAK[#Headers]&amp;"]"),PAJAK[[#This Row],[//]]-2))</f>
        <v>ATA_3107_224-7</v>
      </c>
      <c r="D75" s="19">
        <f ca="1">MATCH(PAJAK[[#This Row],[ID]],[5]!Table1[ID],0)</f>
        <v>68</v>
      </c>
      <c r="E75" s="20">
        <f ca="1">IF(PAJAK[[#This Row],[ID]]="","",COUNTIF(NOTA[ID_H],PAJAK[[#This Row],[ID]]))</f>
        <v>7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45138</v>
      </c>
      <c r="H75" s="17">
        <f ca="1">IF(PAJAK[[#This Row],[//]]="","",INDEX(INDIRECT("NOTA["&amp;PAJAK[#Headers]&amp;"]"),PAJAK[[#This Row],[//]]-2))</f>
        <v>45134</v>
      </c>
      <c r="I75" s="16" t="str">
        <f ca="1">IF(PAJAK[[#This Row],[//]]="","",INDEX(INDIRECT("NOTA["&amp;PAJAK[#Headers]&amp;"]"),PAJAK[[#This Row],[//]]-2))</f>
        <v>SA230713224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4">
        <f ca="1">IF(PAJAK[[#This Row],[//]]="","",SUMIF(NOTA[ID_H],PAJAK[[#This Row],[ID]],NOTA[JUMLAH]))</f>
        <v>21633600</v>
      </c>
      <c r="L75" s="24">
        <f ca="1">IF(PAJAK[[#This Row],[//]]="","",SUMIF(NOTA[ID_H],PAJAK[[#This Row],[ID]],NOTA[DISC]))</f>
        <v>3650670</v>
      </c>
      <c r="M75" s="24">
        <f ca="1">PAJAK[[#This Row],[SUB TOTAL]]-PAJAK[[#This Row],[DISKON]]</f>
        <v>17982930</v>
      </c>
      <c r="N75" s="24">
        <f ca="1">IF(PAJAK[[#This Row],[//]]="","",INDEX(INDIRECT("NOTA["&amp;PAJAK[#Headers]&amp;"]"),PAJAK[[#This Row],[//]]-2+PAJAK[[#This Row],[QB]]-1))</f>
        <v>0</v>
      </c>
      <c r="O75" s="24">
        <f ca="1">(PAJAK[[#This Row],[SUB T-DISC]]-PAJAK[[#This Row],[DISC DLL]])/111%</f>
        <v>16200837.837837836</v>
      </c>
      <c r="P75" s="24">
        <f ca="1">PAJAK[[#This Row],[DPP]]*PAJAK[[#This Row],[PPN]]</f>
        <v>1782092.1621621619</v>
      </c>
      <c r="Q75" s="24">
        <f ca="1">PAJAK[[#This Row],[DPP]]+PAJAK[[#This Row],[PPN 11%]]</f>
        <v>17982929.999999996</v>
      </c>
      <c r="R75" s="18" t="str">
        <f ca="1">IF(ISNUMBER(PAJAK[[#This Row],[//]]),PPN,"")</f>
        <v>11%</v>
      </c>
    </row>
    <row r="76" spans="1:23" x14ac:dyDescent="0.25">
      <c r="A76" s="19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832</v>
      </c>
      <c r="B76" s="21">
        <f ca="1">HYPERLINK("[NOTA_.XLSX]NOTA!c"&amp;PAJAK[[#This Row],[//]],IF(PAJAK[[#This Row],[//]]="","",INDEX(INDIRECT("NOTA["&amp;PAJAK[#Headers]&amp;"]"),PAJAK[[#This Row],[//]]-2)))</f>
        <v>158</v>
      </c>
      <c r="C76" s="19" t="str">
        <f ca="1">IF(PAJAK[[#This Row],[//]]="","",INDEX(INDIRECT("NOTA["&amp;PAJAK[#Headers]&amp;"]"),PAJAK[[#This Row],[//]]-2))</f>
        <v>ATA_0108_282-1</v>
      </c>
      <c r="D76" s="19">
        <f ca="1">MATCH(PAJAK[[#This Row],[ID]],[5]!Table1[ID],0)</f>
        <v>69</v>
      </c>
      <c r="E76" s="20">
        <f ca="1">IF(PAJAK[[#This Row],[ID]]="","",COUNTIF(NOTA[ID_H],PAJAK[[#This Row],[ID]]))</f>
        <v>1</v>
      </c>
      <c r="F76" s="15" t="str">
        <f ca="1">IF(PAJAK[[#This Row],[//]]="","",INDEX(CONV[2],MATCH(INDEX(INDIRECT("NOTA["&amp;PAJAK[#Headers]&amp;"]"),PAJAK[[#This Row],[//]]-2),CONV[1],0),0))</f>
        <v>PT ATALI MAKMUR</v>
      </c>
      <c r="G76" s="17">
        <f ca="1">IF(PAJAK[[#This Row],[//]]="","",INDEX(NOTA[TGL_H],PAJAK[[#This Row],[//]]-2))</f>
        <v>45139</v>
      </c>
      <c r="H76" s="17">
        <f ca="1">IF(PAJAK[[#This Row],[//]]="","",INDEX(INDIRECT("NOTA["&amp;PAJAK[#Headers]&amp;"]"),PAJAK[[#This Row],[//]]-2))</f>
        <v>45135</v>
      </c>
      <c r="I76" s="16" t="str">
        <f ca="1">IF(PAJAK[[#This Row],[//]]="","",INDEX(INDIRECT("NOTA["&amp;PAJAK[#Headers]&amp;"]"),PAJAK[[#This Row],[//]]-2))</f>
        <v>SA230713282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4">
        <f ca="1">IF(PAJAK[[#This Row],[//]]="","",SUMIF(NOTA[ID_H],PAJAK[[#This Row],[ID]],NOTA[JUMLAH]))</f>
        <v>3096000</v>
      </c>
      <c r="L76" s="24">
        <f ca="1">IF(PAJAK[[#This Row],[//]]="","",SUMIF(NOTA[ID_H],PAJAK[[#This Row],[ID]],NOTA[DISC]))</f>
        <v>522450</v>
      </c>
      <c r="M76" s="24">
        <f ca="1">PAJAK[[#This Row],[SUB TOTAL]]-PAJAK[[#This Row],[DISKON]]</f>
        <v>2573550</v>
      </c>
      <c r="N76" s="24">
        <f ca="1">IF(PAJAK[[#This Row],[//]]="","",INDEX(INDIRECT("NOTA["&amp;PAJAK[#Headers]&amp;"]"),PAJAK[[#This Row],[//]]-2+PAJAK[[#This Row],[QB]]-1))</f>
        <v>0</v>
      </c>
      <c r="O76" s="24">
        <f ca="1">(PAJAK[[#This Row],[SUB T-DISC]]-PAJAK[[#This Row],[DISC DLL]])/111%</f>
        <v>2318513.5135135134</v>
      </c>
      <c r="P76" s="24">
        <f ca="1">PAJAK[[#This Row],[DPP]]*PAJAK[[#This Row],[PPN]]</f>
        <v>255036.48648648648</v>
      </c>
      <c r="Q76" s="24">
        <f ca="1">PAJAK[[#This Row],[DPP]]+PAJAK[[#This Row],[PPN 11%]]</f>
        <v>2573550</v>
      </c>
      <c r="R76" s="18" t="str">
        <f ca="1">IF(ISNUMBER(PAJAK[[#This Row],[//]]),PPN,"")</f>
        <v>11%</v>
      </c>
    </row>
    <row r="77" spans="1:23" x14ac:dyDescent="0.25">
      <c r="A77" s="1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834</v>
      </c>
      <c r="B77" s="21">
        <f ca="1">HYPERLINK("[NOTA_.XLSX]NOTA!c"&amp;PAJAK[[#This Row],[//]],IF(PAJAK[[#This Row],[//]]="","",INDEX(INDIRECT("NOTA["&amp;PAJAK[#Headers]&amp;"]"),PAJAK[[#This Row],[//]]-2)))</f>
        <v>159</v>
      </c>
      <c r="C77" s="19" t="str">
        <f ca="1">IF(PAJAK[[#This Row],[//]]="","",INDEX(INDIRECT("NOTA["&amp;PAJAK[#Headers]&amp;"]"),PAJAK[[#This Row],[//]]-2))</f>
        <v>ATA_0108_352-1</v>
      </c>
      <c r="D77" s="19">
        <f ca="1">MATCH(PAJAK[[#This Row],[ID]],[5]!Table1[ID],0)</f>
        <v>70</v>
      </c>
      <c r="E77" s="20">
        <f ca="1">IF(PAJAK[[#This Row],[ID]]="","",COUNTIF(NOTA[ID_H],PAJAK[[#This Row],[ID]]))</f>
        <v>1</v>
      </c>
      <c r="F77" s="15" t="str">
        <f ca="1">IF(PAJAK[[#This Row],[//]]="","",INDEX(CONV[2],MATCH(INDEX(INDIRECT("NOTA["&amp;PAJAK[#Headers]&amp;"]"),PAJAK[[#This Row],[//]]-2),CONV[1],0),0))</f>
        <v>PT ATALI MAKMUR</v>
      </c>
      <c r="G77" s="17">
        <f ca="1">IF(PAJAK[[#This Row],[//]]="","",INDEX(NOTA[TGL_H],PAJAK[[#This Row],[//]]-2))</f>
        <v>45139</v>
      </c>
      <c r="H77" s="17">
        <f ca="1">IF(PAJAK[[#This Row],[//]]="","",INDEX(INDIRECT("NOTA["&amp;PAJAK[#Headers]&amp;"]"),PAJAK[[#This Row],[//]]-2))</f>
        <v>45136</v>
      </c>
      <c r="I77" s="16" t="str">
        <f ca="1">IF(PAJAK[[#This Row],[//]]="","",INDEX(INDIRECT("NOTA["&amp;PAJAK[#Headers]&amp;"]"),PAJAK[[#This Row],[//]]-2))</f>
        <v>SA230713352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4">
        <f ca="1">IF(PAJAK[[#This Row],[//]]="","",SUMIF(NOTA[ID_H],PAJAK[[#This Row],[ID]],NOTA[JUMLAH]))</f>
        <v>9072000</v>
      </c>
      <c r="L77" s="24">
        <f ca="1">IF(PAJAK[[#This Row],[//]]="","",SUMIF(NOTA[ID_H],PAJAK[[#This Row],[ID]],NOTA[DISC]))</f>
        <v>1530900</v>
      </c>
      <c r="M77" s="24">
        <f ca="1">PAJAK[[#This Row],[SUB TOTAL]]-PAJAK[[#This Row],[DISKON]]</f>
        <v>7541100</v>
      </c>
      <c r="N77" s="24">
        <f ca="1">IF(PAJAK[[#This Row],[//]]="","",INDEX(INDIRECT("NOTA["&amp;PAJAK[#Headers]&amp;"]"),PAJAK[[#This Row],[//]]-2+PAJAK[[#This Row],[QB]]-1))</f>
        <v>0</v>
      </c>
      <c r="O77" s="24">
        <f ca="1">(PAJAK[[#This Row],[SUB T-DISC]]-PAJAK[[#This Row],[DISC DLL]])/111%</f>
        <v>6793783.7837837832</v>
      </c>
      <c r="P77" s="24">
        <f ca="1">PAJAK[[#This Row],[DPP]]*PAJAK[[#This Row],[PPN]]</f>
        <v>747316.21621621621</v>
      </c>
      <c r="Q77" s="24">
        <f ca="1">PAJAK[[#This Row],[DPP]]+PAJAK[[#This Row],[PPN 11%]]</f>
        <v>7541099.9999999991</v>
      </c>
      <c r="R77" s="18" t="str">
        <f ca="1">IF(ISNUMBER(PAJAK[[#This Row],[//]]),PPN,"")</f>
        <v>11%</v>
      </c>
    </row>
    <row r="78" spans="1:23" x14ac:dyDescent="0.25">
      <c r="A78" s="2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845</v>
      </c>
      <c r="B78" s="28">
        <f ca="1">HYPERLINK("[NOTA_.XLSX]NOTA!c"&amp;PAJAK[[#This Row],[//]],IF(PAJAK[[#This Row],[//]]="","",INDEX(INDIRECT("NOTA["&amp;PAJAK[#Headers]&amp;"]"),PAJAK[[#This Row],[//]]-2)))</f>
        <v>164</v>
      </c>
      <c r="C78" s="28" t="str">
        <f ca="1">IF(PAJAK[[#This Row],[//]]="","",INDEX(INDIRECT("NOTA["&amp;PAJAK[#Headers]&amp;"]"),PAJAK[[#This Row],[//]]-2))</f>
        <v>ATA_0408_405-9</v>
      </c>
      <c r="D78" s="28">
        <f ca="1">MATCH(PAJAK[[#This Row],[ID]],[5]!Table1[ID],0)</f>
        <v>71</v>
      </c>
      <c r="E78" s="29">
        <f ca="1">IF(PAJAK[[#This Row],[ID]]="","",COUNTIF(NOTA[ID_H],PAJAK[[#This Row],[ID]]))</f>
        <v>9</v>
      </c>
      <c r="F78" s="28" t="str">
        <f ca="1">IF(PAJAK[[#This Row],[//]]="","",INDEX(CONV[2],MATCH(INDEX(INDIRECT("NOTA["&amp;PAJAK[#Headers]&amp;"]"),PAJAK[[#This Row],[//]]-2),CONV[1],0),0))</f>
        <v>PT ATALI MAKMUR</v>
      </c>
      <c r="G78" s="30">
        <f ca="1">IF(PAJAK[[#This Row],[//]]="","",INDEX(NOTA[TGL_H],PAJAK[[#This Row],[//]]-2))</f>
        <v>45142</v>
      </c>
      <c r="H78" s="30">
        <f ca="1">IF(PAJAK[[#This Row],[//]]="","",INDEX(INDIRECT("NOTA["&amp;PAJAK[#Headers]&amp;"]"),PAJAK[[#This Row],[//]]-2))</f>
        <v>45138</v>
      </c>
      <c r="I78" s="29" t="str">
        <f ca="1">IF(PAJAK[[#This Row],[//]]="","",INDEX(INDIRECT("NOTA["&amp;PAJAK[#Headers]&amp;"]"),PAJAK[[#This Row],[//]]-2))</f>
        <v>SA230713405</v>
      </c>
      <c r="J78" s="28" t="str">
        <f ca="1">IF(OR(PAJAK[[#This Row],[//]]="",INDEX(INDIRECT("NOTA["&amp;PAJAK[#Headers]&amp;"]"),PAJAK[[#This Row],[//]]-2)=""),"",INDEX(INDIRECT("NOTA["&amp;PAJAK[#Headers]&amp;"]"),PAJAK[[#This Row],[//]]-2))</f>
        <v/>
      </c>
      <c r="K78" s="34">
        <f ca="1">IF(PAJAK[[#This Row],[//]]="","",SUMIF(NOTA[ID_H],PAJAK[[#This Row],[ID]],NOTA[JUMLAH]))</f>
        <v>24681600</v>
      </c>
      <c r="L78" s="34">
        <f ca="1">IF(PAJAK[[#This Row],[//]]="","",SUMIF(NOTA[ID_H],PAJAK[[#This Row],[ID]],NOTA[DISC]))</f>
        <v>4165020</v>
      </c>
      <c r="M78" s="34">
        <f ca="1">PAJAK[[#This Row],[SUB TOTAL]]-PAJAK[[#This Row],[DISKON]]</f>
        <v>20516580</v>
      </c>
      <c r="N78" s="34">
        <f ca="1">IF(PAJAK[[#This Row],[//]]="","",INDEX(INDIRECT("NOTA["&amp;PAJAK[#Headers]&amp;"]"),PAJAK[[#This Row],[//]]-2+PAJAK[[#This Row],[QB]]-1))</f>
        <v>526680</v>
      </c>
      <c r="O78" s="34">
        <f ca="1">(PAJAK[[#This Row],[SUB T-DISC]]-PAJAK[[#This Row],[DISC DLL]])/111%</f>
        <v>18008918.918918919</v>
      </c>
      <c r="P78" s="34">
        <f ca="1">PAJAK[[#This Row],[DPP]]*PAJAK[[#This Row],[PPN]]</f>
        <v>1980981.0810810812</v>
      </c>
      <c r="Q78" s="34">
        <f ca="1">PAJAK[[#This Row],[DPP]]+PAJAK[[#This Row],[PPN 11%]]</f>
        <v>19989900</v>
      </c>
      <c r="R78" s="35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855</v>
      </c>
      <c r="B79" s="21">
        <f ca="1">HYPERLINK("[NOTA_.XLSX]NOTA!c"&amp;PAJAK[[#This Row],[//]],IF(PAJAK[[#This Row],[//]]="","",INDEX(INDIRECT("NOTA["&amp;PAJAK[#Headers]&amp;"]"),PAJAK[[#This Row],[//]]-2)))</f>
        <v>165</v>
      </c>
      <c r="C79" s="19" t="str">
        <f ca="1">IF(PAJAK[[#This Row],[//]]="","",INDEX(INDIRECT("NOTA["&amp;PAJAK[#Headers]&amp;"]"),PAJAK[[#This Row],[//]]-2))</f>
        <v>ATA_0408_430-2</v>
      </c>
      <c r="D79" s="19">
        <f ca="1">MATCH(PAJAK[[#This Row],[ID]],[5]!Table1[ID],0)</f>
        <v>72</v>
      </c>
      <c r="E79" s="20">
        <f ca="1">IF(PAJAK[[#This Row],[ID]]="","",COUNTIF(NOTA[ID_H],PAJAK[[#This Row],[ID]]))</f>
        <v>2</v>
      </c>
      <c r="F79" s="15" t="str">
        <f ca="1">IF(PAJAK[[#This Row],[//]]="","",INDEX(CONV[2],MATCH(INDEX(INDIRECT("NOTA["&amp;PAJAK[#Headers]&amp;"]"),PAJAK[[#This Row],[//]]-2),CONV[1],0),0))</f>
        <v>PT ATALI MAKMUR</v>
      </c>
      <c r="G79" s="17">
        <f ca="1">IF(PAJAK[[#This Row],[//]]="","",INDEX(NOTA[TGL_H],PAJAK[[#This Row],[//]]-2))</f>
        <v>45142</v>
      </c>
      <c r="H79" s="17">
        <f ca="1">IF(PAJAK[[#This Row],[//]]="","",INDEX(INDIRECT("NOTA["&amp;PAJAK[#Headers]&amp;"]"),PAJAK[[#This Row],[//]]-2))</f>
        <v>45138</v>
      </c>
      <c r="I79" s="16" t="str">
        <f ca="1">IF(PAJAK[[#This Row],[//]]="","",INDEX(INDIRECT("NOTA["&amp;PAJAK[#Headers]&amp;"]"),PAJAK[[#This Row],[//]]-2))</f>
        <v>SA230713430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4">
        <f ca="1">IF(PAJAK[[#This Row],[//]]="","",SUMIF(NOTA[ID_H],PAJAK[[#This Row],[ID]],NOTA[JUMLAH]))</f>
        <v>7795200</v>
      </c>
      <c r="L79" s="24">
        <f ca="1">IF(PAJAK[[#This Row],[//]]="","",SUMIF(NOTA[ID_H],PAJAK[[#This Row],[ID]],NOTA[DISC]))</f>
        <v>1315440</v>
      </c>
      <c r="M79" s="24">
        <f ca="1">PAJAK[[#This Row],[SUB TOTAL]]-PAJAK[[#This Row],[DISKON]]</f>
        <v>6479760</v>
      </c>
      <c r="N79" s="24">
        <f ca="1">IF(PAJAK[[#This Row],[//]]="","",INDEX(INDIRECT("NOTA["&amp;PAJAK[#Headers]&amp;"]"),PAJAK[[#This Row],[//]]-2+PAJAK[[#This Row],[QB]]-1))</f>
        <v>0</v>
      </c>
      <c r="O79" s="24">
        <f ca="1">(PAJAK[[#This Row],[SUB T-DISC]]-PAJAK[[#This Row],[DISC DLL]])/111%</f>
        <v>5837621.6216216208</v>
      </c>
      <c r="P79" s="24">
        <f ca="1">PAJAK[[#This Row],[DPP]]*PAJAK[[#This Row],[PPN]]</f>
        <v>642138.37837837834</v>
      </c>
      <c r="Q79" s="24">
        <f ca="1">PAJAK[[#This Row],[DPP]]+PAJAK[[#This Row],[PPN 11%]]</f>
        <v>6479759.9999999991</v>
      </c>
      <c r="R79" s="18" t="str">
        <f ca="1">IF(ISNUMBER(PAJAK[[#This Row],[//]]),PPN,"")</f>
        <v>11%</v>
      </c>
    </row>
    <row r="80" spans="1:23" s="31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Row],[ID]],[5]!Table1[ID],0)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4" t="str">
        <f ca="1">IF(PAJAK[[#This Row],[//]]="","",SUMIF(NOTA[ID_H],PAJAK[[#This Row],[ID]],NOTA[JUMLAH]))</f>
        <v/>
      </c>
      <c r="L80" s="24" t="str">
        <f ca="1">IF(PAJAK[[#This Row],[//]]="","",SUMIF(NOTA[ID_H],PAJAK[[#This Row],[ID]],NOTA[DISC]))</f>
        <v/>
      </c>
      <c r="M80" s="24" t="e">
        <f ca="1">PAJAK[[#This Row],[SUB TOTAL]]-PAJAK[[#This Row],[DISKON]]</f>
        <v>#VALUE!</v>
      </c>
      <c r="N80" s="24" t="str">
        <f ca="1">IF(PAJAK[[#This Row],[//]]="","",INDEX(INDIRECT("NOTA["&amp;PAJAK[#Headers]&amp;"]"),PAJAK[[#This Row],[//]]-2+PAJAK[[#This Row],[QB]]-1))</f>
        <v/>
      </c>
      <c r="O80" s="24" t="e">
        <f ca="1">(PAJAK[[#This Row],[SUB T-DISC]]-PAJAK[[#This Row],[DISC DLL]])/111%</f>
        <v>#VALUE!</v>
      </c>
      <c r="P80" s="24" t="e">
        <f ca="1">PAJAK[[#This Row],[DPP]]*PAJAK[[#This Row],[PPN]]</f>
        <v>#VALUE!</v>
      </c>
      <c r="Q80" s="24" t="e">
        <f ca="1">PAJAK[[#This Row],[DPP]]+PAJAK[[#This Row],[PPN 11%]]</f>
        <v>#VALUE!</v>
      </c>
      <c r="R80" s="18" t="str">
        <f ca="1">IF(ISNUMBER(PAJAK[[#This Row],[//]]),PPN,"")</f>
        <v/>
      </c>
      <c r="W80" s="34"/>
    </row>
    <row r="81" spans="1:23" s="31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Row],[ID]],[5]!Table1[ID],0)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4" t="str">
        <f ca="1">IF(PAJAK[[#This Row],[//]]="","",SUMIF(NOTA[ID_H],PAJAK[[#This Row],[ID]],NOTA[JUMLAH]))</f>
        <v/>
      </c>
      <c r="L81" s="24" t="str">
        <f ca="1">IF(PAJAK[[#This Row],[//]]="","",SUMIF(NOTA[ID_H],PAJAK[[#This Row],[ID]],NOTA[DISC]))</f>
        <v/>
      </c>
      <c r="M81" s="24" t="e">
        <f ca="1">PAJAK[[#This Row],[SUB TOTAL]]-PAJAK[[#This Row],[DISKON]]</f>
        <v>#VALUE!</v>
      </c>
      <c r="N81" s="24" t="str">
        <f ca="1">IF(PAJAK[[#This Row],[//]]="","",INDEX(INDIRECT("NOTA["&amp;PAJAK[#Headers]&amp;"]"),PAJAK[[#This Row],[//]]-2+PAJAK[[#This Row],[QB]]-1))</f>
        <v/>
      </c>
      <c r="O81" s="24" t="e">
        <f ca="1">(PAJAK[[#This Row],[SUB T-DISC]]-PAJAK[[#This Row],[DISC DLL]])/111%</f>
        <v>#VALUE!</v>
      </c>
      <c r="P81" s="24" t="e">
        <f ca="1">PAJAK[[#This Row],[DPP]]*PAJAK[[#This Row],[PPN]]</f>
        <v>#VALUE!</v>
      </c>
      <c r="Q81" s="24" t="e">
        <f ca="1">PAJAK[[#This Row],[DPP]]+PAJAK[[#This Row],[PPN 11%]]</f>
        <v>#VALUE!</v>
      </c>
      <c r="R81" s="18" t="str">
        <f ca="1">IF(ISNUMBER(PAJAK[[#This Row],[//]]),PPN,"")</f>
        <v/>
      </c>
      <c r="W81" s="34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Row],[ID]],[5]!Table1[ID],0)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4" t="str">
        <f ca="1">IF(PAJAK[[#This Row],[//]]="","",SUMIF(NOTA[ID_H],PAJAK[[#This Row],[ID]],NOTA[JUMLAH]))</f>
        <v/>
      </c>
      <c r="L82" s="24" t="str">
        <f ca="1">IF(PAJAK[[#This Row],[//]]="","",SUMIF(NOTA[ID_H],PAJAK[[#This Row],[ID]],NOTA[DISC]))</f>
        <v/>
      </c>
      <c r="M82" s="24" t="e">
        <f ca="1">PAJAK[[#This Row],[SUB TOTAL]]-PAJAK[[#This Row],[DISKON]]</f>
        <v>#VALUE!</v>
      </c>
      <c r="N82" s="24" t="str">
        <f ca="1">IF(PAJAK[[#This Row],[//]]="","",INDEX(INDIRECT("NOTA["&amp;PAJAK[#Headers]&amp;"]"),PAJAK[[#This Row],[//]]-2+PAJAK[[#This Row],[QB]]-1))</f>
        <v/>
      </c>
      <c r="O82" s="24" t="e">
        <f ca="1">(PAJAK[[#This Row],[SUB T-DISC]]-PAJAK[[#This Row],[DISC DLL]])/111%</f>
        <v>#VALUE!</v>
      </c>
      <c r="P82" s="24" t="e">
        <f ca="1">PAJAK[[#This Row],[DPP]]*PAJAK[[#This Row],[PPN]]</f>
        <v>#VALUE!</v>
      </c>
      <c r="Q82" s="24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>
        <f ca="1">MATCH(PAJAK[[#This Row],[ID]],[5]!Table1[ID],0)</f>
        <v>1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4" t="str">
        <f ca="1">IF(PAJAK[[#This Row],[//]]="","",SUMIF(NOTA[ID_H],PAJAK[[#This Row],[ID]],NOTA[JUMLAH]))</f>
        <v/>
      </c>
      <c r="L83" s="24" t="str">
        <f ca="1">IF(PAJAK[[#This Row],[//]]="","",SUMIF(NOTA[ID_H],PAJAK[[#This Row],[ID]],NOTA[DISC]))</f>
        <v/>
      </c>
      <c r="M83" s="24" t="e">
        <f ca="1">PAJAK[[#This Row],[SUB TOTAL]]-PAJAK[[#This Row],[DISKON]]</f>
        <v>#VALUE!</v>
      </c>
      <c r="N83" s="24" t="str">
        <f ca="1">IF(PAJAK[[#This Row],[//]]="","",INDEX(INDIRECT("NOTA["&amp;PAJAK[#Headers]&amp;"]"),PAJAK[[#This Row],[//]]-2+PAJAK[[#This Row],[QB]]-1))</f>
        <v/>
      </c>
      <c r="O83" s="24" t="e">
        <f ca="1">(PAJAK[[#This Row],[SUB T-DISC]]-PAJAK[[#This Row],[DISC DLL]])/111%</f>
        <v>#VALUE!</v>
      </c>
      <c r="P83" s="24" t="e">
        <f ca="1">PAJAK[[#This Row],[DPP]]*PAJAK[[#This Row],[PPN]]</f>
        <v>#VALUE!</v>
      </c>
      <c r="Q83" s="24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4" t="str">
        <f ca="1">IF(PAJAK[[#This Row],[//]]="","",SUMIF(NOTA[ID_H],PAJAK[[#This Row],[ID]],NOTA[JUMLAH]))</f>
        <v/>
      </c>
      <c r="L84" s="24" t="str">
        <f ca="1">IF(PAJAK[[#This Row],[//]]="","",SUMIF(NOTA[ID_H],PAJAK[[#This Row],[ID]],NOTA[DISC]))</f>
        <v/>
      </c>
      <c r="M84" s="24" t="e">
        <f ca="1">PAJAK[[#This Row],[SUB TOTAL]]-PAJAK[[#This Row],[DISKON]]</f>
        <v>#VALUE!</v>
      </c>
      <c r="N84" s="24" t="str">
        <f ca="1">IF(PAJAK[[#This Row],[//]]="","",INDEX(INDIRECT("NOTA["&amp;PAJAK[#Headers]&amp;"]"),PAJAK[[#This Row],[//]]-2+PAJAK[[#This Row],[QB]]-1))</f>
        <v/>
      </c>
      <c r="O84" s="24" t="e">
        <f ca="1">(PAJAK[[#This Row],[SUB T-DISC]]-PAJAK[[#This Row],[DISC DLL]])/111%</f>
        <v>#VALUE!</v>
      </c>
      <c r="P84" s="24" t="e">
        <f ca="1">PAJAK[[#This Row],[DPP]]*PAJAK[[#This Row],[PPN]]</f>
        <v>#VALUE!</v>
      </c>
      <c r="Q84" s="24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4" t="str">
        <f ca="1">IF(PAJAK[[#This Row],[//]]="","",SUMIF(NOTA[ID_H],PAJAK[[#This Row],[ID]],NOTA[JUMLAH]))</f>
        <v/>
      </c>
      <c r="L85" s="24" t="str">
        <f ca="1">IF(PAJAK[[#This Row],[//]]="","",SUMIF(NOTA[ID_H],PAJAK[[#This Row],[ID]],NOTA[DISC]))</f>
        <v/>
      </c>
      <c r="M85" s="24" t="e">
        <f ca="1">PAJAK[[#This Row],[SUB TOTAL]]-PAJAK[[#This Row],[DISKON]]</f>
        <v>#VALUE!</v>
      </c>
      <c r="N85" s="24" t="str">
        <f ca="1">IF(PAJAK[[#This Row],[//]]="","",INDEX(INDIRECT("NOTA["&amp;PAJAK[#Headers]&amp;"]"),PAJAK[[#This Row],[//]]-2+PAJAK[[#This Row],[QB]]-1))</f>
        <v/>
      </c>
      <c r="O85" s="24" t="e">
        <f ca="1">(PAJAK[[#This Row],[SUB T-DISC]]-PAJAK[[#This Row],[DISC DLL]])/111%</f>
        <v>#VALUE!</v>
      </c>
      <c r="P85" s="24" t="e">
        <f ca="1">PAJAK[[#This Row],[DPP]]*PAJAK[[#This Row],[PPN]]</f>
        <v>#VALUE!</v>
      </c>
      <c r="Q85" s="24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4" t="str">
        <f ca="1">IF(PAJAK[[#This Row],[//]]="","",SUMIF(NOTA[ID_H],PAJAK[[#This Row],[ID]],NOTA[JUMLAH]))</f>
        <v/>
      </c>
      <c r="L86" s="24" t="str">
        <f ca="1">IF(PAJAK[[#This Row],[//]]="","",SUMIF(NOTA[ID_H],PAJAK[[#This Row],[ID]],NOTA[DISC]))</f>
        <v/>
      </c>
      <c r="M86" s="24" t="e">
        <f ca="1">PAJAK[[#This Row],[SUB TOTAL]]-PAJAK[[#This Row],[DISKON]]</f>
        <v>#VALUE!</v>
      </c>
      <c r="N86" s="24" t="str">
        <f ca="1">IF(PAJAK[[#This Row],[//]]="","",INDEX(INDIRECT("NOTA["&amp;PAJAK[#Headers]&amp;"]"),PAJAK[[#This Row],[//]]-2+PAJAK[[#This Row],[QB]]-1))</f>
        <v/>
      </c>
      <c r="O86" s="24" t="e">
        <f ca="1">(PAJAK[[#This Row],[SUB T-DISC]]-PAJAK[[#This Row],[DISC DLL]])/111%</f>
        <v>#VALUE!</v>
      </c>
      <c r="P86" s="24" t="e">
        <f ca="1">PAJAK[[#This Row],[DPP]]*PAJAK[[#This Row],[PPN]]</f>
        <v>#VALUE!</v>
      </c>
      <c r="Q86" s="24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>
        <f ca="1">MATCH(PAJAK[[#This Row],[ID]],[5]!Table1[ID],0)</f>
        <v>1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4" t="str">
        <f ca="1">IF(PAJAK[[#This Row],[//]]="","",SUMIF(NOTA[ID_H],PAJAK[[#This Row],[ID]],NOTA[JUMLAH]))</f>
        <v/>
      </c>
      <c r="L87" s="24" t="str">
        <f ca="1">IF(PAJAK[[#This Row],[//]]="","",SUMIF(NOTA[ID_H],PAJAK[[#This Row],[ID]],NOTA[DISC]))</f>
        <v/>
      </c>
      <c r="M87" s="24" t="e">
        <f ca="1">PAJAK[[#This Row],[SUB TOTAL]]-PAJAK[[#This Row],[DISKON]]</f>
        <v>#VALUE!</v>
      </c>
      <c r="N87" s="24" t="str">
        <f ca="1">IF(PAJAK[[#This Row],[//]]="","",INDEX(INDIRECT("NOTA["&amp;PAJAK[#Headers]&amp;"]"),PAJAK[[#This Row],[//]]-2+PAJAK[[#This Row],[QB]]-1))</f>
        <v/>
      </c>
      <c r="O87" s="24" t="e">
        <f ca="1">(PAJAK[[#This Row],[SUB T-DISC]]-PAJAK[[#This Row],[DISC DLL]])/111%</f>
        <v>#VALUE!</v>
      </c>
      <c r="P87" s="24" t="e">
        <f ca="1">PAJAK[[#This Row],[DPP]]*PAJAK[[#This Row],[PPN]]</f>
        <v>#VALUE!</v>
      </c>
      <c r="Q87" s="24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4" t="str">
        <f ca="1">IF(PAJAK[[#This Row],[//]]="","",SUMIF(NOTA[ID_H],PAJAK[[#This Row],[ID]],NOTA[JUMLAH]))</f>
        <v/>
      </c>
      <c r="L88" s="24" t="str">
        <f ca="1">IF(PAJAK[[#This Row],[//]]="","",SUMIF(NOTA[ID_H],PAJAK[[#This Row],[ID]],NOTA[DISC]))</f>
        <v/>
      </c>
      <c r="M88" s="24" t="e">
        <f ca="1">PAJAK[[#This Row],[SUB TOTAL]]-PAJAK[[#This Row],[DISKON]]</f>
        <v>#VALUE!</v>
      </c>
      <c r="N88" s="24" t="str">
        <f ca="1">IF(PAJAK[[#This Row],[//]]="","",INDEX(INDIRECT("NOTA["&amp;PAJAK[#Headers]&amp;"]"),PAJAK[[#This Row],[//]]-2+PAJAK[[#This Row],[QB]]-1))</f>
        <v/>
      </c>
      <c r="O88" s="24" t="e">
        <f ca="1">(PAJAK[[#This Row],[SUB T-DISC]]-PAJAK[[#This Row],[DISC DLL]])/111%</f>
        <v>#VALUE!</v>
      </c>
      <c r="P88" s="24" t="e">
        <f ca="1">PAJAK[[#This Row],[DPP]]*PAJAK[[#This Row],[PPN]]</f>
        <v>#VALUE!</v>
      </c>
      <c r="Q88" s="24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4" t="str">
        <f ca="1">IF(PAJAK[[#This Row],[//]]="","",SUMIF(NOTA[ID_H],PAJAK[[#This Row],[ID]],NOTA[JUMLAH]))</f>
        <v/>
      </c>
      <c r="L89" s="24" t="str">
        <f ca="1">IF(PAJAK[[#This Row],[//]]="","",SUMIF(NOTA[ID_H],PAJAK[[#This Row],[ID]],NOTA[DISC]))</f>
        <v/>
      </c>
      <c r="M89" s="24" t="e">
        <f ca="1">PAJAK[[#This Row],[SUB TOTAL]]-PAJAK[[#This Row],[DISKON]]</f>
        <v>#VALUE!</v>
      </c>
      <c r="N89" s="24" t="str">
        <f ca="1">IF(PAJAK[[#This Row],[//]]="","",INDEX(INDIRECT("NOTA["&amp;PAJAK[#Headers]&amp;"]"),PAJAK[[#This Row],[//]]-2+PAJAK[[#This Row],[QB]]-1))</f>
        <v/>
      </c>
      <c r="O89" s="24" t="e">
        <f ca="1">(PAJAK[[#This Row],[SUB T-DISC]]-PAJAK[[#This Row],[DISC DLL]])/111%</f>
        <v>#VALUE!</v>
      </c>
      <c r="P89" s="24" t="e">
        <f ca="1">PAJAK[[#This Row],[DPP]]*PAJAK[[#This Row],[PPN]]</f>
        <v>#VALUE!</v>
      </c>
      <c r="Q89" s="24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Row],[ID]],[5]!Table1[ID],0)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4" t="str">
        <f ca="1">IF(PAJAK[[#This Row],[//]]="","",SUMIF(NOTA[ID_H],PAJAK[[#This Row],[ID]],NOTA[JUMLAH]))</f>
        <v/>
      </c>
      <c r="L90" s="24" t="str">
        <f ca="1">IF(PAJAK[[#This Row],[//]]="","",SUMIF(NOTA[ID_H],PAJAK[[#This Row],[ID]],NOTA[DISC]))</f>
        <v/>
      </c>
      <c r="M90" s="24" t="e">
        <f ca="1">PAJAK[[#This Row],[SUB TOTAL]]-PAJAK[[#This Row],[DISKON]]</f>
        <v>#VALUE!</v>
      </c>
      <c r="N90" s="24" t="str">
        <f ca="1">IF(PAJAK[[#This Row],[//]]="","",INDEX(INDIRECT("NOTA["&amp;PAJAK[#Headers]&amp;"]"),PAJAK[[#This Row],[//]]-2+PAJAK[[#This Row],[QB]]-1))</f>
        <v/>
      </c>
      <c r="O90" s="24" t="e">
        <f ca="1">(PAJAK[[#This Row],[SUB T-DISC]]-PAJAK[[#This Row],[DISC DLL]])/111%</f>
        <v>#VALUE!</v>
      </c>
      <c r="P90" s="24" t="e">
        <f ca="1">PAJAK[[#This Row],[DPP]]*PAJAK[[#This Row],[PPN]]</f>
        <v>#VALUE!</v>
      </c>
      <c r="Q90" s="24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4" t="str">
        <f ca="1">IF(PAJAK[[#This Row],[//]]="","",SUMIF(NOTA[ID_H],PAJAK[[#This Row],[ID]],NOTA[JUMLAH]))</f>
        <v/>
      </c>
      <c r="L91" s="24" t="str">
        <f ca="1">IF(PAJAK[[#This Row],[//]]="","",SUMIF(NOTA[ID_H],PAJAK[[#This Row],[ID]],NOTA[DISC]))</f>
        <v/>
      </c>
      <c r="M91" s="24" t="e">
        <f ca="1">PAJAK[[#This Row],[SUB TOTAL]]-PAJAK[[#This Row],[DISKON]]</f>
        <v>#VALUE!</v>
      </c>
      <c r="N91" s="24" t="str">
        <f ca="1">IF(PAJAK[[#This Row],[//]]="","",INDEX(INDIRECT("NOTA["&amp;PAJAK[#Headers]&amp;"]"),PAJAK[[#This Row],[//]]-2+PAJAK[[#This Row],[QB]]-1))</f>
        <v/>
      </c>
      <c r="O91" s="24" t="e">
        <f ca="1">(PAJAK[[#This Row],[SUB T-DISC]]-PAJAK[[#This Row],[DISC DLL]])/111%</f>
        <v>#VALUE!</v>
      </c>
      <c r="P91" s="24" t="e">
        <f ca="1">PAJAK[[#This Row],[DPP]]*PAJAK[[#This Row],[PPN]]</f>
        <v>#VALUE!</v>
      </c>
      <c r="Q91" s="24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>
        <f ca="1">MATCH(PAJAK[[#This Row],[ID]],[5]!Table1[ID],0)</f>
        <v>1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4" t="str">
        <f ca="1">IF(PAJAK[[#This Row],[//]]="","",SUMIF(NOTA[ID_H],PAJAK[[#This Row],[ID]],NOTA[JUMLAH]))</f>
        <v/>
      </c>
      <c r="L92" s="24" t="str">
        <f ca="1">IF(PAJAK[[#This Row],[//]]="","",SUMIF(NOTA[ID_H],PAJAK[[#This Row],[ID]],NOTA[DISC]))</f>
        <v/>
      </c>
      <c r="M92" s="24" t="e">
        <f ca="1">PAJAK[[#This Row],[SUB TOTAL]]-PAJAK[[#This Row],[DISKON]]</f>
        <v>#VALUE!</v>
      </c>
      <c r="N92" s="24" t="str">
        <f ca="1">IF(PAJAK[[#This Row],[//]]="","",INDEX(INDIRECT("NOTA["&amp;PAJAK[#Headers]&amp;"]"),PAJAK[[#This Row],[//]]-2+PAJAK[[#This Row],[QB]]-1))</f>
        <v/>
      </c>
      <c r="O92" s="24" t="e">
        <f ca="1">(PAJAK[[#This Row],[SUB T-DISC]]-PAJAK[[#This Row],[DISC DLL]])/111%</f>
        <v>#VALUE!</v>
      </c>
      <c r="P92" s="24" t="e">
        <f ca="1">PAJAK[[#This Row],[DPP]]*PAJAK[[#This Row],[PPN]]</f>
        <v>#VALUE!</v>
      </c>
      <c r="Q92" s="24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Row],[ID]],[5]!Table1[ID],0)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4" t="str">
        <f ca="1">IF(PAJAK[[#This Row],[//]]="","",SUMIF(NOTA[ID_H],PAJAK[[#This Row],[ID]],NOTA[JUMLAH]))</f>
        <v/>
      </c>
      <c r="L93" s="24" t="str">
        <f ca="1">IF(PAJAK[[#This Row],[//]]="","",SUMIF(NOTA[ID_H],PAJAK[[#This Row],[ID]],NOTA[DISC]))</f>
        <v/>
      </c>
      <c r="M93" s="24" t="e">
        <f ca="1">PAJAK[[#This Row],[SUB TOTAL]]-PAJAK[[#This Row],[DISKON]]</f>
        <v>#VALUE!</v>
      </c>
      <c r="N93" s="24" t="str">
        <f ca="1">IF(PAJAK[[#This Row],[//]]="","",INDEX(INDIRECT("NOTA["&amp;PAJAK[#Headers]&amp;"]"),PAJAK[[#This Row],[//]]-2+PAJAK[[#This Row],[QB]]-1))</f>
        <v/>
      </c>
      <c r="O93" s="24" t="e">
        <f ca="1">(PAJAK[[#This Row],[SUB T-DISC]]-PAJAK[[#This Row],[DISC DLL]])/111%</f>
        <v>#VALUE!</v>
      </c>
      <c r="P93" s="24" t="e">
        <f ca="1">PAJAK[[#This Row],[DPP]]*PAJAK[[#This Row],[PPN]]</f>
        <v>#VALUE!</v>
      </c>
      <c r="Q93" s="24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67" priority="2"/>
  </conditionalFormatting>
  <conditionalFormatting sqref="I1:I1048576">
    <cfRule type="duplicateValues" dxfId="16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EXP\BARU\2023\07 JULI\[NOTA 07 JULI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195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45115</v>
      </c>
      <c r="F8" s="2">
        <f ca="1">IF(KENKO[[#This Row],[//PAJAK]]="","",INDEX(INDIRECT("PAJAK["&amp;KENKO[#Headers]&amp;"]"),KENKO[[#This Row],[//PAJAK]]-1))</f>
        <v>45113</v>
      </c>
      <c r="G8" s="9" t="str">
        <f ca="1">IF(KENKO[[#This Row],[//PAJAK]]="","",INDEX(INDIRECT("PAJAK["&amp;KENKO[#Headers]&amp;"]"),KENKO[[#This Row],[//PAJAK]]-1))</f>
        <v>23070383</v>
      </c>
      <c r="H8" s="3" t="str">
        <f ca="1">IF(KENKO[[#This Row],[//PAJAK]]="","",INDEX(INDIRECT("PAJAK["&amp;KENKO[#Headers]&amp;"]"),KENKO[[#This Row],[//PAJAK]]-1))</f>
        <v>SA 42834</v>
      </c>
      <c r="I8" s="1">
        <f ca="1">IF(KENKO[[#This Row],[//PAJAK]]="","",INDEX(INDIRECT("PAJAK["&amp;KENKO[#Headers]&amp;"]"),KENKO[[#This Row],[//PAJAK]]-1))</f>
        <v>35006400</v>
      </c>
      <c r="J8" s="1">
        <f ca="1">IF(KENKO[[#This Row],[//PAJAK]]="","",INDEX(INDIRECT("PAJAK["&amp;KENKO[#Headers]&amp;"]"),KENKO[[#This Row],[//PAJAK]]-1))</f>
        <v>5951088</v>
      </c>
      <c r="K8" s="1">
        <f ca="1">(KENKO[[#This Row],[SUB TOTAL]]-KENKO[[#This Row],[DISKON]])/1.11</f>
        <v>26175956.756756753</v>
      </c>
      <c r="L8" s="1">
        <f ca="1">KENKO[[#This Row],[DPP]]*11%</f>
        <v>2879355.2432432426</v>
      </c>
      <c r="M8" s="1">
        <f ca="1">KENKO[[#This Row],[DPP]]+KENKO[[#This Row],[PPN (11%)]]</f>
        <v>29055311.999999996</v>
      </c>
      <c r="N8" s="1" t="str">
        <f ca="1">INDEX(PAJAK[ID_P],MATCH(KENKO[[#This Row],[ID]],PAJAK[ID],0))</f>
        <v>KEN_0807_383-8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204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45115</v>
      </c>
      <c r="F9" s="2">
        <f ca="1">IF(KENKO[[#This Row],[//PAJAK]]="","",INDEX(INDIRECT("PAJAK["&amp;KENKO[#Headers]&amp;"]"),KENKO[[#This Row],[//PAJAK]]-1))</f>
        <v>45113</v>
      </c>
      <c r="G9" s="9" t="str">
        <f ca="1">IF(KENKO[[#This Row],[//PAJAK]]="","",INDEX(INDIRECT("PAJAK["&amp;KENKO[#Headers]&amp;"]"),KENKO[[#This Row],[//PAJAK]]-1))</f>
        <v>23070366</v>
      </c>
      <c r="H9" s="3" t="str">
        <f ca="1">IF(KENKO[[#This Row],[//PAJAK]]="","",INDEX(INDIRECT("PAJAK["&amp;KENKO[#Headers]&amp;"]"),KENKO[[#This Row],[//PAJAK]]-1))</f>
        <v>SA 42814</v>
      </c>
      <c r="I9" s="1">
        <f ca="1">IF(KENKO[[#This Row],[//PAJAK]]="","",INDEX(INDIRECT("PAJAK["&amp;KENKO[#Headers]&amp;"]"),KENKO[[#This Row],[//PAJAK]]-1))</f>
        <v>106108000</v>
      </c>
      <c r="J9" s="1">
        <f ca="1">IF(KENKO[[#This Row],[//PAJAK]]="","",INDEX(INDIRECT("PAJAK["&amp;KENKO[#Headers]&amp;"]"),KENKO[[#This Row],[//PAJAK]]-1))</f>
        <v>18038360</v>
      </c>
      <c r="K9" s="1">
        <f ca="1">(KENKO[[#This Row],[SUB TOTAL]]-KENKO[[#This Row],[DISKON]])/1.11</f>
        <v>79342018.018018007</v>
      </c>
      <c r="L9" s="1">
        <f ca="1">KENKO[[#This Row],[DPP]]*11%</f>
        <v>8727621.9819819815</v>
      </c>
      <c r="M9" s="1">
        <f ca="1">KENKO[[#This Row],[DPP]]+KENKO[[#This Row],[PPN (11%)]]</f>
        <v>88069639.999999985</v>
      </c>
      <c r="N9" s="1" t="str">
        <f ca="1">INDEX(PAJAK[ID_P],MATCH(KENKO[[#This Row],[ID]],PAJAK[ID],0))</f>
        <v>KEN_0807_366-9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236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52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45117</v>
      </c>
      <c r="F10" s="2">
        <f ca="1">IF(KENKO[[#This Row],[//PAJAK]]="","",INDEX(INDIRECT("PAJAK["&amp;KENKO[#Headers]&amp;"]"),KENKO[[#This Row],[//PAJAK]]-1))</f>
        <v>45114</v>
      </c>
      <c r="G10" s="9" t="str">
        <f ca="1">IF(KENKO[[#This Row],[//PAJAK]]="","",INDEX(INDIRECT("PAJAK["&amp;KENKO[#Headers]&amp;"]"),KENKO[[#This Row],[//PAJAK]]-1))</f>
        <v>23070535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60206400</v>
      </c>
      <c r="J10" s="1">
        <f ca="1">IF(KENKO[[#This Row],[//PAJAK]]="","",INDEX(INDIRECT("PAJAK["&amp;KENKO[#Headers]&amp;"]"),KENKO[[#This Row],[//PAJAK]]-1))</f>
        <v>10235088</v>
      </c>
      <c r="K10" s="1">
        <f ca="1">(KENKO[[#This Row],[SUB TOTAL]]-KENKO[[#This Row],[DISKON]])/1.11</f>
        <v>45019199.999999993</v>
      </c>
      <c r="L10" s="1">
        <f ca="1">KENKO[[#This Row],[DPP]]*11%</f>
        <v>4952111.9999999991</v>
      </c>
      <c r="M10" s="1">
        <f ca="1">KENKO[[#This Row],[DPP]]+KENKO[[#This Row],[PPN (11%)]]</f>
        <v>49971311.999999993</v>
      </c>
      <c r="N10" s="1" t="str">
        <f ca="1">INDEX(PAJAK[ID_P],MATCH(KENKO[[#This Row],[ID]],PAJAK[ID],0))</f>
        <v>KEN_1007_535-7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244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53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45117</v>
      </c>
      <c r="F11" s="2">
        <f ca="1">IF(KENKO[[#This Row],[//PAJAK]]="","",INDEX(INDIRECT("PAJAK["&amp;KENKO[#Headers]&amp;"]"),KENKO[[#This Row],[//PAJAK]]-1))</f>
        <v>45115</v>
      </c>
      <c r="G11" s="9" t="str">
        <f ca="1">IF(KENKO[[#This Row],[//PAJAK]]="","",INDEX(INDIRECT("PAJAK["&amp;KENKO[#Headers]&amp;"]"),KENKO[[#This Row],[//PAJAK]]-1))</f>
        <v>23070709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27216000</v>
      </c>
      <c r="J11" s="1">
        <f ca="1">IF(KENKO[[#This Row],[//PAJAK]]="","",INDEX(INDIRECT("PAJAK["&amp;KENKO[#Headers]&amp;"]"),KENKO[[#This Row],[//PAJAK]]-1))</f>
        <v>4626720</v>
      </c>
      <c r="K11" s="1">
        <f ca="1">(KENKO[[#This Row],[SUB TOTAL]]-KENKO[[#This Row],[DISKON]])/1.11</f>
        <v>20350702.702702701</v>
      </c>
      <c r="L11" s="1">
        <f ca="1">KENKO[[#This Row],[DPP]]*11%</f>
        <v>2238577.297297297</v>
      </c>
      <c r="M11" s="1">
        <f ca="1">KENKO[[#This Row],[DPP]]+KENKO[[#This Row],[PPN (11%)]]</f>
        <v>22589280</v>
      </c>
      <c r="N11" s="1" t="str">
        <f ca="1">INDEX(PAJAK[ID_P],MATCH(KENKO[[#This Row],[ID]],PAJAK[ID],0))</f>
        <v>KEN_1007_709-2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293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24</v>
      </c>
      <c r="C12" s="7">
        <f ca="1">HYPERLINK("[NOTA_.xlsx]PAJAK!b"&amp;KENKO[[#This Row],[//PAJAK]],IF(KENKO[[#This Row],[//PAJAK]]="","",INDEX(INDIRECT("PAJAK["&amp;KENKO[#Headers]&amp;"]"),KENKO[[#This Row],[//PAJAK]]-1)))</f>
        <v>59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45119</v>
      </c>
      <c r="F12" s="2">
        <f ca="1">IF(KENKO[[#This Row],[//PAJAK]]="","",INDEX(INDIRECT("PAJAK["&amp;KENKO[#Headers]&amp;"]"),KENKO[[#This Row],[//PAJAK]]-1))</f>
        <v>45117</v>
      </c>
      <c r="G12" s="9" t="str">
        <f ca="1">IF(KENKO[[#This Row],[//PAJAK]]="","",INDEX(INDIRECT("PAJAK["&amp;KENKO[#Headers]&amp;"]"),KENKO[[#This Row],[//PAJAK]]-1))</f>
        <v>23070809</v>
      </c>
      <c r="H12" s="3" t="str">
        <f ca="1">IF(KENKO[[#This Row],[//PAJAK]]="","",INDEX(INDIRECT("PAJAK["&amp;KENKO[#Headers]&amp;"]"),KENKO[[#This Row],[//PAJAK]]-1))</f>
        <v>SA 42908</v>
      </c>
      <c r="I12" s="1">
        <f ca="1">IF(KENKO[[#This Row],[//PAJAK]]="","",INDEX(INDIRECT("PAJAK["&amp;KENKO[#Headers]&amp;"]"),KENKO[[#This Row],[//PAJAK]]-1))</f>
        <v>46780400</v>
      </c>
      <c r="J12" s="1">
        <f ca="1">IF(KENKO[[#This Row],[//PAJAK]]="","",INDEX(INDIRECT("PAJAK["&amp;KENKO[#Headers]&amp;"]"),KENKO[[#This Row],[//PAJAK]]-1))</f>
        <v>7952668</v>
      </c>
      <c r="K12" s="1">
        <f ca="1">(KENKO[[#This Row],[SUB TOTAL]]-KENKO[[#This Row],[DISKON]])/1.11</f>
        <v>34979938.738738738</v>
      </c>
      <c r="L12" s="1">
        <f ca="1">KENKO[[#This Row],[DPP]]*11%</f>
        <v>3847793.2612612611</v>
      </c>
      <c r="M12" s="1">
        <f ca="1">KENKO[[#This Row],[DPP]]+KENKO[[#This Row],[PPN (11%)]]</f>
        <v>38827732</v>
      </c>
      <c r="N12" s="1" t="str">
        <f ca="1">INDEX(PAJAK[ID_P],MATCH(KENKO[[#This Row],[ID]],PAJAK[ID],0))</f>
        <v>KEN_1207_809-11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305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HYPERLINK("[NOTA_.xlsx]PAJAK!b"&amp;KENKO[[#This Row],[//PAJAK]],IF(KENKO[[#This Row],[//PAJAK]]="","",INDEX(INDIRECT("PAJAK["&amp;KENKO[#Headers]&amp;"]"),KENKO[[#This Row],[//PAJAK]]-1)))</f>
        <v>60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45119</v>
      </c>
      <c r="F13" s="2">
        <f ca="1">IF(KENKO[[#This Row],[//PAJAK]]="","",INDEX(INDIRECT("PAJAK["&amp;KENKO[#Headers]&amp;"]"),KENKO[[#This Row],[//PAJAK]]-1))</f>
        <v>45118</v>
      </c>
      <c r="G13" s="6" t="str">
        <f ca="1">IF(KENKO[[#This Row],[//PAJAK]]="","",INDEX(INDIRECT("PAJAK["&amp;KENKO[#Headers]&amp;"]"),KENKO[[#This Row],[//PAJAK]]-1))</f>
        <v>23070865</v>
      </c>
      <c r="H13" t="str">
        <f ca="1">IF(KENKO[[#This Row],[//PAJAK]]="","",INDEX(INDIRECT("PAJAK["&amp;KENKO[#Headers]&amp;"]"),KENKO[[#This Row],[//PAJAK]]-1))</f>
        <v>SA 42939</v>
      </c>
      <c r="I13" s="1">
        <f ca="1">IF(KENKO[[#This Row],[//PAJAK]]="","",INDEX(INDIRECT("PAJAK["&amp;KENKO[#Headers]&amp;"]"),KENKO[[#This Row],[//PAJAK]]-1))</f>
        <v>35096400</v>
      </c>
      <c r="J13" s="1">
        <f ca="1">IF(KENKO[[#This Row],[//PAJAK]]="","",INDEX(INDIRECT("PAJAK["&amp;KENKO[#Headers]&amp;"]"),KENKO[[#This Row],[//PAJAK]]-1))</f>
        <v>5966388</v>
      </c>
      <c r="K13" s="1">
        <f ca="1">(KENKO[[#This Row],[SUB TOTAL]]-KENKO[[#This Row],[DISKON]])/1.11</f>
        <v>26243254.054054052</v>
      </c>
      <c r="L13" s="1">
        <f ca="1">KENKO[[#This Row],[DPP]]*11%</f>
        <v>2886757.9459459456</v>
      </c>
      <c r="M13" s="1">
        <f ca="1">KENKO[[#This Row],[DPP]]+KENKO[[#This Row],[PPN (11%)]]</f>
        <v>29130011.999999996</v>
      </c>
      <c r="N13" s="1" t="str">
        <f ca="1">INDEX(PAJAK[ID_P],MATCH(KENKO[[#This Row],[ID]],PAJAK[ID],0))</f>
        <v>KEN_1207_865-5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HYPERLINK("[NOTA_.xlsx]PAJAK!b"&amp;KENKO[[#This Row],[//PAJAK]],IF(KENKO[[#This Row],[//PAJAK]]="","",INDEX(INDIRECT("PAJAK["&amp;KENKO[#Headers]&amp;"]"),KENKO[[#This Row],[//PAJAK]]-1)))</f>
        <v>66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45121</v>
      </c>
      <c r="F14" s="2">
        <f ca="1">IF(KENKO[[#This Row],[//PAJAK]]="","",INDEX(INDIRECT("PAJAK["&amp;KENKO[#Headers]&amp;"]"),KENKO[[#This Row],[//PAJAK]]-1))</f>
        <v>45119</v>
      </c>
      <c r="G14" s="6" t="str">
        <f ca="1">IF(KENKO[[#This Row],[//PAJAK]]="","",INDEX(INDIRECT("PAJAK["&amp;KENKO[#Headers]&amp;"]"),KENKO[[#This Row],[//PAJAK]]-1))</f>
        <v>23071030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33285600</v>
      </c>
      <c r="J14" s="1">
        <f ca="1">IF(KENKO[[#This Row],[//PAJAK]]="","",INDEX(INDIRECT("PAJAK["&amp;KENKO[#Headers]&amp;"]"),KENKO[[#This Row],[//PAJAK]]-1))</f>
        <v>5658552</v>
      </c>
      <c r="K14" s="1">
        <f ca="1">(KENKO[[#This Row],[SUB TOTAL]]-KENKO[[#This Row],[DISKON]])/1.11</f>
        <v>24889232.432432432</v>
      </c>
      <c r="L14" s="1">
        <f ca="1">KENKO[[#This Row],[DPP]]*11%</f>
        <v>2737815.5675675673</v>
      </c>
      <c r="M14" s="1">
        <f ca="1">KENKO[[#This Row],[DPP]]+KENKO[[#This Row],[PPN (11%)]]</f>
        <v>27627048</v>
      </c>
      <c r="N14" s="1" t="str">
        <f ca="1">INDEX(PAJAK[ID_P],MATCH(KENKO[[#This Row],[ID]],PAJAK[ID],0))</f>
        <v>KEN_1407_030-7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HYPERLINK("[NOTA_.xlsx]PAJAK!b"&amp;KENKO[[#This Row],[//PAJAK]],IF(KENKO[[#This Row],[//PAJAK]]="","",INDEX(INDIRECT("PAJAK["&amp;KENKO[#Headers]&amp;"]"),KENKO[[#This Row],[//PAJAK]]-1)))</f>
        <v>67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45121</v>
      </c>
      <c r="F15" s="2">
        <f ca="1">IF(KENKO[[#This Row],[//PAJAK]]="","",INDEX(INDIRECT("PAJAK["&amp;KENKO[#Headers]&amp;"]"),KENKO[[#This Row],[//PAJAK]]-1))</f>
        <v>45120</v>
      </c>
      <c r="G15" s="6" t="str">
        <f ca="1">IF(KENKO[[#This Row],[//PAJAK]]="","",INDEX(INDIRECT("PAJAK["&amp;KENKO[#Headers]&amp;"]"),KENKO[[#This Row],[//PAJAK]]-1))</f>
        <v>23071173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32127200</v>
      </c>
      <c r="J15" s="1">
        <f ca="1">IF(KENKO[[#This Row],[//PAJAK]]="","",INDEX(INDIRECT("PAJAK["&amp;KENKO[#Headers]&amp;"]"),KENKO[[#This Row],[//PAJAK]]-1))</f>
        <v>5461624</v>
      </c>
      <c r="K15" s="1">
        <f ca="1">(KENKO[[#This Row],[SUB TOTAL]]-KENKO[[#This Row],[DISKON]])/1.11</f>
        <v>24023041.441441439</v>
      </c>
      <c r="L15" s="1">
        <f ca="1">KENKO[[#This Row],[DPP]]*11%</f>
        <v>2642534.5585585581</v>
      </c>
      <c r="M15" s="1">
        <f ca="1">KENKO[[#This Row],[DPP]]+KENKO[[#This Row],[PPN (11%)]]</f>
        <v>26665575.999999996</v>
      </c>
      <c r="N15" s="1" t="str">
        <f ca="1">INDEX(PAJAK[ID_P],MATCH(KENKO[[#This Row],[ID]],PAJAK[ID],0))</f>
        <v>KEN_1407_173-6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29</v>
      </c>
      <c r="C16" s="7">
        <f ca="1">HYPERLINK("[NOTA_.xlsx]PAJAK!b"&amp;KENKO[[#This Row],[//PAJAK]],IF(KENKO[[#This Row],[//PAJAK]]="","",INDEX(INDIRECT("PAJAK["&amp;KENKO[#Headers]&amp;"]"),KENKO[[#This Row],[//PAJAK]]-1)))</f>
        <v>68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45121</v>
      </c>
      <c r="F16" s="2">
        <f ca="1">IF(KENKO[[#This Row],[//PAJAK]]="","",INDEX(INDIRECT("PAJAK["&amp;KENKO[#Headers]&amp;"]"),KENKO[[#This Row],[//PAJAK]]-1))</f>
        <v>45120</v>
      </c>
      <c r="G16" s="9" t="str">
        <f ca="1">IF(KENKO[[#This Row],[//PAJAK]]="","",INDEX(INDIRECT("PAJAK["&amp;KENKO[#Headers]&amp;"]"),KENKO[[#This Row],[//PAJAK]]-1))</f>
        <v>23071162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26742000</v>
      </c>
      <c r="J16" s="1">
        <f ca="1">IF(KENKO[[#This Row],[//PAJAK]]="","",INDEX(INDIRECT("PAJAK["&amp;KENKO[#Headers]&amp;"]"),KENKO[[#This Row],[//PAJAK]]-1))</f>
        <v>4546140</v>
      </c>
      <c r="K16" s="1">
        <f ca="1">(KENKO[[#This Row],[SUB TOTAL]]-KENKO[[#This Row],[DISKON]])/1.11</f>
        <v>19996270.270270269</v>
      </c>
      <c r="L16" s="1">
        <f ca="1">KENKO[[#This Row],[DPP]]*11%</f>
        <v>2199589.7297297297</v>
      </c>
      <c r="M16" s="1">
        <f ca="1">KENKO[[#This Row],[DPP]]+KENKO[[#This Row],[PPN (11%)]]</f>
        <v>22195860</v>
      </c>
      <c r="N16" s="1" t="str">
        <f ca="1">INDEX(PAJAK[ID_P],MATCH(KENKO[[#This Row],[ID]],PAJAK[ID],0))</f>
        <v>KEN_1407_162-6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401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45125</v>
      </c>
      <c r="F17" s="2">
        <f ca="1">IF(KENKO[[#This Row],[//PAJAK]]="","",INDEX(INDIRECT("PAJAK["&amp;KENKO[#Headers]&amp;"]"),KENKO[[#This Row],[//PAJAK]]-1))</f>
        <v>45122</v>
      </c>
      <c r="G17" s="6" t="str">
        <f ca="1">IF(KENKO[[#This Row],[//PAJAK]]="","",INDEX(INDIRECT("PAJAK["&amp;KENKO[#Headers]&amp;"]"),KENKO[[#This Row],[//PAJAK]]-1))</f>
        <v>23071355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9324000</v>
      </c>
      <c r="J17" s="1">
        <f ca="1">IF(KENKO[[#This Row],[//PAJAK]]="","",INDEX(INDIRECT("PAJAK["&amp;KENKO[#Headers]&amp;"]"),KENKO[[#This Row],[//PAJAK]]-1))</f>
        <v>1585080</v>
      </c>
      <c r="K17" s="1">
        <f ca="1">(KENKO[[#This Row],[SUB TOTAL]]-KENKO[[#This Row],[DISKON]])/1.11</f>
        <v>6971999.9999999991</v>
      </c>
      <c r="L17" s="1">
        <f ca="1">KENKO[[#This Row],[DPP]]*11%</f>
        <v>766919.99999999988</v>
      </c>
      <c r="M17" s="1">
        <f ca="1">KENKO[[#This Row],[DPP]]+KENKO[[#This Row],[PPN (11%)]]</f>
        <v>7738919.9999999991</v>
      </c>
      <c r="N17" s="1" t="str">
        <f ca="1">INDEX(PAJAK[ID_P],MATCH(KENKO[[#This Row],[ID]],PAJAK[ID],0))</f>
        <v>KEN_1807_355-2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404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45125</v>
      </c>
      <c r="F18" s="2">
        <f ca="1">IF(KENKO[[#This Row],[//PAJAK]]="","",INDEX(INDIRECT("PAJAK["&amp;KENKO[#Headers]&amp;"]"),KENKO[[#This Row],[//PAJAK]]-1))</f>
        <v>45124</v>
      </c>
      <c r="G18" s="9" t="str">
        <f ca="1">IF(KENKO[[#This Row],[//PAJAK]]="","",INDEX(INDIRECT("PAJAK["&amp;KENKO[#Headers]&amp;"]"),KENKO[[#This Row],[//PAJAK]]-1))</f>
        <v>23071464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20867600</v>
      </c>
      <c r="J18" s="1">
        <f ca="1">IF(KENKO[[#This Row],[//PAJAK]]="","",INDEX(INDIRECT("PAJAK["&amp;KENKO[#Headers]&amp;"]"),KENKO[[#This Row],[//PAJAK]]-1))</f>
        <v>3547492</v>
      </c>
      <c r="K18" s="1">
        <f ca="1">(KENKO[[#This Row],[SUB TOTAL]]-KENKO[[#This Row],[DISKON]])/1.11</f>
        <v>15603700.9009009</v>
      </c>
      <c r="L18" s="1">
        <f ca="1">KENKO[[#This Row],[DPP]]*11%</f>
        <v>1716407.0990990989</v>
      </c>
      <c r="M18" s="1">
        <f ca="1">KENKO[[#This Row],[DPP]]+KENKO[[#This Row],[PPN (11%)]]</f>
        <v>17320108</v>
      </c>
      <c r="N18" s="1" t="str">
        <f ca="1">INDEX(PAJAK[ID_P],MATCH(KENKO[[#This Row],[ID]],PAJAK[ID],0))</f>
        <v>KEN_1807_464-8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430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87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45124</v>
      </c>
      <c r="F19" s="2">
        <f ca="1">IF(KENKO[[#This Row],[//PAJAK]]="","",INDEX(INDIRECT("PAJAK["&amp;KENKO[#Headers]&amp;"]"),KENKO[[#This Row],[//PAJAK]]-1))</f>
        <v>45121</v>
      </c>
      <c r="G19" s="6" t="str">
        <f ca="1">IF(KENKO[[#This Row],[//PAJAK]]="","",INDEX(INDIRECT("PAJAK["&amp;KENKO[#Headers]&amp;"]"),KENKO[[#This Row],[//PAJAK]]-1))</f>
        <v>23071248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33846000</v>
      </c>
      <c r="J19" s="1">
        <f ca="1">IF(KENKO[[#This Row],[//PAJAK]]="","",INDEX(INDIRECT("PAJAK["&amp;KENKO[#Headers]&amp;"]"),KENKO[[#This Row],[//PAJAK]]-1))</f>
        <v>5753820</v>
      </c>
      <c r="K19" s="1">
        <f ca="1">(KENKO[[#This Row],[SUB TOTAL]]-KENKO[[#This Row],[DISKON]])/1.11</f>
        <v>25308270.270270269</v>
      </c>
      <c r="L19" s="1">
        <f ca="1">KENKO[[#This Row],[DPP]]*11%</f>
        <v>2783909.7297297297</v>
      </c>
      <c r="M19" s="1">
        <f ca="1">KENKO[[#This Row],[DPP]]+KENKO[[#This Row],[PPN (11%)]]</f>
        <v>28092180</v>
      </c>
      <c r="N19" s="1" t="str">
        <f ca="1">INDEX(PAJAK[ID_P],MATCH(KENKO[[#This Row],[ID]],PAJAK[ID],0))</f>
        <v>KEN_1707_248-5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55</v>
      </c>
      <c r="C20" s="7">
        <f ca="1">HYPERLINK("[NOTA_.xlsx]PAJAK!b"&amp;KENKO[[#This Row],[//PAJAK]],IF(KENKO[[#This Row],[//PAJAK]]="","",INDEX(INDIRECT("PAJAK["&amp;KENKO[#Headers]&amp;"]"),KENKO[[#This Row],[//PAJAK]]-1)))</f>
        <v>114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45129</v>
      </c>
      <c r="F20" s="2">
        <f ca="1">IF(KENKO[[#This Row],[//PAJAK]]="","",INDEX(INDIRECT("PAJAK["&amp;KENKO[#Headers]&amp;"]"),KENKO[[#This Row],[//PAJAK]]-1))</f>
        <v>45127</v>
      </c>
      <c r="G20" s="9" t="str">
        <f ca="1">IF(KENKO[[#This Row],[//PAJAK]]="","",INDEX(INDIRECT("PAJAK["&amp;KENKO[#Headers]&amp;"]"),KENKO[[#This Row],[//PAJAK]]-1))</f>
        <v>23071686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54686800</v>
      </c>
      <c r="J20" s="1">
        <f ca="1">IF(KENKO[[#This Row],[//PAJAK]]="","",INDEX(INDIRECT("PAJAK["&amp;KENKO[#Headers]&amp;"]"),KENKO[[#This Row],[//PAJAK]]-1))</f>
        <v>9296756</v>
      </c>
      <c r="K20" s="1">
        <f ca="1">(KENKO[[#This Row],[SUB TOTAL]]-KENKO[[#This Row],[DISKON]])/1.11</f>
        <v>40891931.531531528</v>
      </c>
      <c r="L20" s="1">
        <f ca="1">KENKO[[#This Row],[DPP]]*11%</f>
        <v>4498112.4684684677</v>
      </c>
      <c r="M20" s="1">
        <f ca="1">KENKO[[#This Row],[DPP]]+KENKO[[#This Row],[PPN (11%)]]</f>
        <v>45390043.999999993</v>
      </c>
      <c r="N20" s="1" t="str">
        <f ca="1">INDEX(PAJAK[ID_P],MATCH(KENKO[[#This Row],[ID]],PAJAK[ID],0))</f>
        <v>KEN_2207_686-10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590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56</v>
      </c>
      <c r="C21" s="7">
        <f ca="1">HYPERLINK("[NOTA_.xlsx]PAJAK!b"&amp;KENKO[[#This Row],[//PAJAK]],IF(KENKO[[#This Row],[//PAJAK]]="","",INDEX(INDIRECT("PAJAK["&amp;KENKO[#Headers]&amp;"]"),KENKO[[#This Row],[//PAJAK]]-1)))</f>
        <v>115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45129</v>
      </c>
      <c r="F21" s="2">
        <f ca="1">IF(KENKO[[#This Row],[//PAJAK]]="","",INDEX(INDIRECT("PAJAK["&amp;KENKO[#Headers]&amp;"]"),KENKO[[#This Row],[//PAJAK]]-1))</f>
        <v>45127</v>
      </c>
      <c r="G21" s="9" t="str">
        <f ca="1">IF(KENKO[[#This Row],[//PAJAK]]="","",INDEX(INDIRECT("PAJAK["&amp;KENKO[#Headers]&amp;"]"),KENKO[[#This Row],[//PAJAK]]-1))</f>
        <v>23071701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128782800</v>
      </c>
      <c r="J21" s="1">
        <f ca="1">IF(KENKO[[#This Row],[//PAJAK]]="","",INDEX(INDIRECT("PAJAK["&amp;KENKO[#Headers]&amp;"]"),KENKO[[#This Row],[//PAJAK]]-1))</f>
        <v>21893076</v>
      </c>
      <c r="K21" s="1">
        <f ca="1">(KENKO[[#This Row],[SUB TOTAL]]-KENKO[[#This Row],[DISKON]])/1.11</f>
        <v>96297048.648648635</v>
      </c>
      <c r="L21" s="1">
        <f ca="1">KENKO[[#This Row],[DPP]]*11%</f>
        <v>10592675.351351351</v>
      </c>
      <c r="M21" s="1">
        <f ca="1">KENKO[[#This Row],[DPP]]+KENKO[[#This Row],[PPN (11%)]]</f>
        <v>106889723.99999999</v>
      </c>
      <c r="N21" s="1" t="str">
        <f ca="1">INDEX(PAJAK[ID_P],MATCH(KENKO[[#This Row],[ID]],PAJAK[ID],0))</f>
        <v>KEN_2207_701-8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64</v>
      </c>
      <c r="C22" s="7">
        <f ca="1">HYPERLINK("[NOTA_.xlsx]PAJAK!b"&amp;KENKO[[#This Row],[//PAJAK]],IF(KENKO[[#This Row],[//PAJAK]]="","",INDEX(INDIRECT("PAJAK["&amp;KENKO[#Headers]&amp;"]"),KENKO[[#This Row],[//PAJAK]]-1)))</f>
        <v>130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45131</v>
      </c>
      <c r="F22" s="2">
        <f ca="1">IF(KENKO[[#This Row],[//PAJAK]]="","",INDEX(INDIRECT("PAJAK["&amp;KENKO[#Headers]&amp;"]"),KENKO[[#This Row],[//PAJAK]]-1))</f>
        <v>45128</v>
      </c>
      <c r="G22" s="9" t="str">
        <f ca="1">IF(KENKO[[#This Row],[//PAJAK]]="","",INDEX(INDIRECT("PAJAK["&amp;KENKO[#Headers]&amp;"]"),KENKO[[#This Row],[//PAJAK]]-1))</f>
        <v>23071827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101024400</v>
      </c>
      <c r="J22" s="1">
        <f ca="1">IF(KENKO[[#This Row],[//PAJAK]]="","",INDEX(INDIRECT("PAJAK["&amp;KENKO[#Headers]&amp;"]"),KENKO[[#This Row],[//PAJAK]]-1))</f>
        <v>17174148</v>
      </c>
      <c r="K22" s="1">
        <f ca="1">(KENKO[[#This Row],[SUB TOTAL]]-KENKO[[#This Row],[DISKON]])/1.11</f>
        <v>75540767.567567557</v>
      </c>
      <c r="L22" s="1">
        <f ca="1">KENKO[[#This Row],[DPP]]*11%</f>
        <v>8309484.4324324317</v>
      </c>
      <c r="M22" s="1">
        <f ca="1">KENKO[[#This Row],[DPP]]+KENKO[[#This Row],[PPN (11%)]]</f>
        <v>83850251.999999985</v>
      </c>
      <c r="N22" s="1" t="str">
        <f ca="1">INDEX(PAJAK[ID_P],MATCH(KENKO[[#This Row],[ID]],PAJAK[ID],0))</f>
        <v>KEN_2407_827-11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672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65</v>
      </c>
      <c r="C23" s="7">
        <f ca="1">HYPERLINK("[NOTA_.xlsx]PAJAK!b"&amp;KENKO[[#This Row],[//PAJAK]],IF(KENKO[[#This Row],[//PAJAK]]="","",INDEX(INDIRECT("PAJAK["&amp;KENKO[#Headers]&amp;"]"),KENKO[[#This Row],[//PAJAK]]-1)))</f>
        <v>131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45131</v>
      </c>
      <c r="F23" s="2">
        <f ca="1">IF(KENKO[[#This Row],[//PAJAK]]="","",INDEX(INDIRECT("PAJAK["&amp;KENKO[#Headers]&amp;"]"),KENKO[[#This Row],[//PAJAK]]-1))</f>
        <v>45129</v>
      </c>
      <c r="G23" s="9" t="str">
        <f ca="1">IF(KENKO[[#This Row],[//PAJAK]]="","",INDEX(INDIRECT("PAJAK["&amp;KENKO[#Headers]&amp;"]"),KENKO[[#This Row],[//PAJAK]]-1))</f>
        <v>23071987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58502800</v>
      </c>
      <c r="J23" s="1">
        <f ca="1">IF(KENKO[[#This Row],[//PAJAK]]="","",INDEX(INDIRECT("PAJAK["&amp;KENKO[#Headers]&amp;"]"),KENKO[[#This Row],[//PAJAK]]-1))</f>
        <v>9945476</v>
      </c>
      <c r="K23" s="1">
        <f ca="1">(KENKO[[#This Row],[SUB TOTAL]]-KENKO[[#This Row],[DISKON]])/1.11</f>
        <v>43745336.93693693</v>
      </c>
      <c r="L23" s="1">
        <f ca="1">KENKO[[#This Row],[DPP]]*11%</f>
        <v>4811987.0630630627</v>
      </c>
      <c r="M23" s="1">
        <f ca="1">KENKO[[#This Row],[DPP]]+KENKO[[#This Row],[PPN (11%)]]</f>
        <v>48557323.999999993</v>
      </c>
      <c r="N23" s="1" t="str">
        <f ca="1">INDEX(PAJAK[ID_P],MATCH(KENKO[[#This Row],[ID]],PAJAK[ID],0))</f>
        <v>KEN_2407_987-10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683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66</v>
      </c>
      <c r="C24" s="7">
        <f ca="1">HYPERLINK("[NOTA_.xlsx]PAJAK!b"&amp;KENKO[[#This Row],[//PAJAK]],IF(KENKO[[#This Row],[//PAJAK]]="","",INDEX(INDIRECT("PAJAK["&amp;KENKO[#Headers]&amp;"]"),KENKO[[#This Row],[//PAJAK]]-1)))</f>
        <v>132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45131</v>
      </c>
      <c r="F24" s="2">
        <f ca="1">IF(KENKO[[#This Row],[//PAJAK]]="","",INDEX(INDIRECT("PAJAK["&amp;KENKO[#Headers]&amp;"]"),KENKO[[#This Row],[//PAJAK]]-1))</f>
        <v>45129</v>
      </c>
      <c r="G24" s="9" t="str">
        <f ca="1">IF(KENKO[[#This Row],[//PAJAK]]="","",INDEX(INDIRECT("PAJAK["&amp;KENKO[#Headers]&amp;"]"),KENKO[[#This Row],[//PAJAK]]-1))</f>
        <v>23072020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41065200</v>
      </c>
      <c r="J24" s="1">
        <f ca="1">IF(KENKO[[#This Row],[//PAJAK]]="","",INDEX(INDIRECT("PAJAK["&amp;KENKO[#Headers]&amp;"]"),KENKO[[#This Row],[//PAJAK]]-1))</f>
        <v>6981084</v>
      </c>
      <c r="K24" s="1">
        <f ca="1">(KENKO[[#This Row],[SUB TOTAL]]-KENKO[[#This Row],[DISKON]])/1.11</f>
        <v>30706410.810810808</v>
      </c>
      <c r="L24" s="1">
        <f ca="1">KENKO[[#This Row],[DPP]]*11%</f>
        <v>3377705.1891891891</v>
      </c>
      <c r="M24" s="1">
        <f ca="1">KENKO[[#This Row],[DPP]]+KENKO[[#This Row],[PPN (11%)]]</f>
        <v>34084116</v>
      </c>
      <c r="N24" s="1" t="str">
        <f ca="1">INDEX(PAJAK[ID_P],MATCH(KENKO[[#This Row],[ID]],PAJAK[ID],0))</f>
        <v>KEN_2407_020-8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774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149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45134</v>
      </c>
      <c r="F25" s="2">
        <f ca="1">IF(KENKO[[#This Row],[//PAJAK]]="","",INDEX(INDIRECT("PAJAK["&amp;KENKO[#Headers]&amp;"]"),KENKO[[#This Row],[//PAJAK]]-1))</f>
        <v>45131</v>
      </c>
      <c r="G25" s="9" t="str">
        <f ca="1">IF(KENKO[[#This Row],[//PAJAK]]="","",INDEX(INDIRECT("PAJAK["&amp;KENKO[#Headers]&amp;"]"),KENKO[[#This Row],[//PAJAK]]-1))</f>
        <v>23072121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38613600</v>
      </c>
      <c r="J25" s="1">
        <f ca="1">IF(KENKO[[#This Row],[//PAJAK]]="","",INDEX(INDIRECT("PAJAK["&amp;KENKO[#Headers]&amp;"]"),KENKO[[#This Row],[//PAJAK]]-1))</f>
        <v>6564312</v>
      </c>
      <c r="K25" s="1">
        <f ca="1">(KENKO[[#This Row],[SUB TOTAL]]-KENKO[[#This Row],[DISKON]])/1.11</f>
        <v>28873232.432432432</v>
      </c>
      <c r="L25" s="1">
        <f ca="1">KENKO[[#This Row],[DPP]]*11%</f>
        <v>3176055.5675675673</v>
      </c>
      <c r="M25" s="1">
        <f ca="1">KENKO[[#This Row],[DPP]]+KENKO[[#This Row],[PPN (11%)]]</f>
        <v>32049288</v>
      </c>
      <c r="N25" s="1" t="str">
        <f ca="1">INDEX(PAJAK[ID_P],MATCH(KENKO[[#This Row],[ID]],PAJAK[ID],0))</f>
        <v>KEN_2707_121-9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784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150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45134</v>
      </c>
      <c r="F26" s="2">
        <f ca="1">IF(KENKO[[#This Row],[//PAJAK]]="","",INDEX(INDIRECT("PAJAK["&amp;KENKO[#Headers]&amp;"]"),KENKO[[#This Row],[//PAJAK]]-1))</f>
        <v>45133</v>
      </c>
      <c r="G26" s="9" t="str">
        <f ca="1">IF(KENKO[[#This Row],[//PAJAK]]="","",INDEX(INDIRECT("PAJAK["&amp;KENKO[#Headers]&amp;"]"),KENKO[[#This Row],[//PAJAK]]-1))</f>
        <v>23072403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33696000</v>
      </c>
      <c r="J26" s="1">
        <f ca="1">IF(KENKO[[#This Row],[//PAJAK]]="","",INDEX(INDIRECT("PAJAK["&amp;KENKO[#Headers]&amp;"]"),KENKO[[#This Row],[//PAJAK]]-1))</f>
        <v>5728320</v>
      </c>
      <c r="K26" s="1">
        <f ca="1">(KENKO[[#This Row],[SUB TOTAL]]-KENKO[[#This Row],[DISKON]])/1.11</f>
        <v>25196108.108108107</v>
      </c>
      <c r="L26" s="1">
        <f ca="1">KENKO[[#This Row],[DPP]]*11%</f>
        <v>2771571.8918918916</v>
      </c>
      <c r="M26" s="1">
        <f ca="1">KENKO[[#This Row],[DPP]]+KENKO[[#This Row],[PPN (11%)]]</f>
        <v>27967680</v>
      </c>
      <c r="N26" s="1" t="str">
        <f ca="1">INDEX(PAJAK[ID_P],MATCH(KENKO[[#This Row],[ID]],PAJAK[ID],0))</f>
        <v>KEN_2707_403-8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793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151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45134</v>
      </c>
      <c r="F27" s="2">
        <f ca="1">IF(KENKO[[#This Row],[//PAJAK]]="","",INDEX(INDIRECT("PAJAK["&amp;KENKO[#Headers]&amp;"]"),KENKO[[#This Row],[//PAJAK]]-1))</f>
        <v>45133</v>
      </c>
      <c r="G27" s="9" t="str">
        <f ca="1">IF(KENKO[[#This Row],[//PAJAK]]="","",INDEX(INDIRECT("PAJAK["&amp;KENKO[#Headers]&amp;"]"),KENKO[[#This Row],[//PAJAK]]-1))</f>
        <v>23072393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44102400</v>
      </c>
      <c r="J27" s="1">
        <f ca="1">IF(KENKO[[#This Row],[//PAJAK]]="","",INDEX(INDIRECT("PAJAK["&amp;KENKO[#Headers]&amp;"]"),KENKO[[#This Row],[//PAJAK]]-1))</f>
        <v>7497408</v>
      </c>
      <c r="K27" s="1">
        <f ca="1">(KENKO[[#This Row],[SUB TOTAL]]-KENKO[[#This Row],[DISKON]])/1.11</f>
        <v>32977470.270270266</v>
      </c>
      <c r="L27" s="1">
        <f ca="1">KENKO[[#This Row],[DPP]]*11%</f>
        <v>3627521.7297297292</v>
      </c>
      <c r="M27" s="1">
        <f ca="1">KENKO[[#This Row],[DPP]]+KENKO[[#This Row],[PPN (11%)]]</f>
        <v>36604991.999999993</v>
      </c>
      <c r="N27" s="1" t="str">
        <f ca="1">INDEX(PAJAK[ID_P],MATCH(KENKO[[#This Row],[ID]],PAJAK[ID],0))</f>
        <v>KEN_2707_393-6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804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153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45135</v>
      </c>
      <c r="F28" s="2">
        <f ca="1">IF(KENKO[[#This Row],[//PAJAK]]="","",INDEX(INDIRECT("PAJAK["&amp;KENKO[#Headers]&amp;"]"),KENKO[[#This Row],[//PAJAK]]-1))</f>
        <v>45134</v>
      </c>
      <c r="G28" s="9" t="str">
        <f ca="1">IF(KENKO[[#This Row],[//PAJAK]]="","",INDEX(INDIRECT("PAJAK["&amp;KENKO[#Headers]&amp;"]"),KENKO[[#This Row],[//PAJAK]]-1))</f>
        <v>23072522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19548000</v>
      </c>
      <c r="J28" s="1">
        <f ca="1">IF(KENKO[[#This Row],[//PAJAK]]="","",INDEX(INDIRECT("PAJAK["&amp;KENKO[#Headers]&amp;"]"),KENKO[[#This Row],[//PAJAK]]-1))</f>
        <v>3323160.0000000005</v>
      </c>
      <c r="K28" s="1">
        <f ca="1">(KENKO[[#This Row],[SUB TOTAL]]-KENKO[[#This Row],[DISKON]])/1.11</f>
        <v>14616972.972972972</v>
      </c>
      <c r="L28" s="1">
        <f ca="1">KENKO[[#This Row],[DPP]]*11%</f>
        <v>1607867.027027027</v>
      </c>
      <c r="M28" s="1">
        <f ca="1">KENKO[[#This Row],[DPP]]+KENKO[[#This Row],[PPN (11%)]]</f>
        <v>16224840</v>
      </c>
      <c r="N28" s="1" t="str">
        <f ca="1">INDEX(PAJAK[ID_P],MATCH(KENKO[[#This Row],[ID]],PAJAK[ID],0))</f>
        <v>KEN_2807_522-1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EXP\BARU\2023\07 JULI\[NOTA 07 JULI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7"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41</v>
      </c>
      <c r="F1" t="str">
        <f ca="1">MID(G1,FIND("]",G1)+1,LEN(G1)-FIND("]",G1))</f>
        <v>ATALI</v>
      </c>
      <c r="G1" s="4" t="str">
        <f ca="1">CELL("filename",G1)</f>
        <v>D:\kerja\BANK EXP\BARU\2023\07 JULI\[NOTA 07 JULI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2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45115</v>
      </c>
      <c r="F7" s="2">
        <f ca="1">IF(ATALI[[#This Row],[//PAJAK]]="","",INDEX(INDIRECT("PAJAK["&amp;ATALI[#Headers]&amp;"]"),ATALI[[#This Row],[//PAJAK]]-1))</f>
        <v>45111</v>
      </c>
      <c r="G7" s="5" t="str">
        <f ca="1">IF(ATALI[[#This Row],[//PAJAK]]="","",INDEX(INDIRECT("PAJAK["&amp;ATALI[#Headers]&amp;"]"),ATALI[[#This Row],[//PAJAK]]-1))</f>
        <v>SA230711160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27358100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24646936.936936934</v>
      </c>
      <c r="L7" s="1">
        <f ca="1">ATALI[[#This Row],[DPP]]*11%</f>
        <v>2711163.0630630627</v>
      </c>
      <c r="M7" s="1">
        <f ca="1">ATALI[[#This Row],[DPP]]+ATALI[[#This Row],[PPN (11%)]]</f>
        <v>27358099.999999996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45115</v>
      </c>
      <c r="F8" s="2">
        <f ca="1">IF(ATALI[[#This Row],[//PAJAK]]="","",INDEX(INDIRECT("PAJAK["&amp;ATALI[#Headers]&amp;"]"),ATALI[[#This Row],[//PAJAK]]-1))</f>
        <v>45112</v>
      </c>
      <c r="G8" s="5" t="str">
        <f ca="1">IF(ATALI[[#This Row],[//PAJAK]]="","",INDEX(INDIRECT("PAJAK["&amp;ATALI[#Headers]&amp;"]"),ATALI[[#This Row],[//PAJAK]]-1))</f>
        <v>SA230711255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44756205.25</v>
      </c>
      <c r="J8" s="1">
        <f ca="1">IF(ATALI[[#This Row],[//PAJAK]]="","",INDEX(PAJAK[DISC DLL],ATALI[[#This Row],[//PAJAK]]-1))</f>
        <v>270864</v>
      </c>
      <c r="K8" s="1">
        <f ca="1">(ATALI[[#This Row],[SUB TOTAL]]-ATALI[[#This Row],[DISKON]])/1.11</f>
        <v>40076884.009009004</v>
      </c>
      <c r="L8" s="1">
        <f ca="1">ATALI[[#This Row],[DPP]]*11%</f>
        <v>4408457.2409909908</v>
      </c>
      <c r="M8" s="1">
        <f ca="1">ATALI[[#This Row],[DPP]]+ATALI[[#This Row],[PPN (11%)]]</f>
        <v>44485341.249999993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45115</v>
      </c>
      <c r="F9" s="2">
        <f ca="1">IF(ATALI[[#This Row],[//PAJAK]]="","",INDEX(INDIRECT("PAJAK["&amp;ATALI[#Headers]&amp;"]"),ATALI[[#This Row],[//PAJAK]]-1))</f>
        <v>45112</v>
      </c>
      <c r="G9" s="5" t="str">
        <f ca="1">IF(ATALI[[#This Row],[//PAJAK]]="","",INDEX(INDIRECT("PAJAK["&amp;ATALI[#Headers]&amp;"]"),ATALI[[#This Row],[//PAJAK]]-1))</f>
        <v>SA230711292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20564460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18526540.540540539</v>
      </c>
      <c r="L9" s="1">
        <f ca="1">ATALI[[#This Row],[DPP]]*11%</f>
        <v>2037919.4594594592</v>
      </c>
      <c r="M9" s="1">
        <f ca="1">ATALI[[#This Row],[DPP]]+ATALI[[#This Row],[PPN (11%)]]</f>
        <v>20564459.999999996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247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54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45117</v>
      </c>
      <c r="F10" s="2">
        <f ca="1">IF(ATALI[[#This Row],[//PAJAK]]="","",INDEX(INDIRECT("PAJAK["&amp;ATALI[#Headers]&amp;"]"),ATALI[[#This Row],[//PAJAK]]-1))</f>
        <v>45114</v>
      </c>
      <c r="G10" s="5" t="str">
        <f ca="1">IF(ATALI[[#This Row],[//PAJAK]]="","",INDEX(INDIRECT("PAJAK["&amp;ATALI[#Headers]&amp;"]"),ATALI[[#This Row],[//PAJAK]]-1))</f>
        <v>SA230711590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40481875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36470157.657657653</v>
      </c>
      <c r="L10" s="1">
        <f ca="1">ATALI[[#This Row],[DPP]]*11%</f>
        <v>4011717.3423423418</v>
      </c>
      <c r="M10" s="1">
        <f ca="1">ATALI[[#This Row],[DPP]]+ATALI[[#This Row],[PPN (11%)]]</f>
        <v>40481874.999999993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55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45117</v>
      </c>
      <c r="F11" s="2">
        <f ca="1">IF(ATALI[[#This Row],[//PAJAK]]="","",INDEX(INDIRECT("PAJAK["&amp;ATALI[#Headers]&amp;"]"),ATALI[[#This Row],[//PAJAK]]-1))</f>
        <v>45114</v>
      </c>
      <c r="G11" s="5" t="str">
        <f ca="1">IF(ATALI[[#This Row],[//PAJAK]]="","",INDEX(INDIRECT("PAJAK["&amp;ATALI[#Headers]&amp;"]"),ATALI[[#This Row],[//PAJAK]]-1))</f>
        <v>SA230711611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40797085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36754130.630630627</v>
      </c>
      <c r="L11" s="1">
        <f ca="1">ATALI[[#This Row],[DPP]]*11%</f>
        <v>4042954.369369369</v>
      </c>
      <c r="M11" s="1">
        <f ca="1">ATALI[[#This Row],[DPP]]+ATALI[[#This Row],[PPN (11%)]]</f>
        <v>40797085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56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45117</v>
      </c>
      <c r="F12" s="2">
        <f ca="1">IF(ATALI[[#This Row],[//PAJAK]]="","",INDEX(INDIRECT("PAJAK["&amp;ATALI[#Headers]&amp;"]"),ATALI[[#This Row],[//PAJAK]]-1))</f>
        <v>45114</v>
      </c>
      <c r="G12" s="5" t="str">
        <f ca="1">IF(ATALI[[#This Row],[//PAJAK]]="","",INDEX(INDIRECT("PAJAK["&amp;ATALI[#Headers]&amp;"]"),ATALI[[#This Row],[//PAJAK]]-1))</f>
        <v>SA230711537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55419770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49927720.720720716</v>
      </c>
      <c r="L12" s="1">
        <f ca="1">ATALI[[#This Row],[DPP]]*11%</f>
        <v>5492049.2792792786</v>
      </c>
      <c r="M12" s="1">
        <f ca="1">ATALI[[#This Row],[DPP]]+ATALI[[#This Row],[PPN (11%)]]</f>
        <v>55419769.999999993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278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57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45117</v>
      </c>
      <c r="F13" s="2">
        <f ca="1">IF(ATALI[[#This Row],[//PAJAK]]="","",INDEX(INDIRECT("PAJAK["&amp;ATALI[#Headers]&amp;"]"),ATALI[[#This Row],[//PAJAK]]-1))</f>
        <v>45113</v>
      </c>
      <c r="G13" s="5" t="str">
        <f ca="1">IF(ATALI[[#This Row],[//PAJAK]]="","",INDEX(INDIRECT("PAJAK["&amp;ATALI[#Headers]&amp;"]"),ATALI[[#This Row],[//PAJAK]]-1))</f>
        <v>SA230711402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48827292.5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43988551.801801801</v>
      </c>
      <c r="L13" s="1">
        <f ca="1">ATALI[[#This Row],[DPP]]*11%</f>
        <v>4838740.6981981983</v>
      </c>
      <c r="M13" s="1">
        <f ca="1">ATALI[[#This Row],[DPP]]+ATALI[[#This Row],[PPN (11%)]]</f>
        <v>48827292.5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45121</v>
      </c>
      <c r="F14" s="2">
        <f ca="1">IF(ATALI[[#This Row],[//PAJAK]]="","",INDEX(INDIRECT("PAJAK["&amp;ATALI[#Headers]&amp;"]"),ATALI[[#This Row],[//PAJAK]]-1))</f>
        <v>45118</v>
      </c>
      <c r="G14" s="5" t="str">
        <f ca="1">IF(ATALI[[#This Row],[//PAJAK]]="","",INDEX(INDIRECT("PAJAK["&amp;ATALI[#Headers]&amp;"]"),ATALI[[#This Row],[//PAJAK]]-1))</f>
        <v>SA230711837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6650665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5991590.0900900895</v>
      </c>
      <c r="L14" s="1">
        <f ca="1">ATALI[[#This Row],[DPP]]*11%</f>
        <v>659074.90990990982</v>
      </c>
      <c r="M14" s="1">
        <f ca="1">ATALI[[#This Row],[DPP]]+ATALI[[#This Row],[PPN (11%)]]</f>
        <v>6650664.9999999991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70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45121</v>
      </c>
      <c r="F15" s="2">
        <f ca="1">IF(ATALI[[#This Row],[//PAJAK]]="","",INDEX(INDIRECT("PAJAK["&amp;ATALI[#Headers]&amp;"]"),ATALI[[#This Row],[//PAJAK]]-1))</f>
        <v>45119</v>
      </c>
      <c r="G15" s="5" t="str">
        <f ca="1">IF(ATALI[[#This Row],[//PAJAK]]="","",INDEX(INDIRECT("PAJAK["&amp;ATALI[#Headers]&amp;"]"),ATALI[[#This Row],[//PAJAK]]-1))</f>
        <v>SA230711970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5856156.25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5275816.441441441</v>
      </c>
      <c r="L15" s="1">
        <f ca="1">ATALI[[#This Row],[DPP]]*11%</f>
        <v>580339.80855855846</v>
      </c>
      <c r="M15" s="1">
        <f ca="1">ATALI[[#This Row],[DPP]]+ATALI[[#This Row],[PPN (11%)]]</f>
        <v>5856156.2499999991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71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45121</v>
      </c>
      <c r="F16" s="2">
        <f ca="1">IF(ATALI[[#This Row],[//PAJAK]]="","",INDEX(INDIRECT("PAJAK["&amp;ATALI[#Headers]&amp;"]"),ATALI[[#This Row],[//PAJAK]]-1))</f>
        <v>45118</v>
      </c>
      <c r="G16" s="5" t="str">
        <f ca="1">IF(ATALI[[#This Row],[//PAJAK]]="","",INDEX(INDIRECT("PAJAK["&amp;ATALI[#Headers]&amp;"]"),ATALI[[#This Row],[//PAJAK]]-1))</f>
        <v>SA230711914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27381375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24667905.405405402</v>
      </c>
      <c r="L16" s="1">
        <f ca="1">ATALI[[#This Row],[DPP]]*11%</f>
        <v>2713469.5945945941</v>
      </c>
      <c r="M16" s="1">
        <f ca="1">ATALI[[#This Row],[DPP]]+ATALI[[#This Row],[PPN (11%)]]</f>
        <v>27381374.999999996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72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45121</v>
      </c>
      <c r="F17" s="2">
        <f ca="1">IF(ATALI[[#This Row],[//PAJAK]]="","",INDEX(INDIRECT("PAJAK["&amp;ATALI[#Headers]&amp;"]"),ATALI[[#This Row],[//PAJAK]]-1))</f>
        <v>45118</v>
      </c>
      <c r="G17" s="5" t="str">
        <f ca="1">IF(ATALI[[#This Row],[//PAJAK]]="","",INDEX(INDIRECT("PAJAK["&amp;ATALI[#Headers]&amp;"]"),ATALI[[#This Row],[//PAJAK]]-1))</f>
        <v>SA230711838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62574505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56373427.927927926</v>
      </c>
      <c r="L17" s="1">
        <f ca="1">ATALI[[#This Row],[DPP]]*11%</f>
        <v>6201077.072072072</v>
      </c>
      <c r="M17" s="1">
        <f ca="1">ATALI[[#This Row],[DPP]]+ATALI[[#This Row],[PPN (11%)]]</f>
        <v>62574505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373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73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45121</v>
      </c>
      <c r="F18" s="2">
        <f ca="1">IF(ATALI[[#This Row],[//PAJAK]]="","",INDEX(INDIRECT("PAJAK["&amp;ATALI[#Headers]&amp;"]"),ATALI[[#This Row],[//PAJAK]]-1))</f>
        <v>45119</v>
      </c>
      <c r="G18" s="7" t="str">
        <f ca="1">IF(ATALI[[#This Row],[//PAJAK]]="","",INDEX(INDIRECT("PAJAK["&amp;ATALI[#Headers]&amp;"]"),ATALI[[#This Row],[//PAJAK]]-1))</f>
        <v>SA230711938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24229275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21828175.675675675</v>
      </c>
      <c r="L18" s="1">
        <f ca="1">ATALI[[#This Row],[DPP]]*11%</f>
        <v>2401099.3243243243</v>
      </c>
      <c r="M18" s="1">
        <f ca="1">ATALI[[#This Row],[DPP]]+ATALI[[#This Row],[PPN (11%)]]</f>
        <v>24229275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74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45121</v>
      </c>
      <c r="F19" s="2">
        <f ca="1">IF(ATALI[[#This Row],[//PAJAK]]="","",INDEX(INDIRECT("PAJAK["&amp;ATALI[#Headers]&amp;"]"),ATALI[[#This Row],[//PAJAK]]-1))</f>
        <v>45117</v>
      </c>
      <c r="G19" s="7" t="str">
        <f ca="1">IF(ATALI[[#This Row],[//PAJAK]]="","",INDEX(INDIRECT("PAJAK["&amp;ATALI[#Headers]&amp;"]"),ATALI[[#This Row],[//PAJAK]]-1))</f>
        <v>SA230711734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54064500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48706756.756756753</v>
      </c>
      <c r="L19" s="1">
        <f ca="1">ATALI[[#This Row],[DPP]]*11%</f>
        <v>5357743.2432432426</v>
      </c>
      <c r="M19" s="1">
        <f ca="1">ATALI[[#This Row],[DPP]]+ATALI[[#This Row],[PPN (11%)]]</f>
        <v>54064499.999999993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380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75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45121</v>
      </c>
      <c r="F20" s="2">
        <f ca="1">IF(ATALI[[#This Row],[//PAJAK]]="","",INDEX(INDIRECT("PAJAK["&amp;ATALI[#Headers]&amp;"]"),ATALI[[#This Row],[//PAJAK]]-1))</f>
        <v>45117</v>
      </c>
      <c r="G20" s="7" t="str">
        <f ca="1">IF(ATALI[[#This Row],[//PAJAK]]="","",INDEX(INDIRECT("PAJAK["&amp;ATALI[#Headers]&amp;"]"),ATALI[[#This Row],[//PAJAK]]-1))</f>
        <v>SA230711735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12658275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11403851.351351351</v>
      </c>
      <c r="L20" s="1">
        <f ca="1">ATALI[[#This Row],[DPP]]*11%</f>
        <v>1254423.6486486485</v>
      </c>
      <c r="M20" s="1">
        <f ca="1">ATALI[[#This Row],[DPP]]+ATALI[[#This Row],[PPN (11%)]]</f>
        <v>12658275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76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45121</v>
      </c>
      <c r="F21" s="2">
        <f ca="1">IF(ATALI[[#This Row],[//PAJAK]]="","",INDEX(INDIRECT("PAJAK["&amp;ATALI[#Headers]&amp;"]"),ATALI[[#This Row],[//PAJAK]]-1))</f>
        <v>45117</v>
      </c>
      <c r="G21" s="7" t="str">
        <f ca="1">IF(ATALI[[#This Row],[//PAJAK]]="","",INDEX(INDIRECT("PAJAK["&amp;ATALI[#Headers]&amp;"]"),ATALI[[#This Row],[//PAJAK]]-1))</f>
        <v>SA230711783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12059775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10864662.162162161</v>
      </c>
      <c r="L21" s="1">
        <f ca="1">ATALI[[#This Row],[DPP]]*11%</f>
        <v>1195112.8378378376</v>
      </c>
      <c r="M21" s="1">
        <f ca="1">ATALI[[#This Row],[DPP]]+ATALI[[#This Row],[PPN (11%)]]</f>
        <v>12059774.999999998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389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38</v>
      </c>
      <c r="C22" s="12">
        <f ca="1">HYPERLINK("[NOTA_.xlsx]PAJAK!b"&amp;ATALI[[#This Row],[//PAJAK]],IF(ATALI[[#This Row],[//PAJAK]]="","",INDEX(INDIRECT("PAJAK["&amp;ATALI[#Headers]&amp;"]"),ATALI[[#This Row],[//PAJAK]]-1)))</f>
        <v>77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45121</v>
      </c>
      <c r="F22" s="2">
        <f ca="1">IF(ATALI[[#This Row],[//PAJAK]]="","",INDEX(INDIRECT("PAJAK["&amp;ATALI[#Headers]&amp;"]"),ATALI[[#This Row],[//PAJAK]]-1))</f>
        <v>45115</v>
      </c>
      <c r="G22" s="7" t="str">
        <f ca="1">IF(ATALI[[#This Row],[//PAJAK]]="","",INDEX(INDIRECT("PAJAK["&amp;ATALI[#Headers]&amp;"]"),ATALI[[#This Row],[//PAJAK]]-1))</f>
        <v>SA230711666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14930580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13450972.972972972</v>
      </c>
      <c r="L22" s="1">
        <f ca="1">ATALI[[#This Row],[DPP]]*11%</f>
        <v>1479607.027027027</v>
      </c>
      <c r="M22" s="1">
        <f ca="1">ATALI[[#This Row],[DPP]]+ATALI[[#This Row],[PPN (11%)]]</f>
        <v>14930580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526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49</v>
      </c>
      <c r="C23" s="12">
        <f ca="1">HYPERLINK("[NOTA_.xlsx]PAJAK!b"&amp;ATALI[[#This Row],[//PAJAK]],IF(ATALI[[#This Row],[//PAJAK]]="","",INDEX(INDIRECT("PAJAK["&amp;ATALI[#Headers]&amp;"]"),ATALI[[#This Row],[//PAJAK]]-1)))</f>
        <v>108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45127</v>
      </c>
      <c r="F23" s="2">
        <f ca="1">IF(ATALI[[#This Row],[//PAJAK]]="","",INDEX(INDIRECT("PAJAK["&amp;ATALI[#Headers]&amp;"]"),ATALI[[#This Row],[//PAJAK]]-1))</f>
        <v>45120</v>
      </c>
      <c r="G23" s="7" t="str">
        <f ca="1">IF(ATALI[[#This Row],[//PAJAK]]="","",INDEX(INDIRECT("PAJAK["&amp;ATALI[#Headers]&amp;"]"),ATALI[[#This Row],[//PAJAK]]-1))</f>
        <v>SA230712047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45152170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40677630.630630627</v>
      </c>
      <c r="L23" s="1">
        <f ca="1">ATALI[[#This Row],[DPP]]*11%</f>
        <v>4474539.369369369</v>
      </c>
      <c r="M23" s="1">
        <f ca="1">ATALI[[#This Row],[DPP]]+ATALI[[#This Row],[PPN (11%)]]</f>
        <v>45152170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538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50</v>
      </c>
      <c r="C24" s="12">
        <f ca="1">HYPERLINK("[NOTA_.xlsx]PAJAK!b"&amp;ATALI[[#This Row],[//PAJAK]],IF(ATALI[[#This Row],[//PAJAK]]="","",INDEX(INDIRECT("PAJAK["&amp;ATALI[#Headers]&amp;"]"),ATALI[[#This Row],[//PAJAK]]-1)))</f>
        <v>109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45127</v>
      </c>
      <c r="F24" s="2">
        <f ca="1">IF(ATALI[[#This Row],[//PAJAK]]="","",INDEX(INDIRECT("PAJAK["&amp;ATALI[#Headers]&amp;"]"),ATALI[[#This Row],[//PAJAK]]-1))</f>
        <v>45120</v>
      </c>
      <c r="G24" s="7" t="str">
        <f ca="1">IF(ATALI[[#This Row],[//PAJAK]]="","",INDEX(INDIRECT("PAJAK["&amp;ATALI[#Headers]&amp;"]"),ATALI[[#This Row],[//PAJAK]]-1))</f>
        <v>SA230712048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22960854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20685454.054054052</v>
      </c>
      <c r="L24" s="1">
        <f ca="1">ATALI[[#This Row],[DPP]]*11%</f>
        <v>2275399.9459459456</v>
      </c>
      <c r="M24" s="1">
        <f ca="1">ATALI[[#This Row],[DPP]]+ATALI[[#This Row],[PPN (11%)]]</f>
        <v>22960853.999999996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550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51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45127</v>
      </c>
      <c r="F25" s="2">
        <f ca="1">IF(ATALI[[#This Row],[//PAJAK]]="","",INDEX(INDIRECT("PAJAK["&amp;ATALI[#Headers]&amp;"]"),ATALI[[#This Row],[//PAJAK]]-1))</f>
        <v>45120</v>
      </c>
      <c r="G25" s="7" t="str">
        <f ca="1">IF(ATALI[[#This Row],[//PAJAK]]="","",INDEX(INDIRECT("PAJAK["&amp;ATALI[#Headers]&amp;"]"),ATALI[[#This Row],[//PAJAK]]-1))</f>
        <v>SA230712049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10745402.5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9680542.7927927915</v>
      </c>
      <c r="L25" s="1">
        <f ca="1">ATALI[[#This Row],[DPP]]*11%</f>
        <v>1064859.7072072071</v>
      </c>
      <c r="M25" s="1">
        <f ca="1">ATALI[[#This Row],[DPP]]+ATALI[[#This Row],[PPN (11%)]]</f>
        <v>10745402.499999998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557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52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45127</v>
      </c>
      <c r="F26" s="2">
        <f ca="1">IF(ATALI[[#This Row],[//PAJAK]]="","",INDEX(INDIRECT("PAJAK["&amp;ATALI[#Headers]&amp;"]"),ATALI[[#This Row],[//PAJAK]]-1))</f>
        <v>45120</v>
      </c>
      <c r="G26" s="7" t="str">
        <f ca="1">IF(ATALI[[#This Row],[//PAJAK]]="","",INDEX(INDIRECT("PAJAK["&amp;ATALI[#Headers]&amp;"]"),ATALI[[#This Row],[//PAJAK]]-1))</f>
        <v>SA230712050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3910200</v>
      </c>
      <c r="J26" s="1">
        <f ca="1">IF(ATALI[[#This Row],[//PAJAK]]="","",INDEX(PAJAK[DISC DLL],ATALI[[#This Row],[//PAJAK]]-1))</f>
        <v>553612</v>
      </c>
      <c r="K26" s="1">
        <f ca="1">(ATALI[[#This Row],[SUB TOTAL]]-ATALI[[#This Row],[DISKON]])/1.11</f>
        <v>3023953.1531531527</v>
      </c>
      <c r="L26" s="1">
        <f ca="1">ATALI[[#This Row],[DPP]]*11%</f>
        <v>332634.84684684681</v>
      </c>
      <c r="M26" s="1">
        <f ca="1">ATALI[[#This Row],[DPP]]+ATALI[[#This Row],[PPN (11%)]]</f>
        <v>3356587.9999999995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565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53</v>
      </c>
      <c r="C27" s="12">
        <f ca="1">HYPERLINK("[NOTA_.xlsx]PAJAK!b"&amp;ATALI[[#This Row],[//PAJAK]],IF(ATALI[[#This Row],[//PAJAK]]="","",INDEX(INDIRECT("PAJAK["&amp;ATALI[#Headers]&amp;"]"),ATALI[[#This Row],[//PAJAK]]-1)))</f>
        <v>112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45127</v>
      </c>
      <c r="F27" s="2">
        <f ca="1">IF(ATALI[[#This Row],[//PAJAK]]="","",INDEX(INDIRECT("PAJAK["&amp;ATALI[#Headers]&amp;"]"),ATALI[[#This Row],[//PAJAK]]-1))</f>
        <v>45121</v>
      </c>
      <c r="G27" s="7" t="str">
        <f ca="1">IF(ATALI[[#This Row],[//PAJAK]]="","",INDEX(INDIRECT("PAJAK["&amp;ATALI[#Headers]&amp;"]"),ATALI[[#This Row],[//PAJAK]]-1))</f>
        <v>SA230712212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45081015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40613527.027027026</v>
      </c>
      <c r="L27" s="1">
        <f ca="1">ATALI[[#This Row],[DPP]]*11%</f>
        <v>4467487.9729729732</v>
      </c>
      <c r="M27" s="1">
        <f ca="1">ATALI[[#This Row],[DPP]]+ATALI[[#This Row],[PPN (11%)]]</f>
        <v>45081015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576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54</v>
      </c>
      <c r="C28" s="12">
        <f ca="1">HYPERLINK("[NOTA_.xlsx]PAJAK!b"&amp;ATALI[[#This Row],[//PAJAK]],IF(ATALI[[#This Row],[//PAJAK]]="","",INDEX(INDIRECT("PAJAK["&amp;ATALI[#Headers]&amp;"]"),ATALI[[#This Row],[//PAJAK]]-1)))</f>
        <v>113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45127</v>
      </c>
      <c r="F28" s="2">
        <f ca="1">IF(ATALI[[#This Row],[//PAJAK]]="","",INDEX(INDIRECT("PAJAK["&amp;ATALI[#Headers]&amp;"]"),ATALI[[#This Row],[//PAJAK]]-1))</f>
        <v>45121</v>
      </c>
      <c r="G28" s="7" t="str">
        <f ca="1">IF(ATALI[[#This Row],[//PAJAK]]="","",INDEX(INDIRECT("PAJAK["&amp;ATALI[#Headers]&amp;"]"),ATALI[[#This Row],[//PAJAK]]-1))</f>
        <v>SA230712175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3142125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2830743.2432432431</v>
      </c>
      <c r="L28" s="1">
        <f ca="1">ATALI[[#This Row],[DPP]]*11%</f>
        <v>311381.75675675675</v>
      </c>
      <c r="M28" s="1">
        <f ca="1">ATALI[[#This Row],[DPP]]+ATALI[[#This Row],[PPN (11%)]]</f>
        <v>3142125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599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57</v>
      </c>
      <c r="C29" s="12">
        <f ca="1">HYPERLINK("[NOTA_.xlsx]PAJAK!b"&amp;ATALI[[#This Row],[//PAJAK]],IF(ATALI[[#This Row],[//PAJAK]]="","",INDEX(INDIRECT("PAJAK["&amp;ATALI[#Headers]&amp;"]"),ATALI[[#This Row],[//PAJAK]]-1)))</f>
        <v>116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45129</v>
      </c>
      <c r="F29" s="2">
        <f ca="1">IF(ATALI[[#This Row],[//PAJAK]]="","",INDEX(INDIRECT("PAJAK["&amp;ATALI[#Headers]&amp;"]"),ATALI[[#This Row],[//PAJAK]]-1))</f>
        <v>45125</v>
      </c>
      <c r="G29" s="7" t="str">
        <f ca="1">IF(ATALI[[#This Row],[//PAJAK]]="","",INDEX(INDIRECT("PAJAK["&amp;ATALI[#Headers]&amp;"]"),ATALI[[#This Row],[//PAJAK]]-1))</f>
        <v>SA230712527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21127050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19033378.378378376</v>
      </c>
      <c r="L29" s="1">
        <f ca="1">ATALI[[#This Row],[DPP]]*11%</f>
        <v>2093671.6216216213</v>
      </c>
      <c r="M29" s="1">
        <f ca="1">ATALI[[#This Row],[DPP]]+ATALI[[#This Row],[PPN (11%)]]</f>
        <v>21127049.999999996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625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59</v>
      </c>
      <c r="C30" s="12">
        <f ca="1">HYPERLINK("[NOTA_.xlsx]PAJAK!b"&amp;ATALI[[#This Row],[//PAJAK]],IF(ATALI[[#This Row],[//PAJAK]]="","",INDEX(INDIRECT("PAJAK["&amp;ATALI[#Headers]&amp;"]"),ATALI[[#This Row],[//PAJAK]]-1)))</f>
        <v>125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45131</v>
      </c>
      <c r="F30" s="2">
        <f ca="1">IF(ATALI[[#This Row],[//PAJAK]]="","",INDEX(INDIRECT("PAJAK["&amp;ATALI[#Headers]&amp;"]"),ATALI[[#This Row],[//PAJAK]]-1))</f>
        <v>45128</v>
      </c>
      <c r="G30" s="7" t="str">
        <f ca="1">IF(ATALI[[#This Row],[//PAJAK]]="","",INDEX(INDIRECT("PAJAK["&amp;ATALI[#Headers]&amp;"]"),ATALI[[#This Row],[//PAJAK]]-1))</f>
        <v>SA230712769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19386329.375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17465161.599099096</v>
      </c>
      <c r="L30" s="1">
        <f ca="1">ATALI[[#This Row],[DPP]]*11%</f>
        <v>1921167.7759009006</v>
      </c>
      <c r="M30" s="1">
        <f ca="1">ATALI[[#This Row],[DPP]]+ATALI[[#This Row],[PPN (11%)]]</f>
        <v>19386329.374999996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634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60</v>
      </c>
      <c r="C31" s="12">
        <f ca="1">HYPERLINK("[NOTA_.xlsx]PAJAK!b"&amp;ATALI[[#This Row],[//PAJAK]],IF(ATALI[[#This Row],[//PAJAK]]="","",INDEX(INDIRECT("PAJAK["&amp;ATALI[#Headers]&amp;"]"),ATALI[[#This Row],[//PAJAK]]-1)))</f>
        <v>126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45131</v>
      </c>
      <c r="F31" s="2">
        <f ca="1">IF(ATALI[[#This Row],[//PAJAK]]="","",INDEX(INDIRECT("PAJAK["&amp;ATALI[#Headers]&amp;"]"),ATALI[[#This Row],[//PAJAK]]-1))</f>
        <v>45128</v>
      </c>
      <c r="G31" s="7" t="str">
        <f ca="1">IF(ATALI[[#This Row],[//PAJAK]]="","",INDEX(INDIRECT("PAJAK["&amp;ATALI[#Headers]&amp;"]"),ATALI[[#This Row],[//PAJAK]]-1))</f>
        <v>SA230712770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28798157.5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25944286.036036033</v>
      </c>
      <c r="L31" s="1">
        <f ca="1">ATALI[[#This Row],[DPP]]*11%</f>
        <v>2853871.4639639636</v>
      </c>
      <c r="M31" s="1">
        <f ca="1">ATALI[[#This Row],[DPP]]+ATALI[[#This Row],[PPN (11%)]]</f>
        <v>28798157.499999996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642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61</v>
      </c>
      <c r="C32" s="12">
        <f ca="1">HYPERLINK("[NOTA_.xlsx]PAJAK!b"&amp;ATALI[[#This Row],[//PAJAK]],IF(ATALI[[#This Row],[//PAJAK]]="","",INDEX(INDIRECT("PAJAK["&amp;ATALI[#Headers]&amp;"]"),ATALI[[#This Row],[//PAJAK]]-1)))</f>
        <v>127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45131</v>
      </c>
      <c r="F32" s="2">
        <f ca="1">IF(ATALI[[#This Row],[//PAJAK]]="","",INDEX(INDIRECT("PAJAK["&amp;ATALI[#Headers]&amp;"]"),ATALI[[#This Row],[//PAJAK]]-1))</f>
        <v>45128</v>
      </c>
      <c r="G32" s="7" t="str">
        <f ca="1">IF(ATALI[[#This Row],[//PAJAK]]="","",INDEX(INDIRECT("PAJAK["&amp;ATALI[#Headers]&amp;"]"),ATALI[[#This Row],[//PAJAK]]-1))</f>
        <v>SA230712848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33160890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29874675.675675672</v>
      </c>
      <c r="L32" s="1">
        <f ca="1">ATALI[[#This Row],[DPP]]*11%</f>
        <v>3286214.3243243238</v>
      </c>
      <c r="M32" s="1">
        <f ca="1">ATALI[[#This Row],[DPP]]+ATALI[[#This Row],[PPN (11%)]]</f>
        <v>33160889.999999996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648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62</v>
      </c>
      <c r="C33" s="12">
        <f ca="1">HYPERLINK("[NOTA_.xlsx]PAJAK!b"&amp;ATALI[[#This Row],[//PAJAK]],IF(ATALI[[#This Row],[//PAJAK]]="","",INDEX(INDIRECT("PAJAK["&amp;ATALI[#Headers]&amp;"]"),ATALI[[#This Row],[//PAJAK]]-1)))</f>
        <v>128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45131</v>
      </c>
      <c r="F33" s="2">
        <f ca="1">IF(ATALI[[#This Row],[//PAJAK]]="","",INDEX(INDIRECT("PAJAK["&amp;ATALI[#Headers]&amp;"]"),ATALI[[#This Row],[//PAJAK]]-1))</f>
        <v>45127</v>
      </c>
      <c r="G33" s="7" t="str">
        <f ca="1">IF(ATALI[[#This Row],[//PAJAK]]="","",INDEX(INDIRECT("PAJAK["&amp;ATALI[#Headers]&amp;"]"),ATALI[[#This Row],[//PAJAK]]-1))</f>
        <v>SA230712676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6344100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5715405.405405405</v>
      </c>
      <c r="L33" s="1">
        <f ca="1">ATALI[[#This Row],[DPP]]*11%</f>
        <v>628694.59459459456</v>
      </c>
      <c r="M33" s="1">
        <f ca="1">ATALI[[#This Row],[DPP]]+ATALI[[#This Row],[PPN (11%)]]</f>
        <v>6344100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650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63</v>
      </c>
      <c r="C34" s="12">
        <f ca="1">HYPERLINK("[NOTA_.xlsx]PAJAK!b"&amp;ATALI[[#This Row],[//PAJAK]],IF(ATALI[[#This Row],[//PAJAK]]="","",INDEX(INDIRECT("PAJAK["&amp;ATALI[#Headers]&amp;"]"),ATALI[[#This Row],[//PAJAK]]-1)))</f>
        <v>129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45131</v>
      </c>
      <c r="F34" s="2">
        <f ca="1">IF(ATALI[[#This Row],[//PAJAK]]="","",INDEX(INDIRECT("PAJAK["&amp;ATALI[#Headers]&amp;"]"),ATALI[[#This Row],[//PAJAK]]-1))</f>
        <v>45127</v>
      </c>
      <c r="G34" s="7" t="str">
        <f ca="1">IF(ATALI[[#This Row],[//PAJAK]]="","",INDEX(INDIRECT("PAJAK["&amp;ATALI[#Headers]&amp;"]"),ATALI[[#This Row],[//PAJAK]]-1))</f>
        <v>SA230712604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35456137.5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31942466.216216214</v>
      </c>
      <c r="L34" s="1">
        <f ca="1">ATALI[[#This Row],[DPP]]*11%</f>
        <v>3513671.2837837837</v>
      </c>
      <c r="M34" s="1">
        <f ca="1">ATALI[[#This Row],[DPP]]+ATALI[[#This Row],[PPN (11%)]]</f>
        <v>35456137.5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760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67</v>
      </c>
      <c r="C35" s="12">
        <f ca="1">HYPERLINK("[NOTA_.xlsx]PAJAK!b"&amp;ATALI[[#This Row],[//PAJAK]],IF(ATALI[[#This Row],[//PAJAK]]="","",INDEX(INDIRECT("PAJAK["&amp;ATALI[#Headers]&amp;"]"),ATALI[[#This Row],[//PAJAK]]-1)))</f>
        <v>147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45134</v>
      </c>
      <c r="F35" s="2">
        <f ca="1">IF(ATALI[[#This Row],[//PAJAK]]="","",INDEX(INDIRECT("PAJAK["&amp;ATALI[#Headers]&amp;"]"),ATALI[[#This Row],[//PAJAK]]-1))</f>
        <v>45129</v>
      </c>
      <c r="G35" s="7" t="str">
        <f ca="1">IF(ATALI[[#This Row],[//PAJAK]]="","",INDEX(INDIRECT("PAJAK["&amp;ATALI[#Headers]&amp;"]"),ATALI[[#This Row],[//PAJAK]]-1))</f>
        <v>SA230712897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35183820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31697135.135135133</v>
      </c>
      <c r="L35" s="1">
        <f ca="1">ATALI[[#This Row],[DPP]]*11%</f>
        <v>3486684.8648648649</v>
      </c>
      <c r="M35" s="1">
        <f ca="1">ATALI[[#This Row],[DPP]]+ATALI[[#This Row],[PPN (11%)]]</f>
        <v>35183820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771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68</v>
      </c>
      <c r="C36" s="12">
        <f ca="1">HYPERLINK("[NOTA_.xlsx]PAJAK!b"&amp;ATALI[[#This Row],[//PAJAK]],IF(ATALI[[#This Row],[//PAJAK]]="","",INDEX(INDIRECT("PAJAK["&amp;ATALI[#Headers]&amp;"]"),ATALI[[#This Row],[//PAJAK]]-1)))</f>
        <v>148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45134</v>
      </c>
      <c r="F36" s="2">
        <f ca="1">IF(ATALI[[#This Row],[//PAJAK]]="","",INDEX(INDIRECT("PAJAK["&amp;ATALI[#Headers]&amp;"]"),ATALI[[#This Row],[//PAJAK]]-1))</f>
        <v>45131</v>
      </c>
      <c r="G36" s="7" t="str">
        <f ca="1">IF(ATALI[[#This Row],[//PAJAK]]="","",INDEX(INDIRECT("PAJAK["&amp;ATALI[#Headers]&amp;"]"),ATALI[[#This Row],[//PAJAK]]-1))</f>
        <v>SA230712989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3447360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3105729.7297297292</v>
      </c>
      <c r="L36" s="1">
        <f ca="1">ATALI[[#This Row],[DPP]]*11%</f>
        <v>341630.27027027024</v>
      </c>
      <c r="M36" s="1">
        <f ca="1">ATALI[[#This Row],[DPP]]+ATALI[[#This Row],[PPN (11%)]]</f>
        <v>3447359.9999999995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806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73</v>
      </c>
      <c r="C37" s="12">
        <f ca="1">HYPERLINK("[NOTA_.xlsx]PAJAK!b"&amp;ATALI[[#This Row],[//PAJAK]],IF(ATALI[[#This Row],[//PAJAK]]="","",INDEX(INDIRECT("PAJAK["&amp;ATALI[#Headers]&amp;"]"),ATALI[[#This Row],[//PAJAK]]-1)))</f>
        <v>154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45135</v>
      </c>
      <c r="F37" s="2">
        <f ca="1">IF(ATALI[[#This Row],[//PAJAK]]="","",INDEX(INDIRECT("PAJAK["&amp;ATALI[#Headers]&amp;"]"),ATALI[[#This Row],[//PAJAK]]-1))</f>
        <v>45132</v>
      </c>
      <c r="G37" s="7" t="str">
        <f ca="1">IF(ATALI[[#This Row],[//PAJAK]]="","",INDEX(INDIRECT("PAJAK["&amp;ATALI[#Headers]&amp;"]"),ATALI[[#This Row],[//PAJAK]]-1))</f>
        <v>SA230713073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12855780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11581783.783783782</v>
      </c>
      <c r="L37" s="1">
        <f ca="1">ATALI[[#This Row],[DPP]]*11%</f>
        <v>1273996.2162162161</v>
      </c>
      <c r="M37" s="1">
        <f ca="1">ATALI[[#This Row],[DPP]]+ATALI[[#This Row],[PPN (11%)]]</f>
        <v>12855779.999999998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810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74</v>
      </c>
      <c r="C38" s="12">
        <f ca="1">HYPERLINK("[NOTA_.xlsx]PAJAK!b"&amp;ATALI[[#This Row],[//PAJAK]],IF(ATALI[[#This Row],[//PAJAK]]="","",INDEX(INDIRECT("PAJAK["&amp;ATALI[#Headers]&amp;"]"),ATALI[[#This Row],[//PAJAK]]-1)))</f>
        <v>155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45135</v>
      </c>
      <c r="F38" s="2">
        <f ca="1">IF(ATALI[[#This Row],[//PAJAK]]="","",INDEX(INDIRECT("PAJAK["&amp;ATALI[#Headers]&amp;"]"),ATALI[[#This Row],[//PAJAK]]-1))</f>
        <v>45133</v>
      </c>
      <c r="G38" s="7" t="str">
        <f ca="1">IF(ATALI[[#This Row],[//PAJAK]]="","",INDEX(INDIRECT("PAJAK["&amp;ATALI[#Headers]&amp;"]"),ATALI[[#This Row],[//PAJAK]]-1))</f>
        <v>SA230713095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2836890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2555756.7567567565</v>
      </c>
      <c r="L38" s="1">
        <f ca="1">ATALI[[#This Row],[DPP]]*11%</f>
        <v>281133.2432432432</v>
      </c>
      <c r="M38" s="1">
        <f ca="1">ATALI[[#This Row],[DPP]]+ATALI[[#This Row],[PPN (11%)]]</f>
        <v>2836889.9999999995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824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75</v>
      </c>
      <c r="C39" s="12">
        <f ca="1">HYPERLINK("[NOTA_.xlsx]PAJAK!b"&amp;ATALI[[#This Row],[//PAJAK]],IF(ATALI[[#This Row],[//PAJAK]]="","",INDEX(INDIRECT("PAJAK["&amp;ATALI[#Headers]&amp;"]"),ATALI[[#This Row],[//PAJAK]]-1)))</f>
        <v>157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45138</v>
      </c>
      <c r="F39" s="2">
        <f ca="1">IF(ATALI[[#This Row],[//PAJAK]]="","",INDEX(INDIRECT("PAJAK["&amp;ATALI[#Headers]&amp;"]"),ATALI[[#This Row],[//PAJAK]]-1))</f>
        <v>45134</v>
      </c>
      <c r="G39" s="7" t="str">
        <f ca="1">IF(ATALI[[#This Row],[//PAJAK]]="","",INDEX(INDIRECT("PAJAK["&amp;ATALI[#Headers]&amp;"]"),ATALI[[#This Row],[//PAJAK]]-1))</f>
        <v>SA230713224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17982930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16200837.837837836</v>
      </c>
      <c r="L39" s="1">
        <f ca="1">ATALI[[#This Row],[DPP]]*11%</f>
        <v>1782092.1621621619</v>
      </c>
      <c r="M39" s="1">
        <f ca="1">ATALI[[#This Row],[DPP]]+ATALI[[#This Row],[PPN (11%)]]</f>
        <v>17982929.999999996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832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76</v>
      </c>
      <c r="C40" s="12">
        <f ca="1">HYPERLINK("[NOTA_.xlsx]PAJAK!b"&amp;ATALI[[#This Row],[//PAJAK]],IF(ATALI[[#This Row],[//PAJAK]]="","",INDEX(INDIRECT("PAJAK["&amp;ATALI[#Headers]&amp;"]"),ATALI[[#This Row],[//PAJAK]]-1)))</f>
        <v>158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45139</v>
      </c>
      <c r="F40" s="2">
        <f ca="1">IF(ATALI[[#This Row],[//PAJAK]]="","",INDEX(INDIRECT("PAJAK["&amp;ATALI[#Headers]&amp;"]"),ATALI[[#This Row],[//PAJAK]]-1))</f>
        <v>45135</v>
      </c>
      <c r="G40" s="7" t="str">
        <f ca="1">IF(ATALI[[#This Row],[//PAJAK]]="","",INDEX(INDIRECT("PAJAK["&amp;ATALI[#Headers]&amp;"]"),ATALI[[#This Row],[//PAJAK]]-1))</f>
        <v>SA230713282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2573550</v>
      </c>
      <c r="J40" s="1">
        <f ca="1">IF(ATALI[[#This Row],[//PAJAK]]="","",INDEX(PAJAK[DISC DLL],ATALI[[#This Row],[//PAJAK]]-1))</f>
        <v>0</v>
      </c>
      <c r="K40" s="1">
        <f ca="1">(ATALI[[#This Row],[SUB TOTAL]]-ATALI[[#This Row],[DISKON]])/1.11</f>
        <v>2318513.5135135134</v>
      </c>
      <c r="L40" s="1">
        <f ca="1">ATALI[[#This Row],[DPP]]*11%</f>
        <v>255036.48648648648</v>
      </c>
      <c r="M40" s="1">
        <f ca="1">ATALI[[#This Row],[DPP]]+ATALI[[#This Row],[PPN (11%)]]</f>
        <v>2573550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834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77</v>
      </c>
      <c r="C41" s="12">
        <f ca="1">HYPERLINK("[NOTA_.xlsx]PAJAK!b"&amp;ATALI[[#This Row],[//PAJAK]],IF(ATALI[[#This Row],[//PAJAK]]="","",INDEX(INDIRECT("PAJAK["&amp;ATALI[#Headers]&amp;"]"),ATALI[[#This Row],[//PAJAK]]-1)))</f>
        <v>159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45139</v>
      </c>
      <c r="F41" s="2">
        <f ca="1">IF(ATALI[[#This Row],[//PAJAK]]="","",INDEX(INDIRECT("PAJAK["&amp;ATALI[#Headers]&amp;"]"),ATALI[[#This Row],[//PAJAK]]-1))</f>
        <v>45136</v>
      </c>
      <c r="G41" s="7" t="str">
        <f ca="1">IF(ATALI[[#This Row],[//PAJAK]]="","",INDEX(INDIRECT("PAJAK["&amp;ATALI[#Headers]&amp;"]"),ATALI[[#This Row],[//PAJAK]]-1))</f>
        <v>SA230713352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7541100</v>
      </c>
      <c r="J41" s="1">
        <f ca="1">IF(ATALI[[#This Row],[//PAJAK]]="","",INDEX(PAJAK[DISC DLL],ATALI[[#This Row],[//PAJAK]]-1))</f>
        <v>0</v>
      </c>
      <c r="K41" s="1">
        <f ca="1">(ATALI[[#This Row],[SUB TOTAL]]-ATALI[[#This Row],[DISKON]])/1.11</f>
        <v>6793783.7837837832</v>
      </c>
      <c r="L41" s="1">
        <f ca="1">ATALI[[#This Row],[DPP]]*11%</f>
        <v>747316.21621621621</v>
      </c>
      <c r="M41" s="1">
        <f ca="1">ATALI[[#This Row],[DPP]]+ATALI[[#This Row],[PPN (11%)]]</f>
        <v>7541099.9999999991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845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78</v>
      </c>
      <c r="C42" s="12">
        <f ca="1">HYPERLINK("[NOTA_.xlsx]PAJAK!b"&amp;ATALI[[#This Row],[//PAJAK]],IF(ATALI[[#This Row],[//PAJAK]]="","",INDEX(INDIRECT("PAJAK["&amp;ATALI[#Headers]&amp;"]"),ATALI[[#This Row],[//PAJAK]]-1)))</f>
        <v>164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45142</v>
      </c>
      <c r="F42" s="2">
        <f ca="1">IF(ATALI[[#This Row],[//PAJAK]]="","",INDEX(INDIRECT("PAJAK["&amp;ATALI[#Headers]&amp;"]"),ATALI[[#This Row],[//PAJAK]]-1))</f>
        <v>45138</v>
      </c>
      <c r="G42" s="7" t="str">
        <f ca="1">IF(ATALI[[#This Row],[//PAJAK]]="","",INDEX(INDIRECT("PAJAK["&amp;ATALI[#Headers]&amp;"]"),ATALI[[#This Row],[//PAJAK]]-1))</f>
        <v>SA230713405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20516580</v>
      </c>
      <c r="J42" s="1">
        <f ca="1">IF(ATALI[[#This Row],[//PAJAK]]="","",INDEX(PAJAK[DISC DLL],ATALI[[#This Row],[//PAJAK]]-1))</f>
        <v>526680</v>
      </c>
      <c r="K42" s="1">
        <f ca="1">(ATALI[[#This Row],[SUB TOTAL]]-ATALI[[#This Row],[DISKON]])/1.11</f>
        <v>18008918.918918919</v>
      </c>
      <c r="L42" s="1">
        <f ca="1">ATALI[[#This Row],[DPP]]*11%</f>
        <v>1980981.0810810812</v>
      </c>
      <c r="M42" s="1">
        <f ca="1">ATALI[[#This Row],[DPP]]+ATALI[[#This Row],[PPN (11%)]]</f>
        <v>19989900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855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79</v>
      </c>
      <c r="C43" s="12">
        <f ca="1">HYPERLINK("[NOTA_.xlsx]PAJAK!b"&amp;ATALI[[#This Row],[//PAJAK]],IF(ATALI[[#This Row],[//PAJAK]]="","",INDEX(INDIRECT("PAJAK["&amp;ATALI[#Headers]&amp;"]"),ATALI[[#This Row],[//PAJAK]]-1)))</f>
        <v>165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45142</v>
      </c>
      <c r="F43" s="2">
        <f ca="1">IF(ATALI[[#This Row],[//PAJAK]]="","",INDEX(INDIRECT("PAJAK["&amp;ATALI[#Headers]&amp;"]"),ATALI[[#This Row],[//PAJAK]]-1))</f>
        <v>45138</v>
      </c>
      <c r="G43" s="7" t="str">
        <f ca="1">IF(ATALI[[#This Row],[//PAJAK]]="","",INDEX(INDIRECT("PAJAK["&amp;ATALI[#Headers]&amp;"]"),ATALI[[#This Row],[//PAJAK]]-1))</f>
        <v>SA230713430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6479760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5837621.6216216208</v>
      </c>
      <c r="L43" s="1">
        <f ca="1">ATALI[[#This Row],[DPP]]*11%</f>
        <v>642138.37837837834</v>
      </c>
      <c r="M43" s="1">
        <f ca="1">ATALI[[#This Row],[DPP]]+ATALI[[#This Row],[PPN (11%)]]</f>
        <v>6479759.9999999991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EXP\BARU\2023\07 JULI\[NOTA 07 JULI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477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HYPERLINK("[NOTA_.xlsx]PAJAK!b"&amp;J_UTAMA[[#This Row],[//PAJAK]],IF(J_UTAMA[[#This Row],[//PAJAK]]="","",INDEX(INDIRECT("PAJAK["&amp;J_UTAMA[#Headers]&amp;"]"),J_UTAMA[[#This Row],[//PAJAK]]-1)))</f>
        <v>101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45127</v>
      </c>
      <c r="F3" s="2">
        <f ca="1">IF(J_UTAMA[[#This Row],[//PAJAK]]="","",INDEX(INDIRECT("PAJAK["&amp;J_UTAMA[#Headers]&amp;"]"),J_UTAMA[[#This Row],[//PAJAK]]-1))</f>
        <v>45125</v>
      </c>
      <c r="G3" s="14" t="str">
        <f ca="1">IF(J_UTAMA[[#This Row],[//PAJAK]]="","",INDEX(INDIRECT("PAJAK["&amp;J_UTAMA[#Headers]&amp;"]"),J_UTAMA[[#This Row],[//PAJAK]]-1))</f>
        <v>JUG430/23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28440000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25621621.62162162</v>
      </c>
      <c r="L3" s="1">
        <f ca="1">J_UTAMA[[#This Row],[DPP]]*11%</f>
        <v>2818378.3783783782</v>
      </c>
      <c r="M3" s="1">
        <f ca="1">J_UTAMA[[#This Row],[DPP]]+J_UTAMA[[#This Row],[PPN (11%)]]</f>
        <v>28440000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6" bestFit="1" customWidth="1"/>
    <col min="9" max="9" width="14" style="26" bestFit="1" customWidth="1"/>
    <col min="10" max="10" width="15.28515625" style="26" bestFit="1" customWidth="1"/>
    <col min="11" max="11" width="16.28515625" style="26" bestFit="1" customWidth="1"/>
    <col min="12" max="12" width="15.28515625" style="2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3</v>
      </c>
      <c r="F1" s="4" t="str">
        <f ca="1">CELL("filename",F1)</f>
        <v>D:\kerja\BANK EXP\BARU\2023\07 JULI\[NOTA 07 JULI 2023.xlsx]SDI</v>
      </c>
      <c r="K1" s="26">
        <f ca="1">(400881.99*(100/11))*1.11+I3</f>
        <v>4283792.8977927277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7" t="s">
        <v>38</v>
      </c>
      <c r="I2" s="27" t="s">
        <v>39</v>
      </c>
      <c r="J2" s="27" t="s">
        <v>41</v>
      </c>
      <c r="K2" s="27" t="s">
        <v>44</v>
      </c>
      <c r="L2" s="27" t="s">
        <v>21</v>
      </c>
      <c r="M2" s="11" t="s">
        <v>93</v>
      </c>
      <c r="N2" s="11" t="s">
        <v>94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25">
        <f ca="1">IF(SDI[[#This Row],[//PAJAK]]="","",(INDEX(INDIRECT("PAJAK["&amp;SDI[#Headers]&amp;"]"),SDI[[#This Row],[//PAJAK]]-1))-SDI[[#This Row],[H_DISKON]])</f>
        <v>7951418.1839999994</v>
      </c>
      <c r="I3" s="25">
        <f ca="1">IF(SDI[[#This Row],[//PAJAK]]="","",SDI[[#This Row],[H_DISC DLL]])</f>
        <v>238529.18052000002</v>
      </c>
      <c r="J3" s="25">
        <f ca="1">(SDI[[#This Row],[SUB TOTAL]])/1.11</f>
        <v>7163439.8054054044</v>
      </c>
      <c r="K3" s="25">
        <f ca="1">SDI[[#This Row],[DPP]]*11%</f>
        <v>787978.37859459454</v>
      </c>
      <c r="L3" s="25">
        <f ca="1">SDI[[#This Row],[DPP]]+SDI[[#This Row],[PPN (11%)]]</f>
        <v>7951418.1839999985</v>
      </c>
      <c r="M3" s="25">
        <f ca="1">IF(SDI[[#This Row],[//PAJAK]]="","",INDEX(PAJAK[DISKON],SDI[[#This Row],[//PAJAK]]-1))</f>
        <v>1512905.2559999998</v>
      </c>
      <c r="N3" s="25">
        <f ca="1">IF(SDI[[#This Row],[//PAJAK]]="","",INDEX(PAJAK[DISC DLL],SDI[[#This Row],[//PAJAK]]-1))</f>
        <v>238529.18052000002</v>
      </c>
    </row>
    <row r="4" spans="1:14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91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45124</v>
      </c>
      <c r="E4" s="2">
        <f ca="1">IF(SDI[[#This Row],[//PAJAK]]="","",INDEX(INDIRECT("PAJAK["&amp;SDI[#Headers]&amp;"]"),SDI[[#This Row],[//PAJAK]]-1))</f>
        <v>45120</v>
      </c>
      <c r="F4" s="14" t="str">
        <f ca="1">IF(SDI[[#This Row],[//PAJAK]]="","",INDEX(INDIRECT("PAJAK["&amp;SDI[#Headers]&amp;"]"),SDI[[#This Row],[//PAJAK]]-1))</f>
        <v>SINV99-230700000259</v>
      </c>
      <c r="G4" s="3" t="str">
        <f ca="1">IF(SDI[[#This Row],[//PAJAK]]="","",INDEX(INDIRECT("PAJAK["&amp;SDI[#Headers]&amp;"]"),SDI[[#This Row],[//PAJAK]]-1))</f>
        <v/>
      </c>
      <c r="H4" s="26">
        <f ca="1">IF(SDI[[#This Row],[//PAJAK]]="","",(INDEX(INDIRECT("PAJAK["&amp;SDI[#Headers]&amp;"]"),SDI[[#This Row],[//PAJAK]]-1))-SDI[[#This Row],[H_DISKON]])</f>
        <v>4364027</v>
      </c>
      <c r="I4" s="26">
        <f ca="1">IF(SDI[[#This Row],[//PAJAK]]="","",SDI[[#This Row],[H_DISC DLL]])</f>
        <v>38351.35</v>
      </c>
      <c r="J4" s="26">
        <f ca="1">(SDI[[#This Row],[SUB TOTAL]])/1.11</f>
        <v>3931555.8558558556</v>
      </c>
      <c r="K4" s="26">
        <f ca="1">SDI[[#This Row],[DPP]]*11%</f>
        <v>432471.14414414414</v>
      </c>
      <c r="L4" s="26">
        <f ca="1">SDI[[#This Row],[DPP]]+SDI[[#This Row],[PPN (11%)]]</f>
        <v>4364027</v>
      </c>
      <c r="M4" s="26">
        <f ca="1">IF(SDI[[#This Row],[//PAJAK]]="","",INDEX(PAJAK[DISKON],SDI[[#This Row],[//PAJAK]]-1))</f>
        <v>0</v>
      </c>
      <c r="N4" s="26">
        <f ca="1">IF(SDI[[#This Row],[//PAJAK]]="","",INDEX(PAJAK[DISC DLL],SDI[[#This Row],[//PAJAK]]-1))</f>
        <v>38351.35</v>
      </c>
    </row>
    <row r="5" spans="1:14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44</v>
      </c>
      <c r="B5" s="12">
        <f ca="1">HYPERLINK("[NOTA_.xlsx]PAJAK!b"&amp;SDI[[#This Row],[//PAJAK]],IF(SDI[[#This Row],[//PAJAK]]="","",INDEX(INDIRECT("PAJAK["&amp;SDI[#Headers]&amp;"]"),SDI[[#This Row],[//PAJAK]]-1)))</f>
        <v>92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45124</v>
      </c>
      <c r="E5" s="2">
        <f ca="1">IF(SDI[[#This Row],[//PAJAK]]="","",INDEX(INDIRECT("PAJAK["&amp;SDI[#Headers]&amp;"]"),SDI[[#This Row],[//PAJAK]]-1))</f>
        <v>45120</v>
      </c>
      <c r="F5" s="14" t="str">
        <f ca="1">IF(SDI[[#This Row],[//PAJAK]]="","",INDEX(INDIRECT("PAJAK["&amp;SDI[#Headers]&amp;"]"),SDI[[#This Row],[//PAJAK]]-1))</f>
        <v>SINV99-230700000258</v>
      </c>
      <c r="G5" s="3" t="str">
        <f ca="1">IF(SDI[[#This Row],[//PAJAK]]="","",INDEX(INDIRECT("PAJAK["&amp;SDI[#Headers]&amp;"]"),SDI[[#This Row],[//PAJAK]]-1))</f>
        <v/>
      </c>
      <c r="H5" s="26">
        <f ca="1">IF(SDI[[#This Row],[//PAJAK]]="","",(INDEX(INDIRECT("PAJAK["&amp;SDI[#Headers]&amp;"]"),SDI[[#This Row],[//PAJAK]]-1))-SDI[[#This Row],[H_DISKON]])</f>
        <v>3077472.42</v>
      </c>
      <c r="I5" s="26">
        <f ca="1">IF(SDI[[#This Row],[//PAJAK]]="","",SDI[[#This Row],[H_DISC DLL]])</f>
        <v>91310.81</v>
      </c>
      <c r="J5" s="26">
        <f ca="1">(SDI[[#This Row],[SUB TOTAL]])/1.11</f>
        <v>2772497.6756756753</v>
      </c>
      <c r="K5" s="26">
        <f ca="1">SDI[[#This Row],[DPP]]*11%</f>
        <v>304974.7443243243</v>
      </c>
      <c r="L5" s="26">
        <f ca="1">SDI[[#This Row],[DPP]]+SDI[[#This Row],[PPN (11%)]]</f>
        <v>3077472.4199999995</v>
      </c>
      <c r="M5" s="26">
        <f ca="1">IF(SDI[[#This Row],[//PAJAK]]="","",INDEX(PAJAK[DISKON],SDI[[#This Row],[//PAJAK]]-1))</f>
        <v>652797.17999999993</v>
      </c>
      <c r="N5" s="26">
        <f ca="1">IF(SDI[[#This Row],[//PAJAK]]="","",INDEX(PAJAK[DISC DLL],SDI[[#This Row],[//PAJAK]]-1))</f>
        <v>91310.81</v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6" t="str">
        <f ca="1">IF(SDI[[#This Row],[//PAJAK]]="","",(INDEX(INDIRECT("PAJAK["&amp;SDI[#Headers]&amp;"]"),SDI[[#This Row],[//PAJAK]]-1))-SDI[[#This Row],[H_DISKON]])</f>
        <v/>
      </c>
      <c r="I6" s="26" t="str">
        <f ca="1">IF(SDI[[#This Row],[//PAJAK]]="","",SDI[[#This Row],[H_DISC DLL]])</f>
        <v/>
      </c>
      <c r="J6" s="26" t="e">
        <f ca="1">(SDI[[#This Row],[SUB TOTAL]])/1.11</f>
        <v>#VALUE!</v>
      </c>
      <c r="K6" s="26" t="e">
        <f ca="1">SDI[[#This Row],[DPP]]*11%</f>
        <v>#VALUE!</v>
      </c>
      <c r="L6" s="26" t="e">
        <f ca="1">SDI[[#This Row],[DPP]]+SDI[[#This Row],[PPN (11%)]]</f>
        <v>#VALUE!</v>
      </c>
      <c r="M6" s="26" t="str">
        <f ca="1">IF(SDI[[#This Row],[//PAJAK]]="","",INDEX(PAJAK[DISKON],SDI[[#This Row],[//PAJAK]]-1))</f>
        <v/>
      </c>
      <c r="N6" s="2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6" t="str">
        <f ca="1">IF(SDI[[#This Row],[//PAJAK]]="","",(INDEX(INDIRECT("PAJAK["&amp;SDI[#Headers]&amp;"]"),SDI[[#This Row],[//PAJAK]]-1))-SDI[[#This Row],[H_DISKON]])</f>
        <v/>
      </c>
      <c r="I7" s="26" t="str">
        <f ca="1">IF(SDI[[#This Row],[//PAJAK]]="","",SDI[[#This Row],[H_DISC DLL]])</f>
        <v/>
      </c>
      <c r="J7" s="26" t="e">
        <f ca="1">(SDI[[#This Row],[SUB TOTAL]])/1.11</f>
        <v>#VALUE!</v>
      </c>
      <c r="K7" s="26" t="e">
        <f ca="1">SDI[[#This Row],[DPP]]*11%</f>
        <v>#VALUE!</v>
      </c>
      <c r="L7" s="26" t="e">
        <f ca="1">SDI[[#This Row],[DPP]]+SDI[[#This Row],[PPN (11%)]]</f>
        <v>#VALUE!</v>
      </c>
      <c r="M7" s="26" t="str">
        <f ca="1">IF(SDI[[#This Row],[//PAJAK]]="","",INDEX(PAJAK[DISKON],SDI[[#This Row],[//PAJAK]]-1))</f>
        <v/>
      </c>
      <c r="N7" s="2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6" t="str">
        <f ca="1">IF(SDI[[#This Row],[//PAJAK]]="","",(INDEX(INDIRECT("PAJAK["&amp;SDI[#Headers]&amp;"]"),SDI[[#This Row],[//PAJAK]]-1))-SDI[[#This Row],[H_DISKON]])</f>
        <v/>
      </c>
      <c r="I8" s="26" t="str">
        <f ca="1">IF(SDI[[#This Row],[//PAJAK]]="","",SDI[[#This Row],[H_DISC DLL]])</f>
        <v/>
      </c>
      <c r="J8" s="26" t="e">
        <f ca="1">(SDI[[#This Row],[SUB TOTAL]])/1.11</f>
        <v>#VALUE!</v>
      </c>
      <c r="K8" s="26" t="e">
        <f ca="1">SDI[[#This Row],[DPP]]*11%</f>
        <v>#VALUE!</v>
      </c>
      <c r="L8" s="26" t="e">
        <f ca="1">SDI[[#This Row],[DPP]]+SDI[[#This Row],[PPN (11%)]]</f>
        <v>#VALUE!</v>
      </c>
      <c r="M8" s="26" t="str">
        <f ca="1">IF(SDI[[#This Row],[//PAJAK]]="","",INDEX(PAJAK[DISKON],SDI[[#This Row],[//PAJAK]]-1))</f>
        <v/>
      </c>
      <c r="N8" s="2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6" t="str">
        <f ca="1">IF(SDI[[#This Row],[//PAJAK]]="","",(INDEX(INDIRECT("PAJAK["&amp;SDI[#Headers]&amp;"]"),SDI[[#This Row],[//PAJAK]]-1))-SDI[[#This Row],[H_DISKON]])</f>
        <v/>
      </c>
      <c r="I9" s="26" t="str">
        <f ca="1">IF(SDI[[#This Row],[//PAJAK]]="","",SDI[[#This Row],[H_DISC DLL]])</f>
        <v/>
      </c>
      <c r="J9" s="26" t="e">
        <f ca="1">(SDI[[#This Row],[SUB TOTAL]])/1.11</f>
        <v>#VALUE!</v>
      </c>
      <c r="K9" s="26" t="e">
        <f ca="1">SDI[[#This Row],[DPP]]*11%</f>
        <v>#VALUE!</v>
      </c>
      <c r="L9" s="26" t="e">
        <f ca="1">SDI[[#This Row],[DPP]]+SDI[[#This Row],[PPN (11%)]]</f>
        <v>#VALUE!</v>
      </c>
      <c r="M9" s="26" t="str">
        <f ca="1">IF(SDI[[#This Row],[//PAJAK]]="","",INDEX(PAJAK[DISKON],SDI[[#This Row],[//PAJAK]]-1))</f>
        <v/>
      </c>
      <c r="N9" s="2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6" t="str">
        <f ca="1">IF(SDI[[#This Row],[//PAJAK]]="","",(INDEX(INDIRECT("PAJAK["&amp;SDI[#Headers]&amp;"]"),SDI[[#This Row],[//PAJAK]]-1))-SDI[[#This Row],[H_DISKON]])</f>
        <v/>
      </c>
      <c r="I10" s="26" t="str">
        <f ca="1">IF(SDI[[#This Row],[//PAJAK]]="","",SDI[[#This Row],[H_DISC DLL]])</f>
        <v/>
      </c>
      <c r="J10" s="26" t="e">
        <f ca="1">(SDI[[#This Row],[SUB TOTAL]])/1.11</f>
        <v>#VALUE!</v>
      </c>
      <c r="K10" s="26" t="e">
        <f ca="1">SDI[[#This Row],[DPP]]*11%</f>
        <v>#VALUE!</v>
      </c>
      <c r="L10" s="26" t="e">
        <f ca="1">SDI[[#This Row],[DPP]]+SDI[[#This Row],[PPN (11%)]]</f>
        <v>#VALUE!</v>
      </c>
      <c r="M10" s="26" t="str">
        <f ca="1">IF(SDI[[#This Row],[//PAJAK]]="","",INDEX(PAJAK[DISKON],SDI[[#This Row],[//PAJAK]]-1))</f>
        <v/>
      </c>
      <c r="N10" s="2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6" t="str">
        <f ca="1">IF(SDI[[#This Row],[//PAJAK]]="","",(INDEX(INDIRECT("PAJAK["&amp;SDI[#Headers]&amp;"]"),SDI[[#This Row],[//PAJAK]]-1))-SDI[[#This Row],[H_DISKON]])</f>
        <v/>
      </c>
      <c r="I11" s="26" t="str">
        <f ca="1">IF(SDI[[#This Row],[//PAJAK]]="","",SDI[[#This Row],[H_DISC DLL]])</f>
        <v/>
      </c>
      <c r="J11" s="26" t="e">
        <f ca="1">(SDI[[#This Row],[SUB TOTAL]])/1.11</f>
        <v>#VALUE!</v>
      </c>
      <c r="K11" s="26" t="e">
        <f ca="1">SDI[[#This Row],[DPP]]*11%</f>
        <v>#VALUE!</v>
      </c>
      <c r="L11" s="26" t="e">
        <f ca="1">SDI[[#This Row],[DPP]]+SDI[[#This Row],[PPN (11%)]]</f>
        <v>#VALUE!</v>
      </c>
      <c r="M11" s="26" t="str">
        <f ca="1">IF(SDI[[#This Row],[//PAJAK]]="","",INDEX(PAJAK[DISKON],SDI[[#This Row],[//PAJAK]]-1))</f>
        <v/>
      </c>
      <c r="N11" s="2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EXP\BARU\2023\07 JULI\[NOTA 07 JULI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311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26</v>
      </c>
      <c r="C4" s="12">
        <f ca="1">HYPERLINK("[NOTA_.xlsx]PAJAK!b"&amp;SAJ[[#This Row],[//PAJAK]],IF(SAJ[[#This Row],[//PAJAK]]="","",INDEX(INDIRECT("PAJAK["&amp;SAJ[#Headers]&amp;"]"),SAJ[[#This Row],[//PAJAK]]-1)))</f>
        <v>61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45119</v>
      </c>
      <c r="F4" s="2">
        <f ca="1">IF(SAJ[[#This Row],[//PAJAK]]="","",INDEX(INDIRECT("PAJAK["&amp;SAJ[#Headers]&amp;"]"),SAJ[[#This Row],[//PAJAK]]-1))</f>
        <v>45114</v>
      </c>
      <c r="G4" t="str">
        <f ca="1">IF(SAJ[[#This Row],[//PAJAK]]="","",INDEX(INDIRECT("PAJAK["&amp;SAJ[#Headers]&amp;"]"),SAJ[[#This Row],[//PAJAK]]-1))</f>
        <v>JL-55372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8040000</v>
      </c>
      <c r="J4" s="1">
        <f ca="1">IF(SAJ[[#This Row],[//PAJAK]]="","",INDEX(INDIRECT("PAJAK["&amp;SAJ[#Headers]&amp;"]"),SAJ[[#This Row],[//PAJAK]]-1))</f>
        <v>562800</v>
      </c>
      <c r="K4" s="1">
        <f ca="1">(SAJ[[#This Row],[SUB TOTAL]]-SAJ[[#This Row],[DISKON]])/1.11</f>
        <v>6736216.2162162159</v>
      </c>
      <c r="L4" s="1">
        <f ca="1">SAJ[[#This Row],[DPP]]*11%</f>
        <v>740983.78378378379</v>
      </c>
      <c r="M4" s="1">
        <f ca="1">SAJ[[#This Row],[DPP]]+SAJ[[#This Row],[PPN (11%)]]</f>
        <v>7477200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EXP\BARU\2023\07 JULI\[NOTA 07 JULI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466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HYPERLINK("[NOTA_.xlsx]PAJAK!b"&amp;MGN[[#This Row],[//PAJAK]],IF(MGN[[#This Row],[//PAJAK]]="","",INDEX(INDIRECT("PAJAK["&amp;MGN[#Headers]&amp;"]"),MGN[[#This Row],[//PAJAK]]-1)))</f>
        <v>96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45124</v>
      </c>
      <c r="F3" s="2">
        <f ca="1">IF(MGN[[#This Row],[//PAJAK]]="","",INDEX(INDIRECT("PAJAK["&amp;MGN[#Headers]&amp;"]"),MGN[[#This Row],[//PAJAK]]-1))</f>
        <v>45121</v>
      </c>
      <c r="G3" s="14" t="str">
        <f ca="1">IF(MGN[[#This Row],[//PAJAK]]="","",INDEX(INDIRECT("PAJAK["&amp;MGN[#Headers]&amp;"]"),MGN[[#This Row],[//PAJAK]]-1))</f>
        <v>L207031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2023-08-12T02:06:39Z</dcterms:modified>
</cp:coreProperties>
</file>