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/>
  <pivotCaches>
    <pivotCache cacheId="1" r:id="rId8"/>
  </pivotCaches>
</workbook>
</file>

<file path=xl/calcChain.xml><?xml version="1.0" encoding="utf-8"?>
<calcChain xmlns="http://schemas.openxmlformats.org/spreadsheetml/2006/main">
  <c r="C4" i="1" l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J3" i="1"/>
  <c r="J5" i="1"/>
  <c r="J7" i="1"/>
  <c r="J8" i="1"/>
  <c r="J9" i="1"/>
  <c r="J10" i="1"/>
  <c r="J12" i="1"/>
  <c r="J14" i="1"/>
  <c r="J16" i="1"/>
  <c r="J17" i="1"/>
  <c r="J18" i="1"/>
  <c r="J20" i="1"/>
  <c r="J22" i="1"/>
  <c r="J23" i="1"/>
  <c r="J24" i="1"/>
  <c r="J26" i="1"/>
  <c r="J27" i="1"/>
  <c r="J29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E101" i="5" l="1"/>
  <c r="E100" i="5"/>
  <c r="E99" i="5"/>
  <c r="J95" i="5"/>
  <c r="D95" i="5"/>
  <c r="J93" i="5"/>
  <c r="D93" i="5"/>
  <c r="J91" i="5"/>
  <c r="D91" i="5"/>
  <c r="J89" i="5"/>
  <c r="D89" i="5"/>
  <c r="J87" i="5"/>
  <c r="D87" i="5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I57" i="5"/>
  <c r="I95" i="5" s="1"/>
  <c r="H57" i="5"/>
  <c r="H95" i="5" s="1"/>
  <c r="E57" i="5"/>
  <c r="E95" i="5" s="1"/>
  <c r="D57" i="5"/>
  <c r="C57" i="5"/>
  <c r="C95" i="5" s="1"/>
  <c r="B57" i="5"/>
  <c r="K57" i="5" s="1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K56" i="5" s="1"/>
  <c r="J55" i="5"/>
  <c r="I55" i="5"/>
  <c r="I93" i="5" s="1"/>
  <c r="H55" i="5"/>
  <c r="H93" i="5" s="1"/>
  <c r="E55" i="5"/>
  <c r="E93" i="5" s="1"/>
  <c r="D55" i="5"/>
  <c r="C55" i="5"/>
  <c r="C93" i="5" s="1"/>
  <c r="B55" i="5"/>
  <c r="K55" i="5" s="1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K54" i="5" s="1"/>
  <c r="J53" i="5"/>
  <c r="I53" i="5"/>
  <c r="I91" i="5" s="1"/>
  <c r="H53" i="5"/>
  <c r="H91" i="5" s="1"/>
  <c r="E53" i="5"/>
  <c r="E91" i="5" s="1"/>
  <c r="D53" i="5"/>
  <c r="C53" i="5"/>
  <c r="C91" i="5" s="1"/>
  <c r="B53" i="5"/>
  <c r="K53" i="5" s="1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K52" i="5" s="1"/>
  <c r="J51" i="5"/>
  <c r="I51" i="5"/>
  <c r="I89" i="5" s="1"/>
  <c r="H51" i="5"/>
  <c r="H89" i="5" s="1"/>
  <c r="E51" i="5"/>
  <c r="E89" i="5" s="1"/>
  <c r="D51" i="5"/>
  <c r="C51" i="5"/>
  <c r="C89" i="5" s="1"/>
  <c r="B51" i="5"/>
  <c r="K51" i="5" s="1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K50" i="5" s="1"/>
  <c r="J49" i="5"/>
  <c r="I49" i="5"/>
  <c r="I87" i="5" s="1"/>
  <c r="H49" i="5"/>
  <c r="H87" i="5" s="1"/>
  <c r="E49" i="5"/>
  <c r="E87" i="5" s="1"/>
  <c r="D49" i="5"/>
  <c r="C49" i="5"/>
  <c r="C87" i="5" s="1"/>
  <c r="B49" i="5"/>
  <c r="K49" i="5" s="1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K48" i="5" s="1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58" i="5" l="1"/>
  <c r="J66" i="5" s="1"/>
  <c r="B96" i="5"/>
  <c r="K96" i="5" s="1"/>
  <c r="K60" i="5"/>
  <c r="B98" i="5"/>
  <c r="K98" i="5" s="1"/>
  <c r="B100" i="5"/>
  <c r="K100" i="5" s="1"/>
  <c r="K62" i="5"/>
  <c r="J28" i="5"/>
  <c r="K59" i="5"/>
  <c r="B97" i="5"/>
  <c r="K97" i="5" s="1"/>
  <c r="K61" i="5"/>
  <c r="B99" i="5"/>
  <c r="K99" i="5" s="1"/>
  <c r="B101" i="5"/>
  <c r="K101" i="5" s="1"/>
  <c r="K63" i="5"/>
  <c r="B86" i="5"/>
  <c r="K86" i="5" s="1"/>
  <c r="B87" i="5"/>
  <c r="K87" i="5" s="1"/>
  <c r="B88" i="5"/>
  <c r="K88" i="5" s="1"/>
  <c r="B89" i="5"/>
  <c r="K89" i="5" s="1"/>
  <c r="B90" i="5"/>
  <c r="K90" i="5" s="1"/>
  <c r="B91" i="5"/>
  <c r="K91" i="5" s="1"/>
  <c r="B92" i="5"/>
  <c r="K92" i="5" s="1"/>
  <c r="B93" i="5"/>
  <c r="K93" i="5" s="1"/>
  <c r="B94" i="5"/>
  <c r="K94" i="5" s="1"/>
  <c r="B95" i="5"/>
  <c r="K95" i="5" s="1"/>
  <c r="J69" i="6"/>
  <c r="J107" i="6" s="1"/>
  <c r="D41" i="6"/>
  <c r="D79" i="6" s="1"/>
  <c r="C1" i="6"/>
  <c r="K72" i="5" l="1"/>
  <c r="K68" i="5"/>
  <c r="J70" i="5" s="1"/>
  <c r="J32" i="5"/>
  <c r="K30" i="5"/>
  <c r="K34" i="5"/>
  <c r="J104" i="5"/>
  <c r="K106" i="5" l="1"/>
  <c r="K110" i="5" s="1"/>
  <c r="J108" i="5" l="1"/>
  <c r="C3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B3" i="1"/>
  <c r="B5" i="1"/>
  <c r="B7" i="1"/>
  <c r="B8" i="1"/>
  <c r="B9" i="1"/>
  <c r="B10" i="1"/>
  <c r="B12" i="1"/>
  <c r="B14" i="1"/>
  <c r="B16" i="1"/>
  <c r="B17" i="1"/>
  <c r="B18" i="1"/>
  <c r="B20" i="1"/>
  <c r="B22" i="1"/>
  <c r="B23" i="1"/>
  <c r="B24" i="1"/>
  <c r="B27" i="1"/>
  <c r="B29" i="1"/>
  <c r="B31" i="1"/>
  <c r="B3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G139" i="1" s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4" i="1"/>
  <c r="O11" i="1" l="1"/>
  <c r="Y11" i="1"/>
  <c r="Z11" i="1" s="1"/>
  <c r="AF11" i="1"/>
  <c r="G14" i="1"/>
  <c r="A14" i="1" s="1"/>
  <c r="AD14" i="1" s="1"/>
  <c r="G16" i="1"/>
  <c r="A16" i="1" s="1"/>
  <c r="AD16" i="1" s="1"/>
  <c r="G17" i="1"/>
  <c r="A17" i="1" s="1"/>
  <c r="AD17" i="1" s="1"/>
  <c r="O13" i="1"/>
  <c r="O14" i="1"/>
  <c r="O15" i="1"/>
  <c r="O16" i="1"/>
  <c r="O17" i="1"/>
  <c r="Y13" i="1"/>
  <c r="Z13" i="1" s="1"/>
  <c r="Y14" i="1"/>
  <c r="Z14" i="1" s="1"/>
  <c r="Y15" i="1"/>
  <c r="Z15" i="1" s="1"/>
  <c r="Y16" i="1"/>
  <c r="Z16" i="1" s="1"/>
  <c r="Y17" i="1"/>
  <c r="AA17" i="1" s="1"/>
  <c r="AF13" i="1"/>
  <c r="AF14" i="1"/>
  <c r="AF15" i="1"/>
  <c r="AF16" i="1"/>
  <c r="AF17" i="1"/>
  <c r="O6" i="1"/>
  <c r="Y6" i="1"/>
  <c r="Z6" i="1" s="1"/>
  <c r="AF6" i="1"/>
  <c r="G106" i="1"/>
  <c r="A106" i="1" s="1"/>
  <c r="AD106" i="1" s="1"/>
  <c r="O106" i="1"/>
  <c r="Y106" i="1"/>
  <c r="Z106" i="1" s="1"/>
  <c r="AF106" i="1"/>
  <c r="B6" i="1"/>
  <c r="B11" i="1" s="1"/>
  <c r="AA15" i="1" l="1"/>
  <c r="Z17" i="1"/>
  <c r="AB17" i="1" s="1"/>
  <c r="AC17" i="1" s="1"/>
  <c r="T17" i="1" s="1"/>
  <c r="G6" i="1"/>
  <c r="A6" i="1" s="1"/>
  <c r="W6" i="1" s="1"/>
  <c r="G11" i="1"/>
  <c r="A11" i="1" s="1"/>
  <c r="W11" i="1" s="1"/>
  <c r="AA13" i="1"/>
  <c r="AB13" i="1" s="1"/>
  <c r="AC13" i="1" s="1"/>
  <c r="T13" i="1" s="1"/>
  <c r="AA11" i="1"/>
  <c r="AB11" i="1" s="1"/>
  <c r="AC11" i="1" s="1"/>
  <c r="T11" i="1" s="1"/>
  <c r="AB15" i="1"/>
  <c r="AC15" i="1" s="1"/>
  <c r="T15" i="1" s="1"/>
  <c r="AA16" i="1"/>
  <c r="AB16" i="1" s="1"/>
  <c r="AC16" i="1" s="1"/>
  <c r="T16" i="1" s="1"/>
  <c r="AA14" i="1"/>
  <c r="AB14" i="1" s="1"/>
  <c r="AC14" i="1" s="1"/>
  <c r="T14" i="1" s="1"/>
  <c r="AA6" i="1"/>
  <c r="AB6" i="1" s="1"/>
  <c r="AC6" i="1" s="1"/>
  <c r="T6" i="1" s="1"/>
  <c r="AA106" i="1"/>
  <c r="AB106" i="1" s="1"/>
  <c r="AC106" i="1" s="1"/>
  <c r="T106" i="1" s="1"/>
  <c r="B13" i="1"/>
  <c r="B15" i="1"/>
  <c r="G15" i="1" l="1"/>
  <c r="A15" i="1" s="1"/>
  <c r="G13" i="1"/>
  <c r="A13" i="1" s="1"/>
  <c r="G110" i="1"/>
  <c r="A110" i="1" s="1"/>
  <c r="AD110" i="1" s="1"/>
  <c r="O110" i="1"/>
  <c r="W110" i="1"/>
  <c r="X110" i="1" s="1"/>
  <c r="Y110" i="1"/>
  <c r="Z110" i="1" s="1"/>
  <c r="AB110" i="1"/>
  <c r="AC110" i="1"/>
  <c r="T110" i="1" s="1"/>
  <c r="AF110" i="1"/>
  <c r="B19" i="1"/>
  <c r="B21" i="1" s="1"/>
  <c r="B25" i="1"/>
  <c r="B26" i="1" l="1"/>
  <c r="AA110" i="1"/>
  <c r="B28" i="1"/>
  <c r="B30" i="1"/>
  <c r="O105" i="1" l="1"/>
  <c r="Y105" i="1"/>
  <c r="Z105" i="1" s="1"/>
  <c r="AF105" i="1"/>
  <c r="G104" i="1"/>
  <c r="A104" i="1" s="1"/>
  <c r="AD104" i="1" s="1"/>
  <c r="O104" i="1"/>
  <c r="W104" i="1"/>
  <c r="X104" i="1" s="1"/>
  <c r="Y104" i="1"/>
  <c r="Z104" i="1" s="1"/>
  <c r="AB104" i="1"/>
  <c r="AC104" i="1"/>
  <c r="T104" i="1" s="1"/>
  <c r="AF104" i="1"/>
  <c r="B32" i="1"/>
  <c r="AA105" i="1" l="1"/>
  <c r="AB105" i="1" s="1"/>
  <c r="AC105" i="1" s="1"/>
  <c r="T105" i="1" s="1"/>
  <c r="AA104" i="1"/>
  <c r="E11" i="3"/>
  <c r="B34" i="1"/>
  <c r="O3" i="1" l="1"/>
  <c r="O4" i="1"/>
  <c r="O5" i="1"/>
  <c r="O7" i="1"/>
  <c r="O8" i="1"/>
  <c r="O9" i="1"/>
  <c r="O10" i="1"/>
  <c r="O12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7" i="1"/>
  <c r="O108" i="1"/>
  <c r="O109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AF3" i="1" l="1"/>
  <c r="AF4" i="1"/>
  <c r="AF5" i="1"/>
  <c r="AF7" i="1"/>
  <c r="AF8" i="1"/>
  <c r="AF9" i="1"/>
  <c r="AF10" i="1"/>
  <c r="AF12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7" i="1"/>
  <c r="AF108" i="1"/>
  <c r="AF109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G24" i="1" l="1"/>
  <c r="A24" i="1" s="1"/>
  <c r="AD24" i="1" s="1"/>
  <c r="W24" i="1"/>
  <c r="X24" i="1" s="1"/>
  <c r="Y24" i="1"/>
  <c r="Z24" i="1" s="1"/>
  <c r="AB24" i="1"/>
  <c r="AC24" i="1"/>
  <c r="T24" i="1" s="1"/>
  <c r="AA24" i="1" l="1"/>
  <c r="Y48" i="1" l="1"/>
  <c r="Z48" i="1" s="1"/>
  <c r="Y53" i="1"/>
  <c r="Z53" i="1" s="1"/>
  <c r="G48" i="1" l="1"/>
  <c r="A48" i="1" s="1"/>
  <c r="AD48" i="1" s="1"/>
  <c r="AA53" i="1"/>
  <c r="AB53" i="1" s="1"/>
  <c r="AC53" i="1" s="1"/>
  <c r="T53" i="1" s="1"/>
  <c r="AA48" i="1"/>
  <c r="AB48" i="1"/>
  <c r="AC48" i="1" s="1"/>
  <c r="T48" i="1" s="1"/>
  <c r="Y5" i="1" l="1"/>
  <c r="Z5" i="1" s="1"/>
  <c r="G5" i="1" l="1"/>
  <c r="A5" i="1" s="1"/>
  <c r="AD5" i="1" s="1"/>
  <c r="AA5" i="1"/>
  <c r="AB5" i="1" s="1"/>
  <c r="AC5" i="1" s="1"/>
  <c r="T5" i="1" s="1"/>
  <c r="E19" i="3"/>
  <c r="Y107" i="1" l="1"/>
  <c r="Z107" i="1" s="1"/>
  <c r="AA107" i="1" l="1"/>
  <c r="AB107" i="1" s="1"/>
  <c r="AC107" i="1" s="1"/>
  <c r="T107" i="1" s="1"/>
  <c r="Y94" i="1" l="1"/>
  <c r="Y95" i="1"/>
  <c r="Y96" i="1"/>
  <c r="Y97" i="1"/>
  <c r="Z94" i="1"/>
  <c r="Z95" i="1"/>
  <c r="Z96" i="1"/>
  <c r="Z97" i="1"/>
  <c r="AA94" i="1"/>
  <c r="AA95" i="1"/>
  <c r="AA96" i="1"/>
  <c r="AA97" i="1"/>
  <c r="AB94" i="1"/>
  <c r="AB95" i="1"/>
  <c r="AB96" i="1"/>
  <c r="AB97" i="1"/>
  <c r="AC97" i="1" s="1"/>
  <c r="T97" i="1" s="1"/>
  <c r="AC94" i="1"/>
  <c r="T94" i="1" s="1"/>
  <c r="AC95" i="1"/>
  <c r="T95" i="1" s="1"/>
  <c r="AC96" i="1"/>
  <c r="T96" i="1" s="1"/>
  <c r="G96" i="1" l="1"/>
  <c r="A96" i="1" s="1"/>
  <c r="AD96" i="1" s="1"/>
  <c r="G94" i="1"/>
  <c r="A94" i="1" s="1"/>
  <c r="AD94" i="1" s="1"/>
  <c r="G95" i="1"/>
  <c r="A95" i="1" s="1"/>
  <c r="AD95" i="1" s="1"/>
  <c r="Y31" i="1" l="1"/>
  <c r="Z31" i="1" s="1"/>
  <c r="AA31" i="1" l="1"/>
  <c r="AB31" i="1" s="1"/>
  <c r="AC31" i="1" s="1"/>
  <c r="T31" i="1" s="1"/>
  <c r="G21" i="1" l="1"/>
  <c r="G23" i="1"/>
  <c r="G29" i="1"/>
  <c r="G30" i="1"/>
  <c r="G35" i="1"/>
  <c r="G37" i="1"/>
  <c r="G57" i="1"/>
  <c r="G62" i="1"/>
  <c r="G64" i="1"/>
  <c r="G65" i="1"/>
  <c r="G69" i="1"/>
  <c r="G71" i="1"/>
  <c r="G72" i="1"/>
  <c r="G77" i="1"/>
  <c r="G79" i="1"/>
  <c r="G81" i="1"/>
  <c r="G84" i="1"/>
  <c r="G86" i="1"/>
  <c r="G91" i="1"/>
  <c r="G92" i="1"/>
  <c r="G112" i="1"/>
  <c r="G114" i="1"/>
  <c r="G115" i="1"/>
  <c r="G117" i="1"/>
  <c r="G120" i="1"/>
  <c r="G122" i="1"/>
  <c r="G123" i="1"/>
  <c r="G125" i="1"/>
  <c r="G126" i="1"/>
  <c r="G129" i="1"/>
  <c r="G131" i="1"/>
  <c r="G132" i="1"/>
  <c r="G133" i="1"/>
  <c r="G134" i="1"/>
  <c r="G136" i="1"/>
  <c r="G138" i="1"/>
  <c r="G140" i="1"/>
  <c r="G141" i="1"/>
  <c r="G145" i="1"/>
  <c r="G147" i="1"/>
  <c r="G149" i="1"/>
  <c r="G150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4" i="1"/>
  <c r="G185" i="1"/>
  <c r="G186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33" i="1"/>
  <c r="G59" i="1"/>
  <c r="G66" i="1"/>
  <c r="G68" i="1"/>
  <c r="G75" i="1"/>
  <c r="G83" i="1"/>
  <c r="G87" i="1"/>
  <c r="G89" i="1"/>
  <c r="G98" i="1"/>
  <c r="G100" i="1"/>
  <c r="G102" i="1"/>
  <c r="G116" i="1"/>
  <c r="G124" i="1"/>
  <c r="G127" i="1"/>
  <c r="G130" i="1"/>
  <c r="G144" i="1"/>
  <c r="G146" i="1"/>
  <c r="G3" i="1" l="1"/>
  <c r="G4" i="1"/>
  <c r="G151" i="1"/>
  <c r="G148" i="1"/>
  <c r="A150" i="1"/>
  <c r="AD150" i="1" s="1"/>
  <c r="W150" i="1"/>
  <c r="X150" i="1" s="1"/>
  <c r="Y150" i="1"/>
  <c r="Z150" i="1" s="1"/>
  <c r="AB150" i="1"/>
  <c r="AC150" i="1"/>
  <c r="T150" i="1" s="1"/>
  <c r="G153" i="1"/>
  <c r="G7" i="1" l="1"/>
  <c r="G8" i="1"/>
  <c r="G183" i="1"/>
  <c r="G170" i="1"/>
  <c r="AA150" i="1"/>
  <c r="Y103" i="1"/>
  <c r="Z103" i="1" s="1"/>
  <c r="Y118" i="1"/>
  <c r="AA118" i="1" s="1"/>
  <c r="Y119" i="1"/>
  <c r="Z119" i="1" s="1"/>
  <c r="G187" i="1"/>
  <c r="Z118" i="1" l="1"/>
  <c r="AB118" i="1" s="1"/>
  <c r="AC118" i="1" s="1"/>
  <c r="T118" i="1" s="1"/>
  <c r="G9" i="1"/>
  <c r="AA119" i="1"/>
  <c r="AB119" i="1" s="1"/>
  <c r="AC119" i="1" s="1"/>
  <c r="T119" i="1" s="1"/>
  <c r="G10" i="1"/>
  <c r="AA103" i="1"/>
  <c r="AB103" i="1" s="1"/>
  <c r="AC103" i="1" s="1"/>
  <c r="T103" i="1" s="1"/>
  <c r="G19" i="1"/>
  <c r="G12" i="1" l="1"/>
  <c r="G18" i="1"/>
  <c r="H3" i="4"/>
  <c r="G20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G26" i="1"/>
  <c r="G22" i="1" l="1"/>
  <c r="S56" i="4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G28" i="1"/>
  <c r="G25" i="1" l="1"/>
  <c r="G27" i="1"/>
  <c r="A241" i="1"/>
  <c r="AD241" i="1" s="1"/>
  <c r="Y241" i="1"/>
  <c r="Z241" i="1" s="1"/>
  <c r="G31" i="1" l="1"/>
  <c r="A31" i="1" s="1"/>
  <c r="G32" i="1"/>
  <c r="AA241" i="1"/>
  <c r="AB241" i="1" s="1"/>
  <c r="AC241" i="1" s="1"/>
  <c r="T241" i="1" s="1"/>
  <c r="G40" i="1"/>
  <c r="G36" i="1"/>
  <c r="G34" i="1" l="1"/>
  <c r="A195" i="1"/>
  <c r="AD195" i="1" s="1"/>
  <c r="W195" i="1"/>
  <c r="X195" i="1" s="1"/>
  <c r="Y195" i="1"/>
  <c r="Z195" i="1" s="1"/>
  <c r="AB195" i="1"/>
  <c r="AC195" i="1"/>
  <c r="T195" i="1" s="1"/>
  <c r="E23" i="3"/>
  <c r="E8" i="3"/>
  <c r="E10" i="3"/>
  <c r="J15" i="1" s="1"/>
  <c r="E3" i="3"/>
  <c r="E16" i="3"/>
  <c r="E14" i="3"/>
  <c r="E9" i="3"/>
  <c r="E21" i="3"/>
  <c r="E7" i="3"/>
  <c r="E22" i="3"/>
  <c r="E6" i="3"/>
  <c r="E17" i="3"/>
  <c r="E18" i="3"/>
  <c r="E4" i="3"/>
  <c r="E20" i="3"/>
  <c r="E12" i="3"/>
  <c r="E5" i="3"/>
  <c r="E15" i="3"/>
  <c r="E13" i="3"/>
  <c r="G42" i="1"/>
  <c r="J13" i="1" l="1"/>
  <c r="J25" i="1"/>
  <c r="J28" i="1"/>
  <c r="J11" i="1"/>
  <c r="J21" i="1"/>
  <c r="J6" i="1"/>
  <c r="J30" i="1"/>
  <c r="J19" i="1"/>
  <c r="J4" i="1"/>
  <c r="G39" i="1"/>
  <c r="G38" i="1"/>
  <c r="G46" i="1"/>
  <c r="G44" i="1"/>
  <c r="AA195" i="1"/>
  <c r="G51" i="1"/>
  <c r="G47" i="1"/>
  <c r="G41" i="1" l="1"/>
  <c r="A172" i="1"/>
  <c r="AD172" i="1" s="1"/>
  <c r="Y172" i="1"/>
  <c r="Z172" i="1" s="1"/>
  <c r="G54" i="1"/>
  <c r="G67" i="1"/>
  <c r="G50" i="1"/>
  <c r="G52" i="1"/>
  <c r="G43" i="1" l="1"/>
  <c r="AA172" i="1"/>
  <c r="AB172" i="1" s="1"/>
  <c r="AC172" i="1" s="1"/>
  <c r="T172" i="1" s="1"/>
  <c r="A166" i="1"/>
  <c r="AD166" i="1" s="1"/>
  <c r="Y166" i="1"/>
  <c r="Z166" i="1" s="1"/>
  <c r="G73" i="1"/>
  <c r="G45" i="1" l="1"/>
  <c r="G55" i="1"/>
  <c r="G93" i="1"/>
  <c r="AA166" i="1"/>
  <c r="AB166" i="1" s="1"/>
  <c r="AC166" i="1" s="1"/>
  <c r="T166" i="1" s="1"/>
  <c r="A154" i="1"/>
  <c r="AD154" i="1" s="1"/>
  <c r="Y154" i="1"/>
  <c r="Z154" i="1" s="1"/>
  <c r="Y148" i="1"/>
  <c r="Z148" i="1" s="1"/>
  <c r="A132" i="1"/>
  <c r="AD132" i="1" s="1"/>
  <c r="A133" i="1"/>
  <c r="AD133" i="1" s="1"/>
  <c r="A134" i="1"/>
  <c r="AD134" i="1" s="1"/>
  <c r="A136" i="1"/>
  <c r="AD136" i="1" s="1"/>
  <c r="A138" i="1"/>
  <c r="AD138" i="1" s="1"/>
  <c r="A140" i="1"/>
  <c r="AD140" i="1" s="1"/>
  <c r="A131" i="1"/>
  <c r="AD131" i="1" s="1"/>
  <c r="Y130" i="1"/>
  <c r="Z130" i="1" s="1"/>
  <c r="Y131" i="1"/>
  <c r="AA131" i="1" s="1"/>
  <c r="Y132" i="1"/>
  <c r="Z132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Y140" i="1"/>
  <c r="Z140" i="1" s="1"/>
  <c r="G99" i="1"/>
  <c r="G53" i="1" l="1"/>
  <c r="A53" i="1" s="1"/>
  <c r="G49" i="1"/>
  <c r="Z131" i="1"/>
  <c r="G56" i="1"/>
  <c r="G60" i="1"/>
  <c r="G103" i="1"/>
  <c r="A103" i="1" s="1"/>
  <c r="AA135" i="1"/>
  <c r="AB135" i="1" s="1"/>
  <c r="AC135" i="1" s="1"/>
  <c r="T135" i="1" s="1"/>
  <c r="AA154" i="1"/>
  <c r="AB154" i="1" s="1"/>
  <c r="AC154" i="1" s="1"/>
  <c r="T154" i="1" s="1"/>
  <c r="AA140" i="1"/>
  <c r="AB140" i="1" s="1"/>
  <c r="AC140" i="1" s="1"/>
  <c r="T140" i="1" s="1"/>
  <c r="AA148" i="1"/>
  <c r="AB148" i="1" s="1"/>
  <c r="AC148" i="1" s="1"/>
  <c r="T148" i="1" s="1"/>
  <c r="AA139" i="1"/>
  <c r="AB139" i="1" s="1"/>
  <c r="AC139" i="1" s="1"/>
  <c r="T139" i="1" s="1"/>
  <c r="AA137" i="1"/>
  <c r="AB137" i="1" s="1"/>
  <c r="AC137" i="1" s="1"/>
  <c r="T137" i="1" s="1"/>
  <c r="AA133" i="1"/>
  <c r="AB133" i="1" s="1"/>
  <c r="AC133" i="1" s="1"/>
  <c r="T133" i="1" s="1"/>
  <c r="AA138" i="1"/>
  <c r="AB138" i="1" s="1"/>
  <c r="AC138" i="1" s="1"/>
  <c r="T138" i="1" s="1"/>
  <c r="AA136" i="1"/>
  <c r="AB136" i="1" s="1"/>
  <c r="AC136" i="1" s="1"/>
  <c r="T136" i="1" s="1"/>
  <c r="AA134" i="1"/>
  <c r="AB134" i="1" s="1"/>
  <c r="AC134" i="1" s="1"/>
  <c r="T134" i="1" s="1"/>
  <c r="AA132" i="1"/>
  <c r="AB132" i="1" s="1"/>
  <c r="AC132" i="1" s="1"/>
  <c r="T132" i="1" s="1"/>
  <c r="AA130" i="1"/>
  <c r="AB130" i="1" s="1"/>
  <c r="AC130" i="1" s="1"/>
  <c r="T130" i="1" s="1"/>
  <c r="AB131" i="1"/>
  <c r="AC131" i="1" s="1"/>
  <c r="T131" i="1" s="1"/>
  <c r="G109" i="1"/>
  <c r="G74" i="1"/>
  <c r="G58" i="1" l="1"/>
  <c r="G61" i="1"/>
  <c r="G63" i="1"/>
  <c r="A152" i="1"/>
  <c r="AD152" i="1" s="1"/>
  <c r="Y151" i="1"/>
  <c r="Y152" i="1"/>
  <c r="Z152" i="1" s="1"/>
  <c r="Z151" i="1"/>
  <c r="AA151" i="1"/>
  <c r="AB151" i="1" s="1"/>
  <c r="AC151" i="1" s="1"/>
  <c r="T151" i="1" s="1"/>
  <c r="AB152" i="1"/>
  <c r="AC152" i="1"/>
  <c r="T152" i="1" s="1"/>
  <c r="A145" i="1"/>
  <c r="A147" i="1"/>
  <c r="AD147" i="1" s="1"/>
  <c r="Y145" i="1"/>
  <c r="Z145" i="1" s="1"/>
  <c r="Y146" i="1"/>
  <c r="Y147" i="1"/>
  <c r="Z147" i="1" s="1"/>
  <c r="Z146" i="1"/>
  <c r="AA145" i="1"/>
  <c r="AA146" i="1"/>
  <c r="AA147" i="1"/>
  <c r="AB146" i="1"/>
  <c r="AC146" i="1" s="1"/>
  <c r="T146" i="1" s="1"/>
  <c r="Y142" i="1"/>
  <c r="Z142" i="1" s="1"/>
  <c r="Y143" i="1"/>
  <c r="Z143" i="1" s="1"/>
  <c r="A129" i="1"/>
  <c r="AD129" i="1" s="1"/>
  <c r="Y127" i="1"/>
  <c r="Z127" i="1" s="1"/>
  <c r="Y128" i="1"/>
  <c r="AA128" i="1" s="1"/>
  <c r="Y129" i="1"/>
  <c r="Z129" i="1" s="1"/>
  <c r="Z128" i="1"/>
  <c r="A157" i="1"/>
  <c r="AD157" i="1" s="1"/>
  <c r="Y157" i="1"/>
  <c r="Z157" i="1" s="1"/>
  <c r="G118" i="1"/>
  <c r="G121" i="1"/>
  <c r="G85" i="1"/>
  <c r="AA152" i="1" l="1"/>
  <c r="G70" i="1"/>
  <c r="G76" i="1"/>
  <c r="A118" i="1"/>
  <c r="AB128" i="1"/>
  <c r="AC128" i="1" s="1"/>
  <c r="T128" i="1" s="1"/>
  <c r="AA129" i="1"/>
  <c r="AA127" i="1"/>
  <c r="AA143" i="1"/>
  <c r="AB143" i="1" s="1"/>
  <c r="AC143" i="1" s="1"/>
  <c r="T143" i="1" s="1"/>
  <c r="AA142" i="1"/>
  <c r="AB142" i="1" s="1"/>
  <c r="AC142" i="1" s="1"/>
  <c r="T142" i="1" s="1"/>
  <c r="AB147" i="1"/>
  <c r="AC147" i="1" s="1"/>
  <c r="T147" i="1" s="1"/>
  <c r="AB145" i="1"/>
  <c r="AC145" i="1" s="1"/>
  <c r="T145" i="1" s="1"/>
  <c r="AB129" i="1"/>
  <c r="AC129" i="1" s="1"/>
  <c r="T129" i="1" s="1"/>
  <c r="AB127" i="1"/>
  <c r="AC127" i="1" s="1"/>
  <c r="T127" i="1" s="1"/>
  <c r="AA157" i="1"/>
  <c r="AB157" i="1" s="1"/>
  <c r="AC157" i="1" s="1"/>
  <c r="T157" i="1" s="1"/>
  <c r="G88" i="1"/>
  <c r="G90" i="1"/>
  <c r="G80" i="1" l="1"/>
  <c r="G78" i="1"/>
  <c r="G113" i="1"/>
  <c r="G107" i="1"/>
  <c r="A107" i="1" s="1"/>
  <c r="Y149" i="1"/>
  <c r="Z149" i="1" s="1"/>
  <c r="Y126" i="1"/>
  <c r="Z126" i="1" s="1"/>
  <c r="Y141" i="1"/>
  <c r="Z141" i="1" s="1"/>
  <c r="Y144" i="1"/>
  <c r="Z144" i="1" s="1"/>
  <c r="Y153" i="1"/>
  <c r="Z153" i="1" s="1"/>
  <c r="G119" i="1"/>
  <c r="G105" i="1" l="1"/>
  <c r="A105" i="1" s="1"/>
  <c r="G108" i="1"/>
  <c r="G82" i="1"/>
  <c r="G97" i="1"/>
  <c r="A97" i="1" s="1"/>
  <c r="G101" i="1"/>
  <c r="A119" i="1"/>
  <c r="AA149" i="1"/>
  <c r="AB149" i="1" s="1"/>
  <c r="AC149" i="1" s="1"/>
  <c r="T149" i="1" s="1"/>
  <c r="AA153" i="1"/>
  <c r="AB153" i="1" s="1"/>
  <c r="AC153" i="1" s="1"/>
  <c r="T153" i="1" s="1"/>
  <c r="AA144" i="1"/>
  <c r="AB144" i="1" s="1"/>
  <c r="AC144" i="1" s="1"/>
  <c r="T144" i="1" s="1"/>
  <c r="AA141" i="1"/>
  <c r="AB141" i="1" s="1"/>
  <c r="AC141" i="1" s="1"/>
  <c r="T141" i="1" s="1"/>
  <c r="AA126" i="1"/>
  <c r="AB126" i="1" s="1"/>
  <c r="AC126" i="1" s="1"/>
  <c r="T126" i="1" s="1"/>
  <c r="G143" i="1"/>
  <c r="W105" i="1"/>
  <c r="W106" i="1"/>
  <c r="G137" i="1" l="1"/>
  <c r="A137" i="1" s="1"/>
  <c r="G128" i="1"/>
  <c r="A128" i="1" s="1"/>
  <c r="G111" i="1"/>
  <c r="G135" i="1"/>
  <c r="A135" i="1" s="1"/>
  <c r="A143" i="1"/>
  <c r="Y122" i="1"/>
  <c r="Z122" i="1" s="1"/>
  <c r="A122" i="1"/>
  <c r="AD122" i="1" s="1"/>
  <c r="G142" i="1" l="1"/>
  <c r="A142" i="1" s="1"/>
  <c r="AA122" i="1"/>
  <c r="AB122" i="1" s="1"/>
  <c r="AC122" i="1" s="1"/>
  <c r="T122" i="1" s="1"/>
  <c r="A22" i="1" l="1"/>
  <c r="Y22" i="1"/>
  <c r="Z22" i="1" s="1"/>
  <c r="AA22" i="1" l="1"/>
  <c r="AB22" i="1" s="1"/>
  <c r="AC22" i="1" s="1"/>
  <c r="T22" i="1" s="1"/>
  <c r="A235" i="1"/>
  <c r="AD235" i="1" s="1"/>
  <c r="Y235" i="1"/>
  <c r="Z235" i="1" s="1"/>
  <c r="AA235" i="1" l="1"/>
  <c r="AB235" i="1" s="1"/>
  <c r="AC235" i="1" s="1"/>
  <c r="T235" i="1" s="1"/>
  <c r="A190" i="1" l="1"/>
  <c r="AD190" i="1" s="1"/>
  <c r="W190" i="1"/>
  <c r="X190" i="1" s="1"/>
  <c r="Y189" i="1"/>
  <c r="Y190" i="1"/>
  <c r="Z190" i="1" s="1"/>
  <c r="AB190" i="1"/>
  <c r="AC190" i="1"/>
  <c r="T190" i="1" s="1"/>
  <c r="AA190" i="1" l="1"/>
  <c r="Z189" i="1"/>
  <c r="AA189" i="1"/>
  <c r="AB189" i="1" s="1"/>
  <c r="AC189" i="1" s="1"/>
  <c r="T189" i="1" s="1"/>
  <c r="A180" i="1" l="1"/>
  <c r="AD180" i="1" s="1"/>
  <c r="Y180" i="1"/>
  <c r="Z180" i="1" s="1"/>
  <c r="A127" i="1" l="1"/>
  <c r="AA180" i="1"/>
  <c r="AB180" i="1" s="1"/>
  <c r="AC180" i="1" s="1"/>
  <c r="T180" i="1" s="1"/>
  <c r="A130" i="1" l="1"/>
  <c r="Y20" i="1"/>
  <c r="A19" i="1"/>
  <c r="A20" i="1"/>
  <c r="Y18" i="1"/>
  <c r="Z18" i="1" s="1"/>
  <c r="Y19" i="1"/>
  <c r="A18" i="1" l="1"/>
  <c r="A139" i="1"/>
  <c r="AA18" i="1"/>
  <c r="A108" i="1"/>
  <c r="Z19" i="1"/>
  <c r="AB18" i="1"/>
  <c r="AC18" i="1" s="1"/>
  <c r="T18" i="1" s="1"/>
  <c r="Z20" i="1"/>
  <c r="AA20" i="1"/>
  <c r="Y108" i="1"/>
  <c r="Z108" i="1" s="1"/>
  <c r="AA19" i="1" l="1"/>
  <c r="AB19" i="1" s="1"/>
  <c r="AC19" i="1" s="1"/>
  <c r="T19" i="1" s="1"/>
  <c r="AB20" i="1"/>
  <c r="AC20" i="1" s="1"/>
  <c r="T20" i="1" s="1"/>
  <c r="AA108" i="1"/>
  <c r="AB108" i="1" s="1"/>
  <c r="AC108" i="1" s="1"/>
  <c r="T108" i="1" s="1"/>
  <c r="A146" i="1" l="1"/>
  <c r="A148" i="1"/>
  <c r="A151" i="1"/>
  <c r="A141" i="1"/>
  <c r="A126" i="1"/>
  <c r="A144" i="1"/>
  <c r="Y74" i="1"/>
  <c r="Z74" i="1" s="1"/>
  <c r="Y73" i="1"/>
  <c r="AA73" i="1" s="1"/>
  <c r="Y72" i="1"/>
  <c r="Z72" i="1" s="1"/>
  <c r="Y71" i="1"/>
  <c r="AA71" i="1" s="1"/>
  <c r="Y70" i="1"/>
  <c r="Z70" i="1" s="1"/>
  <c r="Y69" i="1"/>
  <c r="AA69" i="1" s="1"/>
  <c r="Y68" i="1"/>
  <c r="AA68" i="1" s="1"/>
  <c r="A74" i="1"/>
  <c r="A73" i="1"/>
  <c r="A72" i="1"/>
  <c r="A70" i="1"/>
  <c r="A68" i="1"/>
  <c r="A77" i="1"/>
  <c r="AD77" i="1" s="1"/>
  <c r="Y77" i="1"/>
  <c r="Z77" i="1" s="1"/>
  <c r="A153" i="1" l="1"/>
  <c r="A189" i="1"/>
  <c r="A149" i="1"/>
  <c r="Z68" i="1"/>
  <c r="AB68" i="1" s="1"/>
  <c r="AC68" i="1" s="1"/>
  <c r="T68" i="1" s="1"/>
  <c r="Z71" i="1"/>
  <c r="AB71" i="1" s="1"/>
  <c r="AC71" i="1" s="1"/>
  <c r="T71" i="1" s="1"/>
  <c r="Z69" i="1"/>
  <c r="AB69" i="1" s="1"/>
  <c r="AC69" i="1" s="1"/>
  <c r="T69" i="1" s="1"/>
  <c r="Z73" i="1"/>
  <c r="AB73" i="1" s="1"/>
  <c r="AC73" i="1" s="1"/>
  <c r="T73" i="1" s="1"/>
  <c r="AA70" i="1"/>
  <c r="AB70" i="1" s="1"/>
  <c r="AC70" i="1" s="1"/>
  <c r="T70" i="1" s="1"/>
  <c r="AA72" i="1"/>
  <c r="AB72" i="1" s="1"/>
  <c r="AC72" i="1" s="1"/>
  <c r="T72" i="1" s="1"/>
  <c r="AA74" i="1"/>
  <c r="AB74" i="1" s="1"/>
  <c r="AC74" i="1" s="1"/>
  <c r="T74" i="1" s="1"/>
  <c r="AA77" i="1"/>
  <c r="AB77" i="1" s="1"/>
  <c r="AC77" i="1" s="1"/>
  <c r="T77" i="1" s="1"/>
  <c r="W146" i="1"/>
  <c r="W151" i="1"/>
  <c r="A21" i="1" l="1"/>
  <c r="Y21" i="1"/>
  <c r="Z21" i="1" s="1"/>
  <c r="W152" i="1"/>
  <c r="W147" i="1"/>
  <c r="W148" i="1"/>
  <c r="W149" i="1" s="1"/>
  <c r="AA21" i="1" l="1"/>
  <c r="AB21" i="1" s="1"/>
  <c r="AC21" i="1" s="1"/>
  <c r="T21" i="1" s="1"/>
  <c r="W153" i="1"/>
  <c r="W154" i="1"/>
  <c r="A8" i="1" l="1"/>
  <c r="Y8" i="1"/>
  <c r="Z8" i="1" s="1"/>
  <c r="AA8" i="1" l="1"/>
  <c r="AB8" i="1" s="1"/>
  <c r="AC8" i="1" s="1"/>
  <c r="T8" i="1" s="1"/>
  <c r="A51" i="1"/>
  <c r="Y50" i="1"/>
  <c r="Z50" i="1" s="1"/>
  <c r="Y51" i="1"/>
  <c r="Z51" i="1" s="1"/>
  <c r="AA50" i="1" l="1"/>
  <c r="AB50" i="1"/>
  <c r="AC50" i="1" s="1"/>
  <c r="T50" i="1" s="1"/>
  <c r="AA51" i="1"/>
  <c r="AB51" i="1" s="1"/>
  <c r="AC51" i="1" s="1"/>
  <c r="T51" i="1" s="1"/>
  <c r="A1" i="1" l="1"/>
  <c r="AB280" i="1"/>
  <c r="AB279" i="1"/>
  <c r="AB278" i="1"/>
  <c r="AB277" i="1"/>
  <c r="AB276" i="1"/>
  <c r="AB275" i="1"/>
  <c r="AB274" i="1"/>
  <c r="AB273" i="1"/>
  <c r="AB272" i="1"/>
  <c r="AB269" i="1"/>
  <c r="AB254" i="1"/>
  <c r="AB252" i="1"/>
  <c r="AB250" i="1"/>
  <c r="AB245" i="1"/>
  <c r="J69" i="2" l="1"/>
  <c r="J107" i="2" s="1"/>
  <c r="D41" i="2"/>
  <c r="D79" i="2" s="1"/>
  <c r="C1" i="2"/>
  <c r="AC280" i="1"/>
  <c r="T280" i="1" s="1"/>
  <c r="Y280" i="1"/>
  <c r="W280" i="1"/>
  <c r="X280" i="1" s="1"/>
  <c r="A280" i="1"/>
  <c r="AD280" i="1" s="1"/>
  <c r="AC279" i="1"/>
  <c r="T279" i="1" s="1"/>
  <c r="Y279" i="1"/>
  <c r="W279" i="1"/>
  <c r="X279" i="1" s="1"/>
  <c r="A279" i="1"/>
  <c r="AD279" i="1" s="1"/>
  <c r="AC278" i="1"/>
  <c r="T278" i="1" s="1"/>
  <c r="Y278" i="1"/>
  <c r="W278" i="1"/>
  <c r="X278" i="1" s="1"/>
  <c r="A278" i="1"/>
  <c r="AD278" i="1" s="1"/>
  <c r="AC277" i="1"/>
  <c r="T277" i="1" s="1"/>
  <c r="Y277" i="1"/>
  <c r="W277" i="1"/>
  <c r="X277" i="1" s="1"/>
  <c r="A277" i="1"/>
  <c r="AD277" i="1" s="1"/>
  <c r="AC276" i="1"/>
  <c r="T276" i="1" s="1"/>
  <c r="Y276" i="1"/>
  <c r="W276" i="1"/>
  <c r="X276" i="1" s="1"/>
  <c r="A276" i="1"/>
  <c r="AD276" i="1" s="1"/>
  <c r="AC275" i="1"/>
  <c r="T275" i="1" s="1"/>
  <c r="Y275" i="1"/>
  <c r="W275" i="1"/>
  <c r="X275" i="1" s="1"/>
  <c r="A275" i="1"/>
  <c r="AD275" i="1" s="1"/>
  <c r="AC274" i="1"/>
  <c r="T274" i="1" s="1"/>
  <c r="Y274" i="1"/>
  <c r="W274" i="1"/>
  <c r="X274" i="1" s="1"/>
  <c r="A274" i="1"/>
  <c r="AD274" i="1" s="1"/>
  <c r="AC273" i="1"/>
  <c r="T273" i="1" s="1"/>
  <c r="Y273" i="1"/>
  <c r="W273" i="1"/>
  <c r="X273" i="1" s="1"/>
  <c r="A273" i="1"/>
  <c r="AD273" i="1" s="1"/>
  <c r="AC272" i="1"/>
  <c r="T272" i="1" s="1"/>
  <c r="Y272" i="1"/>
  <c r="W272" i="1"/>
  <c r="X272" i="1" s="1"/>
  <c r="A272" i="1"/>
  <c r="AD272" i="1" s="1"/>
  <c r="Y271" i="1"/>
  <c r="A271" i="1"/>
  <c r="AD271" i="1" s="1"/>
  <c r="Y270" i="1"/>
  <c r="W270" i="1"/>
  <c r="A270" i="1"/>
  <c r="AC269" i="1"/>
  <c r="T269" i="1" s="1"/>
  <c r="Y269" i="1"/>
  <c r="W269" i="1"/>
  <c r="X269" i="1" s="1"/>
  <c r="A269" i="1"/>
  <c r="AD269" i="1" s="1"/>
  <c r="Y268" i="1"/>
  <c r="A268" i="1"/>
  <c r="AD268" i="1" s="1"/>
  <c r="Y267" i="1"/>
  <c r="A267" i="1"/>
  <c r="AD267" i="1" s="1"/>
  <c r="Y266" i="1"/>
  <c r="A266" i="1"/>
  <c r="AD266" i="1" s="1"/>
  <c r="Y265" i="1"/>
  <c r="A265" i="1"/>
  <c r="AD265" i="1" s="1"/>
  <c r="Y264" i="1"/>
  <c r="A264" i="1"/>
  <c r="AD264" i="1" s="1"/>
  <c r="Y263" i="1"/>
  <c r="A263" i="1"/>
  <c r="AD263" i="1" s="1"/>
  <c r="Y262" i="1"/>
  <c r="A262" i="1"/>
  <c r="AD262" i="1" s="1"/>
  <c r="Y261" i="1"/>
  <c r="A261" i="1"/>
  <c r="AD261" i="1" s="1"/>
  <c r="Y260" i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A256" i="1"/>
  <c r="AD256" i="1" s="1"/>
  <c r="Y255" i="1"/>
  <c r="W255" i="1"/>
  <c r="A255" i="1"/>
  <c r="AC254" i="1"/>
  <c r="T254" i="1" s="1"/>
  <c r="Y254" i="1"/>
  <c r="W254" i="1"/>
  <c r="X254" i="1" s="1"/>
  <c r="A254" i="1"/>
  <c r="AD254" i="1" s="1"/>
  <c r="Y253" i="1"/>
  <c r="W253" i="1"/>
  <c r="A253" i="1"/>
  <c r="AC252" i="1"/>
  <c r="T252" i="1" s="1"/>
  <c r="Y252" i="1"/>
  <c r="W252" i="1"/>
  <c r="X252" i="1" s="1"/>
  <c r="A252" i="1"/>
  <c r="AD252" i="1" s="1"/>
  <c r="Y251" i="1"/>
  <c r="W251" i="1"/>
  <c r="A251" i="1"/>
  <c r="AC250" i="1"/>
  <c r="T250" i="1" s="1"/>
  <c r="Y250" i="1"/>
  <c r="W250" i="1"/>
  <c r="X250" i="1" s="1"/>
  <c r="A250" i="1"/>
  <c r="AD250" i="1" s="1"/>
  <c r="Y249" i="1"/>
  <c r="A249" i="1"/>
  <c r="AD249" i="1" s="1"/>
  <c r="Y248" i="1"/>
  <c r="A248" i="1"/>
  <c r="AD248" i="1" s="1"/>
  <c r="Y247" i="1"/>
  <c r="A247" i="1"/>
  <c r="AD247" i="1" s="1"/>
  <c r="Y246" i="1"/>
  <c r="W246" i="1"/>
  <c r="A246" i="1"/>
  <c r="AC245" i="1"/>
  <c r="T245" i="1" s="1"/>
  <c r="Y245" i="1"/>
  <c r="W245" i="1"/>
  <c r="X245" i="1" s="1"/>
  <c r="A245" i="1"/>
  <c r="AD245" i="1" s="1"/>
  <c r="Y244" i="1"/>
  <c r="A244" i="1"/>
  <c r="AD244" i="1" s="1"/>
  <c r="Y243" i="1"/>
  <c r="A243" i="1"/>
  <c r="AD243" i="1" s="1"/>
  <c r="Y242" i="1"/>
  <c r="A242" i="1"/>
  <c r="AD242" i="1" s="1"/>
  <c r="Y240" i="1"/>
  <c r="A240" i="1"/>
  <c r="AD240" i="1" s="1"/>
  <c r="Y239" i="1"/>
  <c r="A239" i="1"/>
  <c r="AD239" i="1" s="1"/>
  <c r="Y238" i="1"/>
  <c r="A238" i="1"/>
  <c r="AD238" i="1" s="1"/>
  <c r="Y237" i="1"/>
  <c r="A237" i="1"/>
  <c r="AD237" i="1" s="1"/>
  <c r="Y236" i="1"/>
  <c r="Y234" i="1"/>
  <c r="A234" i="1"/>
  <c r="AD234" i="1" s="1"/>
  <c r="Y233" i="1"/>
  <c r="Y232" i="1"/>
  <c r="A232" i="1"/>
  <c r="AD232" i="1" s="1"/>
  <c r="Y231" i="1"/>
  <c r="A231" i="1"/>
  <c r="Y230" i="1"/>
  <c r="Y229" i="1"/>
  <c r="A229" i="1"/>
  <c r="Y228" i="1"/>
  <c r="Y227" i="1"/>
  <c r="A227" i="1"/>
  <c r="Y226" i="1"/>
  <c r="Y225" i="1"/>
  <c r="A225" i="1"/>
  <c r="AD225" i="1" s="1"/>
  <c r="Y224" i="1"/>
  <c r="A224" i="1"/>
  <c r="Y223" i="1"/>
  <c r="Y222" i="1"/>
  <c r="A222" i="1"/>
  <c r="Y221" i="1"/>
  <c r="Y220" i="1"/>
  <c r="A220" i="1"/>
  <c r="AD220" i="1" s="1"/>
  <c r="Y219" i="1"/>
  <c r="Y218" i="1"/>
  <c r="Y217" i="1"/>
  <c r="A217" i="1"/>
  <c r="AD217" i="1" s="1"/>
  <c r="Y216" i="1"/>
  <c r="A216" i="1"/>
  <c r="AD216" i="1" s="1"/>
  <c r="Y215" i="1"/>
  <c r="Y214" i="1"/>
  <c r="Y213" i="1"/>
  <c r="Y212" i="1"/>
  <c r="Y211" i="1"/>
  <c r="A211" i="1"/>
  <c r="Y210" i="1"/>
  <c r="Y209" i="1"/>
  <c r="A209" i="1"/>
  <c r="AD209" i="1" s="1"/>
  <c r="Y208" i="1"/>
  <c r="Y207" i="1"/>
  <c r="A207" i="1"/>
  <c r="AD207" i="1" s="1"/>
  <c r="Y206" i="1"/>
  <c r="Y205" i="1"/>
  <c r="Y204" i="1"/>
  <c r="Y203" i="1"/>
  <c r="A203" i="1"/>
  <c r="AD203" i="1" s="1"/>
  <c r="Y202" i="1"/>
  <c r="A202" i="1"/>
  <c r="AD202" i="1" s="1"/>
  <c r="Y201" i="1"/>
  <c r="Y200" i="1"/>
  <c r="A200" i="1"/>
  <c r="AD200" i="1" s="1"/>
  <c r="Y199" i="1"/>
  <c r="Y198" i="1"/>
  <c r="A198" i="1"/>
  <c r="AD198" i="1" s="1"/>
  <c r="Y197" i="1"/>
  <c r="Y196" i="1"/>
  <c r="A196" i="1"/>
  <c r="Y194" i="1"/>
  <c r="Y193" i="1"/>
  <c r="A193" i="1"/>
  <c r="W193" i="1" s="1"/>
  <c r="Y192" i="1"/>
  <c r="A192" i="1"/>
  <c r="AD192" i="1" s="1"/>
  <c r="Y191" i="1"/>
  <c r="Y188" i="1"/>
  <c r="A188" i="1"/>
  <c r="AD188" i="1" s="1"/>
  <c r="Y187" i="1"/>
  <c r="Y186" i="1"/>
  <c r="A186" i="1"/>
  <c r="AD186" i="1" s="1"/>
  <c r="Y185" i="1"/>
  <c r="Y184" i="1"/>
  <c r="A184" i="1"/>
  <c r="AD184" i="1" s="1"/>
  <c r="Y183" i="1"/>
  <c r="A183" i="1"/>
  <c r="Y182" i="1"/>
  <c r="A182" i="1"/>
  <c r="AD182" i="1" s="1"/>
  <c r="Y181" i="1"/>
  <c r="A181" i="1"/>
  <c r="AD181" i="1" s="1"/>
  <c r="Y179" i="1"/>
  <c r="A179" i="1"/>
  <c r="Y178" i="1"/>
  <c r="A178" i="1"/>
  <c r="AD178" i="1" s="1"/>
  <c r="Y177" i="1"/>
  <c r="Y176" i="1"/>
  <c r="A176" i="1"/>
  <c r="Y175" i="1"/>
  <c r="A175" i="1"/>
  <c r="AD175" i="1" s="1"/>
  <c r="Y174" i="1"/>
  <c r="Y173" i="1"/>
  <c r="A173" i="1"/>
  <c r="Y171" i="1"/>
  <c r="Y170" i="1"/>
  <c r="A170" i="1"/>
  <c r="Y169" i="1"/>
  <c r="Y168" i="1"/>
  <c r="A168" i="1"/>
  <c r="AD168" i="1" s="1"/>
  <c r="Y167" i="1"/>
  <c r="A167" i="1"/>
  <c r="Y165" i="1"/>
  <c r="Y164" i="1"/>
  <c r="Y163" i="1"/>
  <c r="A163" i="1"/>
  <c r="AD163" i="1" s="1"/>
  <c r="Y162" i="1"/>
  <c r="A162" i="1"/>
  <c r="AD162" i="1" s="1"/>
  <c r="Y161" i="1"/>
  <c r="Y160" i="1"/>
  <c r="A160" i="1"/>
  <c r="Y159" i="1"/>
  <c r="Y158" i="1"/>
  <c r="A158" i="1"/>
  <c r="AD158" i="1" s="1"/>
  <c r="Y156" i="1"/>
  <c r="Y155" i="1"/>
  <c r="A155" i="1"/>
  <c r="Y125" i="1"/>
  <c r="A125" i="1"/>
  <c r="AD125" i="1" s="1"/>
  <c r="Y124" i="1"/>
  <c r="A124" i="1"/>
  <c r="Y123" i="1"/>
  <c r="Y121" i="1"/>
  <c r="Y120" i="1"/>
  <c r="A120" i="1"/>
  <c r="AD120" i="1" s="1"/>
  <c r="Y117" i="1"/>
  <c r="A117" i="1"/>
  <c r="AD117" i="1" s="1"/>
  <c r="Y116" i="1"/>
  <c r="Y115" i="1"/>
  <c r="A115" i="1"/>
  <c r="Y114" i="1"/>
  <c r="Y113" i="1"/>
  <c r="A113" i="1"/>
  <c r="Y112" i="1"/>
  <c r="A112" i="1"/>
  <c r="AD112" i="1" s="1"/>
  <c r="Y111" i="1"/>
  <c r="A111" i="1"/>
  <c r="A109" i="1"/>
  <c r="Y102" i="1"/>
  <c r="A102" i="1"/>
  <c r="Y101" i="1"/>
  <c r="Y100" i="1"/>
  <c r="A100" i="1"/>
  <c r="Y99" i="1"/>
  <c r="Y98" i="1"/>
  <c r="A98" i="1"/>
  <c r="Y93" i="1"/>
  <c r="A93" i="1"/>
  <c r="Y92" i="1"/>
  <c r="Y91" i="1"/>
  <c r="A91" i="1"/>
  <c r="AD91" i="1" s="1"/>
  <c r="Y90" i="1"/>
  <c r="Y89" i="1"/>
  <c r="Y88" i="1"/>
  <c r="Y87" i="1"/>
  <c r="A87" i="1"/>
  <c r="Y86" i="1"/>
  <c r="A86" i="1"/>
  <c r="AD86" i="1" s="1"/>
  <c r="Y85" i="1"/>
  <c r="Y84" i="1"/>
  <c r="A84" i="1"/>
  <c r="AD84" i="1" s="1"/>
  <c r="Y83" i="1"/>
  <c r="Y82" i="1"/>
  <c r="A82" i="1"/>
  <c r="Y81" i="1"/>
  <c r="A81" i="1"/>
  <c r="AD81" i="1" s="1"/>
  <c r="Y80" i="1"/>
  <c r="A80" i="1"/>
  <c r="Y79" i="1"/>
  <c r="A79" i="1"/>
  <c r="AD79" i="1" s="1"/>
  <c r="Y78" i="1"/>
  <c r="Y76" i="1"/>
  <c r="A76" i="1"/>
  <c r="Y75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2" i="1"/>
  <c r="Y49" i="1"/>
  <c r="Y47" i="1"/>
  <c r="Y46" i="1"/>
  <c r="A46" i="1"/>
  <c r="Y45" i="1"/>
  <c r="Y44" i="1"/>
  <c r="A44" i="1"/>
  <c r="Y43" i="1"/>
  <c r="Y42" i="1"/>
  <c r="A42" i="1"/>
  <c r="Y41" i="1"/>
  <c r="Y40" i="1"/>
  <c r="A40" i="1"/>
  <c r="Y39" i="1"/>
  <c r="A39" i="1"/>
  <c r="Y38" i="1"/>
  <c r="Y37" i="1"/>
  <c r="Y36" i="1"/>
  <c r="Y35" i="1"/>
  <c r="Y34" i="1"/>
  <c r="Y33" i="1"/>
  <c r="Y32" i="1"/>
  <c r="Y30" i="1"/>
  <c r="Y29" i="1"/>
  <c r="A29" i="1"/>
  <c r="AD29" i="1" s="1"/>
  <c r="Y28" i="1"/>
  <c r="Y27" i="1"/>
  <c r="Y26" i="1"/>
  <c r="Y25" i="1"/>
  <c r="Y23" i="1"/>
  <c r="Y12" i="1"/>
  <c r="Y10" i="1"/>
  <c r="A10" i="1"/>
  <c r="Y9" i="1"/>
  <c r="Y7" i="1"/>
  <c r="Y4" i="1"/>
  <c r="Y3" i="1"/>
  <c r="W225" i="1"/>
  <c r="W256" i="1"/>
  <c r="W247" i="1"/>
  <c r="W257" i="1"/>
  <c r="W258" i="1" s="1"/>
  <c r="W271" i="1"/>
  <c r="A4" i="1" l="1"/>
  <c r="W4" i="1" s="1"/>
  <c r="A3" i="1"/>
  <c r="Z3" i="1"/>
  <c r="AA3" i="1" s="1"/>
  <c r="AA4" i="1"/>
  <c r="Z4" i="1"/>
  <c r="Z9" i="1"/>
  <c r="AA9" i="1" s="1"/>
  <c r="AA27" i="1"/>
  <c r="Z27" i="1"/>
  <c r="Z35" i="1"/>
  <c r="AA38" i="1"/>
  <c r="Z38" i="1"/>
  <c r="AA42" i="1"/>
  <c r="Z42" i="1"/>
  <c r="Z45" i="1"/>
  <c r="AA45" i="1"/>
  <c r="AA49" i="1"/>
  <c r="Z49" i="1"/>
  <c r="AA54" i="1"/>
  <c r="Z54" i="1"/>
  <c r="AA55" i="1"/>
  <c r="Z55" i="1"/>
  <c r="AA58" i="1"/>
  <c r="Z58" i="1"/>
  <c r="AA61" i="1"/>
  <c r="Z61" i="1"/>
  <c r="AA64" i="1"/>
  <c r="Z64" i="1"/>
  <c r="AA66" i="1"/>
  <c r="Z66" i="1"/>
  <c r="AA78" i="1"/>
  <c r="Z78" i="1"/>
  <c r="Z80" i="1"/>
  <c r="AA80" i="1"/>
  <c r="AA83" i="1"/>
  <c r="Z83" i="1"/>
  <c r="Z84" i="1"/>
  <c r="AA84" i="1"/>
  <c r="AA86" i="1"/>
  <c r="Z86" i="1"/>
  <c r="Z88" i="1"/>
  <c r="AA88" i="1"/>
  <c r="AA90" i="1"/>
  <c r="Z90" i="1"/>
  <c r="Z91" i="1"/>
  <c r="AA91" i="1"/>
  <c r="AA98" i="1"/>
  <c r="Z98" i="1"/>
  <c r="AA101" i="1"/>
  <c r="Z101" i="1"/>
  <c r="AA111" i="1"/>
  <c r="Z111" i="1"/>
  <c r="Z114" i="1"/>
  <c r="AA114" i="1"/>
  <c r="AA115" i="1"/>
  <c r="Z115" i="1"/>
  <c r="AA117" i="1"/>
  <c r="Z117" i="1"/>
  <c r="AA120" i="1"/>
  <c r="Z120" i="1"/>
  <c r="AA123" i="1"/>
  <c r="Z123" i="1"/>
  <c r="AA125" i="1"/>
  <c r="Z125" i="1"/>
  <c r="Z155" i="1"/>
  <c r="AA155" i="1"/>
  <c r="AA158" i="1"/>
  <c r="Z158" i="1"/>
  <c r="AA161" i="1"/>
  <c r="Z161" i="1"/>
  <c r="Z164" i="1"/>
  <c r="AA164" i="1"/>
  <c r="AA167" i="1"/>
  <c r="Z167" i="1"/>
  <c r="Z169" i="1"/>
  <c r="AA169" i="1"/>
  <c r="AA170" i="1"/>
  <c r="Z170" i="1"/>
  <c r="AA173" i="1"/>
  <c r="Z173" i="1"/>
  <c r="AA175" i="1"/>
  <c r="Z175" i="1"/>
  <c r="AA176" i="1"/>
  <c r="Z176" i="1"/>
  <c r="Z178" i="1"/>
  <c r="AA178" i="1"/>
  <c r="AA181" i="1"/>
  <c r="Z181" i="1"/>
  <c r="AA183" i="1"/>
  <c r="Z183" i="1"/>
  <c r="AA185" i="1"/>
  <c r="Z185" i="1"/>
  <c r="AA187" i="1"/>
  <c r="Z187" i="1"/>
  <c r="AA191" i="1"/>
  <c r="Z191" i="1"/>
  <c r="Z194" i="1"/>
  <c r="AA194" i="1"/>
  <c r="AA196" i="1"/>
  <c r="Z196" i="1"/>
  <c r="Z199" i="1"/>
  <c r="AA199" i="1"/>
  <c r="AA201" i="1"/>
  <c r="Z201" i="1"/>
  <c r="Z203" i="1"/>
  <c r="AA203" i="1"/>
  <c r="AA204" i="1"/>
  <c r="Z204" i="1"/>
  <c r="AA206" i="1"/>
  <c r="Z206" i="1"/>
  <c r="AA208" i="1"/>
  <c r="Z208" i="1"/>
  <c r="AA209" i="1"/>
  <c r="Z209" i="1"/>
  <c r="AA212" i="1"/>
  <c r="Z212" i="1"/>
  <c r="AA213" i="1"/>
  <c r="Z213" i="1"/>
  <c r="Z215" i="1"/>
  <c r="AA215" i="1"/>
  <c r="Z217" i="1"/>
  <c r="AA218" i="1"/>
  <c r="Z218" i="1"/>
  <c r="Z12" i="1"/>
  <c r="AA12" i="1" s="1"/>
  <c r="Z30" i="1"/>
  <c r="AA34" i="1"/>
  <c r="Z34" i="1"/>
  <c r="Z41" i="1"/>
  <c r="AA41" i="1"/>
  <c r="AA7" i="1"/>
  <c r="Z7" i="1"/>
  <c r="Z10" i="1"/>
  <c r="AA10" i="1" s="1"/>
  <c r="AA23" i="1"/>
  <c r="Z23" i="1"/>
  <c r="AA25" i="1"/>
  <c r="Z25" i="1"/>
  <c r="AA26" i="1"/>
  <c r="Z26" i="1"/>
  <c r="Z28" i="1"/>
  <c r="AA28" i="1" s="1"/>
  <c r="AA29" i="1"/>
  <c r="Z29" i="1"/>
  <c r="AA32" i="1"/>
  <c r="Z32" i="1"/>
  <c r="Z33" i="1"/>
  <c r="AA33" i="1"/>
  <c r="AA36" i="1"/>
  <c r="Z36" i="1"/>
  <c r="Z37" i="1"/>
  <c r="AA37" i="1"/>
  <c r="AA39" i="1"/>
  <c r="Z39" i="1"/>
  <c r="AA40" i="1"/>
  <c r="Z40" i="1"/>
  <c r="AA43" i="1"/>
  <c r="Z43" i="1"/>
  <c r="AA44" i="1"/>
  <c r="Z44" i="1"/>
  <c r="AA46" i="1"/>
  <c r="Z46" i="1"/>
  <c r="AA47" i="1"/>
  <c r="Z47" i="1"/>
  <c r="AA52" i="1"/>
  <c r="Z52" i="1"/>
  <c r="Z56" i="1"/>
  <c r="AA56" i="1"/>
  <c r="AA57" i="1"/>
  <c r="Z57" i="1"/>
  <c r="AA59" i="1"/>
  <c r="Z59" i="1"/>
  <c r="Z60" i="1"/>
  <c r="AA60" i="1"/>
  <c r="AA62" i="1"/>
  <c r="Z62" i="1"/>
  <c r="Z63" i="1"/>
  <c r="AA63" i="1"/>
  <c r="AA65" i="1"/>
  <c r="Z65" i="1"/>
  <c r="Z67" i="1"/>
  <c r="AA67" i="1"/>
  <c r="AA75" i="1"/>
  <c r="Z75" i="1"/>
  <c r="AA76" i="1"/>
  <c r="Z76" i="1"/>
  <c r="AA79" i="1"/>
  <c r="Z79" i="1"/>
  <c r="AA81" i="1"/>
  <c r="Z81" i="1"/>
  <c r="AA82" i="1"/>
  <c r="Z82" i="1"/>
  <c r="AA85" i="1"/>
  <c r="Z85" i="1"/>
  <c r="AA87" i="1"/>
  <c r="Z87" i="1"/>
  <c r="AA89" i="1"/>
  <c r="Z89" i="1"/>
  <c r="AA92" i="1"/>
  <c r="Z92" i="1"/>
  <c r="AA93" i="1"/>
  <c r="Z93" i="1"/>
  <c r="Z99" i="1"/>
  <c r="AA99" i="1"/>
  <c r="AA100" i="1"/>
  <c r="Z100" i="1"/>
  <c r="AA102" i="1"/>
  <c r="Z102" i="1"/>
  <c r="AA112" i="1"/>
  <c r="Z112" i="1"/>
  <c r="AA113" i="1"/>
  <c r="Z113" i="1"/>
  <c r="AA116" i="1"/>
  <c r="Z116" i="1"/>
  <c r="AA121" i="1"/>
  <c r="Z121" i="1"/>
  <c r="AA124" i="1"/>
  <c r="Z124" i="1"/>
  <c r="AA156" i="1"/>
  <c r="Z156" i="1"/>
  <c r="AA159" i="1"/>
  <c r="Z159" i="1"/>
  <c r="Z160" i="1"/>
  <c r="AA160" i="1"/>
  <c r="AA162" i="1"/>
  <c r="Z162" i="1"/>
  <c r="AA163" i="1"/>
  <c r="Z163" i="1"/>
  <c r="AA165" i="1"/>
  <c r="Z165" i="1"/>
  <c r="AA168" i="1"/>
  <c r="Z168" i="1"/>
  <c r="AA171" i="1"/>
  <c r="Z171" i="1"/>
  <c r="Z174" i="1"/>
  <c r="AA174" i="1"/>
  <c r="AA177" i="1"/>
  <c r="Z177" i="1"/>
  <c r="AA182" i="1"/>
  <c r="Z182" i="1"/>
  <c r="Z184" i="1"/>
  <c r="AA184" i="1"/>
  <c r="AA186" i="1"/>
  <c r="Z186" i="1"/>
  <c r="AB186" i="1" s="1"/>
  <c r="Z188" i="1"/>
  <c r="AA188" i="1"/>
  <c r="AA192" i="1"/>
  <c r="Z192" i="1"/>
  <c r="AA193" i="1"/>
  <c r="Z193" i="1"/>
  <c r="AA197" i="1"/>
  <c r="Z197" i="1"/>
  <c r="AA198" i="1"/>
  <c r="Z198" i="1"/>
  <c r="AA200" i="1"/>
  <c r="Z200" i="1"/>
  <c r="AB200" i="1" s="1"/>
  <c r="AA202" i="1"/>
  <c r="Z202" i="1"/>
  <c r="AA205" i="1"/>
  <c r="Z205" i="1"/>
  <c r="AB205" i="1" s="1"/>
  <c r="AC205" i="1" s="1"/>
  <c r="T205" i="1" s="1"/>
  <c r="Z207" i="1"/>
  <c r="AA207" i="1"/>
  <c r="AA210" i="1"/>
  <c r="Z210" i="1"/>
  <c r="Z211" i="1"/>
  <c r="AA211" i="1"/>
  <c r="Z214" i="1"/>
  <c r="Z216" i="1"/>
  <c r="Z219" i="1"/>
  <c r="AA219" i="1"/>
  <c r="AA220" i="1"/>
  <c r="Z220" i="1"/>
  <c r="AA179" i="1"/>
  <c r="Z179" i="1"/>
  <c r="Z222" i="1"/>
  <c r="AA222" i="1"/>
  <c r="Z223" i="1"/>
  <c r="AA223" i="1"/>
  <c r="AA225" i="1"/>
  <c r="Z225" i="1"/>
  <c r="AA227" i="1"/>
  <c r="Z227" i="1"/>
  <c r="Z229" i="1"/>
  <c r="AA229" i="1"/>
  <c r="AA231" i="1"/>
  <c r="Z231" i="1"/>
  <c r="AA233" i="1"/>
  <c r="Z233" i="1"/>
  <c r="AB233" i="1" s="1"/>
  <c r="AC233" i="1" s="1"/>
  <c r="T233" i="1" s="1"/>
  <c r="Z236" i="1"/>
  <c r="AA236" i="1"/>
  <c r="AA238" i="1"/>
  <c r="Z238" i="1"/>
  <c r="AB238" i="1" s="1"/>
  <c r="AC238" i="1" s="1"/>
  <c r="T238" i="1" s="1"/>
  <c r="AA240" i="1"/>
  <c r="Z240" i="1"/>
  <c r="AB240" i="1" s="1"/>
  <c r="AC240" i="1" s="1"/>
  <c r="T240" i="1" s="1"/>
  <c r="Z243" i="1"/>
  <c r="AA243" i="1"/>
  <c r="AA245" i="1"/>
  <c r="Z245" i="1"/>
  <c r="Z247" i="1"/>
  <c r="AA247" i="1"/>
  <c r="AA249" i="1"/>
  <c r="Z249" i="1"/>
  <c r="AB249" i="1" s="1"/>
  <c r="AC249" i="1" s="1"/>
  <c r="T249" i="1" s="1"/>
  <c r="AA251" i="1"/>
  <c r="Z251" i="1"/>
  <c r="Z253" i="1"/>
  <c r="AB253" i="1" s="1"/>
  <c r="AC253" i="1" s="1"/>
  <c r="T253" i="1" s="1"/>
  <c r="AA253" i="1"/>
  <c r="AA255" i="1"/>
  <c r="Z255" i="1"/>
  <c r="AB255" i="1" s="1"/>
  <c r="AC255" i="1" s="1"/>
  <c r="T255" i="1" s="1"/>
  <c r="Z257" i="1"/>
  <c r="AA257" i="1"/>
  <c r="AA259" i="1"/>
  <c r="Z259" i="1"/>
  <c r="AB259" i="1" s="1"/>
  <c r="AC259" i="1" s="1"/>
  <c r="T259" i="1" s="1"/>
  <c r="AA261" i="1"/>
  <c r="Z261" i="1"/>
  <c r="AB261" i="1" s="1"/>
  <c r="AC261" i="1" s="1"/>
  <c r="T261" i="1" s="1"/>
  <c r="Z263" i="1"/>
  <c r="AA263" i="1"/>
  <c r="AA265" i="1"/>
  <c r="Z265" i="1"/>
  <c r="AB265" i="1" s="1"/>
  <c r="AC265" i="1" s="1"/>
  <c r="T265" i="1" s="1"/>
  <c r="AA267" i="1"/>
  <c r="Z267" i="1"/>
  <c r="AB267" i="1" s="1"/>
  <c r="AC267" i="1" s="1"/>
  <c r="T267" i="1" s="1"/>
  <c r="Z269" i="1"/>
  <c r="AA269" i="1"/>
  <c r="AA271" i="1"/>
  <c r="Z271" i="1"/>
  <c r="AB271" i="1" s="1"/>
  <c r="AC271" i="1" s="1"/>
  <c r="T271" i="1" s="1"/>
  <c r="Z273" i="1"/>
  <c r="AA273" i="1"/>
  <c r="AA275" i="1"/>
  <c r="Z275" i="1"/>
  <c r="Z277" i="1"/>
  <c r="AA277" i="1"/>
  <c r="AA279" i="1"/>
  <c r="Z279" i="1"/>
  <c r="AA221" i="1"/>
  <c r="Z221" i="1"/>
  <c r="Z224" i="1"/>
  <c r="AA224" i="1"/>
  <c r="Z226" i="1"/>
  <c r="AA226" i="1"/>
  <c r="Z228" i="1"/>
  <c r="AA228" i="1"/>
  <c r="Z230" i="1"/>
  <c r="AA230" i="1"/>
  <c r="Z232" i="1"/>
  <c r="AA232" i="1"/>
  <c r="Z234" i="1"/>
  <c r="AA234" i="1"/>
  <c r="Z237" i="1"/>
  <c r="AA237" i="1"/>
  <c r="AA239" i="1"/>
  <c r="Z239" i="1"/>
  <c r="AB239" i="1" s="1"/>
  <c r="AC239" i="1" s="1"/>
  <c r="T239" i="1" s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Z256" i="1"/>
  <c r="AA256" i="1"/>
  <c r="Z258" i="1"/>
  <c r="AA258" i="1"/>
  <c r="Z260" i="1"/>
  <c r="AA260" i="1"/>
  <c r="Z262" i="1"/>
  <c r="AA262" i="1"/>
  <c r="Z264" i="1"/>
  <c r="AA264" i="1"/>
  <c r="Z266" i="1"/>
  <c r="AA266" i="1"/>
  <c r="Z268" i="1"/>
  <c r="AA268" i="1"/>
  <c r="Z270" i="1"/>
  <c r="AA270" i="1"/>
  <c r="Z272" i="1"/>
  <c r="AA272" i="1"/>
  <c r="AA274" i="1"/>
  <c r="Z274" i="1"/>
  <c r="Z276" i="1"/>
  <c r="AA276" i="1"/>
  <c r="Z278" i="1"/>
  <c r="AA278" i="1"/>
  <c r="Z280" i="1"/>
  <c r="AA280" i="1"/>
  <c r="Y109" i="1"/>
  <c r="AC200" i="1"/>
  <c r="T200" i="1" s="1"/>
  <c r="AC186" i="1"/>
  <c r="T186" i="1" s="1"/>
  <c r="W229" i="1"/>
  <c r="W259" i="1"/>
  <c r="W136" i="1"/>
  <c r="W248" i="1"/>
  <c r="W249" i="1" s="1"/>
  <c r="W3" i="1"/>
  <c r="W5" i="1"/>
  <c r="AB270" i="1" l="1"/>
  <c r="AC270" i="1" s="1"/>
  <c r="T270" i="1" s="1"/>
  <c r="AB256" i="1"/>
  <c r="AC256" i="1" s="1"/>
  <c r="T256" i="1" s="1"/>
  <c r="AB257" i="1"/>
  <c r="AC257" i="1" s="1"/>
  <c r="T257" i="1" s="1"/>
  <c r="AB268" i="1"/>
  <c r="AC268" i="1" s="1"/>
  <c r="T268" i="1" s="1"/>
  <c r="AB266" i="1"/>
  <c r="AC266" i="1" s="1"/>
  <c r="T266" i="1" s="1"/>
  <c r="AB264" i="1"/>
  <c r="AC264" i="1" s="1"/>
  <c r="T264" i="1" s="1"/>
  <c r="AB262" i="1"/>
  <c r="AC262" i="1" s="1"/>
  <c r="T262" i="1" s="1"/>
  <c r="AB260" i="1"/>
  <c r="AC260" i="1" s="1"/>
  <c r="T260" i="1" s="1"/>
  <c r="AB258" i="1"/>
  <c r="AC258" i="1" s="1"/>
  <c r="T258" i="1" s="1"/>
  <c r="AB263" i="1"/>
  <c r="AC263" i="1" s="1"/>
  <c r="T263" i="1" s="1"/>
  <c r="AB251" i="1"/>
  <c r="AC251" i="1" s="1"/>
  <c r="T251" i="1" s="1"/>
  <c r="AB248" i="1"/>
  <c r="AC248" i="1" s="1"/>
  <c r="T248" i="1" s="1"/>
  <c r="AB246" i="1"/>
  <c r="AC246" i="1" s="1"/>
  <c r="T246" i="1" s="1"/>
  <c r="AB247" i="1"/>
  <c r="AC247" i="1" s="1"/>
  <c r="T247" i="1" s="1"/>
  <c r="AB244" i="1"/>
  <c r="AC244" i="1" s="1"/>
  <c r="T244" i="1" s="1"/>
  <c r="AB242" i="1"/>
  <c r="AC242" i="1" s="1"/>
  <c r="T242" i="1" s="1"/>
  <c r="AB237" i="1"/>
  <c r="AC237" i="1" s="1"/>
  <c r="T237" i="1" s="1"/>
  <c r="AB232" i="1"/>
  <c r="AC232" i="1" s="1"/>
  <c r="T232" i="1" s="1"/>
  <c r="AB243" i="1"/>
  <c r="AC243" i="1" s="1"/>
  <c r="T243" i="1" s="1"/>
  <c r="AB236" i="1"/>
  <c r="AC236" i="1" s="1"/>
  <c r="T236" i="1" s="1"/>
  <c r="AB227" i="1"/>
  <c r="AC227" i="1" s="1"/>
  <c r="T227" i="1" s="1"/>
  <c r="AB215" i="1"/>
  <c r="AC215" i="1" s="1"/>
  <c r="T215" i="1" s="1"/>
  <c r="AB212" i="1"/>
  <c r="AC212" i="1" s="1"/>
  <c r="T212" i="1" s="1"/>
  <c r="AB220" i="1"/>
  <c r="AC220" i="1" s="1"/>
  <c r="T220" i="1" s="1"/>
  <c r="AB209" i="1"/>
  <c r="AC209" i="1" s="1"/>
  <c r="T209" i="1" s="1"/>
  <c r="AB208" i="1"/>
  <c r="AC208" i="1" s="1"/>
  <c r="T208" i="1" s="1"/>
  <c r="AB196" i="1"/>
  <c r="AC196" i="1" s="1"/>
  <c r="T196" i="1" s="1"/>
  <c r="AB168" i="1"/>
  <c r="AC168" i="1" s="1"/>
  <c r="T168" i="1" s="1"/>
  <c r="AB193" i="1"/>
  <c r="AC193" i="1" s="1"/>
  <c r="T193" i="1" s="1"/>
  <c r="AB173" i="1"/>
  <c r="AC173" i="1" s="1"/>
  <c r="T173" i="1" s="1"/>
  <c r="AB170" i="1"/>
  <c r="AC170" i="1" s="1"/>
  <c r="T170" i="1" s="1"/>
  <c r="AB160" i="1"/>
  <c r="AC160" i="1" s="1"/>
  <c r="T160" i="1" s="1"/>
  <c r="AB158" i="1"/>
  <c r="AC158" i="1" s="1"/>
  <c r="T158" i="1" s="1"/>
  <c r="AB66" i="1"/>
  <c r="AC66" i="1" s="1"/>
  <c r="T66" i="1" s="1"/>
  <c r="AB61" i="1"/>
  <c r="AC61" i="1" s="1"/>
  <c r="T61" i="1" s="1"/>
  <c r="AB120" i="1"/>
  <c r="AC120" i="1" s="1"/>
  <c r="T120" i="1" s="1"/>
  <c r="AB117" i="1"/>
  <c r="AC117" i="1" s="1"/>
  <c r="T117" i="1" s="1"/>
  <c r="AB98" i="1"/>
  <c r="AC98" i="1" s="1"/>
  <c r="T98" i="1" s="1"/>
  <c r="AB87" i="1"/>
  <c r="AC87" i="1" s="1"/>
  <c r="T87" i="1" s="1"/>
  <c r="AB234" i="1"/>
  <c r="AC234" i="1" s="1"/>
  <c r="T234" i="1" s="1"/>
  <c r="AB221" i="1"/>
  <c r="AC221" i="1" s="1"/>
  <c r="T221" i="1" s="1"/>
  <c r="AB231" i="1"/>
  <c r="AC231" i="1" s="1"/>
  <c r="T231" i="1" s="1"/>
  <c r="AB218" i="1"/>
  <c r="AC218" i="1" s="1"/>
  <c r="T218" i="1" s="1"/>
  <c r="AB226" i="1"/>
  <c r="AC226" i="1" s="1"/>
  <c r="T226" i="1" s="1"/>
  <c r="AB223" i="1"/>
  <c r="AC223" i="1" s="1"/>
  <c r="T223" i="1" s="1"/>
  <c r="AB213" i="1"/>
  <c r="AC213" i="1" s="1"/>
  <c r="T213" i="1" s="1"/>
  <c r="AB211" i="1"/>
  <c r="AC211" i="1" s="1"/>
  <c r="T211" i="1" s="1"/>
  <c r="AB210" i="1"/>
  <c r="AC210" i="1" s="1"/>
  <c r="T210" i="1" s="1"/>
  <c r="AB206" i="1"/>
  <c r="AC206" i="1" s="1"/>
  <c r="T206" i="1" s="1"/>
  <c r="AB204" i="1"/>
  <c r="AC204" i="1" s="1"/>
  <c r="T204" i="1" s="1"/>
  <c r="AB187" i="1"/>
  <c r="AC187" i="1" s="1"/>
  <c r="T187" i="1" s="1"/>
  <c r="AB202" i="1"/>
  <c r="AC202" i="1" s="1"/>
  <c r="T202" i="1" s="1"/>
  <c r="AB192" i="1"/>
  <c r="AC192" i="1" s="1"/>
  <c r="T192" i="1" s="1"/>
  <c r="AB201" i="1"/>
  <c r="AC201" i="1" s="1"/>
  <c r="T201" i="1" s="1"/>
  <c r="AB199" i="1"/>
  <c r="AC199" i="1" s="1"/>
  <c r="T199" i="1" s="1"/>
  <c r="AB198" i="1"/>
  <c r="AC198" i="1" s="1"/>
  <c r="T198" i="1" s="1"/>
  <c r="AB197" i="1"/>
  <c r="AC197" i="1" s="1"/>
  <c r="T197" i="1" s="1"/>
  <c r="AB191" i="1"/>
  <c r="AC191" i="1" s="1"/>
  <c r="T191" i="1" s="1"/>
  <c r="AB185" i="1"/>
  <c r="AC185" i="1" s="1"/>
  <c r="T185" i="1" s="1"/>
  <c r="AB182" i="1"/>
  <c r="AC182" i="1" s="1"/>
  <c r="T182" i="1" s="1"/>
  <c r="AB177" i="1"/>
  <c r="AC177" i="1" s="1"/>
  <c r="T177" i="1" s="1"/>
  <c r="AB165" i="1"/>
  <c r="AC165" i="1" s="1"/>
  <c r="T165" i="1" s="1"/>
  <c r="AB163" i="1"/>
  <c r="AC163" i="1" s="1"/>
  <c r="T163" i="1" s="1"/>
  <c r="AB162" i="1"/>
  <c r="AC162" i="1" s="1"/>
  <c r="T162" i="1" s="1"/>
  <c r="AB159" i="1"/>
  <c r="AC159" i="1" s="1"/>
  <c r="T159" i="1" s="1"/>
  <c r="AB155" i="1"/>
  <c r="AC155" i="1" s="1"/>
  <c r="T155" i="1" s="1"/>
  <c r="AB91" i="1"/>
  <c r="AC91" i="1" s="1"/>
  <c r="T91" i="1" s="1"/>
  <c r="AB183" i="1"/>
  <c r="AC183" i="1" s="1"/>
  <c r="T183" i="1" s="1"/>
  <c r="AB176" i="1"/>
  <c r="AC176" i="1" s="1"/>
  <c r="T176" i="1" s="1"/>
  <c r="AB175" i="1"/>
  <c r="AC175" i="1" s="1"/>
  <c r="T175" i="1" s="1"/>
  <c r="AB181" i="1"/>
  <c r="AC181" i="1" s="1"/>
  <c r="T181" i="1" s="1"/>
  <c r="AB171" i="1"/>
  <c r="AC171" i="1" s="1"/>
  <c r="T171" i="1" s="1"/>
  <c r="AB167" i="1"/>
  <c r="AC167" i="1" s="1"/>
  <c r="T167" i="1" s="1"/>
  <c r="AB156" i="1"/>
  <c r="AC156" i="1" s="1"/>
  <c r="T156" i="1" s="1"/>
  <c r="AB124" i="1"/>
  <c r="AC124" i="1" s="1"/>
  <c r="T124" i="1" s="1"/>
  <c r="AB121" i="1"/>
  <c r="AC121" i="1" s="1"/>
  <c r="T121" i="1" s="1"/>
  <c r="AB125" i="1"/>
  <c r="AC125" i="1" s="1"/>
  <c r="T125" i="1" s="1"/>
  <c r="AB123" i="1"/>
  <c r="AC123" i="1" s="1"/>
  <c r="T123" i="1" s="1"/>
  <c r="AB115" i="1"/>
  <c r="AC115" i="1" s="1"/>
  <c r="T115" i="1" s="1"/>
  <c r="AB111" i="1"/>
  <c r="AC111" i="1" s="1"/>
  <c r="T111" i="1" s="1"/>
  <c r="AB116" i="1"/>
  <c r="AC116" i="1" s="1"/>
  <c r="T116" i="1" s="1"/>
  <c r="AB102" i="1"/>
  <c r="AC102" i="1" s="1"/>
  <c r="T102" i="1" s="1"/>
  <c r="AB100" i="1"/>
  <c r="AC100" i="1" s="1"/>
  <c r="T100" i="1" s="1"/>
  <c r="AB93" i="1"/>
  <c r="AC93" i="1" s="1"/>
  <c r="T93" i="1" s="1"/>
  <c r="AB89" i="1"/>
  <c r="AC89" i="1" s="1"/>
  <c r="T89" i="1" s="1"/>
  <c r="AB113" i="1"/>
  <c r="AC113" i="1" s="1"/>
  <c r="T113" i="1" s="1"/>
  <c r="AB112" i="1"/>
  <c r="AC112" i="1" s="1"/>
  <c r="T112" i="1" s="1"/>
  <c r="AB101" i="1"/>
  <c r="AC101" i="1" s="1"/>
  <c r="T101" i="1" s="1"/>
  <c r="AB90" i="1"/>
  <c r="AC90" i="1" s="1"/>
  <c r="T90" i="1" s="1"/>
  <c r="AB82" i="1"/>
  <c r="AC82" i="1" s="1"/>
  <c r="T82" i="1" s="1"/>
  <c r="AB81" i="1"/>
  <c r="AC81" i="1" s="1"/>
  <c r="T81" i="1" s="1"/>
  <c r="AB79" i="1"/>
  <c r="AC79" i="1" s="1"/>
  <c r="T79" i="1" s="1"/>
  <c r="AB75" i="1"/>
  <c r="AC75" i="1" s="1"/>
  <c r="T75" i="1" s="1"/>
  <c r="AB37" i="1"/>
  <c r="AC37" i="1" s="1"/>
  <c r="T37" i="1" s="1"/>
  <c r="AB84" i="1"/>
  <c r="AC84" i="1" s="1"/>
  <c r="T84" i="1" s="1"/>
  <c r="AB86" i="1"/>
  <c r="AC86" i="1" s="1"/>
  <c r="T86" i="1" s="1"/>
  <c r="AB83" i="1"/>
  <c r="AC83" i="1" s="1"/>
  <c r="T83" i="1" s="1"/>
  <c r="AB78" i="1"/>
  <c r="AC78" i="1" s="1"/>
  <c r="T78" i="1" s="1"/>
  <c r="AB76" i="1"/>
  <c r="AC76" i="1" s="1"/>
  <c r="T76" i="1" s="1"/>
  <c r="AB65" i="1"/>
  <c r="AC65" i="1" s="1"/>
  <c r="T65" i="1" s="1"/>
  <c r="AB32" i="1"/>
  <c r="AC32" i="1" s="1"/>
  <c r="T32" i="1" s="1"/>
  <c r="AB49" i="1"/>
  <c r="AC49" i="1" s="1"/>
  <c r="T49" i="1" s="1"/>
  <c r="AB64" i="1"/>
  <c r="AC64" i="1" s="1"/>
  <c r="T64" i="1" s="1"/>
  <c r="AB44" i="1"/>
  <c r="AC44" i="1" s="1"/>
  <c r="T44" i="1" s="1"/>
  <c r="AB36" i="1"/>
  <c r="AC36" i="1" s="1"/>
  <c r="T36" i="1" s="1"/>
  <c r="A9" i="1"/>
  <c r="AB4" i="1"/>
  <c r="AC4" i="1" s="1"/>
  <c r="T4" i="1" s="1"/>
  <c r="AB62" i="1"/>
  <c r="AC62" i="1" s="1"/>
  <c r="T62" i="1" s="1"/>
  <c r="AB12" i="1"/>
  <c r="AC12" i="1" s="1"/>
  <c r="T12" i="1" s="1"/>
  <c r="A7" i="1"/>
  <c r="AB29" i="1"/>
  <c r="AC29" i="1" s="1"/>
  <c r="T29" i="1" s="1"/>
  <c r="AB7" i="1"/>
  <c r="AC7" i="1" s="1"/>
  <c r="T7" i="1" s="1"/>
  <c r="AB60" i="1"/>
  <c r="AC60" i="1" s="1"/>
  <c r="T60" i="1" s="1"/>
  <c r="AB59" i="1"/>
  <c r="AC59" i="1" s="1"/>
  <c r="T59" i="1" s="1"/>
  <c r="AB57" i="1"/>
  <c r="AC57" i="1" s="1"/>
  <c r="T57" i="1" s="1"/>
  <c r="AB52" i="1"/>
  <c r="AC52" i="1" s="1"/>
  <c r="T52" i="1" s="1"/>
  <c r="AB58" i="1"/>
  <c r="AC58" i="1" s="1"/>
  <c r="T58" i="1" s="1"/>
  <c r="AB55" i="1"/>
  <c r="AC55" i="1" s="1"/>
  <c r="T55" i="1" s="1"/>
  <c r="AB54" i="1"/>
  <c r="AC54" i="1" s="1"/>
  <c r="T54" i="1" s="1"/>
  <c r="A47" i="1"/>
  <c r="AB47" i="1"/>
  <c r="AC47" i="1" s="1"/>
  <c r="T47" i="1" s="1"/>
  <c r="AB46" i="1"/>
  <c r="AC46" i="1" s="1"/>
  <c r="T46" i="1" s="1"/>
  <c r="AB43" i="1"/>
  <c r="AC43" i="1" s="1"/>
  <c r="T43" i="1" s="1"/>
  <c r="AB40" i="1"/>
  <c r="AC40" i="1" s="1"/>
  <c r="T40" i="1" s="1"/>
  <c r="AB39" i="1"/>
  <c r="AC39" i="1" s="1"/>
  <c r="T39" i="1" s="1"/>
  <c r="AB42" i="1"/>
  <c r="AC42" i="1" s="1"/>
  <c r="T42" i="1" s="1"/>
  <c r="AB38" i="1"/>
  <c r="AC38" i="1" s="1"/>
  <c r="T38" i="1" s="1"/>
  <c r="AA35" i="1"/>
  <c r="AB35" i="1" s="1"/>
  <c r="AC35" i="1" s="1"/>
  <c r="T35" i="1" s="1"/>
  <c r="AB33" i="1"/>
  <c r="AC33" i="1" s="1"/>
  <c r="T33" i="1" s="1"/>
  <c r="AA30" i="1"/>
  <c r="AB30" i="1" s="1"/>
  <c r="AC30" i="1" s="1"/>
  <c r="T30" i="1" s="1"/>
  <c r="AB26" i="1"/>
  <c r="AC26" i="1" s="1"/>
  <c r="T26" i="1" s="1"/>
  <c r="AB25" i="1"/>
  <c r="AC25" i="1" s="1"/>
  <c r="T25" i="1" s="1"/>
  <c r="AB23" i="1"/>
  <c r="AC23" i="1" s="1"/>
  <c r="T23" i="1" s="1"/>
  <c r="AB9" i="1"/>
  <c r="AC9" i="1" s="1"/>
  <c r="T9" i="1" s="1"/>
  <c r="Z109" i="1"/>
  <c r="AA109" i="1"/>
  <c r="AB224" i="1"/>
  <c r="AC224" i="1" s="1"/>
  <c r="T224" i="1" s="1"/>
  <c r="AB219" i="1"/>
  <c r="AC219" i="1" s="1"/>
  <c r="T219" i="1" s="1"/>
  <c r="AA216" i="1"/>
  <c r="AB216" i="1" s="1"/>
  <c r="AC216" i="1" s="1"/>
  <c r="T216" i="1" s="1"/>
  <c r="AA214" i="1"/>
  <c r="AB214" i="1" s="1"/>
  <c r="AC214" i="1" s="1"/>
  <c r="T214" i="1" s="1"/>
  <c r="AB207" i="1"/>
  <c r="AC207" i="1" s="1"/>
  <c r="T207" i="1" s="1"/>
  <c r="AB188" i="1"/>
  <c r="AC188" i="1" s="1"/>
  <c r="T188" i="1" s="1"/>
  <c r="AB184" i="1"/>
  <c r="AC184" i="1" s="1"/>
  <c r="T184" i="1" s="1"/>
  <c r="AB174" i="1"/>
  <c r="AC174" i="1" s="1"/>
  <c r="T174" i="1" s="1"/>
  <c r="AB99" i="1"/>
  <c r="AC99" i="1" s="1"/>
  <c r="T99" i="1" s="1"/>
  <c r="AB92" i="1"/>
  <c r="AC92" i="1" s="1"/>
  <c r="T92" i="1" s="1"/>
  <c r="AB85" i="1"/>
  <c r="AC85" i="1" s="1"/>
  <c r="T85" i="1" s="1"/>
  <c r="AB67" i="1"/>
  <c r="AC67" i="1" s="1"/>
  <c r="T67" i="1" s="1"/>
  <c r="AB63" i="1"/>
  <c r="AC63" i="1" s="1"/>
  <c r="T63" i="1" s="1"/>
  <c r="AB56" i="1"/>
  <c r="AC56" i="1" s="1"/>
  <c r="T56" i="1" s="1"/>
  <c r="AB28" i="1"/>
  <c r="AC28" i="1" s="1"/>
  <c r="T28" i="1" s="1"/>
  <c r="AB10" i="1"/>
  <c r="AC10" i="1" s="1"/>
  <c r="T10" i="1" s="1"/>
  <c r="AB41" i="1"/>
  <c r="AC41" i="1" s="1"/>
  <c r="T41" i="1" s="1"/>
  <c r="AB34" i="1"/>
  <c r="AC34" i="1" s="1"/>
  <c r="T34" i="1" s="1"/>
  <c r="AA217" i="1"/>
  <c r="AB217" i="1" s="1"/>
  <c r="AC217" i="1" s="1"/>
  <c r="T217" i="1" s="1"/>
  <c r="AB203" i="1"/>
  <c r="AC203" i="1" s="1"/>
  <c r="T203" i="1" s="1"/>
  <c r="AB194" i="1"/>
  <c r="AC194" i="1" s="1"/>
  <c r="T194" i="1" s="1"/>
  <c r="AB178" i="1"/>
  <c r="AC178" i="1" s="1"/>
  <c r="T178" i="1" s="1"/>
  <c r="AB169" i="1"/>
  <c r="AC169" i="1" s="1"/>
  <c r="T169" i="1" s="1"/>
  <c r="AB164" i="1"/>
  <c r="AC164" i="1" s="1"/>
  <c r="T164" i="1" s="1"/>
  <c r="AB161" i="1"/>
  <c r="AC161" i="1" s="1"/>
  <c r="T161" i="1" s="1"/>
  <c r="AB114" i="1"/>
  <c r="AC114" i="1" s="1"/>
  <c r="T114" i="1" s="1"/>
  <c r="AB88" i="1"/>
  <c r="AC88" i="1" s="1"/>
  <c r="T88" i="1" s="1"/>
  <c r="AB80" i="1"/>
  <c r="AC80" i="1" s="1"/>
  <c r="T80" i="1" s="1"/>
  <c r="AB45" i="1"/>
  <c r="AC45" i="1" s="1"/>
  <c r="T45" i="1" s="1"/>
  <c r="AB27" i="1"/>
  <c r="AC27" i="1" s="1"/>
  <c r="T27" i="1" s="1"/>
  <c r="AB3" i="1"/>
  <c r="AC3" i="1" s="1"/>
  <c r="T3" i="1" s="1"/>
  <c r="AB230" i="1"/>
  <c r="AC230" i="1" s="1"/>
  <c r="T230" i="1" s="1"/>
  <c r="AB228" i="1"/>
  <c r="AC228" i="1" s="1"/>
  <c r="T228" i="1" s="1"/>
  <c r="AB229" i="1"/>
  <c r="AC229" i="1" s="1"/>
  <c r="T229" i="1" s="1"/>
  <c r="AB179" i="1"/>
  <c r="AC179" i="1" s="1"/>
  <c r="T179" i="1" s="1"/>
  <c r="AB225" i="1"/>
  <c r="AC225" i="1" s="1"/>
  <c r="T225" i="1" s="1"/>
  <c r="AB222" i="1"/>
  <c r="AC222" i="1" s="1"/>
  <c r="T222" i="1" s="1"/>
  <c r="W260" i="1"/>
  <c r="W137" i="1"/>
  <c r="W7" i="1"/>
  <c r="A23" i="1" l="1"/>
  <c r="A25" i="1"/>
  <c r="AB109" i="1"/>
  <c r="AC109" i="1" s="1"/>
  <c r="T109" i="1" s="1"/>
  <c r="W261" i="1"/>
  <c r="W138" i="1"/>
  <c r="W8" i="1"/>
  <c r="A12" i="1" l="1"/>
  <c r="A28" i="1"/>
  <c r="A33" i="1"/>
  <c r="A34" i="1"/>
  <c r="W262" i="1"/>
  <c r="W139" i="1"/>
  <c r="W10" i="1"/>
  <c r="W9" i="1"/>
  <c r="A26" i="1" l="1"/>
  <c r="A35" i="1"/>
  <c r="A30" i="1"/>
  <c r="W263" i="1"/>
  <c r="W141" i="1"/>
  <c r="W12" i="1"/>
  <c r="W140" i="1"/>
  <c r="W13" i="1"/>
  <c r="A27" i="1" l="1"/>
  <c r="A37" i="1"/>
  <c r="W264" i="1"/>
  <c r="W14" i="1"/>
  <c r="W142" i="1"/>
  <c r="W15" i="1"/>
  <c r="W143" i="1"/>
  <c r="W18" i="1"/>
  <c r="W144" i="1" l="1"/>
  <c r="W145" i="1" s="1"/>
  <c r="A32" i="1"/>
  <c r="A36" i="1"/>
  <c r="A38" i="1"/>
  <c r="W265" i="1"/>
  <c r="W19" i="1"/>
  <c r="W16" i="1"/>
  <c r="A41" i="1" l="1"/>
  <c r="W266" i="1"/>
  <c r="W38" i="1"/>
  <c r="W20" i="1"/>
  <c r="W17" i="1"/>
  <c r="A43" i="1" l="1"/>
  <c r="W267" i="1"/>
  <c r="W30" i="1"/>
  <c r="W21" i="1"/>
  <c r="W39" i="1"/>
  <c r="A45" i="1" l="1"/>
  <c r="A50" i="1"/>
  <c r="W268" i="1"/>
  <c r="W40" i="1"/>
  <c r="W31" i="1"/>
  <c r="W22" i="1"/>
  <c r="A49" i="1" l="1"/>
  <c r="W32" i="1"/>
  <c r="W41" i="1"/>
  <c r="W23" i="1"/>
  <c r="A54" i="1" l="1"/>
  <c r="A52" i="1"/>
  <c r="W42" i="1"/>
  <c r="W25" i="1"/>
  <c r="W33" i="1"/>
  <c r="W26" i="1"/>
  <c r="A56" i="1" l="1"/>
  <c r="A55" i="1"/>
  <c r="W48" i="1"/>
  <c r="W49" i="1"/>
  <c r="W43" i="1"/>
  <c r="W27" i="1"/>
  <c r="W34" i="1"/>
  <c r="A57" i="1" l="1"/>
  <c r="A58" i="1"/>
  <c r="A59" i="1"/>
  <c r="W52" i="1"/>
  <c r="W44" i="1"/>
  <c r="W50" i="1"/>
  <c r="W28" i="1"/>
  <c r="W53" i="1"/>
  <c r="W35" i="1"/>
  <c r="A60" i="1" l="1"/>
  <c r="W54" i="1"/>
  <c r="W36" i="1"/>
  <c r="W51" i="1"/>
  <c r="W45" i="1"/>
  <c r="W29" i="1"/>
  <c r="A61" i="1" l="1"/>
  <c r="W55" i="1"/>
  <c r="W37" i="1"/>
  <c r="W46" i="1"/>
  <c r="A62" i="1" l="1"/>
  <c r="W47" i="1"/>
  <c r="W56" i="1"/>
  <c r="A63" i="1" l="1"/>
  <c r="A83" i="1"/>
  <c r="W57" i="1"/>
  <c r="A64" i="1" l="1"/>
  <c r="A85" i="1"/>
  <c r="W58" i="1"/>
  <c r="A65" i="1" l="1"/>
  <c r="A90" i="1"/>
  <c r="W59" i="1"/>
  <c r="A66" i="1" l="1"/>
  <c r="A92" i="1"/>
  <c r="W60" i="1"/>
  <c r="A69" i="1" l="1"/>
  <c r="A67" i="1"/>
  <c r="W61" i="1"/>
  <c r="A71" i="1" l="1"/>
  <c r="A75" i="1"/>
  <c r="A101" i="1"/>
  <c r="W62" i="1"/>
  <c r="A114" i="1" l="1"/>
  <c r="A116" i="1" l="1"/>
  <c r="W63" i="1"/>
  <c r="A78" i="1" l="1"/>
  <c r="A156" i="1"/>
  <c r="W64" i="1"/>
  <c r="A88" i="1" l="1"/>
  <c r="W65" i="1"/>
  <c r="A89" i="1" l="1"/>
  <c r="A164" i="1"/>
  <c r="W75" i="1"/>
  <c r="W66" i="1"/>
  <c r="A99" i="1" l="1"/>
  <c r="A171" i="1"/>
  <c r="W77" i="1"/>
  <c r="W76" i="1"/>
  <c r="W67" i="1"/>
  <c r="A177" i="1" l="1"/>
  <c r="W68" i="1"/>
  <c r="W78" i="1"/>
  <c r="A121" i="1" l="1"/>
  <c r="W79" i="1"/>
  <c r="W69" i="1"/>
  <c r="A123" i="1" l="1"/>
  <c r="A159" i="1"/>
  <c r="A197" i="1"/>
  <c r="W70" i="1"/>
  <c r="W80" i="1"/>
  <c r="A161" i="1" l="1"/>
  <c r="A199" i="1"/>
  <c r="W155" i="1"/>
  <c r="W107" i="1"/>
  <c r="W81" i="1"/>
  <c r="W108" i="1"/>
  <c r="W71" i="1"/>
  <c r="A165" i="1" l="1"/>
  <c r="A205" i="1"/>
  <c r="W156" i="1"/>
  <c r="W111" i="1"/>
  <c r="W72" i="1"/>
  <c r="W82" i="1"/>
  <c r="W109" i="1"/>
  <c r="A169" i="1" l="1"/>
  <c r="A210" i="1"/>
  <c r="W186" i="1"/>
  <c r="W169" i="1"/>
  <c r="W157" i="1"/>
  <c r="W73" i="1"/>
  <c r="W112" i="1"/>
  <c r="W83" i="1"/>
  <c r="A174" i="1" l="1"/>
  <c r="A212" i="1"/>
  <c r="W170" i="1"/>
  <c r="W171" i="1"/>
  <c r="W158" i="1"/>
  <c r="W74" i="1"/>
  <c r="W113" i="1"/>
  <c r="W84" i="1"/>
  <c r="A185" i="1" l="1"/>
  <c r="A214" i="1"/>
  <c r="W159" i="1"/>
  <c r="W172" i="1"/>
  <c r="W114" i="1"/>
  <c r="W85" i="1"/>
  <c r="A187" i="1" l="1"/>
  <c r="A219" i="1"/>
  <c r="W187" i="1"/>
  <c r="W160" i="1"/>
  <c r="W173" i="1"/>
  <c r="W174" i="1" s="1"/>
  <c r="W188" i="1"/>
  <c r="W115" i="1"/>
  <c r="W86" i="1"/>
  <c r="A191" i="1" l="1"/>
  <c r="W191" i="1" s="1"/>
  <c r="W222" i="1"/>
  <c r="W192" i="1"/>
  <c r="W189" i="1"/>
  <c r="W175" i="1"/>
  <c r="W161" i="1"/>
  <c r="W116" i="1"/>
  <c r="W87" i="1"/>
  <c r="A194" i="1" l="1"/>
  <c r="W176" i="1"/>
  <c r="W162" i="1"/>
  <c r="W117" i="1"/>
  <c r="W88" i="1"/>
  <c r="A201" i="1" l="1"/>
  <c r="AD65" i="1"/>
  <c r="AD57" i="1"/>
  <c r="AD37" i="1"/>
  <c r="AD35" i="1"/>
  <c r="X225" i="1"/>
  <c r="AD224" i="1"/>
  <c r="AD205" i="1"/>
  <c r="AD197" i="1"/>
  <c r="AD156" i="1"/>
  <c r="AD164" i="1"/>
  <c r="AD171" i="1"/>
  <c r="AD177" i="1"/>
  <c r="X186" i="1"/>
  <c r="AD214" i="1"/>
  <c r="AD227" i="1"/>
  <c r="AD219" i="1"/>
  <c r="AD212" i="1"/>
  <c r="AD92" i="1"/>
  <c r="AD114" i="1"/>
  <c r="AD199" i="1"/>
  <c r="AD210" i="1"/>
  <c r="W196" i="1"/>
  <c r="W194" i="1"/>
  <c r="W163" i="1"/>
  <c r="W177" i="1"/>
  <c r="W118" i="1"/>
  <c r="W89" i="1"/>
  <c r="A204" i="1" l="1"/>
  <c r="W182" i="1"/>
  <c r="W197" i="1"/>
  <c r="W178" i="1"/>
  <c r="W164" i="1"/>
  <c r="W90" i="1"/>
  <c r="W119" i="1"/>
  <c r="A206" i="1" l="1"/>
  <c r="W198" i="1"/>
  <c r="W183" i="1"/>
  <c r="W179" i="1"/>
  <c r="W165" i="1"/>
  <c r="W184" i="1"/>
  <c r="W185" i="1" s="1"/>
  <c r="W96" i="1"/>
  <c r="W91" i="1"/>
  <c r="W120" i="1"/>
  <c r="W121" i="1" s="1"/>
  <c r="A208" i="1" l="1"/>
  <c r="W199" i="1"/>
  <c r="W180" i="1"/>
  <c r="W166" i="1"/>
  <c r="W97" i="1"/>
  <c r="W122" i="1"/>
  <c r="W92" i="1"/>
  <c r="A213" i="1" l="1"/>
  <c r="W211" i="1"/>
  <c r="W210" i="1"/>
  <c r="W212" i="1"/>
  <c r="W200" i="1"/>
  <c r="W181" i="1"/>
  <c r="W167" i="1"/>
  <c r="W168" i="1" s="1"/>
  <c r="W123" i="1"/>
  <c r="W98" i="1"/>
  <c r="W93" i="1"/>
  <c r="A215" i="1" l="1"/>
  <c r="W213" i="1"/>
  <c r="W201" i="1"/>
  <c r="W94" i="1"/>
  <c r="W99" i="1"/>
  <c r="W124" i="1"/>
  <c r="A218" i="1" l="1"/>
  <c r="W202" i="1"/>
  <c r="W214" i="1"/>
  <c r="W100" i="1"/>
  <c r="W125" i="1"/>
  <c r="W95" i="1"/>
  <c r="A221" i="1" l="1"/>
  <c r="W203" i="1"/>
  <c r="W204" i="1"/>
  <c r="W215" i="1"/>
  <c r="W101" i="1"/>
  <c r="W126" i="1"/>
  <c r="A223" i="1" l="1"/>
  <c r="W221" i="1"/>
  <c r="W216" i="1"/>
  <c r="W217" i="1"/>
  <c r="W205" i="1"/>
  <c r="W127" i="1"/>
  <c r="W102" i="1"/>
  <c r="A226" i="1" l="1"/>
  <c r="W218" i="1"/>
  <c r="W219" i="1"/>
  <c r="W206" i="1"/>
  <c r="W223" i="1"/>
  <c r="W103" i="1"/>
  <c r="W128" i="1"/>
  <c r="W226" i="1" l="1"/>
  <c r="A228" i="1"/>
  <c r="W207" i="1"/>
  <c r="W227" i="1"/>
  <c r="W208" i="1"/>
  <c r="W224" i="1"/>
  <c r="W220" i="1"/>
  <c r="W129" i="1"/>
  <c r="W228" i="1" l="1"/>
  <c r="A230" i="1"/>
  <c r="W209" i="1"/>
  <c r="W130" i="1"/>
  <c r="W230" i="1" l="1"/>
  <c r="A233" i="1"/>
  <c r="A236" i="1"/>
  <c r="W231" i="1"/>
  <c r="W232" i="1"/>
  <c r="W233" i="1"/>
  <c r="W131" i="1"/>
  <c r="A1" i="6" l="1"/>
  <c r="E3" i="6" s="1"/>
  <c r="E41" i="6" s="1"/>
  <c r="E79" i="6" s="1"/>
  <c r="X210" i="1"/>
  <c r="AD206" i="1"/>
  <c r="AD159" i="1"/>
  <c r="AD204" i="1"/>
  <c r="AD62" i="1"/>
  <c r="AD71" i="1"/>
  <c r="AD169" i="1"/>
  <c r="AD174" i="1"/>
  <c r="AD165" i="1"/>
  <c r="AD161" i="1"/>
  <c r="X191" i="1"/>
  <c r="AD194" i="1"/>
  <c r="AD123" i="1"/>
  <c r="X192" i="1"/>
  <c r="AD201" i="1"/>
  <c r="AD208" i="1"/>
  <c r="AD69" i="1"/>
  <c r="AD213" i="1"/>
  <c r="AD218" i="1"/>
  <c r="X221" i="1"/>
  <c r="X228" i="1"/>
  <c r="AD221" i="1"/>
  <c r="AD223" i="1"/>
  <c r="AD230" i="1"/>
  <c r="AD215" i="1"/>
  <c r="AD233" i="1"/>
  <c r="AD236" i="1"/>
  <c r="X230" i="1"/>
  <c r="AD228" i="1"/>
  <c r="W234" i="1"/>
  <c r="W132" i="1"/>
  <c r="E1" i="6" l="1"/>
  <c r="H6" i="6" s="1"/>
  <c r="H44" i="6" s="1"/>
  <c r="H82" i="6" s="1"/>
  <c r="D5" i="6"/>
  <c r="D43" i="6" s="1"/>
  <c r="D81" i="6" s="1"/>
  <c r="D7" i="6"/>
  <c r="D45" i="6" s="1"/>
  <c r="D83" i="6" s="1"/>
  <c r="W235" i="1"/>
  <c r="W133" i="1"/>
  <c r="H3" i="6" l="1"/>
  <c r="H41" i="6" s="1"/>
  <c r="H79" i="6" s="1"/>
  <c r="H5" i="6"/>
  <c r="H43" i="6" s="1"/>
  <c r="H81" i="6" s="1"/>
  <c r="W236" i="1"/>
  <c r="W134" i="1"/>
  <c r="W237" i="1" l="1"/>
  <c r="W238" i="1"/>
  <c r="W135" i="1"/>
  <c r="W239" i="1" l="1"/>
  <c r="W240" i="1" l="1"/>
  <c r="W241" i="1"/>
  <c r="W242" i="1"/>
  <c r="W243" i="1" l="1"/>
  <c r="W244" i="1" l="1"/>
  <c r="AD21" i="1" l="1"/>
  <c r="AD30" i="1"/>
  <c r="AD15" i="1"/>
  <c r="X17" i="1"/>
  <c r="X11" i="1"/>
  <c r="AD13" i="1"/>
  <c r="X6" i="1"/>
  <c r="AD11" i="1"/>
  <c r="AD145" i="1"/>
  <c r="AD6" i="1"/>
  <c r="AD135" i="1"/>
  <c r="AD142" i="1"/>
  <c r="X15" i="1"/>
  <c r="X13" i="1"/>
  <c r="X16" i="1"/>
  <c r="X14" i="1"/>
  <c r="AD128" i="1"/>
  <c r="X105" i="1"/>
  <c r="X106" i="1"/>
  <c r="AD105" i="1"/>
  <c r="AD111" i="1"/>
  <c r="AD56" i="1"/>
  <c r="AD97" i="1"/>
  <c r="AD53" i="1"/>
  <c r="X53" i="1"/>
  <c r="AD43" i="1"/>
  <c r="AD45" i="1"/>
  <c r="AD39" i="1"/>
  <c r="AD41" i="1"/>
  <c r="AD31" i="1"/>
  <c r="X37" i="1"/>
  <c r="AD9" i="1"/>
  <c r="AD18" i="1"/>
  <c r="AD107" i="1"/>
  <c r="AD119" i="1"/>
  <c r="AD88" i="1"/>
  <c r="AD90" i="1"/>
  <c r="AD76" i="1"/>
  <c r="AD85" i="1"/>
  <c r="X48" i="1"/>
  <c r="AD74" i="1"/>
  <c r="AD52" i="1"/>
  <c r="AD55" i="1"/>
  <c r="AD50" i="1"/>
  <c r="X50" i="1"/>
  <c r="AD47" i="1"/>
  <c r="X47" i="1"/>
  <c r="AD32" i="1"/>
  <c r="X5" i="1"/>
  <c r="AD10" i="1"/>
  <c r="AD143" i="1"/>
  <c r="X143" i="1"/>
  <c r="X107" i="1"/>
  <c r="X119" i="1"/>
  <c r="X97" i="1"/>
  <c r="X95" i="1"/>
  <c r="X96" i="1"/>
  <c r="X94" i="1"/>
  <c r="AD103" i="1"/>
  <c r="AD118" i="1"/>
  <c r="AD99" i="1"/>
  <c r="AD101" i="1"/>
  <c r="X74" i="1"/>
  <c r="X88" i="1"/>
  <c r="AD70" i="1"/>
  <c r="AD73" i="1"/>
  <c r="AD60" i="1"/>
  <c r="AD67" i="1"/>
  <c r="AD54" i="1"/>
  <c r="AD58" i="1"/>
  <c r="AD44" i="1"/>
  <c r="X31" i="1"/>
  <c r="AD34" i="1"/>
  <c r="X184" i="1"/>
  <c r="X189" i="1"/>
  <c r="X178" i="1"/>
  <c r="AD183" i="1"/>
  <c r="AD170" i="1"/>
  <c r="X172" i="1"/>
  <c r="X175" i="1"/>
  <c r="AD153" i="1"/>
  <c r="X154" i="1"/>
  <c r="X166" i="1"/>
  <c r="X159" i="1"/>
  <c r="X148" i="1"/>
  <c r="AD151" i="1"/>
  <c r="AD146" i="1"/>
  <c r="AD148" i="1"/>
  <c r="AD139" i="1"/>
  <c r="X140" i="1"/>
  <c r="AD130" i="1"/>
  <c r="AD137" i="1"/>
  <c r="X125" i="1"/>
  <c r="AD127" i="1"/>
  <c r="X103" i="1"/>
  <c r="AD124" i="1"/>
  <c r="X118" i="1"/>
  <c r="X102" i="1"/>
  <c r="AD121" i="1"/>
  <c r="X114" i="1"/>
  <c r="AD116" i="1"/>
  <c r="AD109" i="1"/>
  <c r="AD113" i="1"/>
  <c r="AD100" i="1"/>
  <c r="AD102" i="1"/>
  <c r="X92" i="1"/>
  <c r="AD98" i="1"/>
  <c r="AD83" i="1"/>
  <c r="AD87" i="1"/>
  <c r="AD80" i="1"/>
  <c r="X81" i="1"/>
  <c r="X71" i="1"/>
  <c r="X77" i="1"/>
  <c r="AD66" i="1"/>
  <c r="AD68" i="1"/>
  <c r="AD63" i="1"/>
  <c r="X63" i="1"/>
  <c r="AD61" i="1"/>
  <c r="X62" i="1"/>
  <c r="X45" i="1"/>
  <c r="AD59" i="1"/>
  <c r="AD40" i="1"/>
  <c r="AD42" i="1"/>
  <c r="AD33" i="1"/>
  <c r="AD36" i="1"/>
  <c r="AD20" i="1"/>
  <c r="X244" i="1"/>
  <c r="X241" i="1"/>
  <c r="X255" i="1"/>
  <c r="X202" i="1"/>
  <c r="X214" i="1"/>
  <c r="X79" i="1"/>
  <c r="X212" i="1"/>
  <c r="X100" i="1"/>
  <c r="X83" i="1"/>
  <c r="X89" i="1"/>
  <c r="AD64" i="1"/>
  <c r="X18" i="1"/>
  <c r="X201" i="1"/>
  <c r="AD78" i="1"/>
  <c r="X208" i="1"/>
  <c r="X261" i="1"/>
  <c r="X146" i="1"/>
  <c r="X128" i="1"/>
  <c r="X139" i="1"/>
  <c r="X21" i="1"/>
  <c r="X29" i="1"/>
  <c r="X120" i="1"/>
  <c r="X155" i="1"/>
  <c r="X187" i="1"/>
  <c r="AD75" i="1"/>
  <c r="X170" i="1"/>
  <c r="X136" i="1"/>
  <c r="AD222" i="1"/>
  <c r="AD82" i="1"/>
  <c r="X90" i="1"/>
  <c r="X240" i="1"/>
  <c r="X168" i="1"/>
  <c r="X264" i="1"/>
  <c r="X211" i="1"/>
  <c r="X174" i="1"/>
  <c r="X58" i="1"/>
  <c r="AD7" i="1"/>
  <c r="X205" i="1"/>
  <c r="X33" i="1"/>
  <c r="X64" i="1"/>
  <c r="X10" i="1"/>
  <c r="AD3" i="1"/>
  <c r="X38" i="1"/>
  <c r="X259" i="1"/>
  <c r="X56" i="1"/>
  <c r="AD270" i="1"/>
  <c r="X235" i="1"/>
  <c r="X75" i="1"/>
  <c r="X32" i="1"/>
  <c r="X121" i="1"/>
  <c r="X177" i="1"/>
  <c r="AD26" i="1"/>
  <c r="X135" i="1"/>
  <c r="X133" i="1"/>
  <c r="X209" i="1"/>
  <c r="X41" i="1"/>
  <c r="X60" i="1"/>
  <c r="AD191" i="1"/>
  <c r="AD226" i="1"/>
  <c r="X185" i="1"/>
  <c r="X249" i="1"/>
  <c r="X233" i="1"/>
  <c r="X7" i="1"/>
  <c r="X234" i="1"/>
  <c r="X26" i="1"/>
  <c r="X158" i="1"/>
  <c r="X226" i="1"/>
  <c r="X262" i="1"/>
  <c r="AD189" i="1"/>
  <c r="X193" i="1"/>
  <c r="X253" i="1"/>
  <c r="AD211" i="1"/>
  <c r="X66" i="1"/>
  <c r="X167" i="1"/>
  <c r="X132" i="1"/>
  <c r="X52" i="1"/>
  <c r="AD51" i="1"/>
  <c r="X36" i="1"/>
  <c r="AD231" i="1"/>
  <c r="X57" i="1"/>
  <c r="X138" i="1"/>
  <c r="AD28" i="1"/>
  <c r="X251" i="1"/>
  <c r="X256" i="1"/>
  <c r="X82" i="1"/>
  <c r="X147" i="1"/>
  <c r="X236" i="1"/>
  <c r="X213" i="1"/>
  <c r="AD38" i="1"/>
  <c r="X197" i="1"/>
  <c r="X76" i="1"/>
  <c r="X218" i="1"/>
  <c r="X101" i="1"/>
  <c r="X137" i="1"/>
  <c r="X194" i="1"/>
  <c r="AD251" i="1"/>
  <c r="X199" i="1"/>
  <c r="X219" i="1"/>
  <c r="X247" i="1"/>
  <c r="AD108" i="1"/>
  <c r="AD167" i="1"/>
  <c r="X112" i="1"/>
  <c r="X179" i="1"/>
  <c r="X222" i="1"/>
  <c r="X258" i="1"/>
  <c r="X220" i="1"/>
  <c r="X238" i="1"/>
  <c r="X196" i="1"/>
  <c r="AD72" i="1"/>
  <c r="X153" i="1"/>
  <c r="X34" i="1"/>
  <c r="X169" i="1"/>
  <c r="X176" i="1"/>
  <c r="AD196" i="1"/>
  <c r="X160" i="1"/>
  <c r="X217" i="1"/>
  <c r="X86" i="1"/>
  <c r="X243" i="1"/>
  <c r="X237" i="1"/>
  <c r="AD23" i="1"/>
  <c r="AD255" i="1"/>
  <c r="X78" i="1"/>
  <c r="X131" i="1"/>
  <c r="X117" i="1"/>
  <c r="X203" i="1"/>
  <c r="X111" i="1"/>
  <c r="X200" i="1"/>
  <c r="X55" i="1"/>
  <c r="X161" i="1"/>
  <c r="X183" i="1"/>
  <c r="X123" i="1"/>
  <c r="AD179" i="1"/>
  <c r="X173" i="1"/>
  <c r="AD253" i="1"/>
  <c r="AD229" i="1"/>
  <c r="X265" i="1"/>
  <c r="AD141" i="1"/>
  <c r="X72" i="1"/>
  <c r="X116" i="1"/>
  <c r="X223" i="1"/>
  <c r="AD46" i="1"/>
  <c r="X157" i="1"/>
  <c r="X246" i="1"/>
  <c r="AD187" i="1"/>
  <c r="X49" i="1"/>
  <c r="AD126" i="1"/>
  <c r="X122" i="1"/>
  <c r="X93" i="1"/>
  <c r="X242" i="1"/>
  <c r="X266" i="1"/>
  <c r="X130" i="1"/>
  <c r="AD49" i="1"/>
  <c r="X70" i="1"/>
  <c r="X109" i="1"/>
  <c r="X156" i="1"/>
  <c r="X43" i="1"/>
  <c r="X149" i="1"/>
  <c r="X270" i="1"/>
  <c r="X181" i="1"/>
  <c r="X198" i="1"/>
  <c r="X152" i="1"/>
  <c r="X30" i="1"/>
  <c r="AD246" i="1"/>
  <c r="X42" i="1"/>
  <c r="AD115" i="1"/>
  <c r="X227" i="1"/>
  <c r="X231" i="1"/>
  <c r="X84" i="1"/>
  <c r="X145" i="1"/>
  <c r="X263" i="1"/>
  <c r="X98" i="1"/>
  <c r="X99" i="1"/>
  <c r="AD176" i="1"/>
  <c r="X165" i="1"/>
  <c r="X164" i="1"/>
  <c r="X73" i="1"/>
  <c r="AD144" i="1"/>
  <c r="X85" i="1"/>
  <c r="X206" i="1"/>
  <c r="X271" i="1"/>
  <c r="X224" i="1"/>
  <c r="X207" i="1"/>
  <c r="X204" i="1"/>
  <c r="AD93" i="1"/>
  <c r="X151" i="1"/>
  <c r="X91" i="1"/>
  <c r="X59" i="1"/>
  <c r="X67" i="1"/>
  <c r="X28" i="1"/>
  <c r="X239" i="1"/>
  <c r="X163" i="1"/>
  <c r="AD193" i="1"/>
  <c r="X39" i="1"/>
  <c r="X268" i="1"/>
  <c r="X215" i="1"/>
  <c r="X142" i="1"/>
  <c r="AD185" i="1"/>
  <c r="X108" i="1"/>
  <c r="X61" i="1"/>
  <c r="X180" i="1"/>
  <c r="X162" i="1"/>
  <c r="X35" i="1"/>
  <c r="X44" i="1"/>
  <c r="X260" i="1"/>
  <c r="AD173" i="1"/>
  <c r="X248" i="1"/>
  <c r="AD155" i="1"/>
  <c r="X68" i="1"/>
  <c r="X124" i="1"/>
  <c r="X229" i="1"/>
  <c r="AD149" i="1"/>
  <c r="X46" i="1"/>
  <c r="X80" i="1"/>
  <c r="X182" i="1"/>
  <c r="AD89" i="1"/>
  <c r="X126" i="1"/>
  <c r="X87" i="1"/>
  <c r="X127" i="1"/>
  <c r="X115" i="1"/>
  <c r="X65" i="1"/>
  <c r="AD160" i="1"/>
  <c r="X3" i="1"/>
  <c r="X257" i="1"/>
  <c r="X267" i="1"/>
  <c r="X51" i="1"/>
  <c r="X188" i="1"/>
  <c r="X171" i="1"/>
  <c r="X129" i="1"/>
  <c r="X69" i="1"/>
  <c r="X144" i="1"/>
  <c r="X216" i="1"/>
  <c r="X113" i="1"/>
  <c r="X134" i="1"/>
  <c r="X141" i="1"/>
  <c r="X54" i="1"/>
  <c r="X40" i="1"/>
  <c r="X232" i="1"/>
  <c r="AD22" i="1" l="1"/>
  <c r="X19" i="1"/>
  <c r="X12" i="1"/>
  <c r="X9" i="1"/>
  <c r="X4" i="1"/>
  <c r="X27" i="1"/>
  <c r="AD25" i="1"/>
  <c r="AD4" i="1"/>
  <c r="X23" i="1"/>
  <c r="X22" i="1"/>
  <c r="AD8" i="1"/>
  <c r="AD27" i="1"/>
  <c r="X25" i="1"/>
  <c r="AD19" i="1"/>
  <c r="X8" i="1"/>
  <c r="X20" i="1"/>
  <c r="AD12" i="1"/>
  <c r="A1" i="2"/>
  <c r="G1" i="6" l="1"/>
  <c r="D11" i="6" s="1"/>
  <c r="D49" i="6" s="1"/>
  <c r="D87" i="6" s="1"/>
  <c r="E1" i="2"/>
  <c r="D5" i="2"/>
  <c r="D7" i="2"/>
  <c r="D45" i="2" s="1"/>
  <c r="D83" i="2" s="1"/>
  <c r="E3" i="2"/>
  <c r="E41" i="2" s="1"/>
  <c r="E79" i="2" s="1"/>
  <c r="G1" i="2"/>
  <c r="C26" i="6" l="1"/>
  <c r="C64" i="6" s="1"/>
  <c r="C102" i="6" s="1"/>
  <c r="E26" i="6"/>
  <c r="E64" i="6" s="1"/>
  <c r="E102" i="6" s="1"/>
  <c r="H26" i="6"/>
  <c r="H64" i="6" s="1"/>
  <c r="H102" i="6" s="1"/>
  <c r="C20" i="6"/>
  <c r="C58" i="6" s="1"/>
  <c r="C96" i="6" s="1"/>
  <c r="E20" i="6"/>
  <c r="E58" i="6" s="1"/>
  <c r="E96" i="6" s="1"/>
  <c r="H23" i="6"/>
  <c r="H61" i="6" s="1"/>
  <c r="H99" i="6" s="1"/>
  <c r="D14" i="6"/>
  <c r="D52" i="6" s="1"/>
  <c r="D90" i="6" s="1"/>
  <c r="D18" i="6"/>
  <c r="D56" i="6" s="1"/>
  <c r="D94" i="6" s="1"/>
  <c r="J15" i="6"/>
  <c r="J53" i="6" s="1"/>
  <c r="J91" i="6" s="1"/>
  <c r="J23" i="6"/>
  <c r="J61" i="6" s="1"/>
  <c r="J99" i="6" s="1"/>
  <c r="K20" i="6"/>
  <c r="K58" i="6" s="1"/>
  <c r="K96" i="6" s="1"/>
  <c r="D21" i="6"/>
  <c r="D59" i="6" s="1"/>
  <c r="D97" i="6" s="1"/>
  <c r="C18" i="6"/>
  <c r="C56" i="6" s="1"/>
  <c r="C94" i="6" s="1"/>
  <c r="E18" i="6"/>
  <c r="E56" i="6" s="1"/>
  <c r="E94" i="6" s="1"/>
  <c r="H22" i="6"/>
  <c r="H60" i="6" s="1"/>
  <c r="H98" i="6" s="1"/>
  <c r="C12" i="6"/>
  <c r="C50" i="6" s="1"/>
  <c r="C88" i="6" s="1"/>
  <c r="E12" i="6"/>
  <c r="E50" i="6" s="1"/>
  <c r="E88" i="6" s="1"/>
  <c r="D12" i="6"/>
  <c r="D50" i="6" s="1"/>
  <c r="D88" i="6" s="1"/>
  <c r="D16" i="6"/>
  <c r="D54" i="6" s="1"/>
  <c r="D92" i="6" s="1"/>
  <c r="J11" i="6"/>
  <c r="J49" i="6" s="1"/>
  <c r="J87" i="6" s="1"/>
  <c r="J19" i="6"/>
  <c r="J57" i="6" s="1"/>
  <c r="J95" i="6" s="1"/>
  <c r="K12" i="6"/>
  <c r="K50" i="6" s="1"/>
  <c r="K88" i="6" s="1"/>
  <c r="I12" i="6"/>
  <c r="I50" i="6" s="1"/>
  <c r="I88" i="6" s="1"/>
  <c r="K21" i="6"/>
  <c r="K59" i="6" s="1"/>
  <c r="K97" i="6" s="1"/>
  <c r="J21" i="6"/>
  <c r="J59" i="6" s="1"/>
  <c r="J97" i="6" s="1"/>
  <c r="J25" i="6"/>
  <c r="J63" i="6" s="1"/>
  <c r="J101" i="6" s="1"/>
  <c r="K16" i="6"/>
  <c r="K54" i="6" s="1"/>
  <c r="K92" i="6" s="1"/>
  <c r="K24" i="6"/>
  <c r="K62" i="6" s="1"/>
  <c r="K100" i="6" s="1"/>
  <c r="I16" i="6"/>
  <c r="I54" i="6" s="1"/>
  <c r="I92" i="6" s="1"/>
  <c r="D22" i="6"/>
  <c r="D60" i="6" s="1"/>
  <c r="D98" i="6" s="1"/>
  <c r="D24" i="6"/>
  <c r="D62" i="6" s="1"/>
  <c r="D100" i="6" s="1"/>
  <c r="J14" i="6"/>
  <c r="J52" i="6" s="1"/>
  <c r="J90" i="6" s="1"/>
  <c r="D25" i="6"/>
  <c r="D63" i="6" s="1"/>
  <c r="D101" i="6" s="1"/>
  <c r="K13" i="6"/>
  <c r="K51" i="6" s="1"/>
  <c r="K89" i="6" s="1"/>
  <c r="K11" i="6"/>
  <c r="K49" i="6" s="1"/>
  <c r="K87" i="6" s="1"/>
  <c r="K23" i="6"/>
  <c r="K61" i="6" s="1"/>
  <c r="K99" i="6" s="1"/>
  <c r="C22" i="6"/>
  <c r="C60" i="6" s="1"/>
  <c r="C98" i="6" s="1"/>
  <c r="C14" i="6"/>
  <c r="C52" i="6" s="1"/>
  <c r="C90" i="6" s="1"/>
  <c r="E22" i="6"/>
  <c r="E60" i="6" s="1"/>
  <c r="E98" i="6" s="1"/>
  <c r="E14" i="6"/>
  <c r="E52" i="6" s="1"/>
  <c r="E90" i="6" s="1"/>
  <c r="H24" i="6"/>
  <c r="H62" i="6" s="1"/>
  <c r="H100" i="6" s="1"/>
  <c r="C24" i="6"/>
  <c r="C62" i="6" s="1"/>
  <c r="C100" i="6" s="1"/>
  <c r="C16" i="6"/>
  <c r="C54" i="6" s="1"/>
  <c r="C92" i="6" s="1"/>
  <c r="E24" i="6"/>
  <c r="E62" i="6" s="1"/>
  <c r="E100" i="6" s="1"/>
  <c r="E16" i="6"/>
  <c r="E54" i="6" s="1"/>
  <c r="E92" i="6" s="1"/>
  <c r="H25" i="6"/>
  <c r="H63" i="6" s="1"/>
  <c r="H101" i="6" s="1"/>
  <c r="H21" i="6"/>
  <c r="H59" i="6" s="1"/>
  <c r="H97" i="6" s="1"/>
  <c r="D13" i="6"/>
  <c r="D51" i="6" s="1"/>
  <c r="D89" i="6" s="1"/>
  <c r="D15" i="6"/>
  <c r="D53" i="6" s="1"/>
  <c r="D91" i="6" s="1"/>
  <c r="D17" i="6"/>
  <c r="D55" i="6" s="1"/>
  <c r="D93" i="6" s="1"/>
  <c r="D19" i="6"/>
  <c r="D57" i="6" s="1"/>
  <c r="D95" i="6" s="1"/>
  <c r="J13" i="6"/>
  <c r="J51" i="6" s="1"/>
  <c r="J89" i="6" s="1"/>
  <c r="J17" i="6"/>
  <c r="J55" i="6" s="1"/>
  <c r="J93" i="6" s="1"/>
  <c r="J20" i="6"/>
  <c r="J58" i="6" s="1"/>
  <c r="J96" i="6" s="1"/>
  <c r="J22" i="6"/>
  <c r="J60" i="6" s="1"/>
  <c r="J98" i="6" s="1"/>
  <c r="J24" i="6"/>
  <c r="J62" i="6" s="1"/>
  <c r="J100" i="6" s="1"/>
  <c r="J26" i="6"/>
  <c r="J64" i="6" s="1"/>
  <c r="J102" i="6" s="1"/>
  <c r="K14" i="6"/>
  <c r="K52" i="6" s="1"/>
  <c r="K90" i="6" s="1"/>
  <c r="K18" i="6"/>
  <c r="K56" i="6" s="1"/>
  <c r="K94" i="6" s="1"/>
  <c r="K22" i="6"/>
  <c r="K60" i="6" s="1"/>
  <c r="K98" i="6" s="1"/>
  <c r="K26" i="6"/>
  <c r="K64" i="6" s="1"/>
  <c r="K102" i="6" s="1"/>
  <c r="I14" i="6"/>
  <c r="I52" i="6" s="1"/>
  <c r="I90" i="6" s="1"/>
  <c r="J12" i="6"/>
  <c r="J50" i="6" s="1"/>
  <c r="J88" i="6" s="1"/>
  <c r="J18" i="6"/>
  <c r="J56" i="6" s="1"/>
  <c r="J94" i="6" s="1"/>
  <c r="D23" i="6"/>
  <c r="D61" i="6" s="1"/>
  <c r="D99" i="6" s="1"/>
  <c r="J16" i="6"/>
  <c r="J54" i="6" s="1"/>
  <c r="J92" i="6" s="1"/>
  <c r="D26" i="6"/>
  <c r="D64" i="6" s="1"/>
  <c r="D102" i="6" s="1"/>
  <c r="K17" i="6"/>
  <c r="K55" i="6" s="1"/>
  <c r="K93" i="6" s="1"/>
  <c r="D20" i="6"/>
  <c r="D58" i="6" s="1"/>
  <c r="D96" i="6" s="1"/>
  <c r="K19" i="6"/>
  <c r="K57" i="6" s="1"/>
  <c r="K95" i="6" s="1"/>
  <c r="K15" i="6"/>
  <c r="K53" i="6" s="1"/>
  <c r="K91" i="6" s="1"/>
  <c r="K25" i="6"/>
  <c r="K63" i="6" s="1"/>
  <c r="K101" i="6" s="1"/>
  <c r="I22" i="6"/>
  <c r="I60" i="6" s="1"/>
  <c r="I98" i="6" s="1"/>
  <c r="I18" i="6"/>
  <c r="I56" i="6" s="1"/>
  <c r="I94" i="6" s="1"/>
  <c r="I26" i="6"/>
  <c r="I64" i="6" s="1"/>
  <c r="I102" i="6" s="1"/>
  <c r="I11" i="6"/>
  <c r="I49" i="6" s="1"/>
  <c r="I87" i="6" s="1"/>
  <c r="I15" i="6"/>
  <c r="I53" i="6" s="1"/>
  <c r="I91" i="6" s="1"/>
  <c r="I20" i="6"/>
  <c r="I58" i="6" s="1"/>
  <c r="I96" i="6" s="1"/>
  <c r="I24" i="6"/>
  <c r="I62" i="6" s="1"/>
  <c r="I100" i="6" s="1"/>
  <c r="H11" i="6"/>
  <c r="H49" i="6" s="1"/>
  <c r="H87" i="6" s="1"/>
  <c r="H13" i="6"/>
  <c r="H51" i="6" s="1"/>
  <c r="H89" i="6" s="1"/>
  <c r="H17" i="6"/>
  <c r="H55" i="6" s="1"/>
  <c r="H93" i="6" s="1"/>
  <c r="H15" i="6"/>
  <c r="H53" i="6" s="1"/>
  <c r="H91" i="6" s="1"/>
  <c r="H19" i="6"/>
  <c r="H57" i="6" s="1"/>
  <c r="H95" i="6" s="1"/>
  <c r="H12" i="6"/>
  <c r="H50" i="6" s="1"/>
  <c r="H88" i="6" s="1"/>
  <c r="H14" i="6"/>
  <c r="H52" i="6" s="1"/>
  <c r="H90" i="6" s="1"/>
  <c r="H16" i="6"/>
  <c r="H54" i="6" s="1"/>
  <c r="H92" i="6" s="1"/>
  <c r="H18" i="6"/>
  <c r="H56" i="6" s="1"/>
  <c r="H94" i="6" s="1"/>
  <c r="C25" i="6"/>
  <c r="C63" i="6" s="1"/>
  <c r="C101" i="6" s="1"/>
  <c r="H20" i="6"/>
  <c r="H58" i="6" s="1"/>
  <c r="H96" i="6" s="1"/>
  <c r="C21" i="6"/>
  <c r="C59" i="6" s="1"/>
  <c r="C97" i="6" s="1"/>
  <c r="C17" i="6"/>
  <c r="C55" i="6" s="1"/>
  <c r="C93" i="6" s="1"/>
  <c r="C13" i="6"/>
  <c r="C51" i="6" s="1"/>
  <c r="C89" i="6" s="1"/>
  <c r="E21" i="6"/>
  <c r="E59" i="6" s="1"/>
  <c r="E97" i="6" s="1"/>
  <c r="E13" i="6"/>
  <c r="E51" i="6" s="1"/>
  <c r="E89" i="6" s="1"/>
  <c r="E25" i="6"/>
  <c r="E63" i="6" s="1"/>
  <c r="E101" i="6" s="1"/>
  <c r="E17" i="6"/>
  <c r="E55" i="6" s="1"/>
  <c r="E93" i="6" s="1"/>
  <c r="B26" i="6"/>
  <c r="B64" i="6" s="1"/>
  <c r="B102" i="6" s="1"/>
  <c r="B24" i="6"/>
  <c r="B62" i="6" s="1"/>
  <c r="B100" i="6" s="1"/>
  <c r="B22" i="6"/>
  <c r="B60" i="6" s="1"/>
  <c r="B98" i="6" s="1"/>
  <c r="I19" i="6"/>
  <c r="I57" i="6" s="1"/>
  <c r="I95" i="6" s="1"/>
  <c r="I17" i="6"/>
  <c r="I55" i="6" s="1"/>
  <c r="I93" i="6" s="1"/>
  <c r="I21" i="6"/>
  <c r="I59" i="6" s="1"/>
  <c r="I97" i="6" s="1"/>
  <c r="I13" i="6"/>
  <c r="I51" i="6" s="1"/>
  <c r="I89" i="6" s="1"/>
  <c r="I23" i="6"/>
  <c r="I61" i="6" s="1"/>
  <c r="I99" i="6" s="1"/>
  <c r="I25" i="6"/>
  <c r="I63" i="6" s="1"/>
  <c r="I101" i="6" s="1"/>
  <c r="B12" i="6"/>
  <c r="B50" i="6" s="1"/>
  <c r="B88" i="6" s="1"/>
  <c r="B16" i="6"/>
  <c r="B54" i="6" s="1"/>
  <c r="B92" i="6" s="1"/>
  <c r="B20" i="6"/>
  <c r="B58" i="6" s="1"/>
  <c r="B96" i="6" s="1"/>
  <c r="C15" i="6"/>
  <c r="C53" i="6" s="1"/>
  <c r="C91" i="6" s="1"/>
  <c r="E15" i="6"/>
  <c r="E53" i="6" s="1"/>
  <c r="E91" i="6" s="1"/>
  <c r="B15" i="6"/>
  <c r="B53" i="6" s="1"/>
  <c r="B91" i="6" s="1"/>
  <c r="B14" i="6"/>
  <c r="B52" i="6" s="1"/>
  <c r="B90" i="6" s="1"/>
  <c r="B18" i="6"/>
  <c r="B56" i="6" s="1"/>
  <c r="B94" i="6" s="1"/>
  <c r="C23" i="6"/>
  <c r="C61" i="6" s="1"/>
  <c r="C99" i="6" s="1"/>
  <c r="E23" i="6"/>
  <c r="E61" i="6" s="1"/>
  <c r="E99" i="6" s="1"/>
  <c r="B11" i="6"/>
  <c r="B49" i="6" s="1"/>
  <c r="B87" i="6" s="1"/>
  <c r="B19" i="6"/>
  <c r="B57" i="6" s="1"/>
  <c r="B95" i="6" s="1"/>
  <c r="B25" i="6"/>
  <c r="B63" i="6" s="1"/>
  <c r="B101" i="6" s="1"/>
  <c r="B13" i="6"/>
  <c r="B51" i="6" s="1"/>
  <c r="B89" i="6" s="1"/>
  <c r="B17" i="6"/>
  <c r="B55" i="6" s="1"/>
  <c r="B93" i="6" s="1"/>
  <c r="B21" i="6"/>
  <c r="B59" i="6" s="1"/>
  <c r="B97" i="6" s="1"/>
  <c r="C19" i="6"/>
  <c r="C57" i="6" s="1"/>
  <c r="C95" i="6" s="1"/>
  <c r="C11" i="6"/>
  <c r="C49" i="6" s="1"/>
  <c r="C87" i="6" s="1"/>
  <c r="E11" i="6"/>
  <c r="E49" i="6" s="1"/>
  <c r="E87" i="6" s="1"/>
  <c r="E19" i="6"/>
  <c r="E57" i="6" s="1"/>
  <c r="E95" i="6" s="1"/>
  <c r="B23" i="6"/>
  <c r="B61" i="6" s="1"/>
  <c r="B99" i="6" s="1"/>
  <c r="D43" i="2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5" i="4" l="1"/>
  <c r="D7" i="4"/>
  <c r="F7" i="4" s="1"/>
  <c r="D9" i="4"/>
  <c r="F9" i="4" s="1"/>
  <c r="D11" i="4"/>
  <c r="F11" i="4" s="1"/>
  <c r="D13" i="4"/>
  <c r="F13" i="4" s="1"/>
  <c r="D15" i="4"/>
  <c r="F15" i="4" s="1"/>
  <c r="D17" i="4"/>
  <c r="F17" i="4" s="1"/>
  <c r="D19" i="4"/>
  <c r="F19" i="4" s="1"/>
  <c r="D21" i="4"/>
  <c r="F21" i="4" s="1"/>
  <c r="D23" i="4"/>
  <c r="F23" i="4" s="1"/>
  <c r="D25" i="4"/>
  <c r="F25" i="4" s="1"/>
  <c r="D27" i="4"/>
  <c r="F27" i="4" s="1"/>
  <c r="D29" i="4"/>
  <c r="F29" i="4" s="1"/>
  <c r="D31" i="4"/>
  <c r="F31" i="4" s="1"/>
  <c r="D33" i="4"/>
  <c r="F33" i="4" s="1"/>
  <c r="D35" i="4"/>
  <c r="F35" i="4" s="1"/>
  <c r="D37" i="4"/>
  <c r="F37" i="4" s="1"/>
  <c r="D39" i="4"/>
  <c r="F39" i="4" s="1"/>
  <c r="D41" i="4"/>
  <c r="F41" i="4" s="1"/>
  <c r="D43" i="4"/>
  <c r="F43" i="4" s="1"/>
  <c r="D45" i="4"/>
  <c r="F45" i="4" s="1"/>
  <c r="D47" i="4"/>
  <c r="F47" i="4" s="1"/>
  <c r="D49" i="4"/>
  <c r="F49" i="4" s="1"/>
  <c r="D51" i="4"/>
  <c r="F51" i="4" s="1"/>
  <c r="D53" i="4"/>
  <c r="F53" i="4" s="1"/>
  <c r="D55" i="4"/>
  <c r="F55" i="4" s="1"/>
  <c r="D57" i="4"/>
  <c r="F57" i="4" s="1"/>
  <c r="D6" i="4"/>
  <c r="F6" i="4" s="1"/>
  <c r="D8" i="4"/>
  <c r="F8" i="4" s="1"/>
  <c r="D10" i="4"/>
  <c r="F10" i="4" s="1"/>
  <c r="D12" i="4"/>
  <c r="F12" i="4" s="1"/>
  <c r="D14" i="4"/>
  <c r="F14" i="4" s="1"/>
  <c r="D16" i="4"/>
  <c r="F16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0" i="4"/>
  <c r="F30" i="4" s="1"/>
  <c r="D32" i="4"/>
  <c r="F32" i="4" s="1"/>
  <c r="D34" i="4"/>
  <c r="F34" i="4" s="1"/>
  <c r="D36" i="4"/>
  <c r="F36" i="4" s="1"/>
  <c r="D38" i="4"/>
  <c r="F38" i="4" s="1"/>
  <c r="D40" i="4"/>
  <c r="F40" i="4" s="1"/>
  <c r="D42" i="4"/>
  <c r="F42" i="4" s="1"/>
  <c r="D44" i="4"/>
  <c r="F44" i="4" s="1"/>
  <c r="D46" i="4"/>
  <c r="F46" i="4" s="1"/>
  <c r="D48" i="4"/>
  <c r="F48" i="4" s="1"/>
  <c r="D50" i="4"/>
  <c r="F50" i="4" s="1"/>
  <c r="D52" i="4"/>
  <c r="F52" i="4" s="1"/>
  <c r="D54" i="4"/>
  <c r="F54" i="4" s="1"/>
  <c r="D56" i="4"/>
  <c r="F56" i="4" s="1"/>
  <c r="F5" i="4" l="1"/>
  <c r="E36" i="4"/>
  <c r="J36" i="4"/>
  <c r="I36" i="4"/>
  <c r="N36" i="4"/>
  <c r="K36" i="4"/>
  <c r="M36" i="4" s="1"/>
  <c r="O36" i="4"/>
  <c r="G36" i="4"/>
  <c r="H36" i="4"/>
  <c r="L36" i="4"/>
  <c r="H46" i="4"/>
  <c r="N46" i="4"/>
  <c r="G46" i="4"/>
  <c r="J46" i="4"/>
  <c r="O46" i="4"/>
  <c r="L46" i="4"/>
  <c r="I46" i="4"/>
  <c r="K46" i="4"/>
  <c r="M46" i="4" s="1"/>
  <c r="E46" i="4"/>
  <c r="J27" i="4"/>
  <c r="H27" i="4"/>
  <c r="G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K43" i="4"/>
  <c r="M43" i="4" s="1"/>
  <c r="E43" i="4"/>
  <c r="J55" i="4"/>
  <c r="G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O49" i="4"/>
  <c r="K49" i="4"/>
  <c r="M49" i="4" s="1"/>
  <c r="E49" i="4"/>
  <c r="O45" i="4"/>
  <c r="G45" i="4"/>
  <c r="J45" i="4"/>
  <c r="L45" i="4"/>
  <c r="N45" i="4"/>
  <c r="H45" i="4"/>
  <c r="I45" i="4"/>
  <c r="K45" i="4"/>
  <c r="M45" i="4" s="1"/>
  <c r="E45" i="4"/>
  <c r="N48" i="4"/>
  <c r="I48" i="4"/>
  <c r="O48" i="4"/>
  <c r="H48" i="4"/>
  <c r="J48" i="4"/>
  <c r="L48" i="4"/>
  <c r="G48" i="4"/>
  <c r="K48" i="4"/>
  <c r="M48" i="4" s="1"/>
  <c r="E48" i="4"/>
  <c r="I38" i="4"/>
  <c r="O38" i="4"/>
  <c r="N38" i="4"/>
  <c r="H38" i="4"/>
  <c r="J38" i="4"/>
  <c r="G38" i="4"/>
  <c r="K38" i="4"/>
  <c r="M38" i="4" s="1"/>
  <c r="E38" i="4"/>
  <c r="N42" i="4"/>
  <c r="J42" i="4"/>
  <c r="G42" i="4"/>
  <c r="I42" i="4"/>
  <c r="O42" i="4"/>
  <c r="L42" i="4"/>
  <c r="H42" i="4"/>
  <c r="K42" i="4"/>
  <c r="M42" i="4" s="1"/>
  <c r="E42" i="4"/>
  <c r="O32" i="4"/>
  <c r="I32" i="4"/>
  <c r="H32" i="4"/>
  <c r="N32" i="4"/>
  <c r="J32" i="4"/>
  <c r="G32" i="4"/>
  <c r="K32" i="4"/>
  <c r="M32" i="4" s="1"/>
  <c r="E32" i="4"/>
  <c r="J30" i="4"/>
  <c r="N30" i="4"/>
  <c r="H30" i="4"/>
  <c r="I30" i="4"/>
  <c r="G30" i="4"/>
  <c r="O30" i="4"/>
  <c r="K30" i="4"/>
  <c r="M30" i="4" s="1"/>
  <c r="E30" i="4"/>
  <c r="N25" i="4"/>
  <c r="I25" i="4"/>
  <c r="O25" i="4"/>
  <c r="J25" i="4"/>
  <c r="G25" i="4"/>
  <c r="H25" i="4"/>
  <c r="K25" i="4"/>
  <c r="M25" i="4" s="1"/>
  <c r="E25" i="4"/>
  <c r="I37" i="4"/>
  <c r="G37" i="4"/>
  <c r="N37" i="4"/>
  <c r="J37" i="4"/>
  <c r="H37" i="4"/>
  <c r="O37" i="4"/>
  <c r="K37" i="4"/>
  <c r="M37" i="4" s="1"/>
  <c r="E37" i="4"/>
  <c r="N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J57" i="4"/>
  <c r="I57" i="4"/>
  <c r="K57" i="4"/>
  <c r="M57" i="4" s="1"/>
  <c r="E57" i="4"/>
  <c r="J24" i="4"/>
  <c r="N24" i="4"/>
  <c r="G24" i="4"/>
  <c r="H24" i="4"/>
  <c r="I24" i="4"/>
  <c r="O24" i="4"/>
  <c r="K24" i="4"/>
  <c r="M24" i="4" s="1"/>
  <c r="E24" i="4"/>
  <c r="I28" i="4"/>
  <c r="J28" i="4"/>
  <c r="G28" i="4"/>
  <c r="H28" i="4"/>
  <c r="N28" i="4"/>
  <c r="O28" i="4"/>
  <c r="K28" i="4"/>
  <c r="M28" i="4" s="1"/>
  <c r="E28" i="4"/>
  <c r="I20" i="4"/>
  <c r="G20" i="4"/>
  <c r="N20" i="4"/>
  <c r="J20" i="4"/>
  <c r="H20" i="4"/>
  <c r="O20" i="4"/>
  <c r="K20" i="4"/>
  <c r="M20" i="4" s="1"/>
  <c r="E20" i="4"/>
  <c r="G5" i="4"/>
  <c r="O5" i="4"/>
  <c r="N5" i="4"/>
  <c r="H5" i="4"/>
  <c r="E5" i="4"/>
  <c r="I5" i="4"/>
  <c r="J5" i="4"/>
  <c r="K5" i="4"/>
  <c r="L5" i="4" s="1"/>
  <c r="J18" i="4"/>
  <c r="H18" i="4"/>
  <c r="N18" i="4"/>
  <c r="I18" i="4"/>
  <c r="G18" i="4"/>
  <c r="O18" i="4"/>
  <c r="K18" i="4"/>
  <c r="M18" i="4" s="1"/>
  <c r="E18" i="4"/>
  <c r="G6" i="4"/>
  <c r="I6" i="4"/>
  <c r="O6" i="4"/>
  <c r="J6" i="4"/>
  <c r="N6" i="4"/>
  <c r="H6" i="4"/>
  <c r="E6" i="4"/>
  <c r="K6" i="4"/>
  <c r="M6" i="4" s="1"/>
  <c r="N15" i="4"/>
  <c r="I15" i="4"/>
  <c r="O15" i="4"/>
  <c r="J15" i="4"/>
  <c r="H15" i="4"/>
  <c r="G15" i="4"/>
  <c r="E15" i="4"/>
  <c r="K15" i="4"/>
  <c r="M15" i="4" s="1"/>
  <c r="O7" i="4"/>
  <c r="I7" i="4"/>
  <c r="G7" i="4"/>
  <c r="J7" i="4"/>
  <c r="N7" i="4"/>
  <c r="H7" i="4"/>
  <c r="E7" i="4"/>
  <c r="K7" i="4"/>
  <c r="M7" i="4" s="1"/>
  <c r="H12" i="4"/>
  <c r="J12" i="4"/>
  <c r="N12" i="4"/>
  <c r="O12" i="4"/>
  <c r="G12" i="4"/>
  <c r="I12" i="4"/>
  <c r="E12" i="4"/>
  <c r="K12" i="4"/>
  <c r="M12" i="4" s="1"/>
  <c r="G13" i="4"/>
  <c r="I13" i="4"/>
  <c r="H13" i="4"/>
  <c r="O13" i="4"/>
  <c r="J13" i="4"/>
  <c r="N13" i="4"/>
  <c r="E13" i="4"/>
  <c r="K13" i="4"/>
  <c r="M13" i="4" s="1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O31" i="4"/>
  <c r="K31" i="4"/>
  <c r="M31" i="4" s="1"/>
  <c r="E31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O21" i="4"/>
  <c r="K21" i="4"/>
  <c r="M21" i="4" s="1"/>
  <c r="E21" i="4"/>
  <c r="N29" i="4"/>
  <c r="J29" i="4"/>
  <c r="H29" i="4"/>
  <c r="G29" i="4"/>
  <c r="I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E51" i="4"/>
  <c r="J56" i="4"/>
  <c r="G56" i="4"/>
  <c r="I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K26" i="4"/>
  <c r="M26" i="4" s="1"/>
  <c r="E26" i="4"/>
  <c r="G39" i="4"/>
  <c r="H39" i="4"/>
  <c r="O39" i="4"/>
  <c r="N39" i="4"/>
  <c r="I39" i="4"/>
  <c r="J39" i="4"/>
  <c r="K39" i="4"/>
  <c r="M39" i="4" s="1"/>
  <c r="E39" i="4"/>
  <c r="G52" i="4"/>
  <c r="L52" i="4"/>
  <c r="I52" i="4"/>
  <c r="N52" i="4"/>
  <c r="J52" i="4"/>
  <c r="K52" i="4"/>
  <c r="M52" i="4" s="1"/>
  <c r="O52" i="4"/>
  <c r="H52" i="4"/>
  <c r="E52" i="4"/>
  <c r="H23" i="4"/>
  <c r="J23" i="4"/>
  <c r="O23" i="4"/>
  <c r="I23" i="4"/>
  <c r="N23" i="4"/>
  <c r="G23" i="4"/>
  <c r="K23" i="4"/>
  <c r="M23" i="4" s="1"/>
  <c r="E23" i="4"/>
  <c r="H22" i="4"/>
  <c r="O22" i="4"/>
  <c r="J22" i="4"/>
  <c r="G22" i="4"/>
  <c r="N22" i="4"/>
  <c r="I22" i="4"/>
  <c r="K22" i="4"/>
  <c r="M22" i="4" s="1"/>
  <c r="E22" i="4"/>
  <c r="N47" i="4"/>
  <c r="O47" i="4"/>
  <c r="G47" i="4"/>
  <c r="I47" i="4"/>
  <c r="H47" i="4"/>
  <c r="J47" i="4"/>
  <c r="L47" i="4"/>
  <c r="K47" i="4"/>
  <c r="M47" i="4" s="1"/>
  <c r="E47" i="4"/>
  <c r="I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N33" i="4"/>
  <c r="I33" i="4"/>
  <c r="K33" i="4"/>
  <c r="M33" i="4" s="1"/>
  <c r="E33" i="4"/>
  <c r="O44" i="4"/>
  <c r="J44" i="4"/>
  <c r="N44" i="4"/>
  <c r="G44" i="4"/>
  <c r="I44" i="4"/>
  <c r="L44" i="4"/>
  <c r="H44" i="4"/>
  <c r="K44" i="4"/>
  <c r="M44" i="4" s="1"/>
  <c r="E44" i="4"/>
  <c r="I50" i="4"/>
  <c r="G50" i="4"/>
  <c r="O50" i="4"/>
  <c r="N50" i="4"/>
  <c r="H50" i="4"/>
  <c r="J50" i="4"/>
  <c r="L50" i="4"/>
  <c r="K50" i="4"/>
  <c r="M50" i="4" s="1"/>
  <c r="E50" i="4"/>
  <c r="O35" i="4"/>
  <c r="J35" i="4"/>
  <c r="I35" i="4"/>
  <c r="N35" i="4"/>
  <c r="H35" i="4"/>
  <c r="G35" i="4"/>
  <c r="K35" i="4"/>
  <c r="M35" i="4" s="1"/>
  <c r="E35" i="4"/>
  <c r="L41" i="4"/>
  <c r="I41" i="4"/>
  <c r="N41" i="4"/>
  <c r="O41" i="4"/>
  <c r="G41" i="4"/>
  <c r="H41" i="4"/>
  <c r="J41" i="4"/>
  <c r="K41" i="4"/>
  <c r="M41" i="4" s="1"/>
  <c r="E41" i="4"/>
  <c r="N19" i="4"/>
  <c r="H19" i="4"/>
  <c r="I19" i="4"/>
  <c r="G19" i="4"/>
  <c r="O19" i="4"/>
  <c r="J19" i="4"/>
  <c r="K19" i="4"/>
  <c r="M19" i="4" s="1"/>
  <c r="E19" i="4"/>
  <c r="G17" i="4"/>
  <c r="H17" i="4"/>
  <c r="I17" i="4"/>
  <c r="N17" i="4"/>
  <c r="O17" i="4"/>
  <c r="J17" i="4"/>
  <c r="K17" i="4"/>
  <c r="M17" i="4" s="1"/>
  <c r="E17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H11" i="4"/>
  <c r="E11" i="4"/>
  <c r="K11" i="4"/>
  <c r="M11" i="4" s="1"/>
  <c r="G9" i="4"/>
  <c r="O9" i="4"/>
  <c r="N9" i="4"/>
  <c r="J9" i="4"/>
  <c r="H9" i="4"/>
  <c r="I9" i="4"/>
  <c r="E9" i="4"/>
  <c r="K9" i="4"/>
  <c r="M9" i="4" s="1"/>
  <c r="N16" i="4"/>
  <c r="J16" i="4"/>
  <c r="H16" i="4"/>
  <c r="O16" i="4"/>
  <c r="G16" i="4"/>
  <c r="I16" i="4"/>
  <c r="E16" i="4"/>
  <c r="K16" i="4"/>
  <c r="M16" i="4" s="1"/>
  <c r="H8" i="4"/>
  <c r="N8" i="4"/>
  <c r="I8" i="4"/>
  <c r="G8" i="4"/>
  <c r="O8" i="4"/>
  <c r="J8" i="4"/>
  <c r="E8" i="4"/>
  <c r="K8" i="4"/>
  <c r="M8" i="4" s="1"/>
  <c r="O10" i="4"/>
  <c r="J10" i="4"/>
  <c r="N10" i="4"/>
  <c r="I10" i="4"/>
  <c r="H10" i="4"/>
  <c r="G10" i="4"/>
  <c r="E10" i="4"/>
  <c r="K10" i="4"/>
  <c r="M10" i="4" s="1"/>
  <c r="T15" i="4"/>
  <c r="T36" i="4"/>
  <c r="T20" i="4"/>
  <c r="T38" i="4"/>
  <c r="T27" i="4"/>
  <c r="T33" i="4"/>
  <c r="T37" i="4"/>
  <c r="T16" i="4"/>
  <c r="T19" i="4"/>
  <c r="T18" i="4"/>
  <c r="T7" i="4"/>
  <c r="T53" i="4"/>
  <c r="T42" i="4"/>
  <c r="T21" i="4"/>
  <c r="T32" i="4"/>
  <c r="T13" i="4"/>
  <c r="T39" i="4"/>
  <c r="U36" i="4"/>
  <c r="T46" i="4"/>
  <c r="T22" i="4"/>
  <c r="T57" i="4"/>
  <c r="T47" i="4"/>
  <c r="T26" i="4"/>
  <c r="T35" i="4"/>
  <c r="T12" i="4"/>
  <c r="T30" i="4"/>
  <c r="T5" i="4"/>
  <c r="T31" i="4"/>
  <c r="T40" i="4"/>
  <c r="T25" i="4"/>
  <c r="T34" i="4"/>
  <c r="T51" i="4"/>
  <c r="T28" i="4"/>
  <c r="T23" i="4"/>
  <c r="T56" i="4"/>
  <c r="T6" i="4"/>
  <c r="T9" i="4"/>
  <c r="T11" i="4"/>
  <c r="T41" i="4"/>
  <c r="T52" i="4"/>
  <c r="T43" i="4"/>
  <c r="T49" i="4"/>
  <c r="T29" i="4"/>
  <c r="T50" i="4"/>
  <c r="T45" i="4"/>
  <c r="T14" i="4"/>
  <c r="T55" i="4"/>
  <c r="T8" i="4"/>
  <c r="T10" i="4"/>
  <c r="T17" i="4"/>
  <c r="T54" i="4"/>
  <c r="T48" i="4"/>
  <c r="T44" i="4"/>
  <c r="T24" i="4"/>
  <c r="K35" i="6" l="1"/>
  <c r="K73" i="6" s="1"/>
  <c r="K111" i="6" s="1"/>
  <c r="J37" i="6"/>
  <c r="J75" i="6" s="1"/>
  <c r="J113" i="6" s="1"/>
  <c r="J38" i="6"/>
  <c r="J76" i="6" s="1"/>
  <c r="J114" i="6" s="1"/>
  <c r="J29" i="6"/>
  <c r="L39" i="4"/>
  <c r="L38" i="4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V36" i="4"/>
  <c r="X36" i="4"/>
  <c r="W36" i="4"/>
  <c r="J33" i="6" l="1"/>
  <c r="J71" i="6" s="1"/>
  <c r="J109" i="6" s="1"/>
  <c r="K31" i="6"/>
  <c r="K69" i="6" s="1"/>
  <c r="K107" i="6" s="1"/>
  <c r="J67" i="6"/>
  <c r="J105" i="6" s="1"/>
  <c r="J33" i="2"/>
  <c r="J71" i="2" s="1"/>
  <c r="J109" i="2" s="1"/>
  <c r="K31" i="2"/>
  <c r="K69" i="2" s="1"/>
  <c r="K107" i="2" s="1"/>
  <c r="L58" i="4"/>
  <c r="AA5" i="4"/>
  <c r="M58" i="4"/>
  <c r="AA4" i="4"/>
  <c r="AA6" i="4" s="1"/>
  <c r="U31" i="4"/>
  <c r="W10" i="4"/>
  <c r="X45" i="4"/>
  <c r="W13" i="4"/>
  <c r="U53" i="4"/>
  <c r="X55" i="4"/>
  <c r="V53" i="4"/>
  <c r="W47" i="4"/>
  <c r="X23" i="4"/>
  <c r="W49" i="4"/>
  <c r="W8" i="4"/>
  <c r="U16" i="4"/>
  <c r="X53" i="4"/>
  <c r="V54" i="4"/>
  <c r="W30" i="4"/>
  <c r="X6" i="4"/>
  <c r="V13" i="4"/>
  <c r="V19" i="4"/>
  <c r="W32" i="4"/>
  <c r="V55" i="4"/>
  <c r="V35" i="4"/>
  <c r="U57" i="4"/>
  <c r="U8" i="4"/>
  <c r="U28" i="4"/>
  <c r="W53" i="4"/>
  <c r="W11" i="4"/>
  <c r="W41" i="4"/>
  <c r="X12" i="4"/>
  <c r="X49" i="4"/>
  <c r="U10" i="4"/>
  <c r="X42" i="4"/>
  <c r="V20" i="4"/>
  <c r="U25" i="4"/>
  <c r="W12" i="4"/>
  <c r="W29" i="4"/>
  <c r="X56" i="4"/>
  <c r="X47" i="4"/>
  <c r="W37" i="4"/>
  <c r="X25" i="4"/>
  <c r="W54" i="4"/>
  <c r="V6" i="4"/>
  <c r="V57" i="4"/>
  <c r="V21" i="4"/>
  <c r="V33" i="4"/>
  <c r="V51" i="4"/>
  <c r="V5" i="4"/>
  <c r="X43" i="4"/>
  <c r="V34" i="4"/>
  <c r="V26" i="4"/>
  <c r="V50" i="4"/>
  <c r="X37" i="4"/>
  <c r="U26" i="4"/>
  <c r="X35" i="4"/>
  <c r="V39" i="4"/>
  <c r="U33" i="4"/>
  <c r="W34" i="4"/>
  <c r="X52" i="4"/>
  <c r="W5" i="4"/>
  <c r="W51" i="4"/>
  <c r="W20" i="4"/>
  <c r="W25" i="4"/>
  <c r="U45" i="4"/>
  <c r="U5" i="4"/>
  <c r="X38" i="4"/>
  <c r="U29" i="4"/>
  <c r="V32" i="4"/>
  <c r="U43" i="4"/>
  <c r="V48" i="4"/>
  <c r="U23" i="4"/>
  <c r="W46" i="4"/>
  <c r="W22" i="4"/>
  <c r="U34" i="4"/>
  <c r="V49" i="4"/>
  <c r="V12" i="4"/>
  <c r="W28" i="4"/>
  <c r="V56" i="4"/>
  <c r="U44" i="4"/>
  <c r="V23" i="4"/>
  <c r="U20" i="4"/>
  <c r="V15" i="4"/>
  <c r="X39" i="4"/>
  <c r="W44" i="4"/>
  <c r="W19" i="4"/>
  <c r="U46" i="4"/>
  <c r="U18" i="4"/>
  <c r="W48" i="4"/>
  <c r="W7" i="4"/>
  <c r="U50" i="4"/>
  <c r="V24" i="4"/>
  <c r="W17" i="4"/>
  <c r="V52" i="4"/>
  <c r="X33" i="4"/>
  <c r="V40" i="4"/>
  <c r="V45" i="4"/>
  <c r="X51" i="4"/>
  <c r="V8" i="4"/>
  <c r="U7" i="4"/>
  <c r="W6" i="4"/>
  <c r="X34" i="4"/>
  <c r="X16" i="4"/>
  <c r="V43" i="4"/>
  <c r="U39" i="4"/>
  <c r="W55" i="4"/>
  <c r="V47" i="4"/>
  <c r="W56" i="4"/>
  <c r="W33" i="4"/>
  <c r="W45" i="4"/>
  <c r="V11" i="4"/>
  <c r="X46" i="4"/>
  <c r="W57" i="4"/>
  <c r="U17" i="4"/>
  <c r="U6" i="4"/>
  <c r="X13" i="4"/>
  <c r="U13" i="4"/>
  <c r="V10" i="4"/>
  <c r="V16" i="4"/>
  <c r="X48" i="4"/>
  <c r="W27" i="4"/>
  <c r="U52" i="4"/>
  <c r="U40" i="4"/>
  <c r="W9" i="4"/>
  <c r="U14" i="4"/>
  <c r="U30" i="4"/>
  <c r="W23" i="4"/>
  <c r="V18" i="4"/>
  <c r="X50" i="4"/>
  <c r="V14" i="4"/>
  <c r="W24" i="4"/>
  <c r="U54" i="4"/>
  <c r="U41" i="4"/>
  <c r="X19" i="4"/>
  <c r="X40" i="4"/>
  <c r="W14" i="4"/>
  <c r="U38" i="4"/>
  <c r="X28" i="4"/>
  <c r="V17" i="4"/>
  <c r="U9" i="4"/>
  <c r="V27" i="4"/>
  <c r="X7" i="4"/>
  <c r="V31" i="4"/>
  <c r="V30" i="4"/>
  <c r="U51" i="4"/>
  <c r="X24" i="4"/>
  <c r="X10" i="4"/>
  <c r="U47" i="4"/>
  <c r="V7" i="4"/>
  <c r="X20" i="4"/>
  <c r="X8" i="4"/>
  <c r="X11" i="4"/>
  <c r="U22" i="4"/>
  <c r="U56" i="4"/>
  <c r="U37" i="4"/>
  <c r="W50" i="4"/>
  <c r="X30" i="4"/>
  <c r="U55" i="4"/>
  <c r="W39" i="4"/>
  <c r="X22" i="4"/>
  <c r="W15" i="4"/>
  <c r="X26" i="4"/>
  <c r="X44" i="4"/>
  <c r="U15" i="4"/>
  <c r="U32" i="4"/>
  <c r="X15" i="4"/>
  <c r="U12" i="4"/>
  <c r="V25" i="4"/>
  <c r="V9" i="4"/>
  <c r="V42" i="4"/>
  <c r="U42" i="4"/>
  <c r="X29" i="4"/>
  <c r="W35" i="4"/>
  <c r="X21" i="4"/>
  <c r="V28" i="4"/>
  <c r="U21" i="4"/>
  <c r="X18" i="4"/>
  <c r="X17" i="4"/>
  <c r="W42" i="4"/>
  <c r="W38" i="4"/>
  <c r="V37" i="4"/>
  <c r="W40" i="4"/>
  <c r="U11" i="4"/>
  <c r="V41" i="4"/>
  <c r="X41" i="4"/>
  <c r="X31" i="4"/>
  <c r="V38" i="4"/>
  <c r="X54" i="4"/>
  <c r="X5" i="4"/>
  <c r="W52" i="4"/>
  <c r="V46" i="4"/>
  <c r="X32" i="4"/>
  <c r="X14" i="4"/>
  <c r="X57" i="4"/>
  <c r="W31" i="4"/>
  <c r="W43" i="4"/>
  <c r="U35" i="4"/>
  <c r="X27" i="4"/>
  <c r="U27" i="4"/>
  <c r="V44" i="4"/>
  <c r="W18" i="4"/>
  <c r="V22" i="4"/>
  <c r="W26" i="4"/>
  <c r="U49" i="4"/>
  <c r="U48" i="4"/>
  <c r="V29" i="4"/>
  <c r="X9" i="4"/>
  <c r="W21" i="4"/>
  <c r="U24" i="4"/>
  <c r="U19" i="4"/>
  <c r="W16" i="4"/>
</calcChain>
</file>

<file path=xl/sharedStrings.xml><?xml version="1.0" encoding="utf-8"?>
<sst xmlns="http://schemas.openxmlformats.org/spreadsheetml/2006/main" count="470" uniqueCount="203">
  <si>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</si>
  <si>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</si>
  <si>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</si>
  <si>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</si>
  <si>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</si>
  <si>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</si>
  <si>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</si>
  <si>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</si>
  <si>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</si>
  <si>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</si>
  <si>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</si>
  <si>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</si>
  <si>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</si>
  <si>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</si>
  <si>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</si>
  <si>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</si>
  <si>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</si>
  <si>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</si>
  <si>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</si>
  <si>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</si>
  <si>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</si>
  <si>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</si>
  <si>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</si>
  <si>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</si>
  <si>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</si>
  <si>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</si>
  <si>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</si>
  <si>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</si>
  <si>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</si>
  <si>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</si>
  <si>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</si>
  <si>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</si>
  <si>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</si>
  <si>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</si>
  <si>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</si>
  <si>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</si>
  <si>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</si>
  <si>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</si>
  <si>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</si>
  <si>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</si>
  <si>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</si>
  <si>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</si>
  <si>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</si>
  <si>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</si>
  <si>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</si>
  <si>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</si>
  <si>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</si>
  <si>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</si>
  <si>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</si>
  <si>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</si>
  <si>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</si>
  <si>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</si>
  <si>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</si>
  <si>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</si>
  <si>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</si>
  <si>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</si>
  <si>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</si>
  <si>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</si>
  <si>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</si>
  <si>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</si>
  <si>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</si>
  <si>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</si>
  <si>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</si>
  <si>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</si>
  <si>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</si>
  <si>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</si>
  <si>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</si>
  <si>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</si>
  <si>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</si>
  <si>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</si>
  <si>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</si>
  <si>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</si>
  <si>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</si>
  <si>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</si>
  <si>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</si>
  <si>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</si>
  <si>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</si>
  <si>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</si>
  <si>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</si>
  <si>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</si>
  <si>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</si>
  <si>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</si>
  <si>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</si>
  <si>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</si>
  <si>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</si>
  <si>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</si>
  <si>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</si>
  <si>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</si>
  <si>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</si>
  <si>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</si>
  <si>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</si>
  <si>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</si>
  <si>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</si>
  <si>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</si>
  <si>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</si>
  <si>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</si>
  <si>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</si>
  <si>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</si>
  <si>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</si>
  <si>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</si>
  <si>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</si>
  <si>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</si>
  <si>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</si>
  <si>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</si>
  <si>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</si>
  <si>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</si>
  <si>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</si>
  <si>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</si>
  <si>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</si>
  <si>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</si>
  <si>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</si>
  <si>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</si>
  <si>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</si>
  <si>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</si>
  <si>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</si>
  <si>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</si>
  <si>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</si>
  <si>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</si>
  <si>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</si>
  <si>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</si>
  <si>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</si>
  <si>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</si>
  <si>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</si>
  <si>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</si>
  <si>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</si>
  <si>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</si>
  <si>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</si>
  <si>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</si>
  <si>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</si>
  <si>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</si>
  <si>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</si>
  <si>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</si>
  <si>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</si>
  <si>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</si>
  <si>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</si>
  <si>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</si>
  <si>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</si>
  <si>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4680</t>
  </si>
  <si>
    <t>KTSTFOLIO</t>
  </si>
  <si>
    <t>KARTU STOCK FOLIO</t>
  </si>
  <si>
    <t>11-Hitung FP Keluar November 2023</t>
  </si>
  <si>
    <t>4682</t>
  </si>
  <si>
    <t>anugerah</t>
  </si>
  <si>
    <t>LSN</t>
  </si>
  <si>
    <t>ISIKENBESAR</t>
  </si>
  <si>
    <t>ISIKENKECIL</t>
  </si>
  <si>
    <t>PENKENK1</t>
  </si>
  <si>
    <t>BOX</t>
  </si>
  <si>
    <t>LEMKEN8GR</t>
  </si>
  <si>
    <t>ISI CUTTER 18 MM KENKO L-150 (BESAR)</t>
  </si>
  <si>
    <t>ISI CUTTER 9 MM KENKO A-100 (KECIL)</t>
  </si>
  <si>
    <t>GEL PEN KENKO K-1</t>
  </si>
  <si>
    <t>LEM STICK KENKO 8 GR (KECIL) isi 30 pc</t>
  </si>
  <si>
    <t>4686</t>
  </si>
  <si>
    <t>PCS</t>
  </si>
  <si>
    <t>STAKENHL100KUNING</t>
  </si>
  <si>
    <t>HIGHLIGHTER / STABILO KENKO HL-100 MIX (BR/ KN/ OR)</t>
  </si>
  <si>
    <t/>
  </si>
  <si>
    <t>KO 4680</t>
  </si>
  <si>
    <t>KARTU STOCK FOLIO (4 WARNA)</t>
  </si>
  <si>
    <t>revisi :</t>
  </si>
  <si>
    <t>G</t>
  </si>
  <si>
    <t>4689</t>
  </si>
  <si>
    <t>LABJK1LINEPUTIH</t>
  </si>
  <si>
    <t>LABEL HARGA JOYKO LB-2RL (1 LINE PUTIH)</t>
  </si>
  <si>
    <t>4693</t>
  </si>
  <si>
    <t>GRS</t>
  </si>
  <si>
    <t>CLIKEN107</t>
  </si>
  <si>
    <t>CLIKEN111</t>
  </si>
  <si>
    <t>TIPKENCT902</t>
  </si>
  <si>
    <t>BINDER CLIP KENKO NO. 107</t>
  </si>
  <si>
    <t>BINDER CLIP KENKO NO. 111</t>
  </si>
  <si>
    <t>CORRECTION TAPE KENKO CT-902 (12M x 5MM)</t>
  </si>
  <si>
    <t>4694</t>
  </si>
  <si>
    <t>KTSTKWARTO</t>
  </si>
  <si>
    <t>KARTU STOCK KWARTO (HIJAU, MERAH, KUNING, BIRU)</t>
  </si>
  <si>
    <t>4758</t>
  </si>
  <si>
    <t>PENKENHITECH028HITAM</t>
  </si>
  <si>
    <t>STIJK40HITAM</t>
  </si>
  <si>
    <t>PWJK12WPANJANG</t>
  </si>
  <si>
    <t>GEL PEN KENKO HI-TECH-H 0.28 MM HITAM</t>
  </si>
  <si>
    <t>STIP / PENGHAPUS JOYKO 526-B40BL HITAM</t>
  </si>
  <si>
    <t>PENSIL WARNA JOYKO CP-12PB (PANJANG)</t>
  </si>
  <si>
    <t>4755</t>
  </si>
  <si>
    <t>STAJKHD12N24</t>
  </si>
  <si>
    <t>CUTKENL500</t>
  </si>
  <si>
    <t>STAPLER HEAVY DUTY JOYKO HD-12N/24</t>
  </si>
  <si>
    <t>CUTTER 18 MM KENKO L-500 (BESAR)</t>
  </si>
  <si>
    <t>4763</t>
  </si>
  <si>
    <t>PUNJK30XL</t>
  </si>
  <si>
    <t>PUNCH JOYKO 30XL</t>
  </si>
  <si>
    <t>LENA / YO</t>
  </si>
  <si>
    <t>4764</t>
  </si>
  <si>
    <t>SET</t>
  </si>
  <si>
    <t>4527</t>
  </si>
  <si>
    <t>lancar</t>
  </si>
  <si>
    <t>ISIGWNO10</t>
  </si>
  <si>
    <t>ISI STAPLER (STAPLES) GREATWALL GW-NO. 10 (KECIL)</t>
  </si>
  <si>
    <t>4757</t>
  </si>
  <si>
    <t>CLIJKNO03</t>
  </si>
  <si>
    <t>CLIKEN260</t>
  </si>
  <si>
    <t>PAPER TRIGONAL CLIP JOYKO NO. 3</t>
  </si>
  <si>
    <t>BINDER CLIP KENKO NO.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</si>
</sst>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  <font>
      <sz val="22"/>
      <color theme="2" tint="-0.499984740745262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59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7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562223" y="4257677"/>
          <a:ext cx="2247900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1%20NOVEMBER\KELUAR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40.558780092593" createdVersion="5" refreshedVersion="5" minRefreshableVersion="3" recordCount="278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14">
        <s v=""/>
        <n v="4"/>
        <n v="6"/>
        <n v="11"/>
        <n v="13"/>
        <n v="15"/>
        <n v="19"/>
        <n v="21"/>
        <n v="25"/>
        <n v="28"/>
        <n v="30"/>
        <n v="32"/>
        <n v="34"/>
        <n v="145" u="1"/>
      </sharedItems>
    </cacheField>
    <cacheField name="h_No. Invoice :" numFmtId="0">
      <sharedItems containsMixedTypes="1" containsNumber="1" containsInteger="1" minValue="23110001" maxValue="23110012"/>
    </cacheField>
    <cacheField name="Tgl Invoice :" numFmtId="164">
      <sharedItems containsDate="1" containsMixedTypes="1" minDate="2023-11-02T00:00:00" maxDate="2023-11-11T00:00:00"/>
    </cacheField>
    <cacheField name="Column2" numFmtId="0">
      <sharedItems containsString="0" containsBlank="1" containsNumber="1" containsInteger="1" minValue="2" maxValue="1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187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44280" maxValue="168156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34"/>
    </cacheField>
    <cacheField name="h_jumlahbarang" numFmtId="0">
      <sharedItems containsMixedTypes="1" containsNumber="1" containsInteger="1" minValue="1" maxValue="4"/>
    </cacheField>
    <cacheField name="h_hargasebelumdiskon" numFmtId="43">
      <sharedItems containsMixedTypes="1" containsNumber="1" containsInteger="1" minValue="49200" maxValue="19440000"/>
    </cacheField>
    <cacheField name="h_disc 1" numFmtId="43">
      <sharedItems containsMixedTypes="1" containsNumber="1" containsInteger="1" minValue="0" maxValue="26244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0" maxValue="2624400"/>
    </cacheField>
    <cacheField name="h_hargasetelahdiskon" numFmtId="43">
      <sharedItems containsMixedTypes="1" containsNumber="1" containsInteger="1" minValue="44280" maxValue="16815600"/>
    </cacheField>
    <cacheField name="Total Invoice" numFmtId="43">
      <sharedItems containsMixedTypes="1" containsNumber="1" containsInteger="1" minValue="750000" maxValue="32584896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10001"/>
    <d v="2023-11-02T00:00:00"/>
    <n v="2"/>
    <s v="4680"/>
    <s v="CENTRAAL"/>
    <s v="AM 23110001"/>
    <s v="KO"/>
    <s v="KO 4680"/>
    <s v="CV TRINITY CENTRAAL PURWOKERTO"/>
    <n v="20"/>
    <s v="PAK"/>
    <m/>
    <s v="KTSTFOLIO"/>
    <s v="KARTU STOCK FOLIO"/>
    <s v="KARTU STOCK FOLIO"/>
    <n v="37500"/>
    <m/>
    <m/>
    <n v="750000"/>
    <s v="NOVI / CONDRO"/>
    <m/>
    <n v="4"/>
    <n v="1"/>
    <n v="750000"/>
    <n v="0"/>
    <n v="0"/>
    <n v="0"/>
    <n v="750000"/>
    <n v="750000"/>
    <m/>
    <s v="KARTU STOCK FOLIOPAK3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10002"/>
    <d v="2023-11-02T00:00:00"/>
    <n v="2"/>
    <s v="4682"/>
    <s v="anugerah"/>
    <s v="AM 23110002"/>
    <s v="KO"/>
    <s v="KO 4682"/>
    <s v="CV PELITA JAYA (ANUGERAH SEJAHTERA) PURWOKERTO"/>
    <n v="300"/>
    <s v="LSN"/>
    <n v="5"/>
    <s v="ISIKENBESAR"/>
    <s v="ISI CUTTER 18 MM KENKO L-150 (BESAR)"/>
    <s v="ISI CUTTER 18 MM KENKO L-150 (BESAR)"/>
    <n v="64800"/>
    <n v="0.13500000000000001"/>
    <m/>
    <n v="16815600"/>
    <s v="NOVI / CONDRO"/>
    <m/>
    <n v="6"/>
    <n v="4"/>
    <n v="19440000"/>
    <n v="2624400"/>
    <n v="0"/>
    <n v="2624400"/>
    <n v="16815600"/>
    <n v="32584896"/>
    <m/>
    <s v="ISI CUTTER 18 MM KENKO L-150 (BESAR)LSN64800"/>
  </r>
  <r>
    <x v="0"/>
    <s v=""/>
    <s v=""/>
    <m/>
    <m/>
    <m/>
    <s v=""/>
    <s v=""/>
    <s v=" "/>
    <s v=""/>
    <n v="240"/>
    <s v="LSN"/>
    <n v="2"/>
    <s v="ISIKENKECIL"/>
    <s v="ISI CUTTER 9 MM KENKO A-100 (KECIL)"/>
    <s v="ISI CUTTER 9 MM KENKO A-100 (KECIL)"/>
    <n v="32400"/>
    <n v="0.13500000000000001"/>
    <m/>
    <n v="6726240"/>
    <m/>
    <m/>
    <n v="6"/>
    <n v="4"/>
    <n v="7776000"/>
    <n v="1049760"/>
    <n v="0"/>
    <n v="1049760"/>
    <n v="6726240"/>
    <s v=""/>
    <m/>
    <s v="ISI CUTTER 9 MM KENKO A-100 (KECIL)LSN32400"/>
  </r>
  <r>
    <x v="0"/>
    <s v=""/>
    <s v=""/>
    <m/>
    <m/>
    <m/>
    <s v=""/>
    <s v=""/>
    <s v=" "/>
    <s v=""/>
    <n v="144"/>
    <s v="LSN"/>
    <n v="1"/>
    <s v="PENKENK1"/>
    <s v="GEL PEN KENKO K-1"/>
    <s v="GEL PEN KENKO K-1"/>
    <n v="39600"/>
    <n v="0.13500000000000001"/>
    <m/>
    <n v="4932576"/>
    <m/>
    <m/>
    <n v="6"/>
    <n v="4"/>
    <n v="5702400"/>
    <n v="769824"/>
    <n v="0"/>
    <n v="769824"/>
    <n v="4932576"/>
    <s v=""/>
    <m/>
    <s v="GEL PEN KENKO K-1LSN396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6"/>
    <n v="4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10003"/>
    <d v="2023-11-02T00:00:00"/>
    <n v="2"/>
    <s v="4686"/>
    <s v="anugerah"/>
    <s v="AM 23110003"/>
    <s v="KO"/>
    <s v="KO 4686"/>
    <s v="CV PELITA JAYA (ANUGERAH SEJAHTERA) PURWOKERTO"/>
    <n v="480"/>
    <s v="PCS"/>
    <n v="1"/>
    <s v="STAKENHL100KUNING"/>
    <s v="HIGHLIGHTER / STABILO KENKO HL-100 KUNING"/>
    <s v="HIGHLIGHTER / STABILO KENKO HL-100 MIX (BR/ KN/ OR)"/>
    <n v="3050"/>
    <n v="0.13500000000000001"/>
    <m/>
    <n v="1266360"/>
    <s v="NOVI / CONDRO"/>
    <m/>
    <n v="11"/>
    <n v="1"/>
    <n v="1464000"/>
    <n v="197640"/>
    <n v="0"/>
    <n v="197640"/>
    <n v="1266360"/>
    <n v="1266360"/>
    <m/>
    <s v="HIGHLIGHTER / STABILO KENKO HL-100 MIX (BR/ KN/ OR)PCS3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10004"/>
    <d v="2023-11-04T00:00:00"/>
    <n v="4"/>
    <s v="4689"/>
    <s v="REJOAGUNG"/>
    <s v="AM 23110004"/>
    <s v="G"/>
    <s v="G 4689"/>
    <s v="LILY JULIAWATI (REJO AGUNG) JOMBANG"/>
    <n v="1000"/>
    <s v="PCS"/>
    <n v="1"/>
    <s v="LABJK1LINEPUTIH"/>
    <s v="LABEL HARGA JOYKO LB-2RL (1 LINE PUTIH)"/>
    <s v="LABEL HARGA JOYKO LB-2RL (1 LINE PUTIH)"/>
    <n v="2050"/>
    <n v="0.125"/>
    <m/>
    <n v="1793750"/>
    <s v="NOVI / CONDRO"/>
    <m/>
    <n v="13"/>
    <n v="1"/>
    <n v="2050000"/>
    <n v="256250"/>
    <n v="0"/>
    <n v="256250"/>
    <n v="1793750"/>
    <n v="1793750"/>
    <m/>
    <s v="LABEL HARGA JOYKO LB-2RL (1 LINE PUTIH)PCS2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10005"/>
    <d v="2023-11-06T00:00:00"/>
    <n v="6"/>
    <s v="4693"/>
    <s v="GANESHA"/>
    <s v="AM 23110005"/>
    <s v="KO"/>
    <s v="KO 4693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15"/>
    <n v="3"/>
    <n v="636000"/>
    <n v="63600"/>
    <n v="0"/>
    <n v="63600"/>
    <n v="572400"/>
    <n v="886680"/>
    <m/>
    <s v="BINDER CLIP KENKO NO. 107GRS31800"/>
  </r>
  <r>
    <x v="0"/>
    <s v=""/>
    <s v=""/>
    <m/>
    <m/>
    <m/>
    <s v=""/>
    <s v=""/>
    <s v=" "/>
    <s v=""/>
    <n v="1"/>
    <s v="GRS"/>
    <m/>
    <s v="CLIKEN111"/>
    <s v="BINDER CLIP KENKO NO. 111"/>
    <s v="BINDER CLIP KENKO NO. 111"/>
    <n v="49200"/>
    <n v="0.1"/>
    <m/>
    <n v="44280"/>
    <m/>
    <m/>
    <n v="15"/>
    <n v="3"/>
    <n v="49200"/>
    <n v="4920"/>
    <n v="0"/>
    <n v="4920"/>
    <n v="44280"/>
    <s v=""/>
    <m/>
    <s v="BINDER CLIP KENKO NO. 111GRS49200"/>
  </r>
  <r>
    <x v="0"/>
    <s v=""/>
    <s v=""/>
    <m/>
    <m/>
    <m/>
    <s v=""/>
    <s v=""/>
    <s v=" "/>
    <s v=""/>
    <n v="5"/>
    <s v="LSN"/>
    <m/>
    <s v="TIPKENCT902"/>
    <s v="CORRECTION TAPE KENKO CT-902 (12M x 5MM)"/>
    <s v="CORRECTION TAPE KENKO CT-902 (12M x 5MM)"/>
    <n v="60000"/>
    <n v="0.1"/>
    <m/>
    <n v="270000"/>
    <m/>
    <m/>
    <n v="15"/>
    <n v="3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10006"/>
    <d v="2023-11-06T00:00:00"/>
    <n v="6"/>
    <s v="4694"/>
    <s v="CENTRAAL"/>
    <s v="AM 23110006"/>
    <s v="KO"/>
    <s v="KO 4694"/>
    <s v="CV TRINITY CENTRAAL PURWOKERTO"/>
    <n v="40"/>
    <s v="PAK"/>
    <m/>
    <s v="KTSTKWARTO"/>
    <s v="KARTU STOCK KWARTO"/>
    <s v="KARTU STOCK KWARTO (HIJAU, MERAH, KUNING, BIRU)"/>
    <n v="19000"/>
    <m/>
    <m/>
    <n v="760000"/>
    <s v="NOVI / CONDRO"/>
    <m/>
    <n v="19"/>
    <n v="1"/>
    <n v="760000"/>
    <n v="0"/>
    <n v="0"/>
    <n v="0"/>
    <n v="760000"/>
    <n v="760000"/>
    <m/>
    <s v="KARTU STOCK KWARTO (HIJAU, MERAH, KUNING, BIRU)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10007"/>
    <d v="2023-11-06T00:00:00"/>
    <n v="6"/>
    <s v="4758"/>
    <s v="anugerah"/>
    <s v="AM 23110007"/>
    <s v="KO"/>
    <s v="KO 4758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"/>
    <n v="3"/>
    <n v="16848000"/>
    <n v="2274480"/>
    <n v="0"/>
    <n v="2274480"/>
    <n v="14573520"/>
    <n v="17117831"/>
    <m/>
    <s v="GEL PEN KENKO HI-TECH-H 0.28 MM HITAMLSN39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21"/>
    <n v="3"/>
    <n v="1415000"/>
    <n v="191025"/>
    <n v="0"/>
    <n v="191025"/>
    <n v="1223975"/>
    <s v=""/>
    <m/>
    <s v="STIP / PENGHAPUS JOYKO 526-B40BL HITAMBOX28300"/>
  </r>
  <r>
    <x v="0"/>
    <s v=""/>
    <s v=""/>
    <m/>
    <m/>
    <m/>
    <s v=""/>
    <s v=""/>
    <s v=" "/>
    <s v=""/>
    <n v="144"/>
    <s v="LSN"/>
    <n v="1"/>
    <s v="PWJK12WPANJANG"/>
    <s v="PENSIL WARNA JOYKO CP-12PB (PANJANG)"/>
    <s v="PENSIL WARNA JOYKO CP-12PB (PANJANG)"/>
    <n v="10600"/>
    <n v="0.13500000000000001"/>
    <m/>
    <n v="1320336"/>
    <m/>
    <m/>
    <n v="21"/>
    <n v="3"/>
    <n v="1526400"/>
    <n v="206064"/>
    <n v="0"/>
    <n v="206064"/>
    <n v="1320336"/>
    <s v=""/>
    <m/>
    <s v="PENSIL WARNA JOYKO CP-12PB (PANJANG)LSN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10008"/>
    <d v="2023-11-06T00:00:00"/>
    <n v="6"/>
    <s v="4755"/>
    <s v="REJOAGUNG"/>
    <s v="AM 23110008"/>
    <s v="G"/>
    <s v="G 4755"/>
    <s v="LILY JULIAWATI (REJO AGUNG) JOMBANG"/>
    <n v="6"/>
    <s v="PCS"/>
    <n v="1"/>
    <s v="STAJKHD12N24"/>
    <s v="STAPLER HEAVY DUTY JOYKO HD-12N/24"/>
    <s v="STAPLER HEAVY DUTY JOYKO HD-12N/24"/>
    <n v="187000"/>
    <n v="0.125"/>
    <m/>
    <n v="981750"/>
    <s v="NOVI / CONDRO"/>
    <m/>
    <n v="25"/>
    <n v="2"/>
    <n v="1122000"/>
    <n v="140250"/>
    <n v="0"/>
    <n v="140250"/>
    <n v="981750"/>
    <n v="3564750"/>
    <m/>
    <s v="STAPLER HEAVY DUTY JOYKO HD-12N/24PCS187000"/>
  </r>
  <r>
    <x v="0"/>
    <s v=""/>
    <s v=""/>
    <m/>
    <m/>
    <m/>
    <s v=""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25"/>
    <n v="2"/>
    <n v="2952000"/>
    <n v="369000"/>
    <n v="0"/>
    <n v="369000"/>
    <n v="2583000"/>
    <s v="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10009"/>
    <d v="2023-11-08T00:00:00"/>
    <n v="8"/>
    <s v="4763"/>
    <s v="REJOAGUNG"/>
    <s v="AM 23110009"/>
    <s v="G"/>
    <s v="G 4763"/>
    <s v="LILY JULIAWATI (REJO AGUNG) JOMBANG"/>
    <n v="120"/>
    <s v="PCS"/>
    <n v="1"/>
    <s v="PUNJK30XL"/>
    <s v="PUNCH JOYKO 30XL"/>
    <s v="PUNCH JOYKO 30XL"/>
    <n v="12950"/>
    <n v="0.125"/>
    <m/>
    <n v="1359750"/>
    <s v="LENA / YO"/>
    <m/>
    <n v="28"/>
    <n v="1"/>
    <n v="1554000"/>
    <n v="194250"/>
    <n v="0"/>
    <n v="194250"/>
    <n v="1359750"/>
    <n v="1359750"/>
    <m/>
    <s v="PUNCH JOYKO 30XLPCS12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10010"/>
    <d v="2023-11-08T00:00:00"/>
    <n v="8"/>
    <s v="4764"/>
    <s v="anugerah"/>
    <s v="AM 23110010"/>
    <s v="KO"/>
    <s v="KO 4764"/>
    <s v="CV PELITA JAYA (ANUGERAH SEJAHTERA) PURWOKERTO"/>
    <n v="144"/>
    <s v="SET"/>
    <n v="1"/>
    <s v="PWJK12WPANJANG"/>
    <s v="PENSIL WARNA JOYKO CP-12PB (PANJANG)"/>
    <s v="PENSIL WARNA JOYKO CP-12PB (PANJANG)"/>
    <n v="10600"/>
    <n v="0.13500000000000001"/>
    <m/>
    <n v="1320336"/>
    <s v="LENA / YO"/>
    <m/>
    <n v="30"/>
    <n v="1"/>
    <n v="1526400"/>
    <n v="206064"/>
    <n v="0"/>
    <n v="206064"/>
    <n v="1320336"/>
    <n v="1320336"/>
    <m/>
    <s v="PENSIL WARNA JOYKO CP-12PB (PANJANG)SET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10011"/>
    <d v="2023-11-10T00:00:00"/>
    <n v="10"/>
    <s v="4527"/>
    <s v="lancar"/>
    <s v="AM 23110011"/>
    <s v="KO"/>
    <s v="KO 4527"/>
    <s v="CV LANCAR JAYA SENTOSA MALANG"/>
    <n v="1000"/>
    <s v="PAK"/>
    <n v="10"/>
    <s v="ISIGWNO10"/>
    <s v="ISI STAPLER (STAPLES) GREATWALL GW-NO. 10 (KECIL)"/>
    <s v="ISI STAPLER (STAPLES) GREATWALL GW-NO. 10 (KECIL)"/>
    <n v="13250"/>
    <m/>
    <m/>
    <n v="13250000"/>
    <s v="NOVI / CONDRO"/>
    <m/>
    <n v="32"/>
    <n v="1"/>
    <n v="13250000"/>
    <n v="0"/>
    <n v="0"/>
    <n v="0"/>
    <n v="13250000"/>
    <n v="13250000"/>
    <m/>
    <s v="ISI STAPLER (STAPLES) GREATWALL GW-NO. 10 (KECIL)PAK13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10012"/>
    <d v="2023-11-06T00:00:00"/>
    <n v="6"/>
    <s v="4757"/>
    <s v="ARMADA"/>
    <s v="AM 23110012"/>
    <s v="KO"/>
    <s v="KO 4757"/>
    <s v="SANTOSO BUDIONO (  ARMADA  ) PURWOKERTO"/>
    <n v="500"/>
    <s v="PAK"/>
    <n v="1"/>
    <s v="CLIJKNO03"/>
    <s v="PAPER TRIGONAL CLIP JOYKO NO. 3"/>
    <s v="PAPER TRIGONAL CLIP JOYKO NO. 3"/>
    <n v="1625"/>
    <n v="0.13"/>
    <m/>
    <n v="706875"/>
    <s v="NOVI / CONDRO"/>
    <m/>
    <n v="34"/>
    <n v="2"/>
    <n v="812500"/>
    <n v="105625"/>
    <n v="0"/>
    <n v="105625"/>
    <n v="706875"/>
    <n v="1489875"/>
    <m/>
    <s v="PAPER TRIGONAL CLIP JOYKO NO. 3PAK1625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34"/>
    <n v="2"/>
    <n v="900000"/>
    <n v="117000"/>
    <n v="0"/>
    <n v="117000"/>
    <n v="783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8" firstHeaderRow="1" firstDataRow="1" firstDataCol="1"/>
  <pivotFields count="32"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13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81" totalsRowCount="1" headerRowDxfId="112" dataDxfId="111" totalsRowDxfId="110">
  <autoFilter ref="A2:AF280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38" dataDxfId="37" totalsRowDxfId="36">
  <autoFilter ref="D4:P57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9" data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3" totalsRowShown="0">
  <autoFilter ref="A2:F23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81"/>
  <sheetViews>
    <sheetView tabSelected="1" topLeftCell="A19" zoomScale="85" zoomScaleNormal="85" workbookViewId="0">
      <selection activeCell="D35" sqref="D35"/>
    </sheetView>
  </sheetViews>
  <sheetFormatPr defaultRowHeight="15" x14ac:dyDescent="0.25"/>
  <cols>
    <col min="1" max="1" width="3.140625" style="271" customWidth="1"/>
    <col min="2" max="2" width="9.28515625" style="271" customWidth="1"/>
    <col min="3" max="3" width="10.85546875" style="272" customWidth="1"/>
    <col min="4" max="4" width="5.140625" style="282" customWidth="1"/>
    <col min="5" max="5" width="5.140625" style="271" customWidth="1"/>
    <col min="6" max="6" width="11.8554687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4" style="271" customWidth="1"/>
    <col min="14" max="14" width="23.7109375" style="271" bestFit="1" customWidth="1"/>
    <col min="15" max="15" width="43.85546875" style="271" bestFit="1" customWidth="1"/>
    <col min="16" max="16" width="52.28515625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3.140625" style="275" customWidth="1"/>
    <col min="24" max="24" width="2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23110001</v>
      </c>
      <c r="C1" s="272">
        <v>45231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23110001</v>
      </c>
      <c r="C4" s="272">
        <f>IF(Table1[[#This Row],[Column2]]="","",Table1[[#This Row],[Column2]]+C$1-1)</f>
        <v>45232</v>
      </c>
      <c r="D4" s="271">
        <v>2</v>
      </c>
      <c r="E4" s="273" t="s">
        <v>137</v>
      </c>
      <c r="F4" s="271" t="s">
        <v>39</v>
      </c>
      <c r="G4" s="278" t="str">
        <f ca="1">IF(Table1[[#This Row],[h_No. Invoice :]]="","",CONCATENATE("AM"," ",Table1[[#This Row],[h_No. Invoice :]]))</f>
        <v>AM 23110001</v>
      </c>
      <c r="H4" s="271" t="str">
        <f>IF(Table1[[#This Row],[Column5]]="","",INDEX(Table2[Column1],MATCH(Table1[[#This Row],[Column5]],Table2[a],0)))</f>
        <v>KO</v>
      </c>
      <c r="I4" s="279" t="str">
        <f>IF(Table1[[#This Row],[Column3]]=0,"",CONCATENATE(UPPER(Table1[[#This Row],[Column3]])," ",Table1[[#This Row],[Column4]]))</f>
        <v>KO 4680</v>
      </c>
      <c r="J4" s="278" t="str">
        <f>IF(Table1[[#This Row],[Column5]]="","",INDEX(Table2[e],IF(Table1[[#This Row],[Column5]]="","",MATCH(Table1[[#This Row],[Column5]],Table2[a],0)),))</f>
        <v>CV TRINITY CENTRAAL PURWOKERTO</v>
      </c>
      <c r="K4" s="271">
        <v>20</v>
      </c>
      <c r="L4" s="271" t="s">
        <v>136</v>
      </c>
      <c r="N4" s="271" t="s">
        <v>138</v>
      </c>
      <c r="O4" s="278" t="str">
        <f>IF(Table1[[#This Row],[h_Item Description]]="","",INDEX([1]!db[NB PAJAK],MATCH(Table1[[#This Row],[h_Item Description]],[1]!db[kode],0)))</f>
        <v>KARTU STOCK FOLIO</v>
      </c>
      <c r="P4" s="278" t="s">
        <v>139</v>
      </c>
      <c r="Q4" s="274">
        <v>37500</v>
      </c>
      <c r="R4" s="275"/>
      <c r="S4" s="275"/>
      <c r="T4" s="274">
        <f>Table1[[#This Row],[h_hargasetelahdiskon]]</f>
        <v>750000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750000</v>
      </c>
      <c r="Z4" s="274">
        <f>IF(Table1[[#This Row],[h_hargasebelumdiskon]]="","",IF(Table1[[#This Row],[Disc 1]]="",0,Table1[[#This Row],[h_hargasebelumdiskon]]*Table1[[#This Row],[Disc 1]]))</f>
        <v>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0</v>
      </c>
      <c r="AC4" s="274">
        <f>IF(Table1[Item Description]="","",Table1[[#This Row],[h_hargasebelumdiskon]]-Table1[[#This Row],[h_diskon]])</f>
        <v>750000</v>
      </c>
      <c r="AD4" s="274">
        <f ca="1">IF(Table1[//]="","",SUMIF(Table1[h_id],Table1[h_id],Table1[h_hargasetelahdiskon]))</f>
        <v>750000</v>
      </c>
      <c r="AF4" s="274" t="str">
        <f>Table1[[#This Row],[Item Description]]&amp;Table1[[#This Row],[Unit]]&amp;Table1[[#This Row],[Unit Price]]</f>
        <v>KARTU STOCK FOLIOPAK37500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/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23110002</v>
      </c>
      <c r="C6" s="272">
        <f>IF(Table1[[#This Row],[Column2]]="","",Table1[[#This Row],[Column2]]+C$1-1)</f>
        <v>45232</v>
      </c>
      <c r="D6" s="271">
        <v>2</v>
      </c>
      <c r="E6" s="273" t="s">
        <v>141</v>
      </c>
      <c r="F6" s="271" t="s">
        <v>142</v>
      </c>
      <c r="G6" s="278" t="str">
        <f ca="1">IF(Table1[[#This Row],[h_No. Invoice :]]="","",CONCATENATE("AM"," ",Table1[[#This Row],[h_No. Invoice :]]))</f>
        <v>AM 23110002</v>
      </c>
      <c r="H6" s="271" t="str">
        <f>IF(Table1[[#This Row],[Column5]]="","",INDEX(Table2[Column1],MATCH(Table1[[#This Row],[Column5]],Table2[a],0)))</f>
        <v>KO</v>
      </c>
      <c r="I6" s="279" t="str">
        <f>IF(Table1[[#This Row],[Column3]]=0,"",CONCATENATE(UPPER(Table1[[#This Row],[Column3]])," ",Table1[[#This Row],[Column4]]))</f>
        <v>KO 4682</v>
      </c>
      <c r="J6" s="278" t="str">
        <f>IF(Table1[[#This Row],[Column5]]="","",INDEX(Table2[e],IF(Table1[[#This Row],[Column5]]="","",MATCH(Table1[[#This Row],[Column5]],Table2[a],0)),))</f>
        <v>CV PELITA JAYA (ANUGERAH SEJAHTERA) PURWOKERTO</v>
      </c>
      <c r="K6" s="271">
        <v>300</v>
      </c>
      <c r="L6" s="271" t="s">
        <v>143</v>
      </c>
      <c r="M6" s="271">
        <v>5</v>
      </c>
      <c r="N6" s="271" t="s">
        <v>144</v>
      </c>
      <c r="O6" s="278" t="str">
        <f>IF(Table1[[#This Row],[h_Item Description]]="","",INDEX([1]!db[NB PAJAK],MATCH(Table1[[#This Row],[h_Item Description]],[1]!db[kode],0)))</f>
        <v>ISI CUTTER 18 MM KENKO L-150 (BESAR)</v>
      </c>
      <c r="P6" s="278" t="s">
        <v>149</v>
      </c>
      <c r="Q6" s="274">
        <v>64800</v>
      </c>
      <c r="R6" s="275">
        <v>0.13500000000000001</v>
      </c>
      <c r="S6" s="275"/>
      <c r="T6" s="274">
        <f>Table1[[#This Row],[h_hargasetelahdiskon]]</f>
        <v>16815600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4</v>
      </c>
      <c r="Y6" s="274">
        <f>IF(Table1[Item Description]="","",Table1[[#This Row],[Qty]]*Table1[[#This Row],[Unit Price]])</f>
        <v>19440000</v>
      </c>
      <c r="Z6" s="274">
        <f>IF(Table1[[#This Row],[h_hargasebelumdiskon]]="","",IF(Table1[[#This Row],[Disc 1]]="",0,Table1[[#This Row],[h_hargasebelumdiskon]]*Table1[[#This Row],[Disc 1]]))</f>
        <v>2624400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2624400</v>
      </c>
      <c r="AC6" s="274">
        <f>IF(Table1[Item Description]="","",Table1[[#This Row],[h_hargasebelumdiskon]]-Table1[[#This Row],[h_diskon]])</f>
        <v>16815600</v>
      </c>
      <c r="AD6" s="274">
        <f ca="1">IF(Table1[//]="","",SUMIF(Table1[h_id],Table1[h_id],Table1[h_hargasetelahdiskon]))</f>
        <v>32584896</v>
      </c>
      <c r="AF6" s="274" t="str">
        <f>Table1[[#This Row],[Item Description]]&amp;Table1[[#This Row],[Unit]]&amp;Table1[[#This Row],[Unit Price]]</f>
        <v>ISI CUTTER 18 MM KENKO L-150 (BESAR)LSN64800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240</v>
      </c>
      <c r="L7" s="271" t="s">
        <v>143</v>
      </c>
      <c r="M7" s="271">
        <v>2</v>
      </c>
      <c r="N7" s="271" t="s">
        <v>145</v>
      </c>
      <c r="O7" s="278" t="str">
        <f>IF(Table1[[#This Row],[h_Item Description]]="","",INDEX([1]!db[NB PAJAK],MATCH(Table1[[#This Row],[h_Item Description]],[1]!db[kode],0)))</f>
        <v>ISI CUTTER 9 MM KENKO A-100 (KECIL)</v>
      </c>
      <c r="P7" s="271" t="s">
        <v>150</v>
      </c>
      <c r="Q7" s="274">
        <v>32400</v>
      </c>
      <c r="R7" s="275">
        <v>0.13500000000000001</v>
      </c>
      <c r="S7" s="275"/>
      <c r="T7" s="274">
        <f>Table1[[#This Row],[h_hargasetelahdiskon]]</f>
        <v>6726240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4</v>
      </c>
      <c r="Y7" s="274">
        <f>IF(Table1[Item Description]="","",Table1[[#This Row],[Qty]]*Table1[[#This Row],[Unit Price]])</f>
        <v>7776000</v>
      </c>
      <c r="Z7" s="274">
        <f>IF(Table1[[#This Row],[h_hargasebelumdiskon]]="","",IF(Table1[[#This Row],[Disc 1]]="",0,Table1[[#This Row],[h_hargasebelumdiskon]]*Table1[[#This Row],[Disc 1]]))</f>
        <v>1049760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1049760</v>
      </c>
      <c r="AC7" s="274">
        <f>IF(Table1[Item Description]="","",Table1[[#This Row],[h_hargasebelumdiskon]]-Table1[[#This Row],[h_diskon]])</f>
        <v>6726240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ISI CUTTER 9 MM KENKO A-100 (KECIL)LSN32400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144</v>
      </c>
      <c r="L8" s="271" t="s">
        <v>143</v>
      </c>
      <c r="M8" s="271">
        <v>1</v>
      </c>
      <c r="N8" s="271" t="s">
        <v>146</v>
      </c>
      <c r="O8" s="278" t="str">
        <f>IF(Table1[[#This Row],[h_Item Description]]="","",INDEX([1]!db[NB PAJAK],MATCH(Table1[[#This Row],[h_Item Description]],[1]!db[kode],0)))</f>
        <v>GEL PEN KENKO K-1</v>
      </c>
      <c r="P8" s="271" t="s">
        <v>151</v>
      </c>
      <c r="Q8" s="274">
        <v>39600</v>
      </c>
      <c r="R8" s="275">
        <v>0.13500000000000001</v>
      </c>
      <c r="S8" s="275"/>
      <c r="T8" s="274">
        <f>Table1[[#This Row],[h_hargasetelahdiskon]]</f>
        <v>4932576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4</v>
      </c>
      <c r="Y8" s="274">
        <f>IF(Table1[Item Description]="","",Table1[[#This Row],[Qty]]*Table1[[#This Row],[Unit Price]])</f>
        <v>5702400</v>
      </c>
      <c r="Z8" s="274">
        <f>IF(Table1[[#This Row],[h_hargasebelumdiskon]]="","",IF(Table1[[#This Row],[Disc 1]]="",0,Table1[[#This Row],[h_hargasebelumdiskon]]*Table1[[#This Row],[Disc 1]]))</f>
        <v>769824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769824</v>
      </c>
      <c r="AC8" s="274">
        <f>IF(Table1[Item Description]="","",Table1[[#This Row],[h_hargasebelumdiskon]]-Table1[[#This Row],[h_diskon]])</f>
        <v>4932576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KENKO K-1LSN39600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>
        <v>72</v>
      </c>
      <c r="L9" s="271" t="s">
        <v>147</v>
      </c>
      <c r="M9" s="271">
        <v>2</v>
      </c>
      <c r="N9" s="271" t="s">
        <v>148</v>
      </c>
      <c r="O9" s="278" t="str">
        <f>IF(Table1[[#This Row],[h_Item Description]]="","",INDEX([1]!db[NB PAJAK],MATCH(Table1[[#This Row],[h_Item Description]],[1]!db[kode],0)))</f>
        <v>LEM STICK KENKO 8 GR (KECIL) isi 30 pc</v>
      </c>
      <c r="P9" s="271" t="s">
        <v>152</v>
      </c>
      <c r="Q9" s="274">
        <v>66000</v>
      </c>
      <c r="R9" s="275">
        <v>0.13500000000000001</v>
      </c>
      <c r="S9" s="275"/>
      <c r="T9" s="274">
        <f>Table1[[#This Row],[h_hargasetelahdiskon]]</f>
        <v>4110480</v>
      </c>
      <c r="V9" s="271"/>
      <c r="W9" s="278">
        <f ca="1">IF(Table1[[#This Row],[Item Description]]="","",IF(Table1[[#This Row],[//]]="",INDIRECT(ADDRESS(ROW()-1,COLUMN())),Table1[[#This Row],[//]]))</f>
        <v>6</v>
      </c>
      <c r="X9" s="278">
        <f ca="1">IF(Table1[[#This Row],[h_id]]="","",COUNTIF(Table1[h_id],Table1[[#This Row],[h_id]]))</f>
        <v>4</v>
      </c>
      <c r="Y9" s="274">
        <f>IF(Table1[Item Description]="","",Table1[[#This Row],[Qty]]*Table1[[#This Row],[Unit Price]])</f>
        <v>4752000</v>
      </c>
      <c r="Z9" s="274">
        <f>IF(Table1[[#This Row],[h_hargasebelumdiskon]]="","",IF(Table1[[#This Row],[Disc 1]]="",0,Table1[[#This Row],[h_hargasebelumdiskon]]*Table1[[#This Row],[Disc 1]]))</f>
        <v>641520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641520</v>
      </c>
      <c r="AC9" s="274">
        <f>IF(Table1[Item Description]="","",Table1[[#This Row],[h_hargasebelumdiskon]]-Table1[[#This Row],[h_diskon]])</f>
        <v>4110480</v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>LEM STICK KENKO 8 GR (KECIL) isi 30 pcBOX66000</v>
      </c>
      <c r="AG9"/>
      <c r="AH9"/>
      <c r="AI9"/>
    </row>
    <row r="10" spans="1:35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E10" s="273"/>
      <c r="F10" s="271"/>
      <c r="G10" s="278" t="str">
        <f ca="1">IF(Table1[[#This Row],[h_No. Invoice :]]="","",CONCATENATE("AM"," ",Table1[[#This Row],[h_No. Invoice :]]))</f>
        <v/>
      </c>
      <c r="H10" s="271" t="str">
        <f>IF(Table1[[#This Row],[Column5]]="","",INDEX(Table2[Column1],MATCH(Table1[[#This Row],[Column5]],Table2[a],0)))</f>
        <v/>
      </c>
      <c r="I10" s="279" t="str">
        <f>IF(Table1[[#This Row],[Column3]]=0,"",CONCATENATE(UPPER(Table1[[#This Row],[Column3]])," ",Table1[[#This Row],[Column4]]))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/>
      <c r="L10" s="271"/>
      <c r="O10" s="278" t="str">
        <f>IF(Table1[[#This Row],[h_Item Description]]="","",INDEX([1]!db[NB PAJAK],MATCH(Table1[[#This Row],[h_Item Description]],[1]!db[kode],0)))</f>
        <v/>
      </c>
      <c r="Q10" s="274"/>
      <c r="R10" s="275"/>
      <c r="S10" s="275"/>
      <c r="T10" s="274" t="str">
        <f>Table1[[#This Row],[h_hargasetelahdiskon]]</f>
        <v/>
      </c>
      <c r="V10" s="271"/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F10" s="274" t="str">
        <f>Table1[[#This Row],[Item Description]]&amp;Table1[[#This Row],[Unit]]&amp;Table1[[#This Row],[Unit Price]]</f>
        <v/>
      </c>
      <c r="AG10"/>
      <c r="AH10"/>
      <c r="AI10"/>
    </row>
    <row r="11" spans="1:35" x14ac:dyDescent="0.25">
      <c r="A11" s="278">
        <f ca="1">IF(Table1[[#This Row],[No. Invoice :]]="","",ROW())</f>
        <v>11</v>
      </c>
      <c r="B11" s="278">
        <f ca="1">IF(Table1[Column3]="","",B$1+COUNT(INDIRECT("B$2:B"&amp;ROW()-1)))</f>
        <v>23110003</v>
      </c>
      <c r="C11" s="272">
        <f>IF(Table1[[#This Row],[Column2]]="","",Table1[[#This Row],[Column2]]+C$1-1)</f>
        <v>45232</v>
      </c>
      <c r="D11" s="282">
        <v>2</v>
      </c>
      <c r="E11" s="273" t="s">
        <v>153</v>
      </c>
      <c r="F11" s="271" t="s">
        <v>142</v>
      </c>
      <c r="G11" s="278" t="str">
        <f ca="1">IF(Table1[[#This Row],[h_No. Invoice :]]="","",CONCATENATE("AM"," ",Table1[[#This Row],[h_No. Invoice :]]))</f>
        <v>AM 23110003</v>
      </c>
      <c r="H11" s="271" t="str">
        <f>IF(Table1[[#This Row],[Column5]]="","",INDEX(Table2[Column1],MATCH(Table1[[#This Row],[Column5]],Table2[a],0)))</f>
        <v>KO</v>
      </c>
      <c r="I11" s="279" t="str">
        <f>IF(Table1[[#This Row],[Column3]]=0,"",CONCATENATE(UPPER(Table1[[#This Row],[Column3]])," ",Table1[[#This Row],[Column4]]))</f>
        <v>KO 4686</v>
      </c>
      <c r="J11" s="278" t="str">
        <f>IF(Table1[[#This Row],[Column5]]="","",INDEX(Table2[e],IF(Table1[[#This Row],[Column5]]="","",MATCH(Table1[[#This Row],[Column5]],Table2[a],0)),))</f>
        <v>CV PELITA JAYA (ANUGERAH SEJAHTERA) PURWOKERTO</v>
      </c>
      <c r="K11" s="271">
        <v>480</v>
      </c>
      <c r="L11" s="271" t="s">
        <v>154</v>
      </c>
      <c r="M11" s="271">
        <v>1</v>
      </c>
      <c r="N11" s="271" t="s">
        <v>155</v>
      </c>
      <c r="O11" s="278" t="str">
        <f>IF(Table1[[#This Row],[h_Item Description]]="","",INDEX([1]!db[NB PAJAK],MATCH(Table1[[#This Row],[h_Item Description]],[1]!db[kode],0)))</f>
        <v>HIGHLIGHTER / STABILO KENKO HL-100 KUNING</v>
      </c>
      <c r="P11" s="271" t="s">
        <v>156</v>
      </c>
      <c r="Q11" s="274">
        <v>3050</v>
      </c>
      <c r="R11" s="275">
        <v>0.13500000000000001</v>
      </c>
      <c r="S11" s="275"/>
      <c r="T11" s="274">
        <f>Table1[[#This Row],[h_hargasetelahdiskon]]</f>
        <v>1266360</v>
      </c>
      <c r="U11" s="274" t="s">
        <v>130</v>
      </c>
      <c r="V11" s="271"/>
      <c r="W11" s="278">
        <f ca="1">IF(Table1[[#This Row],[Item Description]]="","",IF(Table1[[#This Row],[//]]="",INDIRECT(ADDRESS(ROW()-1,COLUMN())),Table1[[#This Row],[//]]))</f>
        <v>11</v>
      </c>
      <c r="X11" s="278">
        <f ca="1">IF(Table1[[#This Row],[h_id]]="","",COUNTIF(Table1[h_id],Table1[[#This Row],[h_id]]))</f>
        <v>1</v>
      </c>
      <c r="Y11" s="274">
        <f>IF(Table1[Item Description]="","",Table1[[#This Row],[Qty]]*Table1[[#This Row],[Unit Price]])</f>
        <v>1464000</v>
      </c>
      <c r="Z11" s="274">
        <f>IF(Table1[[#This Row],[h_hargasebelumdiskon]]="","",IF(Table1[[#This Row],[Disc 1]]="",0,Table1[[#This Row],[h_hargasebelumdiskon]]*Table1[[#This Row],[Disc 1]]))</f>
        <v>197640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197640</v>
      </c>
      <c r="AC11" s="274">
        <f>IF(Table1[Item Description]="","",Table1[[#This Row],[h_hargasebelumdiskon]]-Table1[[#This Row],[h_diskon]])</f>
        <v>1266360</v>
      </c>
      <c r="AD11" s="274">
        <f ca="1">IF(Table1[//]="","",SUMIF(Table1[h_id],Table1[h_id],Table1[h_hargasetelahdiskon]))</f>
        <v>1266360</v>
      </c>
      <c r="AF11" s="274" t="str">
        <f>Table1[[#This Row],[Item Description]]&amp;Table1[[#This Row],[Unit]]&amp;Table1[[#This Row],[Unit Price]]</f>
        <v>HIGHLIGHTER / STABILO KENKO HL-100 MIX (BR/ KN/ OR)PCS3050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23110004</v>
      </c>
      <c r="C13" s="272">
        <f>IF(Table1[[#This Row],[Column2]]="","",Table1[[#This Row],[Column2]]+C$1-1)</f>
        <v>45234</v>
      </c>
      <c r="D13" s="282">
        <v>4</v>
      </c>
      <c r="E13" s="273" t="s">
        <v>162</v>
      </c>
      <c r="F13" s="271" t="s">
        <v>90</v>
      </c>
      <c r="G13" s="278" t="str">
        <f ca="1">IF(Table1[[#This Row],[h_No. Invoice :]]="","",CONCATENATE("AM"," ",Table1[[#This Row],[h_No. Invoice :]]))</f>
        <v>AM 23110004</v>
      </c>
      <c r="H13" s="271" t="str">
        <f>IF(Table1[[#This Row],[Column5]]="","",INDEX(Table2[Column1],MATCH(Table1[[#This Row],[Column5]],Table2[a],0)))</f>
        <v>G</v>
      </c>
      <c r="I13" s="279" t="str">
        <f>IF(Table1[[#This Row],[Column3]]=0,"",CONCATENATE(UPPER(Table1[[#This Row],[Column3]])," ",Table1[[#This Row],[Column4]]))</f>
        <v>G 4689</v>
      </c>
      <c r="J13" s="278" t="str">
        <f>IF(Table1[[#This Row],[Column5]]="","",INDEX(Table2[e],IF(Table1[[#This Row],[Column5]]="","",MATCH(Table1[[#This Row],[Column5]],Table2[a],0)),))</f>
        <v>LILY JULIAWATI (REJO AGUNG) JOMBANG</v>
      </c>
      <c r="K13" s="271">
        <v>1000</v>
      </c>
      <c r="L13" s="271" t="s">
        <v>154</v>
      </c>
      <c r="M13" s="271">
        <v>1</v>
      </c>
      <c r="N13" s="271" t="s">
        <v>163</v>
      </c>
      <c r="O13" s="278" t="str">
        <f>IF(Table1[[#This Row],[h_Item Description]]="","",INDEX([1]!db[NB PAJAK],MATCH(Table1[[#This Row],[h_Item Description]],[1]!db[kode],0)))</f>
        <v>LABEL HARGA JOYKO LB-2RL (1 LINE PUTIH)</v>
      </c>
      <c r="P13" s="271" t="s">
        <v>164</v>
      </c>
      <c r="Q13" s="274">
        <v>2050</v>
      </c>
      <c r="R13" s="275">
        <v>0.125</v>
      </c>
      <c r="S13" s="275"/>
      <c r="T13" s="274">
        <f>Table1[[#This Row],[h_hargasetelahdiskon]]</f>
        <v>1793750</v>
      </c>
      <c r="U13" s="274" t="s">
        <v>130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1</v>
      </c>
      <c r="Y13" s="274">
        <f>IF(Table1[Item Description]="","",Table1[[#This Row],[Qty]]*Table1[[#This Row],[Unit Price]])</f>
        <v>2050000</v>
      </c>
      <c r="Z13" s="274">
        <f>IF(Table1[[#This Row],[h_hargasebelumdiskon]]="","",IF(Table1[[#This Row],[Disc 1]]="",0,Table1[[#This Row],[h_hargasebelumdiskon]]*Table1[[#This Row],[Disc 1]]))</f>
        <v>256250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256250</v>
      </c>
      <c r="AC13" s="274">
        <f>IF(Table1[Item Description]="","",Table1[[#This Row],[h_hargasebelumdiskon]]-Table1[[#This Row],[h_diskon]])</f>
        <v>1793750</v>
      </c>
      <c r="AD13" s="274">
        <f ca="1">IF(Table1[//]="","",SUMIF(Table1[h_id],Table1[h_id],Table1[h_hargasetelahdiskon]))</f>
        <v>1793750</v>
      </c>
      <c r="AF13" s="274" t="str">
        <f>Table1[[#This Row],[Item Description]]&amp;Table1[[#This Row],[Unit]]&amp;Table1[[#This Row],[Unit Price]]</f>
        <v>LABEL HARGA JOYKO LB-2RL (1 LINE PUTIH)PCS2050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/>
      <c r="L14" s="271"/>
      <c r="O14" s="278" t="str">
        <f>IF(Table1[[#This Row],[h_Item Description]]="","",INDEX([1]!db[NB PAJAK],MATCH(Table1[[#This Row],[h_Item Description]],[1]!db[kode],0)))</f>
        <v/>
      </c>
      <c r="Q14" s="274"/>
      <c r="R14" s="275"/>
      <c r="S14" s="275"/>
      <c r="T14" s="274" t="str">
        <f>Table1[[#This Row],[h_hargasetelahdiskon]]</f>
        <v/>
      </c>
      <c r="V14" s="271"/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/>
      </c>
      <c r="AG14"/>
      <c r="AH14"/>
      <c r="AI14"/>
    </row>
    <row r="15" spans="1:35" x14ac:dyDescent="0.25">
      <c r="A15" s="278">
        <f ca="1">IF(Table1[[#This Row],[No. Invoice :]]="","",ROW())</f>
        <v>15</v>
      </c>
      <c r="B15" s="278">
        <f ca="1">IF(Table1[Column3]="","",B$1+COUNT(INDIRECT("B$2:B"&amp;ROW()-1)))</f>
        <v>23110005</v>
      </c>
      <c r="C15" s="272">
        <f>IF(Table1[[#This Row],[Column2]]="","",Table1[[#This Row],[Column2]]+C$1-1)</f>
        <v>45236</v>
      </c>
      <c r="D15" s="282">
        <v>6</v>
      </c>
      <c r="E15" s="273" t="s">
        <v>165</v>
      </c>
      <c r="F15" s="271" t="s">
        <v>77</v>
      </c>
      <c r="G15" s="278" t="str">
        <f ca="1">IF(Table1[[#This Row],[h_No. Invoice :]]="","",CONCATENATE("AM"," ",Table1[[#This Row],[h_No. Invoice :]]))</f>
        <v>AM 23110005</v>
      </c>
      <c r="H15" s="271" t="str">
        <f>IF(Table1[[#This Row],[Column5]]="","",INDEX(Table2[Column1],MATCH(Table1[[#This Row],[Column5]],Table2[a],0)))</f>
        <v>KO</v>
      </c>
      <c r="I15" s="279" t="str">
        <f>IF(Table1[[#This Row],[Column3]]=0,"",CONCATENATE(UPPER(Table1[[#This Row],[Column3]])," ",Table1[[#This Row],[Column4]]))</f>
        <v>KO 4693</v>
      </c>
      <c r="J15" s="278" t="str">
        <f>IF(Table1[[#This Row],[Column5]]="","",INDEX(Table2[e],IF(Table1[[#This Row],[Column5]]="","",MATCH(Table1[[#This Row],[Column5]],Table2[a],0)),))</f>
        <v>CV GANESHA WONOSOBO</v>
      </c>
      <c r="K15" s="271">
        <v>20</v>
      </c>
      <c r="L15" s="271" t="s">
        <v>166</v>
      </c>
      <c r="N15" s="271" t="s">
        <v>167</v>
      </c>
      <c r="O15" s="278" t="str">
        <f>IF(Table1[[#This Row],[h_Item Description]]="","",INDEX([1]!db[NB PAJAK],MATCH(Table1[[#This Row],[h_Item Description]],[1]!db[kode],0)))</f>
        <v>BINDER CLIP KENKO NO. 107</v>
      </c>
      <c r="P15" s="271" t="s">
        <v>170</v>
      </c>
      <c r="Q15" s="274">
        <v>31800</v>
      </c>
      <c r="R15" s="275">
        <v>0.1</v>
      </c>
      <c r="S15" s="275"/>
      <c r="T15" s="274">
        <f>Table1[[#This Row],[h_hargasetelahdiskon]]</f>
        <v>572400</v>
      </c>
      <c r="U15" s="274" t="s">
        <v>130</v>
      </c>
      <c r="V15" s="271"/>
      <c r="W15" s="278">
        <f ca="1">IF(Table1[[#This Row],[Item Description]]="","",IF(Table1[[#This Row],[//]]="",INDIRECT(ADDRESS(ROW()-1,COLUMN())),Table1[[#This Row],[//]]))</f>
        <v>15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636000</v>
      </c>
      <c r="Z15" s="274">
        <f>IF(Table1[[#This Row],[h_hargasebelumdiskon]]="","",IF(Table1[[#This Row],[Disc 1]]="",0,Table1[[#This Row],[h_hargasebelumdiskon]]*Table1[[#This Row],[Disc 1]]))</f>
        <v>63600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63600</v>
      </c>
      <c r="AC15" s="274">
        <f>IF(Table1[Item Description]="","",Table1[[#This Row],[h_hargasebelumdiskon]]-Table1[[#This Row],[h_diskon]])</f>
        <v>572400</v>
      </c>
      <c r="AD15" s="274">
        <f ca="1">IF(Table1[//]="","",SUMIF(Table1[h_id],Table1[h_id],Table1[h_hargasetelahdiskon]))</f>
        <v>886680</v>
      </c>
      <c r="AF15" s="274" t="str">
        <f>Table1[[#This Row],[Item Description]]&amp;Table1[[#This Row],[Unit]]&amp;Table1[[#This Row],[Unit Price]]</f>
        <v>BINDER CLIP KENKO NO. 107GRS31800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1</v>
      </c>
      <c r="L16" s="271" t="s">
        <v>166</v>
      </c>
      <c r="N16" s="271" t="s">
        <v>168</v>
      </c>
      <c r="O16" s="278" t="str">
        <f>IF(Table1[[#This Row],[h_Item Description]]="","",INDEX([1]!db[NB PAJAK],MATCH(Table1[[#This Row],[h_Item Description]],[1]!db[kode],0)))</f>
        <v>BINDER CLIP KENKO NO. 111</v>
      </c>
      <c r="P16" s="271" t="s">
        <v>171</v>
      </c>
      <c r="Q16" s="274">
        <v>49200</v>
      </c>
      <c r="R16" s="275">
        <v>0.1</v>
      </c>
      <c r="S16" s="275"/>
      <c r="T16" s="274">
        <f>Table1[[#This Row],[h_hargasetelahdiskon]]</f>
        <v>44280</v>
      </c>
      <c r="V16" s="271"/>
      <c r="W16" s="278">
        <f ca="1">IF(Table1[[#This Row],[Item Description]]="","",IF(Table1[[#This Row],[//]]="",INDIRECT(ADDRESS(ROW()-1,COLUMN())),Table1[[#This Row],[//]]))</f>
        <v>15</v>
      </c>
      <c r="X16" s="278">
        <f ca="1">IF(Table1[[#This Row],[h_id]]="","",COUNTIF(Table1[h_id],Table1[[#This Row],[h_id]]))</f>
        <v>3</v>
      </c>
      <c r="Y16" s="274">
        <f>IF(Table1[Item Description]="","",Table1[[#This Row],[Qty]]*Table1[[#This Row],[Unit Price]])</f>
        <v>49200</v>
      </c>
      <c r="Z16" s="274">
        <f>IF(Table1[[#This Row],[h_hargasebelumdiskon]]="","",IF(Table1[[#This Row],[Disc 1]]="",0,Table1[[#This Row],[h_hargasebelumdiskon]]*Table1[[#This Row],[Disc 1]]))</f>
        <v>4920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4920</v>
      </c>
      <c r="AC16" s="274">
        <f>IF(Table1[Item Description]="","",Table1[[#This Row],[h_hargasebelumdiskon]]-Table1[[#This Row],[h_diskon]])</f>
        <v>44280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BINDER CLIP KENKO NO. 111GRS49200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5</v>
      </c>
      <c r="L17" s="271" t="s">
        <v>143</v>
      </c>
      <c r="N17" s="271" t="s">
        <v>169</v>
      </c>
      <c r="O17" s="278" t="str">
        <f>IF(Table1[[#This Row],[h_Item Description]]="","",INDEX([1]!db[NB PAJAK],MATCH(Table1[[#This Row],[h_Item Description]],[1]!db[kode],0)))</f>
        <v>CORRECTION TAPE KENKO CT-902 (12M x 5MM)</v>
      </c>
      <c r="P17" s="271" t="s">
        <v>172</v>
      </c>
      <c r="Q17" s="274">
        <v>60000</v>
      </c>
      <c r="R17" s="275">
        <v>0.1</v>
      </c>
      <c r="S17" s="275"/>
      <c r="T17" s="274">
        <f>Table1[[#This Row],[h_hargasetelahdiskon]]</f>
        <v>270000</v>
      </c>
      <c r="V17" s="271"/>
      <c r="W17" s="278">
        <f ca="1">IF(Table1[[#This Row],[Item Description]]="","",IF(Table1[[#This Row],[//]]="",INDIRECT(ADDRESS(ROW()-1,COLUMN())),Table1[[#This Row],[//]]))</f>
        <v>15</v>
      </c>
      <c r="X17" s="278">
        <f ca="1">IF(Table1[[#This Row],[h_id]]="","",COUNTIF(Table1[h_id],Table1[[#This Row],[h_id]]))</f>
        <v>3</v>
      </c>
      <c r="Y17" s="274">
        <f>IF(Table1[Item Description]="","",Table1[[#This Row],[Qty]]*Table1[[#This Row],[Unit Price]])</f>
        <v>300000</v>
      </c>
      <c r="Z17" s="274">
        <f>IF(Table1[[#This Row],[h_hargasebelumdiskon]]="","",IF(Table1[[#This Row],[Disc 1]]="",0,Table1[[#This Row],[h_hargasebelumdiskon]]*Table1[[#This Row],[Disc 1]]))</f>
        <v>30000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30000</v>
      </c>
      <c r="AC17" s="274">
        <f>IF(Table1[Item Description]="","",Table1[[#This Row],[h_hargasebelumdiskon]]-Table1[[#This Row],[h_diskon]])</f>
        <v>270000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CORRECTION TAPE KENKO CT-902 (12M x 5MM)LSN60000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/>
      <c r="L18" s="271"/>
      <c r="O18" s="278" t="str">
        <f>IF(Table1[[#This Row],[h_Item Description]]="","",INDEX([1]!db[NB PAJAK],MATCH(Table1[[#This Row],[h_Item Description]],[1]!db[kode],0)))</f>
        <v/>
      </c>
      <c r="Q18" s="274"/>
      <c r="R18" s="275"/>
      <c r="S18" s="275"/>
      <c r="T18" s="274" t="str">
        <f>Table1[[#This Row],[h_hargasetelahdiskon]]</f>
        <v/>
      </c>
      <c r="V18" s="271"/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/>
      </c>
      <c r="AG18"/>
      <c r="AH18"/>
      <c r="AI18"/>
    </row>
    <row r="19" spans="1:35" x14ac:dyDescent="0.25">
      <c r="A19" s="278">
        <f ca="1">IF(Table1[[#This Row],[No. Invoice :]]="","",ROW())</f>
        <v>19</v>
      </c>
      <c r="B19" s="278">
        <f ca="1">IF(Table1[Column3]="","",B$1+COUNT(INDIRECT("B$2:B"&amp;ROW()-1)))</f>
        <v>23110006</v>
      </c>
      <c r="C19" s="272">
        <f>IF(Table1[[#This Row],[Column2]]="","",Table1[[#This Row],[Column2]]+C$1-1)</f>
        <v>45236</v>
      </c>
      <c r="D19" s="282">
        <v>6</v>
      </c>
      <c r="E19" s="273" t="s">
        <v>173</v>
      </c>
      <c r="F19" s="271" t="s">
        <v>39</v>
      </c>
      <c r="G19" s="278" t="str">
        <f ca="1">IF(Table1[[#This Row],[h_No. Invoice :]]="","",CONCATENATE("AM"," ",Table1[[#This Row],[h_No. Invoice :]]))</f>
        <v>AM 23110006</v>
      </c>
      <c r="H19" s="271" t="str">
        <f>IF(Table1[[#This Row],[Column5]]="","",INDEX(Table2[Column1],MATCH(Table1[[#This Row],[Column5]],Table2[a],0)))</f>
        <v>KO</v>
      </c>
      <c r="I19" s="279" t="str">
        <f>IF(Table1[[#This Row],[Column3]]=0,"",CONCATENATE(UPPER(Table1[[#This Row],[Column3]])," ",Table1[[#This Row],[Column4]]))</f>
        <v>KO 4694</v>
      </c>
      <c r="J19" s="278" t="str">
        <f>IF(Table1[[#This Row],[Column5]]="","",INDEX(Table2[e],IF(Table1[[#This Row],[Column5]]="","",MATCH(Table1[[#This Row],[Column5]],Table2[a],0)),))</f>
        <v>CV TRINITY CENTRAAL PURWOKERTO</v>
      </c>
      <c r="K19" s="271">
        <v>40</v>
      </c>
      <c r="L19" s="271" t="s">
        <v>136</v>
      </c>
      <c r="N19" s="271" t="s">
        <v>174</v>
      </c>
      <c r="O19" s="278" t="str">
        <f>IF(Table1[[#This Row],[h_Item Description]]="","",INDEX([1]!db[NB PAJAK],MATCH(Table1[[#This Row],[h_Item Description]],[1]!db[kode],0)))</f>
        <v>KARTU STOCK KWARTO</v>
      </c>
      <c r="P19" s="271" t="s">
        <v>175</v>
      </c>
      <c r="Q19" s="274">
        <v>19000</v>
      </c>
      <c r="R19" s="275"/>
      <c r="S19" s="275"/>
      <c r="T19" s="274">
        <f>Table1[[#This Row],[h_hargasetelahdiskon]]</f>
        <v>760000</v>
      </c>
      <c r="U19" s="274" t="s">
        <v>130</v>
      </c>
      <c r="V19" s="271"/>
      <c r="W19" s="278">
        <f ca="1">IF(Table1[[#This Row],[Item Description]]="","",IF(Table1[[#This Row],[//]]="",INDIRECT(ADDRESS(ROW()-1,COLUMN())),Table1[[#This Row],[//]]))</f>
        <v>19</v>
      </c>
      <c r="X19" s="278">
        <f ca="1">IF(Table1[[#This Row],[h_id]]="","",COUNTIF(Table1[h_id],Table1[[#This Row],[h_id]]))</f>
        <v>1</v>
      </c>
      <c r="Y19" s="274">
        <f>IF(Table1[Item Description]="","",Table1[[#This Row],[Qty]]*Table1[[#This Row],[Unit Price]])</f>
        <v>760000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760000</v>
      </c>
      <c r="AD19" s="274">
        <f ca="1">IF(Table1[//]="","",SUMIF(Table1[h_id],Table1[h_id],Table1[h_hargasetelahdiskon]))</f>
        <v>760000</v>
      </c>
      <c r="AF19" s="274" t="str">
        <f>Table1[[#This Row],[Item Description]]&amp;Table1[[#This Row],[Unit]]&amp;Table1[[#This Row],[Unit Price]]</f>
        <v>KARTU STOCK KWARTO (HIJAU, MERAH, KUNING, BIRU)PAK19000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>
        <f ca="1">IF(Table1[[#This Row],[No. Invoice :]]="","",ROW())</f>
        <v>21</v>
      </c>
      <c r="B21" s="278">
        <f ca="1">IF(Table1[Column3]="","",B$1+COUNT(INDIRECT("B$2:B"&amp;ROW()-1)))</f>
        <v>23110007</v>
      </c>
      <c r="C21" s="272">
        <f>IF(Table1[[#This Row],[Column2]]="","",Table1[[#This Row],[Column2]]+C$1-1)</f>
        <v>45236</v>
      </c>
      <c r="D21" s="282">
        <v>6</v>
      </c>
      <c r="E21" s="273" t="s">
        <v>176</v>
      </c>
      <c r="F21" s="271" t="s">
        <v>142</v>
      </c>
      <c r="G21" s="278" t="str">
        <f ca="1">IF(Table1[[#This Row],[h_No. Invoice :]]="","",CONCATENATE("AM"," ",Table1[[#This Row],[h_No. Invoice :]]))</f>
        <v>AM 23110007</v>
      </c>
      <c r="H21" s="271" t="str">
        <f>IF(Table1[[#This Row],[Column5]]="","",INDEX(Table2[Column1],MATCH(Table1[[#This Row],[Column5]],Table2[a],0)))</f>
        <v>KO</v>
      </c>
      <c r="I21" s="279" t="str">
        <f>IF(Table1[[#This Row],[Column3]]=0,"",CONCATENATE(UPPER(Table1[[#This Row],[Column3]])," ",Table1[[#This Row],[Column4]]))</f>
        <v>KO 4758</v>
      </c>
      <c r="J21" s="278" t="str">
        <f>IF(Table1[[#This Row],[Column5]]="","",INDEX(Table2[e],IF(Table1[[#This Row],[Column5]]="","",MATCH(Table1[[#This Row],[Column5]],Table2[a],0)),))</f>
        <v>CV PELITA JAYA (ANUGERAH SEJAHTERA) PURWOKERTO</v>
      </c>
      <c r="K21" s="271">
        <v>432</v>
      </c>
      <c r="L21" s="271" t="s">
        <v>143</v>
      </c>
      <c r="M21" s="271">
        <v>3</v>
      </c>
      <c r="N21" s="271" t="s">
        <v>177</v>
      </c>
      <c r="O21" s="278" t="str">
        <f>IF(Table1[[#This Row],[h_Item Description]]="","",INDEX([1]!db[NB PAJAK],MATCH(Table1[[#This Row],[h_Item Description]],[1]!db[kode],0)))</f>
        <v>GEL PEN KENKO HI-TECH-H 0.28 MM HITAM</v>
      </c>
      <c r="P21" s="271" t="s">
        <v>180</v>
      </c>
      <c r="Q21" s="274">
        <v>39000</v>
      </c>
      <c r="R21" s="275">
        <v>0.13500000000000001</v>
      </c>
      <c r="S21" s="275"/>
      <c r="T21" s="274">
        <f>Table1[[#This Row],[h_hargasetelahdiskon]]</f>
        <v>14573520</v>
      </c>
      <c r="U21" s="274" t="s">
        <v>130</v>
      </c>
      <c r="V21" s="271"/>
      <c r="W21" s="278">
        <f ca="1">IF(Table1[[#This Row],[Item Description]]="","",IF(Table1[[#This Row],[//]]="",INDIRECT(ADDRESS(ROW()-1,COLUMN())),Table1[[#This Row],[//]]))</f>
        <v>21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16848000</v>
      </c>
      <c r="Z21" s="274">
        <f>IF(Table1[[#This Row],[h_hargasebelumdiskon]]="","",IF(Table1[[#This Row],[Disc 1]]="",0,Table1[[#This Row],[h_hargasebelumdiskon]]*Table1[[#This Row],[Disc 1]]))</f>
        <v>2274480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2274480</v>
      </c>
      <c r="AC21" s="274">
        <f>IF(Table1[Item Description]="","",Table1[[#This Row],[h_hargasebelumdiskon]]-Table1[[#This Row],[h_diskon]])</f>
        <v>14573520</v>
      </c>
      <c r="AD21" s="274">
        <f ca="1">IF(Table1[//]="","",SUMIF(Table1[h_id],Table1[h_id],Table1[h_hargasetelahdiskon]))</f>
        <v>17117831</v>
      </c>
      <c r="AF21" s="274" t="str">
        <f>Table1[[#This Row],[Item Description]]&amp;Table1[[#This Row],[Unit]]&amp;Table1[[#This Row],[Unit Price]]</f>
        <v>GEL PEN KENKO HI-TECH-H 0.28 MM HITAMLSN39000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50</v>
      </c>
      <c r="L22" s="271" t="s">
        <v>147</v>
      </c>
      <c r="M22" s="271">
        <v>1</v>
      </c>
      <c r="N22" s="271" t="s">
        <v>178</v>
      </c>
      <c r="O22" s="278" t="str">
        <f>IF(Table1[[#This Row],[h_Item Description]]="","",INDEX([1]!db[NB PAJAK],MATCH(Table1[[#This Row],[h_Item Description]],[1]!db[kode],0)))</f>
        <v>STIP / PENGHAPUS JOYKO 526-B40BL HITAM</v>
      </c>
      <c r="P22" s="271" t="s">
        <v>181</v>
      </c>
      <c r="Q22" s="274">
        <v>28300</v>
      </c>
      <c r="R22" s="275">
        <v>0.13500000000000001</v>
      </c>
      <c r="S22" s="275"/>
      <c r="T22" s="274">
        <f>Table1[[#This Row],[h_hargasetelahdiskon]]</f>
        <v>1223975</v>
      </c>
      <c r="V22" s="271"/>
      <c r="W22" s="278">
        <f ca="1">IF(Table1[[#This Row],[Item Description]]="","",IF(Table1[[#This Row],[//]]="",INDIRECT(ADDRESS(ROW()-1,COLUMN())),Table1[[#This Row],[//]]))</f>
        <v>21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1415000</v>
      </c>
      <c r="Z22" s="274">
        <f>IF(Table1[[#This Row],[h_hargasebelumdiskon]]="","",IF(Table1[[#This Row],[Disc 1]]="",0,Table1[[#This Row],[h_hargasebelumdiskon]]*Table1[[#This Row],[Disc 1]]))</f>
        <v>191025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191025</v>
      </c>
      <c r="AC22" s="274">
        <f>IF(Table1[Item Description]="","",Table1[[#This Row],[h_hargasebelumdiskon]]-Table1[[#This Row],[h_diskon]])</f>
        <v>1223975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STIP / PENGHAPUS JOYKO 526-B40BL HITAMBOX28300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144</v>
      </c>
      <c r="L23" s="271" t="s">
        <v>143</v>
      </c>
      <c r="M23" s="271">
        <v>1</v>
      </c>
      <c r="N23" s="271" t="s">
        <v>179</v>
      </c>
      <c r="O23" s="278" t="str">
        <f>IF(Table1[[#This Row],[h_Item Description]]="","",INDEX([1]!db[NB PAJAK],MATCH(Table1[[#This Row],[h_Item Description]],[1]!db[kode],0)))</f>
        <v>PENSIL WARNA JOYKO CP-12PB (PANJANG)</v>
      </c>
      <c r="P23" s="271" t="s">
        <v>182</v>
      </c>
      <c r="Q23" s="274">
        <v>10600</v>
      </c>
      <c r="R23" s="275">
        <v>0.13500000000000001</v>
      </c>
      <c r="S23" s="275"/>
      <c r="T23" s="274">
        <f>Table1[[#This Row],[h_hargasetelahdiskon]]</f>
        <v>1320336</v>
      </c>
      <c r="V23" s="271"/>
      <c r="W23" s="278">
        <f ca="1">IF(Table1[[#This Row],[Item Description]]="","",IF(Table1[[#This Row],[//]]="",INDIRECT(ADDRESS(ROW()-1,COLUMN())),Table1[[#This Row],[//]]))</f>
        <v>21</v>
      </c>
      <c r="X23" s="278">
        <f ca="1">IF(Table1[[#This Row],[h_id]]="","",COUNTIF(Table1[h_id],Table1[[#This Row],[h_id]]))</f>
        <v>3</v>
      </c>
      <c r="Y23" s="274">
        <f>IF(Table1[Item Description]="","",Table1[[#This Row],[Qty]]*Table1[[#This Row],[Unit Price]])</f>
        <v>1526400</v>
      </c>
      <c r="Z23" s="274">
        <f>IF(Table1[[#This Row],[h_hargasebelumdiskon]]="","",IF(Table1[[#This Row],[Disc 1]]="",0,Table1[[#This Row],[h_hargasebelumdiskon]]*Table1[[#This Row],[Disc 1]]))</f>
        <v>206064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206064</v>
      </c>
      <c r="AC23" s="274">
        <f>IF(Table1[Item Description]="","",Table1[[#This Row],[h_hargasebelumdiskon]]-Table1[[#This Row],[h_diskon]])</f>
        <v>1320336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PENSIL WARNA JOYKO CP-12PB (PANJANG)LSN10600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23110008</v>
      </c>
      <c r="C25" s="272">
        <f>IF(Table1[[#This Row],[Column2]]="","",Table1[[#This Row],[Column2]]+C$1-1)</f>
        <v>45236</v>
      </c>
      <c r="D25" s="282">
        <v>6</v>
      </c>
      <c r="E25" s="273" t="s">
        <v>183</v>
      </c>
      <c r="F25" s="271" t="s">
        <v>90</v>
      </c>
      <c r="G25" s="278" t="str">
        <f ca="1">IF(Table1[[#This Row],[h_No. Invoice :]]="","",CONCATENATE("AM"," ",Table1[[#This Row],[h_No. Invoice :]]))</f>
        <v>AM 23110008</v>
      </c>
      <c r="H25" s="271" t="str">
        <f>IF(Table1[[#This Row],[Column5]]="","",INDEX(Table2[Column1],MATCH(Table1[[#This Row],[Column5]],Table2[a],0)))</f>
        <v>G</v>
      </c>
      <c r="I25" s="279" t="str">
        <f>IF(Table1[[#This Row],[Column3]]=0,"",CONCATENATE(UPPER(Table1[[#This Row],[Column3]])," ",Table1[[#This Row],[Column4]]))</f>
        <v>G 4755</v>
      </c>
      <c r="J25" s="278" t="str">
        <f>IF(Table1[[#This Row],[Column5]]="","",INDEX(Table2[e],IF(Table1[[#This Row],[Column5]]="","",MATCH(Table1[[#This Row],[Column5]],Table2[a],0)),))</f>
        <v>LILY JULIAWATI (REJO AGUNG) JOMBANG</v>
      </c>
      <c r="K25" s="271">
        <v>6</v>
      </c>
      <c r="L25" s="271" t="s">
        <v>154</v>
      </c>
      <c r="M25" s="271">
        <v>1</v>
      </c>
      <c r="N25" s="271" t="s">
        <v>184</v>
      </c>
      <c r="O25" s="278" t="str">
        <f>IF(Table1[[#This Row],[h_Item Description]]="","",INDEX([1]!db[NB PAJAK],MATCH(Table1[[#This Row],[h_Item Description]],[1]!db[kode],0)))</f>
        <v>STAPLER HEAVY DUTY JOYKO HD-12N/24</v>
      </c>
      <c r="P25" s="271" t="s">
        <v>186</v>
      </c>
      <c r="Q25" s="274">
        <v>187000</v>
      </c>
      <c r="R25" s="275">
        <v>0.125</v>
      </c>
      <c r="S25" s="275"/>
      <c r="T25" s="274">
        <f>Table1[[#This Row],[h_hargasetelahdiskon]]</f>
        <v>981750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2</v>
      </c>
      <c r="Y25" s="274">
        <f>IF(Table1[Item Description]="","",Table1[[#This Row],[Qty]]*Table1[[#This Row],[Unit Price]])</f>
        <v>1122000</v>
      </c>
      <c r="Z25" s="274">
        <f>IF(Table1[[#This Row],[h_hargasebelumdiskon]]="","",IF(Table1[[#This Row],[Disc 1]]="",0,Table1[[#This Row],[h_hargasebelumdiskon]]*Table1[[#This Row],[Disc 1]]))</f>
        <v>140250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140250</v>
      </c>
      <c r="AC25" s="274">
        <f>IF(Table1[Item Description]="","",Table1[[#This Row],[h_hargasebelumdiskon]]-Table1[[#This Row],[h_diskon]])</f>
        <v>981750</v>
      </c>
      <c r="AD25" s="274">
        <f ca="1">IF(Table1[//]="","",SUMIF(Table1[h_id],Table1[h_id],Table1[h_hargasetelahdiskon]))</f>
        <v>3564750</v>
      </c>
      <c r="AF25" s="274" t="str">
        <f>Table1[[#This Row],[Item Description]]&amp;Table1[[#This Row],[Unit]]&amp;Table1[[#This Row],[Unit Price]]</f>
        <v>STAPLER HEAVY DUTY JOYKO HD-12N/24PCS187000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20</v>
      </c>
      <c r="L26" s="271" t="s">
        <v>143</v>
      </c>
      <c r="M26" s="271">
        <v>1</v>
      </c>
      <c r="N26" s="271" t="s">
        <v>185</v>
      </c>
      <c r="O26" s="278" t="str">
        <f>IF(Table1[[#This Row],[h_Item Description]]="","",INDEX([1]!db[NB PAJAK],MATCH(Table1[[#This Row],[h_Item Description]],[1]!db[kode],0)))</f>
        <v>CUTTER 18 MM KENKO L-500 (BESAR)</v>
      </c>
      <c r="P26" s="271" t="s">
        <v>187</v>
      </c>
      <c r="Q26" s="274">
        <v>147600</v>
      </c>
      <c r="R26" s="275">
        <v>0.125</v>
      </c>
      <c r="S26" s="275"/>
      <c r="T26" s="274">
        <f>Table1[[#This Row],[h_hargasetelahdiskon]]</f>
        <v>2583000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2</v>
      </c>
      <c r="Y26" s="274">
        <f>IF(Table1[Item Description]="","",Table1[[#This Row],[Qty]]*Table1[[#This Row],[Unit Price]])</f>
        <v>2952000</v>
      </c>
      <c r="Z26" s="274">
        <f>IF(Table1[[#This Row],[h_hargasebelumdiskon]]="","",IF(Table1[[#This Row],[Disc 1]]="",0,Table1[[#This Row],[h_hargasebelumdiskon]]*Table1[[#This Row],[Disc 1]]))</f>
        <v>369000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369000</v>
      </c>
      <c r="AC26" s="274">
        <f>IF(Table1[Item Description]="","",Table1[[#This Row],[h_hargasebelumdiskon]]-Table1[[#This Row],[h_diskon]])</f>
        <v>2583000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CUTTER 18 MM KENKO L-500 (BESAR)LSN147600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23110009</v>
      </c>
      <c r="C28" s="272">
        <f>IF(Table1[[#This Row],[Column2]]="","",Table1[[#This Row],[Column2]]+C$1-1)</f>
        <v>45238</v>
      </c>
      <c r="D28" s="282">
        <v>8</v>
      </c>
      <c r="E28" s="273" t="s">
        <v>188</v>
      </c>
      <c r="F28" s="271" t="s">
        <v>90</v>
      </c>
      <c r="G28" s="278" t="str">
        <f ca="1">IF(Table1[[#This Row],[h_No. Invoice :]]="","",CONCATENATE("AM"," ",Table1[[#This Row],[h_No. Invoice :]]))</f>
        <v>AM 23110009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4763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120</v>
      </c>
      <c r="L28" s="271" t="s">
        <v>154</v>
      </c>
      <c r="M28" s="271">
        <v>1</v>
      </c>
      <c r="N28" s="271" t="s">
        <v>189</v>
      </c>
      <c r="O28" s="278" t="str">
        <f>IF(Table1[[#This Row],[h_Item Description]]="","",INDEX([1]!db[NB PAJAK],MATCH(Table1[[#This Row],[h_Item Description]],[1]!db[kode],0)))</f>
        <v>PUNCH JOYKO 30XL</v>
      </c>
      <c r="P28" s="271" t="s">
        <v>190</v>
      </c>
      <c r="Q28" s="274">
        <v>12950</v>
      </c>
      <c r="R28" s="275">
        <v>0.125</v>
      </c>
      <c r="S28" s="275"/>
      <c r="T28" s="274">
        <f>Table1[[#This Row],[h_hargasetelahdiskon]]</f>
        <v>1359750</v>
      </c>
      <c r="U28" s="274" t="s">
        <v>191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1554000</v>
      </c>
      <c r="Z28" s="274">
        <f>IF(Table1[[#This Row],[h_hargasebelumdiskon]]="","",IF(Table1[[#This Row],[Disc 1]]="",0,Table1[[#This Row],[h_hargasebelumdiskon]]*Table1[[#This Row],[Disc 1]]))</f>
        <v>194250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194250</v>
      </c>
      <c r="AC28" s="274">
        <f>IF(Table1[Item Description]="","",Table1[[#This Row],[h_hargasebelumdiskon]]-Table1[[#This Row],[h_diskon]])</f>
        <v>1359750</v>
      </c>
      <c r="AD28" s="274">
        <f ca="1">IF(Table1[//]="","",SUMIF(Table1[h_id],Table1[h_id],Table1[h_hargasetelahdiskon]))</f>
        <v>1359750</v>
      </c>
      <c r="AF28" s="274" t="str">
        <f>Table1[[#This Row],[Item Description]]&amp;Table1[[#This Row],[Unit]]&amp;Table1[[#This Row],[Unit Price]]</f>
        <v>PUNCH JOYKO 30XLPCS12950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23110010</v>
      </c>
      <c r="C30" s="272">
        <f>IF(Table1[[#This Row],[Column2]]="","",Table1[[#This Row],[Column2]]+C$1-1)</f>
        <v>45238</v>
      </c>
      <c r="D30" s="282">
        <v>8</v>
      </c>
      <c r="E30" s="273" t="s">
        <v>192</v>
      </c>
      <c r="F30" s="271" t="s">
        <v>142</v>
      </c>
      <c r="G30" s="278" t="str">
        <f ca="1">IF(Table1[[#This Row],[h_No. Invoice :]]="","",CONCATENATE("AM"," ",Table1[[#This Row],[h_No. Invoice :]]))</f>
        <v>AM 23110010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4764</v>
      </c>
      <c r="J30" s="278" t="str">
        <f>IF(Table1[[#This Row],[Column5]]="","",INDEX(Table2[e],IF(Table1[[#This Row],[Column5]]="","",MATCH(Table1[[#This Row],[Column5]],Table2[a],0)),))</f>
        <v>CV PELITA JAYA (ANUGERAH SEJAHTERA) PURWOKERTO</v>
      </c>
      <c r="K30" s="271">
        <v>144</v>
      </c>
      <c r="L30" s="271" t="s">
        <v>193</v>
      </c>
      <c r="M30" s="271">
        <v>1</v>
      </c>
      <c r="N30" s="271" t="s">
        <v>179</v>
      </c>
      <c r="O30" s="278" t="str">
        <f>IF(Table1[[#This Row],[h_Item Description]]="","",INDEX([1]!db[NB PAJAK],MATCH(Table1[[#This Row],[h_Item Description]],[1]!db[kode],0)))</f>
        <v>PENSIL WARNA JOYKO CP-12PB (PANJANG)</v>
      </c>
      <c r="P30" s="271" t="s">
        <v>182</v>
      </c>
      <c r="Q30" s="274">
        <v>10600</v>
      </c>
      <c r="R30" s="275">
        <v>0.13500000000000001</v>
      </c>
      <c r="S30" s="275"/>
      <c r="T30" s="274">
        <f>Table1[[#This Row],[h_hargasetelahdiskon]]</f>
        <v>1320336</v>
      </c>
      <c r="U30" s="274" t="s">
        <v>191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1526400</v>
      </c>
      <c r="Z30" s="274">
        <f>IF(Table1[[#This Row],[h_hargasebelumdiskon]]="","",IF(Table1[[#This Row],[Disc 1]]="",0,Table1[[#This Row],[h_hargasebelumdiskon]]*Table1[[#This Row],[Disc 1]]))</f>
        <v>206064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206064</v>
      </c>
      <c r="AC30" s="274">
        <f>IF(Table1[Item Description]="","",Table1[[#This Row],[h_hargasebelumdiskon]]-Table1[[#This Row],[h_diskon]])</f>
        <v>1320336</v>
      </c>
      <c r="AD30" s="274">
        <f ca="1">IF(Table1[//]="","",SUMIF(Table1[h_id],Table1[h_id],Table1[h_hargasetelahdiskon]))</f>
        <v>1320336</v>
      </c>
      <c r="AE30" s="274"/>
      <c r="AF30" s="274" t="str">
        <f>Table1[[#This Row],[Item Description]]&amp;Table1[[#This Row],[Unit]]&amp;Table1[[#This Row],[Unit Price]]</f>
        <v>PENSIL WARNA JOYKO CP-12PB (PANJANG)SET10600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23110011</v>
      </c>
      <c r="C32" s="272">
        <f>IF(Table1[[#This Row],[Column2]]="","",Table1[[#This Row],[Column2]]+C$1-1)</f>
        <v>45240</v>
      </c>
      <c r="D32" s="282">
        <v>10</v>
      </c>
      <c r="E32" s="273" t="s">
        <v>194</v>
      </c>
      <c r="F32" s="271" t="s">
        <v>195</v>
      </c>
      <c r="G32" s="278" t="str">
        <f ca="1">IF(Table1[[#This Row],[h_No. Invoice :]]="","",CONCATENATE("AM"," ",Table1[[#This Row],[h_No. Invoice :]]))</f>
        <v>AM 23110011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4527</v>
      </c>
      <c r="J32" s="278" t="str">
        <f>IF(Table1[[#This Row],[Column5]]="","",INDEX(Table2[e],IF(Table1[[#This Row],[Column5]]="","",MATCH(Table1[[#This Row],[Column5]],Table2[a],0)),))</f>
        <v>CV LANCAR JAYA SENTOSA MALANG</v>
      </c>
      <c r="K32" s="271">
        <v>1000</v>
      </c>
      <c r="L32" s="271" t="s">
        <v>136</v>
      </c>
      <c r="M32" s="271">
        <v>10</v>
      </c>
      <c r="N32" s="271" t="s">
        <v>196</v>
      </c>
      <c r="O32" s="278" t="str">
        <f>IF(Table1[[#This Row],[h_Item Description]]="","",INDEX([1]!db[NB PAJAK],MATCH(Table1[[#This Row],[h_Item Description]],[1]!db[kode],0)))</f>
        <v>ISI STAPLER (STAPLES) GREATWALL GW-NO. 10 (KECIL)</v>
      </c>
      <c r="P32" s="271" t="s">
        <v>197</v>
      </c>
      <c r="Q32" s="274">
        <v>13250</v>
      </c>
      <c r="R32" s="275"/>
      <c r="S32" s="275"/>
      <c r="T32" s="274">
        <f>Table1[[#This Row],[h_hargasetelahdiskon]]</f>
        <v>13250000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13250000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13250000</v>
      </c>
      <c r="AD32" s="274">
        <f ca="1">IF(Table1[//]="","",SUMIF(Table1[h_id],Table1[h_id],Table1[h_hargasetelahdiskon]))</f>
        <v>13250000</v>
      </c>
      <c r="AF32" s="274" t="str">
        <f>Table1[[#This Row],[Item Description]]&amp;Table1[[#This Row],[Unit]]&amp;Table1[[#This Row],[Unit Price]]</f>
        <v>ISI STAPLER (STAPLES) GREATWALL GW-NO. 10 (KECIL)PAK13250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23110012</v>
      </c>
      <c r="C34" s="272">
        <f>IF(Table1[[#This Row],[Column2]]="","",Table1[[#This Row],[Column2]]+C$1-1)</f>
        <v>45240</v>
      </c>
      <c r="D34" s="282">
        <v>10</v>
      </c>
      <c r="E34" s="273" t="s">
        <v>198</v>
      </c>
      <c r="F34" s="271" t="s">
        <v>84</v>
      </c>
      <c r="G34" s="278" t="str">
        <f ca="1">IF(Table1[[#This Row],[h_No. Invoice :]]="","",CONCATENATE("AM"," ",Table1[[#This Row],[h_No. Invoice :]]))</f>
        <v>AM 23110012</v>
      </c>
      <c r="H34" s="271" t="str">
        <f>IF(Table1[[#This Row],[Column5]]="","",INDEX(Table2[Column1],MATCH(Table1[[#This Row],[Column5]],Table2[a],0)))</f>
        <v>KO</v>
      </c>
      <c r="I34" s="279" t="str">
        <f>IF(Table1[[#This Row],[Column3]]=0,"",CONCATENATE(UPPER(Table1[[#This Row],[Column3]])," ",Table1[[#This Row],[Column4]]))</f>
        <v>KO 4757</v>
      </c>
      <c r="J34" s="278" t="str">
        <f>IF(Table1[[#This Row],[Column5]]="","",INDEX(Table2[e],IF(Table1[[#This Row],[Column5]]="","",MATCH(Table1[[#This Row],[Column5]],Table2[a],0)),))</f>
        <v>SANTOSO BUDIONO (  ARMADA  ) PURWOKERTO</v>
      </c>
      <c r="K34" s="271">
        <v>500</v>
      </c>
      <c r="L34" s="271" t="s">
        <v>136</v>
      </c>
      <c r="M34" s="271">
        <v>1</v>
      </c>
      <c r="N34" s="271" t="s">
        <v>199</v>
      </c>
      <c r="O34" s="278" t="str">
        <f>IF(Table1[[#This Row],[h_Item Description]]="","",INDEX([1]!db[NB PAJAK],MATCH(Table1[[#This Row],[h_Item Description]],[1]!db[kode],0)))</f>
        <v>PAPER TRIGONAL CLIP JOYKO NO. 3</v>
      </c>
      <c r="P34" s="271" t="s">
        <v>201</v>
      </c>
      <c r="Q34" s="274">
        <v>1625</v>
      </c>
      <c r="R34" s="275">
        <v>0.13</v>
      </c>
      <c r="S34" s="275"/>
      <c r="T34" s="274">
        <f>Table1[[#This Row],[h_hargasetelahdiskon]]</f>
        <v>706875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2</v>
      </c>
      <c r="Y34" s="274">
        <f>IF(Table1[Item Description]="","",Table1[[#This Row],[Qty]]*Table1[[#This Row],[Unit Price]])</f>
        <v>812500</v>
      </c>
      <c r="Z34" s="274">
        <f>IF(Table1[[#This Row],[h_hargasebelumdiskon]]="","",IF(Table1[[#This Row],[Disc 1]]="",0,Table1[[#This Row],[h_hargasebelumdiskon]]*Table1[[#This Row],[Disc 1]]))</f>
        <v>105625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105625</v>
      </c>
      <c r="AC34" s="274">
        <f>IF(Table1[Item Description]="","",Table1[[#This Row],[h_hargasebelumdiskon]]-Table1[[#This Row],[h_diskon]])</f>
        <v>706875</v>
      </c>
      <c r="AD34" s="274">
        <f ca="1">IF(Table1[//]="","",SUMIF(Table1[h_id],Table1[h_id],Table1[h_hargasetelahdiskon]))</f>
        <v>1489875</v>
      </c>
      <c r="AF34" s="274" t="str">
        <f>Table1[[#This Row],[Item Description]]&amp;Table1[[#This Row],[Unit]]&amp;Table1[[#This Row],[Unit Price]]</f>
        <v>PAPER TRIGONAL CLIP JOYKO NO. 3PAK1625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5</v>
      </c>
      <c r="L35" s="271" t="s">
        <v>166</v>
      </c>
      <c r="M35" s="271">
        <v>1</v>
      </c>
      <c r="N35" s="271" t="s">
        <v>200</v>
      </c>
      <c r="O35" s="278" t="str">
        <f>IF(Table1[[#This Row],[h_Item Description]]="","",INDEX([1]!db[NB PAJAK],MATCH(Table1[[#This Row],[h_Item Description]],[1]!db[kode],0)))</f>
        <v>BINDER CLIP KENKO NO. 260</v>
      </c>
      <c r="P35" s="271" t="s">
        <v>202</v>
      </c>
      <c r="Q35" s="274">
        <v>180000</v>
      </c>
      <c r="R35" s="275">
        <v>0.13</v>
      </c>
      <c r="S35" s="275"/>
      <c r="T35" s="274">
        <f>Table1[[#This Row],[h_hargasetelahdiskon]]</f>
        <v>783000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2</v>
      </c>
      <c r="Y35" s="274">
        <f>IF(Table1[Item Description]="","",Table1[[#This Row],[Qty]]*Table1[[#This Row],[Unit Price]])</f>
        <v>900000</v>
      </c>
      <c r="Z35" s="274">
        <f>IF(Table1[[#This Row],[h_hargasebelumdiskon]]="","",IF(Table1[[#This Row],[Disc 1]]="",0,Table1[[#This Row],[h_hargasebelumdiskon]]*Table1[[#This Row],[Disc 1]]))</f>
        <v>117000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117000</v>
      </c>
      <c r="AC35" s="274">
        <f>IF(Table1[Item Description]="","",Table1[[#This Row],[h_hargasebelumdiskon]]-Table1[[#This Row],[h_diskon]])</f>
        <v>783000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260GRS180000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/>
      <c r="L37" s="271"/>
      <c r="O37" s="278" t="str">
        <f>IF(Table1[[#This Row],[h_Item Description]]="","",INDEX([1]!db[NB PAJAK],MATCH(Table1[[#This Row],[h_Item Description]],[1]!db[kode],0)))</f>
        <v/>
      </c>
      <c r="Q37" s="274"/>
      <c r="R37" s="275"/>
      <c r="S37" s="275"/>
      <c r="T37" s="274" t="str">
        <f>Table1[[#This Row],[h_hargasetelahdiskon]]</f>
        <v/>
      </c>
      <c r="V37" s="271"/>
      <c r="W37" s="278" t="str">
        <f ca="1">IF(Table1[[#This Row],[Item Description]]="","",IF(Table1[[#This Row],[//]]="",INDIRECT(ADDRESS(ROW()-1,COLUMN())),Table1[[#This Row],[//]]))</f>
        <v/>
      </c>
      <c r="X37" s="278" t="str">
        <f ca="1">IF(Table1[[#This Row],[h_id]]="","",COUNTIF(Table1[h_id],Table1[[#This Row],[h_id]]))</f>
        <v/>
      </c>
      <c r="Y37" s="274" t="str">
        <f>IF(Table1[Item Description]="","",Table1[[#This Row],[Qty]]*Table1[[#This Row],[Unit Price]])</f>
        <v/>
      </c>
      <c r="Z37" s="274" t="str">
        <f>IF(Table1[[#This Row],[h_hargasebelumdiskon]]="","",IF(Table1[[#This Row],[Disc 1]]="",0,Table1[[#This Row],[h_hargasebelumdiskon]]*Table1[[#This Row],[Disc 1]]))</f>
        <v/>
      </c>
      <c r="AA37" s="274" t="str">
        <f>IF(Table1[[#This Row],[h_hargasebelumdiskon]]="","",IF(Table1[[#This Row],[Disc 2]]="",0,(Table1[[#This Row],[h_hargasebelumdiskon]]-Table1[[#This Row],[h_disc 1]])*Table1[[#This Row],[Disc 2]]))</f>
        <v/>
      </c>
      <c r="AB37" s="274" t="str">
        <f>IF(Table1[Item Description]="","",Table1[[#This Row],[h_disc 1]]+Table1[[#This Row],[h_disc 2]])</f>
        <v/>
      </c>
      <c r="AC37" s="274" t="str">
        <f>IF(Table1[Item Description]="","",Table1[[#This Row],[h_hargasebelumdiskon]]-Table1[[#This Row],[h_diskon]])</f>
        <v/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/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/>
      <c r="L40" s="271"/>
      <c r="O40" s="278" t="str">
        <f>IF(Table1[[#This Row],[h_Item Description]]="","",INDEX([1]!db[NB PAJAK],MATCH(Table1[[#This Row],[h_Item Description]],[1]!db[kode],0)))</f>
        <v/>
      </c>
      <c r="Q40" s="274"/>
      <c r="R40" s="275"/>
      <c r="S40" s="275"/>
      <c r="T40" s="274" t="str">
        <f>Table1[[#This Row],[h_hargasetelahdiskon]]</f>
        <v/>
      </c>
      <c r="V40" s="271"/>
      <c r="W40" s="278" t="str">
        <f ca="1">IF(Table1[[#This Row],[Item Description]]="","",IF(Table1[[#This Row],[//]]="",INDIRECT(ADDRESS(ROW()-1,COLUMN())),Table1[[#This Row],[//]]))</f>
        <v/>
      </c>
      <c r="X40" s="278" t="str">
        <f ca="1">IF(Table1[[#This Row],[h_id]]="","",COUNTIF(Table1[h_id],Table1[[#This Row],[h_id]]))</f>
        <v/>
      </c>
      <c r="Y40" s="274" t="str">
        <f>IF(Table1[Item Description]="","",Table1[[#This Row],[Qty]]*Table1[[#This Row],[Unit Price]])</f>
        <v/>
      </c>
      <c r="Z40" s="274" t="str">
        <f>IF(Table1[[#This Row],[h_hargasebelumdiskon]]="","",IF(Table1[[#This Row],[Disc 1]]="",0,Table1[[#This Row],[h_hargasebelumdiskon]]*Table1[[#This Row],[Disc 1]]))</f>
        <v/>
      </c>
      <c r="AA40" s="274" t="str">
        <f>IF(Table1[[#This Row],[h_hargasebelumdiskon]]="","",IF(Table1[[#This Row],[Disc 2]]="",0,(Table1[[#This Row],[h_hargasebelumdiskon]]-Table1[[#This Row],[h_disc 1]])*Table1[[#This Row],[Disc 2]]))</f>
        <v/>
      </c>
      <c r="AB40" s="274" t="str">
        <f>IF(Table1[Item Description]="","",Table1[[#This Row],[h_disc 1]]+Table1[[#This Row],[h_disc 2]])</f>
        <v/>
      </c>
      <c r="AC40" s="274" t="str">
        <f>IF(Table1[Item Description]="","",Table1[[#This Row],[h_hargasebelumdiskon]]-Table1[[#This Row],[h_diskon]])</f>
        <v/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/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O41" s="278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74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74" t="str">
        <f>IF(Table1[[#This Row],[h_hargasebelumdiskon]]="","",IF(Table1[[#This Row],[Disc 1]]="",0,Table1[[#This Row],[h_hargasebelumdiskon]]*Table1[[#This Row],[Disc 1]]))</f>
        <v/>
      </c>
      <c r="AA41" s="274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/>
      <c r="L45" s="271"/>
      <c r="O45" s="278" t="str">
        <f>IF(Table1[[#This Row],[h_Item Description]]="","",INDEX([1]!db[NB PAJAK],MATCH(Table1[[#This Row],[h_Item Description]],[1]!db[kode],0)))</f>
        <v/>
      </c>
      <c r="Q45" s="274"/>
      <c r="R45" s="275"/>
      <c r="S45" s="275"/>
      <c r="T45" s="274" t="str">
        <f>Table1[[#This Row],[h_hargasetelahdiskon]]</f>
        <v/>
      </c>
      <c r="V45" s="271"/>
      <c r="W45" s="278" t="str">
        <f ca="1">IF(Table1[[#This Row],[Item Description]]="","",IF(Table1[[#This Row],[//]]="",INDIRECT(ADDRESS(ROW()-1,COLUMN())),Table1[[#This Row],[//]]))</f>
        <v/>
      </c>
      <c r="X45" s="278" t="str">
        <f ca="1">IF(Table1[[#This Row],[h_id]]="","",COUNTIF(Table1[h_id],Table1[[#This Row],[h_id]]))</f>
        <v/>
      </c>
      <c r="Y45" s="274" t="str">
        <f>IF(Table1[Item Description]="","",Table1[[#This Row],[Qty]]*Table1[[#This Row],[Unit Price]])</f>
        <v/>
      </c>
      <c r="Z45" s="274" t="str">
        <f>IF(Table1[[#This Row],[h_hargasebelumdiskon]]="","",IF(Table1[[#This Row],[Disc 1]]="",0,Table1[[#This Row],[h_hargasebelumdiskon]]*Table1[[#This Row],[Disc 1]]))</f>
        <v/>
      </c>
      <c r="AA45" s="274" t="str">
        <f>IF(Table1[[#This Row],[h_hargasebelumdiskon]]="","",IF(Table1[[#This Row],[Disc 2]]="",0,(Table1[[#This Row],[h_hargasebelumdiskon]]-Table1[[#This Row],[h_disc 1]])*Table1[[#This Row],[Disc 2]]))</f>
        <v/>
      </c>
      <c r="AB45" s="274" t="str">
        <f>IF(Table1[Item Description]="","",Table1[[#This Row],[h_disc 1]]+Table1[[#This Row],[h_disc 2]])</f>
        <v/>
      </c>
      <c r="AC45" s="274" t="str">
        <f>IF(Table1[Item Description]="","",Table1[[#This Row],[h_hargasebelumdiskon]]-Table1[[#This Row],[h_diskon]])</f>
        <v/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/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/>
      <c r="L46" s="271"/>
      <c r="O46" s="278" t="str">
        <f>IF(Table1[[#This Row],[h_Item Description]]="","",INDEX([1]!db[NB PAJAK],MATCH(Table1[[#This Row],[h_Item Description]],[1]!db[kode],0)))</f>
        <v/>
      </c>
      <c r="Q46" s="274"/>
      <c r="R46" s="275"/>
      <c r="S46" s="275"/>
      <c r="T46" s="274" t="str">
        <f>Table1[[#This Row],[h_hargasetelahdiskon]]</f>
        <v/>
      </c>
      <c r="V46" s="271"/>
      <c r="W46" s="278" t="str">
        <f ca="1">IF(Table1[[#This Row],[Item Description]]="","",IF(Table1[[#This Row],[//]]="",INDIRECT(ADDRESS(ROW()-1,COLUMN())),Table1[[#This Row],[//]]))</f>
        <v/>
      </c>
      <c r="X46" s="278" t="str">
        <f ca="1">IF(Table1[[#This Row],[h_id]]="","",COUNTIF(Table1[h_id],Table1[[#This Row],[h_id]]))</f>
        <v/>
      </c>
      <c r="Y46" s="274" t="str">
        <f>IF(Table1[Item Description]="","",Table1[[#This Row],[Qty]]*Table1[[#This Row],[Unit Price]])</f>
        <v/>
      </c>
      <c r="Z46" s="274" t="str">
        <f>IF(Table1[[#This Row],[h_hargasebelumdiskon]]="","",IF(Table1[[#This Row],[Disc 1]]="",0,Table1[[#This Row],[h_hargasebelumdiskon]]*Table1[[#This Row],[Disc 1]]))</f>
        <v/>
      </c>
      <c r="AA46" s="274" t="str">
        <f>IF(Table1[[#This Row],[h_hargasebelumdiskon]]="","",IF(Table1[[#This Row],[Disc 2]]="",0,(Table1[[#This Row],[h_hargasebelumdiskon]]-Table1[[#This Row],[h_disc 1]])*Table1[[#This Row],[Disc 2]]))</f>
        <v/>
      </c>
      <c r="AB46" s="274" t="str">
        <f>IF(Table1[Item Description]="","",Table1[[#This Row],[h_disc 1]]+Table1[[#This Row],[h_disc 2]])</f>
        <v/>
      </c>
      <c r="AC46" s="274" t="str">
        <f>IF(Table1[Item Description]="","",Table1[[#This Row],[h_hargasebelumdiskon]]-Table1[[#This Row],[h_diskon]])</f>
        <v/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/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/>
      <c r="L48" s="271"/>
      <c r="O48" s="278" t="str">
        <f>IF(Table1[[#This Row],[h_Item Description]]="","",INDEX([1]!db[NB PAJAK],MATCH(Table1[[#This Row],[h_Item Description]],[1]!db[kode],0)))</f>
        <v/>
      </c>
      <c r="Q48" s="274"/>
      <c r="R48" s="275"/>
      <c r="S48" s="275"/>
      <c r="T48" s="274" t="str">
        <f>Table1[[#This Row],[h_hargasetelahdiskon]]</f>
        <v/>
      </c>
      <c r="V48" s="271"/>
      <c r="W48" s="278" t="str">
        <f ca="1">IF(Table1[[#This Row],[Item Description]]="","",IF(Table1[[#This Row],[//]]="",INDIRECT(ADDRESS(ROW()-1,COLUMN())),Table1[[#This Row],[//]]))</f>
        <v/>
      </c>
      <c r="X48" s="278" t="str">
        <f ca="1">IF(Table1[[#This Row],[h_id]]="","",COUNTIF(Table1[h_id],Table1[[#This Row],[h_id]]))</f>
        <v/>
      </c>
      <c r="Y48" s="274" t="str">
        <f>IF(Table1[Item Description]="","",Table1[[#This Row],[Qty]]*Table1[[#This Row],[Unit Price]])</f>
        <v/>
      </c>
      <c r="Z48" s="274" t="str">
        <f>IF(Table1[[#This Row],[h_hargasebelumdiskon]]="","",IF(Table1[[#This Row],[Disc 1]]="",0,Table1[[#This Row],[h_hargasebelumdiskon]]*Table1[[#This Row],[Disc 1]]))</f>
        <v/>
      </c>
      <c r="AA48" s="274" t="str">
        <f>IF(Table1[[#This Row],[h_hargasebelumdiskon]]="","",IF(Table1[[#This Row],[Disc 2]]="",0,(Table1[[#This Row],[h_hargasebelumdiskon]]-Table1[[#This Row],[h_disc 1]])*Table1[[#This Row],[Disc 2]]))</f>
        <v/>
      </c>
      <c r="AB48" s="274" t="str">
        <f>IF(Table1[Item Description]="","",Table1[[#This Row],[h_disc 1]]+Table1[[#This Row],[h_disc 2]])</f>
        <v/>
      </c>
      <c r="AC48" s="274" t="str">
        <f>IF(Table1[Item Description]="","",Table1[[#This Row],[h_hargasebelumdiskon]]-Table1[[#This Row],[h_diskon]])</f>
        <v/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/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O49" s="278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274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274" t="str">
        <f>IF(Table1[[#This Row],[h_hargasebelumdiskon]]="","",IF(Table1[[#This Row],[Disc 1]]="",0,Table1[[#This Row],[h_hargasebelumdiskon]]*Table1[[#This Row],[Disc 1]]))</f>
        <v/>
      </c>
      <c r="AA49" s="274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/>
      <c r="L51" s="271"/>
      <c r="O51" s="278" t="str">
        <f>IF(Table1[[#This Row],[h_Item Description]]="","",INDEX([1]!db[NB PAJAK],MATCH(Table1[[#This Row],[h_Item Description]],[1]!db[kode],0)))</f>
        <v/>
      </c>
      <c r="Q51" s="274"/>
      <c r="R51" s="275"/>
      <c r="S51" s="275"/>
      <c r="T51" s="274" t="str">
        <f>Table1[[#This Row],[h_hargasetelahdiskon]]</f>
        <v/>
      </c>
      <c r="V51" s="271"/>
      <c r="W51" s="278" t="str">
        <f ca="1">IF(Table1[[#This Row],[Item Description]]="","",IF(Table1[[#This Row],[//]]="",INDIRECT(ADDRESS(ROW()-1,COLUMN())),Table1[[#This Row],[//]]))</f>
        <v/>
      </c>
      <c r="X51" s="278" t="str">
        <f ca="1">IF(Table1[[#This Row],[h_id]]="","",COUNTIF(Table1[h_id],Table1[[#This Row],[h_id]]))</f>
        <v/>
      </c>
      <c r="Y51" s="274" t="str">
        <f>IF(Table1[Item Description]="","",Table1[[#This Row],[Qty]]*Table1[[#This Row],[Unit Price]])</f>
        <v/>
      </c>
      <c r="Z51" s="274" t="str">
        <f>IF(Table1[[#This Row],[h_hargasebelumdiskon]]="","",IF(Table1[[#This Row],[Disc 1]]="",0,Table1[[#This Row],[h_hargasebelumdiskon]]*Table1[[#This Row],[Disc 1]]))</f>
        <v/>
      </c>
      <c r="AA51" s="274" t="str">
        <f>IF(Table1[[#This Row],[h_hargasebelumdiskon]]="","",IF(Table1[[#This Row],[Disc 2]]="",0,(Table1[[#This Row],[h_hargasebelumdiskon]]-Table1[[#This Row],[h_disc 1]])*Table1[[#This Row],[Disc 2]]))</f>
        <v/>
      </c>
      <c r="AB51" s="274" t="str">
        <f>IF(Table1[Item Description]="","",Table1[[#This Row],[h_disc 1]]+Table1[[#This Row],[h_disc 2]])</f>
        <v/>
      </c>
      <c r="AC51" s="274" t="str">
        <f>IF(Table1[Item Description]="","",Table1[[#This Row],[h_hargasebelumdiskon]]-Table1[[#This Row],[h_diskon]])</f>
        <v/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/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/>
      <c r="L54" s="271"/>
      <c r="O54" s="278" t="str">
        <f>IF(Table1[[#This Row],[h_Item Description]]="","",INDEX([1]!db[NB PAJAK],MATCH(Table1[[#This Row],[h_Item Description]],[1]!db[kode],0)))</f>
        <v/>
      </c>
      <c r="Q54" s="274"/>
      <c r="R54" s="275"/>
      <c r="S54" s="275"/>
      <c r="T54" s="274" t="str">
        <f>Table1[[#This Row],[h_hargasetelahdiskon]]</f>
        <v/>
      </c>
      <c r="V54" s="271"/>
      <c r="W54" s="278" t="str">
        <f ca="1">IF(Table1[[#This Row],[Item Description]]="","",IF(Table1[[#This Row],[//]]="",INDIRECT(ADDRESS(ROW()-1,COLUMN())),Table1[[#This Row],[//]]))</f>
        <v/>
      </c>
      <c r="X54" s="278" t="str">
        <f ca="1">IF(Table1[[#This Row],[h_id]]="","",COUNTIF(Table1[h_id],Table1[[#This Row],[h_id]]))</f>
        <v/>
      </c>
      <c r="Y54" s="274" t="str">
        <f>IF(Table1[Item Description]="","",Table1[[#This Row],[Qty]]*Table1[[#This Row],[Unit Price]])</f>
        <v/>
      </c>
      <c r="Z54" s="274" t="str">
        <f>IF(Table1[[#This Row],[h_hargasebelumdiskon]]="","",IF(Table1[[#This Row],[Disc 1]]="",0,Table1[[#This Row],[h_hargasebelumdiskon]]*Table1[[#This Row],[Disc 1]]))</f>
        <v/>
      </c>
      <c r="AA54" s="274" t="str">
        <f>IF(Table1[[#This Row],[h_hargasebelumdiskon]]="","",IF(Table1[[#This Row],[Disc 2]]="",0,(Table1[[#This Row],[h_hargasebelumdiskon]]-Table1[[#This Row],[h_disc 1]])*Table1[[#This Row],[Disc 2]]))</f>
        <v/>
      </c>
      <c r="AB54" s="274" t="str">
        <f>IF(Table1[Item Description]="","",Table1[[#This Row],[h_disc 1]]+Table1[[#This Row],[h_disc 2]])</f>
        <v/>
      </c>
      <c r="AC54" s="274" t="str">
        <f>IF(Table1[Item Description]="","",Table1[[#This Row],[h_hargasebelumdiskon]]-Table1[[#This Row],[h_diskon]])</f>
        <v/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/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/>
      <c r="L57" s="271"/>
      <c r="O57" s="278" t="str">
        <f>IF(Table1[[#This Row],[h_Item Description]]="","",INDEX([1]!db[NB PAJAK],MATCH(Table1[[#This Row],[h_Item Description]],[1]!db[kode],0)))</f>
        <v/>
      </c>
      <c r="Q57" s="274"/>
      <c r="R57" s="275"/>
      <c r="S57" s="275"/>
      <c r="T57" s="274" t="str">
        <f>Table1[[#This Row],[h_hargasetelahdiskon]]</f>
        <v/>
      </c>
      <c r="V57" s="271"/>
      <c r="W57" s="278" t="str">
        <f ca="1">IF(Table1[[#This Row],[Item Description]]="","",IF(Table1[[#This Row],[//]]="",INDIRECT(ADDRESS(ROW()-1,COLUMN())),Table1[[#This Row],[//]]))</f>
        <v/>
      </c>
      <c r="X57" s="278" t="str">
        <f ca="1">IF(Table1[[#This Row],[h_id]]="","",COUNTIF(Table1[h_id],Table1[[#This Row],[h_id]]))</f>
        <v/>
      </c>
      <c r="Y57" s="274" t="str">
        <f>IF(Table1[Item Description]="","",Table1[[#This Row],[Qty]]*Table1[[#This Row],[Unit Price]])</f>
        <v/>
      </c>
      <c r="Z57" s="274" t="str">
        <f>IF(Table1[[#This Row],[h_hargasebelumdiskon]]="","",IF(Table1[[#This Row],[Disc 1]]="",0,Table1[[#This Row],[h_hargasebelumdiskon]]*Table1[[#This Row],[Disc 1]]))</f>
        <v/>
      </c>
      <c r="AA57" s="274" t="str">
        <f>IF(Table1[[#This Row],[h_hargasebelumdiskon]]="","",IF(Table1[[#This Row],[Disc 2]]="",0,(Table1[[#This Row],[h_hargasebelumdiskon]]-Table1[[#This Row],[h_disc 1]])*Table1[[#This Row],[Disc 2]]))</f>
        <v/>
      </c>
      <c r="AB57" s="274" t="str">
        <f>IF(Table1[Item Description]="","",Table1[[#This Row],[h_disc 1]]+Table1[[#This Row],[h_disc 2]])</f>
        <v/>
      </c>
      <c r="AC57" s="274" t="str">
        <f>IF(Table1[Item Description]="","",Table1[[#This Row],[h_hargasebelumdiskon]]-Table1[[#This Row],[h_diskon]])</f>
        <v/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/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/>
      <c r="L58" s="271"/>
      <c r="O58" s="278" t="str">
        <f>IF(Table1[[#This Row],[h_Item Description]]="","",INDEX([1]!db[NB PAJAK],MATCH(Table1[[#This Row],[h_Item Description]],[1]!db[kode],0)))</f>
        <v/>
      </c>
      <c r="Q58" s="274"/>
      <c r="R58" s="275"/>
      <c r="S58" s="275"/>
      <c r="T58" s="274" t="str">
        <f>Table1[[#This Row],[h_hargasetelahdiskon]]</f>
        <v/>
      </c>
      <c r="V58" s="271"/>
      <c r="W58" s="278" t="str">
        <f ca="1">IF(Table1[[#This Row],[Item Description]]="","",IF(Table1[[#This Row],[//]]="",INDIRECT(ADDRESS(ROW()-1,COLUMN())),Table1[[#This Row],[//]]))</f>
        <v/>
      </c>
      <c r="X58" s="278" t="str">
        <f ca="1">IF(Table1[[#This Row],[h_id]]="","",COUNTIF(Table1[h_id],Table1[[#This Row],[h_id]]))</f>
        <v/>
      </c>
      <c r="Y58" s="274" t="str">
        <f>IF(Table1[Item Description]="","",Table1[[#This Row],[Qty]]*Table1[[#This Row],[Unit Price]])</f>
        <v/>
      </c>
      <c r="Z58" s="274" t="str">
        <f>IF(Table1[[#This Row],[h_hargasebelumdiskon]]="","",IF(Table1[[#This Row],[Disc 1]]="",0,Table1[[#This Row],[h_hargasebelumdiskon]]*Table1[[#This Row],[Disc 1]]))</f>
        <v/>
      </c>
      <c r="AA58" s="274" t="str">
        <f>IF(Table1[[#This Row],[h_hargasebelumdiskon]]="","",IF(Table1[[#This Row],[Disc 2]]="",0,(Table1[[#This Row],[h_hargasebelumdiskon]]-Table1[[#This Row],[h_disc 1]])*Table1[[#This Row],[Disc 2]]))</f>
        <v/>
      </c>
      <c r="AB58" s="274" t="str">
        <f>IF(Table1[Item Description]="","",Table1[[#This Row],[h_disc 1]]+Table1[[#This Row],[h_disc 2]])</f>
        <v/>
      </c>
      <c r="AC58" s="274" t="str">
        <f>IF(Table1[Item Description]="","",Table1[[#This Row],[h_hargasebelumdiskon]]-Table1[[#This Row],[h_diskon]])</f>
        <v/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/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ht="16.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/>
      <c r="L63" s="271"/>
      <c r="O63" s="278" t="str">
        <f>IF(Table1[[#This Row],[h_Item Description]]="","",INDEX([1]!db[NB PAJAK],MATCH(Table1[[#This Row],[h_Item Description]],[1]!db[kode],0)))</f>
        <v/>
      </c>
      <c r="P63" s="281"/>
      <c r="Q63" s="274"/>
      <c r="R63" s="275"/>
      <c r="S63" s="275"/>
      <c r="T63" s="274" t="str">
        <f>Table1[[#This Row],[h_hargasetelahdiskon]]</f>
        <v/>
      </c>
      <c r="V63" s="271"/>
      <c r="W63" s="278" t="str">
        <f ca="1">IF(Table1[[#This Row],[Item Description]]="","",IF(Table1[[#This Row],[//]]="",INDIRECT(ADDRESS(ROW()-1,COLUMN())),Table1[[#This Row],[//]]))</f>
        <v/>
      </c>
      <c r="X63" s="278" t="str">
        <f ca="1">IF(Table1[[#This Row],[h_id]]="","",COUNTIF(Table1[h_id],Table1[[#This Row],[h_id]]))</f>
        <v/>
      </c>
      <c r="Y63" s="274" t="str">
        <f>IF(Table1[Item Description]="","",Table1[[#This Row],[Qty]]*Table1[[#This Row],[Unit Price]])</f>
        <v/>
      </c>
      <c r="Z63" s="274" t="str">
        <f>IF(Table1[[#This Row],[h_hargasebelumdiskon]]="","",IF(Table1[[#This Row],[Disc 1]]="",0,Table1[[#This Row],[h_hargasebelumdiskon]]*Table1[[#This Row],[Disc 1]]))</f>
        <v/>
      </c>
      <c r="AA63" s="274" t="str">
        <f>IF(Table1[[#This Row],[h_hargasebelumdiskon]]="","",IF(Table1[[#This Row],[Disc 2]]="",0,(Table1[[#This Row],[h_hargasebelumdiskon]]-Table1[[#This Row],[h_disc 1]])*Table1[[#This Row],[Disc 2]]))</f>
        <v/>
      </c>
      <c r="AB63" s="274" t="str">
        <f>IF(Table1[Item Description]="","",Table1[[#This Row],[h_disc 1]]+Table1[[#This Row],[h_disc 2]])</f>
        <v/>
      </c>
      <c r="AC63" s="274" t="str">
        <f>IF(Table1[Item Description]="","",Table1[[#This Row],[h_hargasebelumdiskon]]-Table1[[#This Row],[h_diskon]])</f>
        <v/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/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/>
      <c r="L65" s="271"/>
      <c r="O65" s="278" t="str">
        <f>IF(Table1[[#This Row],[h_Item Description]]="","",INDEX([1]!db[NB PAJAK],MATCH(Table1[[#This Row],[h_Item Description]],[1]!db[kode],0)))</f>
        <v/>
      </c>
      <c r="Q65" s="274"/>
      <c r="R65" s="275"/>
      <c r="S65" s="275"/>
      <c r="T65" s="274" t="str">
        <f>Table1[[#This Row],[h_hargasetelahdiskon]]</f>
        <v/>
      </c>
      <c r="V65" s="271"/>
      <c r="W65" s="278" t="str">
        <f ca="1">IF(Table1[[#This Row],[Item Description]]="","",IF(Table1[[#This Row],[//]]="",INDIRECT(ADDRESS(ROW()-1,COLUMN())),Table1[[#This Row],[//]]))</f>
        <v/>
      </c>
      <c r="X65" s="278" t="str">
        <f ca="1">IF(Table1[[#This Row],[h_id]]="","",COUNTIF(Table1[h_id],Table1[[#This Row],[h_id]]))</f>
        <v/>
      </c>
      <c r="Y65" s="274" t="str">
        <f>IF(Table1[Item Description]="","",Table1[[#This Row],[Qty]]*Table1[[#This Row],[Unit Price]])</f>
        <v/>
      </c>
      <c r="Z65" s="274" t="str">
        <f>IF(Table1[[#This Row],[h_hargasebelumdiskon]]="","",IF(Table1[[#This Row],[Disc 1]]="",0,Table1[[#This Row],[h_hargasebelumdiskon]]*Table1[[#This Row],[Disc 1]]))</f>
        <v/>
      </c>
      <c r="AA65" s="274" t="str">
        <f>IF(Table1[[#This Row],[h_hargasebelumdiskon]]="","",IF(Table1[[#This Row],[Disc 2]]="",0,(Table1[[#This Row],[h_hargasebelumdiskon]]-Table1[[#This Row],[h_disc 1]])*Table1[[#This Row],[Disc 2]]))</f>
        <v/>
      </c>
      <c r="AB65" s="274" t="str">
        <f>IF(Table1[Item Description]="","",Table1[[#This Row],[h_disc 1]]+Table1[[#This Row],[h_disc 2]])</f>
        <v/>
      </c>
      <c r="AC65" s="274" t="str">
        <f>IF(Table1[Item Description]="","",Table1[[#This Row],[h_hargasebelumdiskon]]-Table1[[#This Row],[h_diskon]])</f>
        <v/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/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/>
      <c r="L72" s="271"/>
      <c r="O72" s="278" t="str">
        <f>IF(Table1[[#This Row],[h_Item Description]]="","",INDEX([1]!db[NB PAJAK],MATCH(Table1[[#This Row],[h_Item Description]],[1]!db[kode],0)))</f>
        <v/>
      </c>
      <c r="Q72" s="274"/>
      <c r="R72" s="275"/>
      <c r="S72" s="275"/>
      <c r="T72" s="274" t="str">
        <f>Table1[[#This Row],[h_hargasetelahdiskon]]</f>
        <v/>
      </c>
      <c r="V72" s="271"/>
      <c r="W72" s="278" t="str">
        <f ca="1">IF(Table1[[#This Row],[Item Description]]="","",IF(Table1[[#This Row],[//]]="",INDIRECT(ADDRESS(ROW()-1,COLUMN())),Table1[[#This Row],[//]]))</f>
        <v/>
      </c>
      <c r="X72" s="278" t="str">
        <f ca="1">IF(Table1[[#This Row],[h_id]]="","",COUNTIF(Table1[h_id],Table1[[#This Row],[h_id]]))</f>
        <v/>
      </c>
      <c r="Y72" s="274" t="str">
        <f>IF(Table1[Item Description]="","",Table1[[#This Row],[Qty]]*Table1[[#This Row],[Unit Price]])</f>
        <v/>
      </c>
      <c r="Z72" s="274" t="str">
        <f>IF(Table1[[#This Row],[h_hargasebelumdiskon]]="","",IF(Table1[[#This Row],[Disc 1]]="",0,Table1[[#This Row],[h_hargasebelumdiskon]]*Table1[[#This Row],[Disc 1]]))</f>
        <v/>
      </c>
      <c r="AA72" s="274" t="str">
        <f>IF(Table1[[#This Row],[h_hargasebelumdiskon]]="","",IF(Table1[[#This Row],[Disc 2]]="",0,(Table1[[#This Row],[h_hargasebelumdiskon]]-Table1[[#This Row],[h_disc 1]])*Table1[[#This Row],[Disc 2]]))</f>
        <v/>
      </c>
      <c r="AB72" s="274" t="str">
        <f>IF(Table1[Item Description]="","",Table1[[#This Row],[h_disc 1]]+Table1[[#This Row],[h_disc 2]])</f>
        <v/>
      </c>
      <c r="AC72" s="274" t="str">
        <f>IF(Table1[Item Description]="","",Table1[[#This Row],[h_hargasebelumdiskon]]-Table1[[#This Row],[h_diskon]])</f>
        <v/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/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/>
      <c r="L73" s="271"/>
      <c r="O73" s="278" t="str">
        <f>IF(Table1[[#This Row],[h_Item Description]]="","",INDEX([1]!db[NB PAJAK],MATCH(Table1[[#This Row],[h_Item Description]],[1]!db[kode],0)))</f>
        <v/>
      </c>
      <c r="Q73" s="274"/>
      <c r="R73" s="275"/>
      <c r="S73" s="275"/>
      <c r="T73" s="274" t="str">
        <f>Table1[[#This Row],[h_hargasetelahdiskon]]</f>
        <v/>
      </c>
      <c r="V73" s="271"/>
      <c r="W73" s="278" t="str">
        <f ca="1">IF(Table1[[#This Row],[Item Description]]="","",IF(Table1[[#This Row],[//]]="",INDIRECT(ADDRESS(ROW()-1,COLUMN())),Table1[[#This Row],[//]]))</f>
        <v/>
      </c>
      <c r="X73" s="278" t="str">
        <f ca="1">IF(Table1[[#This Row],[h_id]]="","",COUNTIF(Table1[h_id],Table1[[#This Row],[h_id]]))</f>
        <v/>
      </c>
      <c r="Y73" s="274" t="str">
        <f>IF(Table1[Item Description]="","",Table1[[#This Row],[Qty]]*Table1[[#This Row],[Unit Price]])</f>
        <v/>
      </c>
      <c r="Z73" s="274" t="str">
        <f>IF(Table1[[#This Row],[h_hargasebelumdiskon]]="","",IF(Table1[[#This Row],[Disc 1]]="",0,Table1[[#This Row],[h_hargasebelumdiskon]]*Table1[[#This Row],[Disc 1]]))</f>
        <v/>
      </c>
      <c r="AA73" s="274" t="str">
        <f>IF(Table1[[#This Row],[h_hargasebelumdiskon]]="","",IF(Table1[[#This Row],[Disc 2]]="",0,(Table1[[#This Row],[h_hargasebelumdiskon]]-Table1[[#This Row],[h_disc 1]])*Table1[[#This Row],[Disc 2]]))</f>
        <v/>
      </c>
      <c r="AB73" s="274" t="str">
        <f>IF(Table1[Item Description]="","",Table1[[#This Row],[h_disc 1]]+Table1[[#This Row],[h_disc 2]])</f>
        <v/>
      </c>
      <c r="AC73" s="274" t="str">
        <f>IF(Table1[Item Description]="","",Table1[[#This Row],[h_hargasebelumdiskon]]-Table1[[#This Row],[h_diskon]])</f>
        <v/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/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/>
      <c r="L77" s="271"/>
      <c r="O77" s="278" t="str">
        <f>IF(Table1[[#This Row],[h_Item Description]]="","",INDEX([1]!db[NB PAJAK],MATCH(Table1[[#This Row],[h_Item Description]],[1]!db[kode],0)))</f>
        <v/>
      </c>
      <c r="Q77" s="274"/>
      <c r="R77" s="275"/>
      <c r="S77" s="275"/>
      <c r="T77" s="274" t="str">
        <f>Table1[[#This Row],[h_hargasetelahdiskon]]</f>
        <v/>
      </c>
      <c r="V77" s="271"/>
      <c r="W77" s="278" t="str">
        <f ca="1">IF(Table1[[#This Row],[Item Description]]="","",IF(Table1[[#This Row],[//]]="",INDIRECT(ADDRESS(ROW()-1,COLUMN())),Table1[[#This Row],[//]]))</f>
        <v/>
      </c>
      <c r="X77" s="278" t="str">
        <f ca="1">IF(Table1[[#This Row],[h_id]]="","",COUNTIF(Table1[h_id],Table1[[#This Row],[h_id]]))</f>
        <v/>
      </c>
      <c r="Y77" s="274" t="str">
        <f>IF(Table1[Item Description]="","",Table1[[#This Row],[Qty]]*Table1[[#This Row],[Unit Price]])</f>
        <v/>
      </c>
      <c r="Z77" s="274" t="str">
        <f>IF(Table1[[#This Row],[h_hargasebelumdiskon]]="","",IF(Table1[[#This Row],[Disc 1]]="",0,Table1[[#This Row],[h_hargasebelumdiskon]]*Table1[[#This Row],[Disc 1]]))</f>
        <v/>
      </c>
      <c r="AA77" s="274" t="str">
        <f>IF(Table1[[#This Row],[h_hargasebelumdiskon]]="","",IF(Table1[[#This Row],[Disc 2]]="",0,(Table1[[#This Row],[h_hargasebelumdiskon]]-Table1[[#This Row],[h_disc 1]])*Table1[[#This Row],[Disc 2]]))</f>
        <v/>
      </c>
      <c r="AB77" s="274" t="str">
        <f>IF(Table1[Item Description]="","",Table1[[#This Row],[h_disc 1]]+Table1[[#This Row],[h_disc 2]])</f>
        <v/>
      </c>
      <c r="AC77" s="274" t="str">
        <f>IF(Table1[Item Description]="","",Table1[[#This Row],[h_hargasebelumdiskon]]-Table1[[#This Row],[h_diskon]])</f>
        <v/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/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/>
      <c r="L78" s="271"/>
      <c r="O78" s="278" t="str">
        <f>IF(Table1[[#This Row],[h_Item Description]]="","",INDEX([1]!db[NB PAJAK],MATCH(Table1[[#This Row],[h_Item Description]],[1]!db[kode],0)))</f>
        <v/>
      </c>
      <c r="Q78" s="274"/>
      <c r="R78" s="275"/>
      <c r="S78" s="275"/>
      <c r="T78" s="274" t="str">
        <f>Table1[[#This Row],[h_hargasetelahdiskon]]</f>
        <v/>
      </c>
      <c r="V78" s="271"/>
      <c r="W78" s="278" t="str">
        <f ca="1">IF(Table1[[#This Row],[Item Description]]="","",IF(Table1[[#This Row],[//]]="",INDIRECT(ADDRESS(ROW()-1,COLUMN())),Table1[[#This Row],[//]]))</f>
        <v/>
      </c>
      <c r="X78" s="278" t="str">
        <f ca="1">IF(Table1[[#This Row],[h_id]]="","",COUNTIF(Table1[h_id],Table1[[#This Row],[h_id]]))</f>
        <v/>
      </c>
      <c r="Y78" s="274" t="str">
        <f>IF(Table1[Item Description]="","",Table1[[#This Row],[Qty]]*Table1[[#This Row],[Unit Price]])</f>
        <v/>
      </c>
      <c r="Z78" s="274" t="str">
        <f>IF(Table1[[#This Row],[h_hargasebelumdiskon]]="","",IF(Table1[[#This Row],[Disc 1]]="",0,Table1[[#This Row],[h_hargasebelumdiskon]]*Table1[[#This Row],[Disc 1]]))</f>
        <v/>
      </c>
      <c r="AA78" s="274" t="str">
        <f>IF(Table1[[#This Row],[h_hargasebelumdiskon]]="","",IF(Table1[[#This Row],[Disc 2]]="",0,(Table1[[#This Row],[h_hargasebelumdiskon]]-Table1[[#This Row],[h_disc 1]])*Table1[[#This Row],[Disc 2]]))</f>
        <v/>
      </c>
      <c r="AB78" s="274" t="str">
        <f>IF(Table1[Item Description]="","",Table1[[#This Row],[h_disc 1]]+Table1[[#This Row],[h_disc 2]])</f>
        <v/>
      </c>
      <c r="AC78" s="274" t="str">
        <f>IF(Table1[Item Description]="","",Table1[[#This Row],[h_hargasebelumdiskon]]-Table1[[#This Row],[h_diskon]])</f>
        <v/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/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/>
      <c r="L79" s="271"/>
      <c r="O79" s="278" t="str">
        <f>IF(Table1[[#This Row],[h_Item Description]]="","",INDEX([1]!db[NB PAJAK],MATCH(Table1[[#This Row],[h_Item Description]],[1]!db[kode],0)))</f>
        <v/>
      </c>
      <c r="Q79" s="274"/>
      <c r="R79" s="275"/>
      <c r="S79" s="275"/>
      <c r="T79" s="274" t="str">
        <f>Table1[[#This Row],[h_hargasetelahdiskon]]</f>
        <v/>
      </c>
      <c r="V79" s="271"/>
      <c r="W79" s="278" t="str">
        <f ca="1">IF(Table1[[#This Row],[Item Description]]="","",IF(Table1[[#This Row],[//]]="",INDIRECT(ADDRESS(ROW()-1,COLUMN())),Table1[[#This Row],[//]]))</f>
        <v/>
      </c>
      <c r="X79" s="278" t="str">
        <f ca="1">IF(Table1[[#This Row],[h_id]]="","",COUNTIF(Table1[h_id],Table1[[#This Row],[h_id]]))</f>
        <v/>
      </c>
      <c r="Y79" s="274" t="str">
        <f>IF(Table1[Item Description]="","",Table1[[#This Row],[Qty]]*Table1[[#This Row],[Unit Price]])</f>
        <v/>
      </c>
      <c r="Z79" s="274" t="str">
        <f>IF(Table1[[#This Row],[h_hargasebelumdiskon]]="","",IF(Table1[[#This Row],[Disc 1]]="",0,Table1[[#This Row],[h_hargasebelumdiskon]]*Table1[[#This Row],[Disc 1]]))</f>
        <v/>
      </c>
      <c r="AA79" s="274" t="str">
        <f>IF(Table1[[#This Row],[h_hargasebelumdiskon]]="","",IF(Table1[[#This Row],[Disc 2]]="",0,(Table1[[#This Row],[h_hargasebelumdiskon]]-Table1[[#This Row],[h_disc 1]])*Table1[[#This Row],[Disc 2]]))</f>
        <v/>
      </c>
      <c r="AB79" s="274" t="str">
        <f>IF(Table1[Item Description]="","",Table1[[#This Row],[h_disc 1]]+Table1[[#This Row],[h_disc 2]])</f>
        <v/>
      </c>
      <c r="AC79" s="274" t="str">
        <f>IF(Table1[Item Description]="","",Table1[[#This Row],[h_hargasebelumdiskon]]-Table1[[#This Row],[h_diskon]])</f>
        <v/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/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/>
      <c r="L81" s="271"/>
      <c r="O81" s="278" t="str">
        <f>IF(Table1[[#This Row],[h_Item Description]]="","",INDEX([1]!db[NB PAJAK],MATCH(Table1[[#This Row],[h_Item Description]],[1]!db[kode],0)))</f>
        <v/>
      </c>
      <c r="Q81" s="274"/>
      <c r="R81" s="275"/>
      <c r="S81" s="275"/>
      <c r="T81" s="274" t="str">
        <f>Table1[[#This Row],[h_hargasetelahdiskon]]</f>
        <v/>
      </c>
      <c r="V81" s="271"/>
      <c r="W81" s="278" t="str">
        <f ca="1">IF(Table1[[#This Row],[Item Description]]="","",IF(Table1[[#This Row],[//]]="",INDIRECT(ADDRESS(ROW()-1,COLUMN())),Table1[[#This Row],[//]]))</f>
        <v/>
      </c>
      <c r="X81" s="278" t="str">
        <f ca="1">IF(Table1[[#This Row],[h_id]]="","",COUNTIF(Table1[h_id],Table1[[#This Row],[h_id]]))</f>
        <v/>
      </c>
      <c r="Y81" s="274" t="str">
        <f>IF(Table1[Item Description]="","",Table1[[#This Row],[Qty]]*Table1[[#This Row],[Unit Price]])</f>
        <v/>
      </c>
      <c r="Z81" s="274" t="str">
        <f>IF(Table1[[#This Row],[h_hargasebelumdiskon]]="","",IF(Table1[[#This Row],[Disc 1]]="",0,Table1[[#This Row],[h_hargasebelumdiskon]]*Table1[[#This Row],[Disc 1]]))</f>
        <v/>
      </c>
      <c r="AA81" s="274" t="str">
        <f>IF(Table1[[#This Row],[h_hargasebelumdiskon]]="","",IF(Table1[[#This Row],[Disc 2]]="",0,(Table1[[#This Row],[h_hargasebelumdiskon]]-Table1[[#This Row],[h_disc 1]])*Table1[[#This Row],[Disc 2]]))</f>
        <v/>
      </c>
      <c r="AB81" s="274" t="str">
        <f>IF(Table1[Item Description]="","",Table1[[#This Row],[h_disc 1]]+Table1[[#This Row],[h_disc 2]])</f>
        <v/>
      </c>
      <c r="AC81" s="274" t="str">
        <f>IF(Table1[Item Description]="","",Table1[[#This Row],[h_hargasebelumdiskon]]-Table1[[#This Row],[h_diskon]])</f>
        <v/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/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/>
      <c r="L83" s="271"/>
      <c r="O83" s="278" t="str">
        <f>IF(Table1[[#This Row],[h_Item Description]]="","",INDEX([1]!db[NB PAJAK],MATCH(Table1[[#This Row],[h_Item Description]],[1]!db[kode],0)))</f>
        <v/>
      </c>
      <c r="Q83" s="274"/>
      <c r="R83" s="275"/>
      <c r="S83" s="275"/>
      <c r="T83" s="274" t="str">
        <f>Table1[[#This Row],[h_hargasetelahdiskon]]</f>
        <v/>
      </c>
      <c r="V83" s="271"/>
      <c r="W83" s="278" t="str">
        <f ca="1">IF(Table1[[#This Row],[Item Description]]="","",IF(Table1[[#This Row],[//]]="",INDIRECT(ADDRESS(ROW()-1,COLUMN())),Table1[[#This Row],[//]]))</f>
        <v/>
      </c>
      <c r="X83" s="278" t="str">
        <f ca="1">IF(Table1[[#This Row],[h_id]]="","",COUNTIF(Table1[h_id],Table1[[#This Row],[h_id]]))</f>
        <v/>
      </c>
      <c r="Y83" s="274" t="str">
        <f>IF(Table1[Item Description]="","",Table1[[#This Row],[Qty]]*Table1[[#This Row],[Unit Price]])</f>
        <v/>
      </c>
      <c r="Z83" s="274" t="str">
        <f>IF(Table1[[#This Row],[h_hargasebelumdiskon]]="","",IF(Table1[[#This Row],[Disc 1]]="",0,Table1[[#This Row],[h_hargasebelumdiskon]]*Table1[[#This Row],[Disc 1]]))</f>
        <v/>
      </c>
      <c r="AA83" s="274" t="str">
        <f>IF(Table1[[#This Row],[h_hargasebelumdiskon]]="","",IF(Table1[[#This Row],[Disc 2]]="",0,(Table1[[#This Row],[h_hargasebelumdiskon]]-Table1[[#This Row],[h_disc 1]])*Table1[[#This Row],[Disc 2]]))</f>
        <v/>
      </c>
      <c r="AB83" s="274" t="str">
        <f>IF(Table1[Item Description]="","",Table1[[#This Row],[h_disc 1]]+Table1[[#This Row],[h_disc 2]])</f>
        <v/>
      </c>
      <c r="AC83" s="274" t="str">
        <f>IF(Table1[Item Description]="","",Table1[[#This Row],[h_hargasebelumdiskon]]-Table1[[#This Row],[h_diskon]])</f>
        <v/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/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85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D104" s="287"/>
      <c r="E104" s="289"/>
      <c r="F104" s="288"/>
      <c r="G104" s="278" t="str">
        <f ca="1">IF(Table1[[#This Row],[h_No. Invoice :]]="","",CONCATENATE("AM"," ",Table1[[#This Row],[h_No. Invoice :]]))</f>
        <v/>
      </c>
      <c r="H104" s="288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N104" s="288"/>
      <c r="O104" s="285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91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91" t="str">
        <f>IF(Table1[[#This Row],[h_hargasebelumdiskon]]="","",IF(Table1[[#This Row],[Disc 1]]="",0,Table1[[#This Row],[h_hargasebelumdiskon]]*Table1[[#This Row],[Disc 1]]))</f>
        <v/>
      </c>
      <c r="AA104" s="291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7"/>
      <c r="E105" s="289"/>
      <c r="F105" s="288"/>
      <c r="G105" s="278" t="str">
        <f ca="1">IF(Table1[[#This Row],[h_No. Invoice :]]="","",CONCATENATE("AM"," ",Table1[[#This Row],[h_No. Invoice :]]))</f>
        <v/>
      </c>
      <c r="H105" s="288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N105" s="288"/>
      <c r="O105" s="285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91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91" t="str">
        <f>IF(Table1[[#This Row],[h_hargasebelumdiskon]]="","",IF(Table1[[#This Row],[Disc 1]]="",0,Table1[[#This Row],[h_hargasebelumdiskon]]*Table1[[#This Row],[Disc 1]]))</f>
        <v/>
      </c>
      <c r="AA105" s="291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7"/>
      <c r="E106" s="289"/>
      <c r="F106" s="288"/>
      <c r="G106" s="278" t="str">
        <f ca="1">IF(Table1[[#This Row],[h_No. Invoice :]]="","",CONCATENATE("AM"," ",Table1[[#This Row],[h_No. Invoice :]]))</f>
        <v/>
      </c>
      <c r="H106" s="288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8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91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91" t="str">
        <f>IF(Table1[[#This Row],[h_hargasebelumdiskon]]="","",IF(Table1[[#This Row],[Disc 1]]="",0,Table1[[#This Row],[h_hargasebelumdiskon]]*Table1[[#This Row],[Disc 1]]))</f>
        <v/>
      </c>
      <c r="AA106" s="291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74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74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74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74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O113" s="278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74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74" t="str">
        <f>IF(Table1[[#This Row],[h_hargasebelumdiskon]]="","",IF(Table1[[#This Row],[Disc 1]]="",0,Table1[[#This Row],[h_hargasebelumdiskon]]*Table1[[#This Row],[Disc 1]]))</f>
        <v/>
      </c>
      <c r="AA113" s="274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O115" s="278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74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74" t="str">
        <f>IF(Table1[[#This Row],[h_hargasebelumdiskon]]="","",IF(Table1[[#This Row],[Disc 1]]="",0,Table1[[#This Row],[h_hargasebelumdiskon]]*Table1[[#This Row],[Disc 1]]))</f>
        <v/>
      </c>
      <c r="AA115" s="274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O117" s="278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74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74" t="str">
        <f>IF(Table1[[#This Row],[h_hargasebelumdiskon]]="","",IF(Table1[[#This Row],[Disc 1]]="",0,Table1[[#This Row],[h_hargasebelumdiskon]]*Table1[[#This Row],[Disc 1]]))</f>
        <v/>
      </c>
      <c r="AA117" s="274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O118" s="278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74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74" t="str">
        <f>IF(Table1[[#This Row],[h_hargasebelumdiskon]]="","",IF(Table1[[#This Row],[Disc 1]]="",0,Table1[[#This Row],[h_hargasebelumdiskon]]*Table1[[#This Row],[Disc 1]]))</f>
        <v/>
      </c>
      <c r="AA118" s="274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78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74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74" t="str">
        <f>IF(Table1[[#This Row],[h_hargasebelumdiskon]]="","",IF(Table1[[#This Row],[Disc 1]]="",0,Table1[[#This Row],[h_hargasebelumdiskon]]*Table1[[#This Row],[Disc 1]]))</f>
        <v/>
      </c>
      <c r="AA119" s="274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74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78" t="str">
        <f>IF(Table1[[#This Row],[h_Item Description]]="","",INDEX([1]!db[NB PAJAK],MATCH(Table1[[#This Row],[h_Item Description]],[1]!db[kode],0)))</f>
        <v/>
      </c>
      <c r="P122" s="278"/>
      <c r="Q122" s="274"/>
      <c r="R122" s="275"/>
      <c r="S122" s="275"/>
      <c r="T122" s="274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ht="16.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P185" s="281"/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P251" s="278"/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85"/>
      <c r="B281" s="285"/>
      <c r="C281" s="286"/>
      <c r="D281" s="287"/>
      <c r="E281" s="289"/>
      <c r="F281" s="288"/>
      <c r="G281" s="285"/>
      <c r="H281" s="288"/>
      <c r="I281" s="290"/>
      <c r="J281" s="285"/>
      <c r="K281" s="288"/>
      <c r="L281" s="288"/>
      <c r="M281" s="288"/>
      <c r="N281" s="288"/>
      <c r="O281" s="285"/>
      <c r="P281" s="288"/>
      <c r="Q281" s="291"/>
      <c r="R281" s="292"/>
      <c r="S281" s="292"/>
      <c r="T281" s="291"/>
      <c r="U281" s="291"/>
      <c r="V281" s="288"/>
      <c r="W281" s="285"/>
      <c r="X281" s="285"/>
      <c r="Y281" s="291"/>
      <c r="Z281" s="291"/>
      <c r="AA281" s="291"/>
      <c r="AB281" s="291"/>
      <c r="AC281" s="291"/>
      <c r="AD281" s="291"/>
      <c r="AE281" s="291"/>
      <c r="AF281" s="291"/>
      <c r="AG281"/>
      <c r="AH281"/>
      <c r="AI281"/>
    </row>
  </sheetData>
  <conditionalFormatting sqref="P63">
    <cfRule type="duplicateValues" dxfId="115" priority="3"/>
  </conditionalFormatting>
  <conditionalFormatting sqref="P31">
    <cfRule type="duplicateValues" dxfId="114" priority="2"/>
  </conditionalFormatting>
  <conditionalFormatting sqref="E3:E280">
    <cfRule type="duplicateValues" dxfId="113" priority="1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O1" zoomScale="85" zoomScaleNormal="85" workbookViewId="0">
      <selection activeCell="Y9" sqref="Y9:AC9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3" customWidth="1"/>
    <col min="7" max="7" width="22.42578125" style="3" customWidth="1"/>
    <col min="8" max="8" width="54.7109375" style="3" customWidth="1"/>
    <col min="9" max="9" width="15.28515625" style="294" customWidth="1"/>
    <col min="10" max="10" width="14.28515625" style="294" customWidth="1"/>
    <col min="11" max="11" width="15.28515625" style="294" customWidth="1"/>
    <col min="12" max="12" width="14.28515625" style="294" customWidth="1"/>
    <col min="13" max="13" width="15.28515625" style="294" customWidth="1"/>
    <col min="14" max="14" width="16.42578125" style="295" customWidth="1"/>
    <col min="15" max="15" width="8.85546875" style="295" customWidth="1"/>
    <col min="16" max="16" width="6" style="295" customWidth="1"/>
    <col min="17" max="17" width="4.42578125" style="295" customWidth="1"/>
    <col min="18" max="18" width="7.28515625" style="3" customWidth="1"/>
    <col min="19" max="19" width="9" style="3" customWidth="1"/>
    <col min="20" max="20" width="12.85546875" style="296" customWidth="1"/>
    <col min="21" max="21" width="6.140625" style="296" customWidth="1"/>
    <col min="22" max="22" width="10.28515625" style="296" customWidth="1"/>
    <col min="23" max="23" width="6.140625" style="296" customWidth="1"/>
    <col min="24" max="24" width="10.5703125" style="296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6" t="s">
        <v>116</v>
      </c>
      <c r="U1" s="296" t="s">
        <v>115</v>
      </c>
      <c r="V1" s="296" t="s">
        <v>115</v>
      </c>
      <c r="W1" s="296" t="s">
        <v>117</v>
      </c>
      <c r="X1" s="296" t="s">
        <v>118</v>
      </c>
    </row>
    <row r="2" spans="1:27" x14ac:dyDescent="0.25">
      <c r="H2" s="3" t="s">
        <v>140</v>
      </c>
      <c r="I2" s="294" t="s">
        <v>132</v>
      </c>
      <c r="U2" s="296">
        <v>4</v>
      </c>
      <c r="V2" s="296">
        <v>2</v>
      </c>
      <c r="W2" s="296">
        <v>32</v>
      </c>
      <c r="X2" s="296">
        <v>34</v>
      </c>
    </row>
    <row r="3" spans="1:27" x14ac:dyDescent="0.25">
      <c r="E3" s="3">
        <f ca="1">COUNT(Table1[//])</f>
        <v>12</v>
      </c>
      <c r="H3" s="297" t="str">
        <f>"["&amp;H2&amp;".xlsx]Invoice"</f>
        <v>[11-Hitung FP Keluar November 2023.xlsx]Invoice</v>
      </c>
      <c r="I3" s="298"/>
      <c r="O3" s="295">
        <f>'PREVIEW BORDERLESS'!K1</f>
        <v>0</v>
      </c>
      <c r="R3" s="3" t="str">
        <f>"'"&amp;pointer&amp;"'"&amp;"!$"&amp;1:1&amp;":$"&amp;1:1</f>
        <v>'[11-Hitung FP Keluar November 2023.xlsx]Invoice'!$D:$D</v>
      </c>
      <c r="S3" s="3">
        <f>NOTA!B1</f>
        <v>23110001</v>
      </c>
      <c r="T3" s="3" t="str">
        <f>"'"&amp;pointer&amp;"'"&amp;"!$"&amp;1:1&amp;":$"&amp;1:1</f>
        <v>'[11-Hitung FP Keluar November 2023.xlsx]Invoice'!$E:$E</v>
      </c>
      <c r="U3" s="3" t="str">
        <f>"'"&amp;pointer&amp;"'"&amp;"!$"&amp;1:1&amp;":$"&amp;1:1</f>
        <v>'[11-Hitung FP Keluar November 2023.xlsx]Invoice'!$D:$D</v>
      </c>
      <c r="V3" s="3" t="str">
        <f>"'"&amp;pointer&amp;"'"&amp;"!$"&amp;1:1&amp;":$"&amp;1:1</f>
        <v>'[11-Hitung FP Keluar November 2023.xlsx]Invoice'!$D:$D</v>
      </c>
      <c r="W3" s="3" t="str">
        <f>"'"&amp;pointer&amp;"'"&amp;"!$"&amp;1:1&amp;":$"&amp;1:1</f>
        <v>'[11-Hitung FP Keluar November 2023.xlsx]Invoice'!$K:$K</v>
      </c>
      <c r="X3" s="3" t="str">
        <f>"'"&amp;pointer&amp;"'"&amp;"!$"&amp;1:1&amp;":$"&amp;1:1</f>
        <v>'[11-Hitung FP Keluar November 2023.xlsx]Invoice'!$J:$J</v>
      </c>
    </row>
    <row r="4" spans="1:27" s="299" customFormat="1" x14ac:dyDescent="0.25">
      <c r="A4" s="299" t="s">
        <v>51</v>
      </c>
      <c r="B4" s="3"/>
      <c r="C4" s="3"/>
      <c r="D4" s="299" t="s">
        <v>14</v>
      </c>
      <c r="E4" s="299" t="s">
        <v>1</v>
      </c>
      <c r="F4" s="300" t="s">
        <v>2</v>
      </c>
      <c r="G4" s="299" t="s">
        <v>3</v>
      </c>
      <c r="H4" s="299" t="s">
        <v>4</v>
      </c>
      <c r="I4" s="301" t="s">
        <v>48</v>
      </c>
      <c r="J4" s="301" t="s">
        <v>53</v>
      </c>
      <c r="K4" s="301" t="s">
        <v>47</v>
      </c>
      <c r="L4" s="301" t="s">
        <v>49</v>
      </c>
      <c r="M4" s="301" t="s">
        <v>50</v>
      </c>
      <c r="N4" s="302" t="s">
        <v>54</v>
      </c>
      <c r="O4" s="302" t="s">
        <v>55</v>
      </c>
      <c r="P4" s="302" t="s">
        <v>120</v>
      </c>
      <c r="Q4" s="302"/>
      <c r="R4" s="299" t="s">
        <v>15</v>
      </c>
      <c r="S4" s="303" t="s">
        <v>119</v>
      </c>
      <c r="T4" s="299" t="s">
        <v>1</v>
      </c>
      <c r="U4" s="299" t="s">
        <v>3</v>
      </c>
      <c r="V4" s="299" t="s">
        <v>2</v>
      </c>
      <c r="W4" s="299" t="s">
        <v>50</v>
      </c>
      <c r="X4" s="299" t="s">
        <v>54</v>
      </c>
      <c r="Z4" s="299" t="s">
        <v>26</v>
      </c>
      <c r="AA4" s="301">
        <f ca="1">SUM(pajak[Total Invoice])</f>
        <v>76144228</v>
      </c>
    </row>
    <row r="5" spans="1:27" x14ac:dyDescent="0.25">
      <c r="A5" s="299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23110001</v>
      </c>
      <c r="F5" s="293">
        <f ca="1">IF(pajak[[#This Row],[//]]="","",INDEX(Table1[Tgl Invoice :],pajak[//]-offset))</f>
        <v>45232</v>
      </c>
      <c r="G5" s="3" t="str">
        <f ca="1">IF(pajak[[#This Row],[//]]="","",INDEX(Table1[Kode Sales :],pajak[//]-offset))</f>
        <v>KO 4680</v>
      </c>
      <c r="H5" s="3" t="str">
        <f ca="1">IF(pajak[[#This Row],[//]]="","",INDEX(Table1[Toko],pajak[//]-offset))</f>
        <v>CV TRINITY CENTRAAL PURWOKERTO</v>
      </c>
      <c r="I5" s="294">
        <f ca="1">IF(pajak[[#This Row],[//]]="","",SUMIF(Table1[h_id],pajak[[#This Row],[//]],Table1[h_hargasebelumdiskon]))</f>
        <v>750000</v>
      </c>
      <c r="J5" s="294">
        <f ca="1">IF(pajak[[#This Row],[//]]="","",SUMIF(Table1[h_id],pajak[[#This Row],[//]],Table1[h_diskon]))</f>
        <v>0</v>
      </c>
      <c r="K5" s="294">
        <f ca="1">IF(pajak[[#This Row],[//]]="","",SUMIF(Table1[h_id],pajak[[#This Row],[//]],Table1[h_hargasetelahdiskon]))</f>
        <v>750000</v>
      </c>
      <c r="L5" s="294">
        <f ca="1">IF(pajak[//]="","",pajak[[#This Row],[Sub Total]]/1.11*11%)</f>
        <v>74324.32432432432</v>
      </c>
      <c r="M5" s="294">
        <f ca="1">pajak[[#This Row],[Sub Total]]</f>
        <v>750000</v>
      </c>
      <c r="N5" s="295" t="str">
        <f ca="1">IF(pajak[[#This Row],[//]]="","",INDEX(Table1[pembuat nota :],pajak[//]-offset))</f>
        <v>NOVI / CONDRO</v>
      </c>
      <c r="O5" s="295" t="str">
        <f ca="1">IF(pajak[[#This Row],[//]]="","",IF(INDEX(Table1[edited :],pajak[//]-offset)="","",INDEX(Table1[edited :],pajak[//]-offset)))</f>
        <v/>
      </c>
      <c r="P5" s="294"/>
      <c r="R5" s="3" t="str">
        <f>Table4[[#Headers],[AM]]</f>
        <v>AM</v>
      </c>
      <c r="S5" s="3">
        <f t="shared" ref="S5:S36" si="1">S$3+ROW()-5</f>
        <v>23110001</v>
      </c>
      <c r="T5" s="296" t="e">
        <f ca="1">IF(Table4[[#This Row],[AM]]&amp;" "&amp;Table4[[#This Row],[---]]=INDIRECT("pajak[@["&amp;Table4[#Headers]&amp;"]]"),MATCH(Table4[[#This Row],[---]],INDIRECT($3:$3),0))</f>
        <v>#REF!</v>
      </c>
      <c r="U5" s="296" t="e">
        <f ca="1">IF((INDEX(INDIRECT($3:$3),Table4[[#This Row],[No. Invoice :]]+$2:$2))=INDIRECT("pajak[@["&amp;Table4[#Headers]&amp;"]]"),1)</f>
        <v>#REF!</v>
      </c>
      <c r="V5" s="296" t="e">
        <f ca="1">IF((INDEX(INDIRECT($3:$3),Table4[[#This Row],[No. Invoice :]]+$2:$2))=INDIRECT("pajak[@["&amp;Table4[#Headers]&amp;"]]"),1)</f>
        <v>#REF!</v>
      </c>
      <c r="W5" s="296" t="e">
        <f ca="1">IF((INDEX(INDIRECT($3:$3),Table4[[#This Row],[No. Invoice :]]+$2:$2))=INDIRECT("pajak[@["&amp;Table4[#Headers]&amp;"]]"),1)</f>
        <v>#REF!</v>
      </c>
      <c r="X5" s="296" t="e">
        <f ca="1">IF((INDEX(INDIRECT($3:$3),Table4[[#This Row],[No. Invoice :]]+$2:$2))=INDIRECT("pajak[@["&amp;Table4[#Headers]&amp;"]]"),1)</f>
        <v>#REF!</v>
      </c>
      <c r="Z5" s="3" t="s">
        <v>25</v>
      </c>
      <c r="AA5" s="294">
        <f ca="1">SUM(pajak[PPN 11%])</f>
        <v>7545824.3963963958</v>
      </c>
    </row>
    <row r="6" spans="1:27" x14ac:dyDescent="0.25">
      <c r="A6" s="299">
        <v>6</v>
      </c>
      <c r="D6" s="3">
        <f t="shared" ca="1" si="0"/>
        <v>6</v>
      </c>
      <c r="E6" s="3" t="str">
        <f ca="1">IF(pajak[[#This Row],[//]]="","",INDEX(Table1[No. Invoice :],pajak[//]-offset))</f>
        <v>AM 23110002</v>
      </c>
      <c r="F6" s="293">
        <f ca="1">IF(pajak[[#This Row],[//]]="","",INDEX(Table1[Tgl Invoice :],pajak[//]-offset))</f>
        <v>45232</v>
      </c>
      <c r="G6" s="3" t="str">
        <f ca="1">IF(pajak[[#This Row],[//]]="","",INDEX(Table1[Kode Sales :],pajak[//]-offset))</f>
        <v>KO 4682</v>
      </c>
      <c r="H6" s="3" t="str">
        <f ca="1">IF(pajak[[#This Row],[//]]="","",INDEX(Table1[Toko],pajak[//]-offset))</f>
        <v>CV PELITA JAYA (ANUGERAH SEJAHTERA) PURWOKERTO</v>
      </c>
      <c r="I6" s="294">
        <f ca="1">IF(pajak[[#This Row],[//]]="","",SUMIF(Table1[h_id],pajak[[#This Row],[//]],Table1[h_hargasebelumdiskon]))</f>
        <v>37670400</v>
      </c>
      <c r="J6" s="294">
        <f ca="1">IF(pajak[[#This Row],[//]]="","",SUMIF(Table1[h_id],pajak[[#This Row],[//]],Table1[h_diskon]))</f>
        <v>5085504</v>
      </c>
      <c r="K6" s="294">
        <f ca="1">IF(pajak[[#This Row],[//]]="","",SUMIF(Table1[h_id],pajak[[#This Row],[//]],Table1[h_hargasetelahdiskon]))</f>
        <v>32584896</v>
      </c>
      <c r="L6" s="294">
        <f ca="1">IF(pajak[//]="","",pajak[[#This Row],[Sub Total]]/1.11*11%)</f>
        <v>3229133.8378378376</v>
      </c>
      <c r="M6" s="294">
        <f ca="1">pajak[[#This Row],[Sub Total]]</f>
        <v>32584896</v>
      </c>
      <c r="N6" s="295" t="str">
        <f ca="1">IF(pajak[[#This Row],[//]]="","",INDEX(Table1[pembuat nota :],pajak[//]-offset))</f>
        <v>NOVI / CONDRO</v>
      </c>
      <c r="O6" s="295" t="str">
        <f ca="1">IF(pajak[[#This Row],[//]]="","",IF(INDEX(Table1[edited :],pajak[//]-offset)="","",INDEX(Table1[edited :],pajak[//]-offset)))</f>
        <v/>
      </c>
      <c r="P6" s="294"/>
      <c r="R6" s="3" t="str">
        <f>Table4[[#Headers],[AM]]</f>
        <v>AM</v>
      </c>
      <c r="S6" s="3">
        <f t="shared" si="1"/>
        <v>23110002</v>
      </c>
      <c r="T6" s="296" t="e">
        <f ca="1">IF(Table4[[#This Row],[AM]]&amp;" "&amp;Table4[[#This Row],[---]]=INDIRECT("pajak[@["&amp;Table4[#Headers]&amp;"]]"),MATCH(Table4[[#This Row],[---]],INDIRECT($3:$3),0))</f>
        <v>#REF!</v>
      </c>
      <c r="U6" s="296" t="e">
        <f ca="1">IF((INDEX(INDIRECT($3:$3),Table4[[#This Row],[No. Invoice :]]+$2:$2))=INDIRECT("pajak[@["&amp;Table4[#Headers]&amp;"]]"),1)</f>
        <v>#REF!</v>
      </c>
      <c r="V6" s="296" t="e">
        <f ca="1">IF((INDEX(INDIRECT($3:$3),Table4[[#This Row],[No. Invoice :]]+$2:$2))=INDIRECT("pajak[@["&amp;Table4[#Headers]&amp;"]]"),1)</f>
        <v>#REF!</v>
      </c>
      <c r="W6" s="296" t="e">
        <f ca="1">IF((INDEX(INDIRECT($3:$3),Table4[[#This Row],[No. Invoice :]]+$2:$2))=INDIRECT("pajak[@["&amp;Table4[#Headers]&amp;"]]"),1)</f>
        <v>#REF!</v>
      </c>
      <c r="X6" s="304" t="e">
        <f ca="1">IF((INDEX(INDIRECT($3:$3),Table4[[#This Row],[No. Invoice :]]+$2:$2))=INDIRECT("pajak[@["&amp;Table4[#Headers]&amp;"]]"),1)</f>
        <v>#REF!</v>
      </c>
      <c r="AA6" s="294">
        <f ca="1">(AA4/1.11)*11%</f>
        <v>7545824.3963963958</v>
      </c>
    </row>
    <row r="7" spans="1:27" x14ac:dyDescent="0.25">
      <c r="A7" s="299">
        <v>11</v>
      </c>
      <c r="D7" s="3">
        <f t="shared" ca="1" si="0"/>
        <v>11</v>
      </c>
      <c r="E7" s="3" t="str">
        <f ca="1">IF(pajak[[#This Row],[//]]="","",INDEX(Table1[No. Invoice :],pajak[//]-offset))</f>
        <v>AM 23110003</v>
      </c>
      <c r="F7" s="293">
        <f ca="1">IF(pajak[[#This Row],[//]]="","",INDEX(Table1[Tgl Invoice :],pajak[//]-offset))</f>
        <v>45232</v>
      </c>
      <c r="G7" s="3" t="str">
        <f ca="1">IF(pajak[[#This Row],[//]]="","",INDEX(Table1[Kode Sales :],pajak[//]-offset))</f>
        <v>KO 4686</v>
      </c>
      <c r="H7" s="3" t="str">
        <f ca="1">IF(pajak[[#This Row],[//]]="","",INDEX(Table1[Toko],pajak[//]-offset))</f>
        <v>CV PELITA JAYA (ANUGERAH SEJAHTERA) PURWOKERTO</v>
      </c>
      <c r="I7" s="294">
        <f ca="1">IF(pajak[[#This Row],[//]]="","",SUMIF(Table1[h_id],pajak[[#This Row],[//]],Table1[h_hargasebelumdiskon]))</f>
        <v>1464000</v>
      </c>
      <c r="J7" s="294">
        <f ca="1">IF(pajak[[#This Row],[//]]="","",SUMIF(Table1[h_id],pajak[[#This Row],[//]],Table1[h_diskon]))</f>
        <v>197640</v>
      </c>
      <c r="K7" s="294">
        <f ca="1">IF(pajak[[#This Row],[//]]="","",SUMIF(Table1[h_id],pajak[[#This Row],[//]],Table1[h_hargasetelahdiskon]))</f>
        <v>1266360</v>
      </c>
      <c r="L7" s="294">
        <f ca="1">IF(pajak[//]="","",pajak[[#This Row],[Sub Total]]/1.11*11%)</f>
        <v>125495.13513513513</v>
      </c>
      <c r="M7" s="294">
        <f ca="1">pajak[[#This Row],[Sub Total]]</f>
        <v>1266360</v>
      </c>
      <c r="N7" s="295" t="str">
        <f ca="1">IF(pajak[[#This Row],[//]]="","",INDEX(Table1[pembuat nota :],pajak[//]-offset))</f>
        <v>NOVI / CONDRO</v>
      </c>
      <c r="O7" s="295" t="str">
        <f ca="1">IF(pajak[[#This Row],[//]]="","",IF(INDEX(Table1[edited :],pajak[//]-offset)="","",INDEX(Table1[edited :],pajak[//]-offset)))</f>
        <v/>
      </c>
      <c r="P7" s="294"/>
      <c r="R7" s="3" t="str">
        <f>Table4[[#Headers],[AM]]</f>
        <v>AM</v>
      </c>
      <c r="S7" s="3">
        <f t="shared" si="1"/>
        <v>23110003</v>
      </c>
      <c r="T7" s="296" t="e">
        <f ca="1">IF(Table4[[#This Row],[AM]]&amp;" "&amp;Table4[[#This Row],[---]]=INDIRECT("pajak[@["&amp;Table4[#Headers]&amp;"]]"),MATCH(Table4[[#This Row],[---]],INDIRECT($3:$3),0))</f>
        <v>#REF!</v>
      </c>
      <c r="U7" s="296" t="e">
        <f ca="1">IF((INDEX(INDIRECT($3:$3),Table4[[#This Row],[No. Invoice :]]+$2:$2))=INDIRECT("pajak[@["&amp;Table4[#Headers]&amp;"]]"),1)</f>
        <v>#REF!</v>
      </c>
      <c r="V7" s="296" t="e">
        <f ca="1">IF((INDEX(INDIRECT($3:$3),Table4[[#This Row],[No. Invoice :]]+$2:$2))=INDIRECT("pajak[@["&amp;Table4[#Headers]&amp;"]]"),1)</f>
        <v>#REF!</v>
      </c>
      <c r="W7" s="296" t="e">
        <f ca="1">IF((INDEX(INDIRECT($3:$3),Table4[[#This Row],[No. Invoice :]]+$2:$2))=INDIRECT("pajak[@["&amp;Table4[#Headers]&amp;"]]"),1)</f>
        <v>#REF!</v>
      </c>
      <c r="X7" s="304" t="e">
        <f ca="1">IF((INDEX(INDIRECT($3:$3),Table4[[#This Row],[No. Invoice :]]+$2:$2))=INDIRECT("pajak[@["&amp;Table4[#Headers]&amp;"]]"),1)</f>
        <v>#REF!</v>
      </c>
    </row>
    <row r="8" spans="1:27" x14ac:dyDescent="0.25">
      <c r="A8" s="299">
        <v>13</v>
      </c>
      <c r="D8" s="3">
        <f t="shared" ca="1" si="0"/>
        <v>13</v>
      </c>
      <c r="E8" s="3" t="str">
        <f ca="1">IF(pajak[[#This Row],[//]]="","",INDEX(Table1[No. Invoice :],pajak[//]-offset))</f>
        <v>AM 23110004</v>
      </c>
      <c r="F8" s="293">
        <f ca="1">IF(pajak[[#This Row],[//]]="","",INDEX(Table1[Tgl Invoice :],pajak[//]-offset))</f>
        <v>45234</v>
      </c>
      <c r="G8" s="3" t="str">
        <f ca="1">IF(pajak[[#This Row],[//]]="","",INDEX(Table1[Kode Sales :],pajak[//]-offset))</f>
        <v>G 4689</v>
      </c>
      <c r="H8" s="3" t="str">
        <f ca="1">IF(pajak[[#This Row],[//]]="","",INDEX(Table1[Toko],pajak[//]-offset))</f>
        <v>LILY JULIAWATI (REJO AGUNG) JOMBANG</v>
      </c>
      <c r="I8" s="294">
        <f ca="1">IF(pajak[[#This Row],[//]]="","",SUMIF(Table1[h_id],pajak[[#This Row],[//]],Table1[h_hargasebelumdiskon]))</f>
        <v>2050000</v>
      </c>
      <c r="J8" s="294">
        <f ca="1">IF(pajak[[#This Row],[//]]="","",SUMIF(Table1[h_id],pajak[[#This Row],[//]],Table1[h_diskon]))</f>
        <v>256250</v>
      </c>
      <c r="K8" s="294">
        <f ca="1">IF(pajak[[#This Row],[//]]="","",SUMIF(Table1[h_id],pajak[[#This Row],[//]],Table1[h_hargasetelahdiskon]))</f>
        <v>1793750</v>
      </c>
      <c r="L8" s="294">
        <f ca="1">IF(pajak[//]="","",pajak[[#This Row],[Sub Total]]/1.11*11%)</f>
        <v>177759.00900900899</v>
      </c>
      <c r="M8" s="294">
        <f ca="1">pajak[[#This Row],[Sub Total]]</f>
        <v>1793750</v>
      </c>
      <c r="N8" s="295" t="str">
        <f ca="1">IF(pajak[[#This Row],[//]]="","",INDEX(Table1[pembuat nota :],pajak[//]-offset))</f>
        <v>NOVI / CONDRO</v>
      </c>
      <c r="O8" s="295" t="str">
        <f ca="1">IF(pajak[[#This Row],[//]]="","",IF(INDEX(Table1[edited :],pajak[//]-offset)="","",INDEX(Table1[edited :],pajak[//]-offset)))</f>
        <v/>
      </c>
      <c r="P8" s="294"/>
      <c r="R8" s="3" t="str">
        <f>Table4[[#Headers],[AM]]</f>
        <v>AM</v>
      </c>
      <c r="S8" s="3">
        <f t="shared" si="1"/>
        <v>23110004</v>
      </c>
      <c r="T8" s="296" t="e">
        <f ca="1">IF(Table4[[#This Row],[AM]]&amp;" "&amp;Table4[[#This Row],[---]]=INDIRECT("pajak[@["&amp;Table4[#Headers]&amp;"]]"),MATCH(Table4[[#This Row],[---]],INDIRECT($3:$3),0))</f>
        <v>#REF!</v>
      </c>
      <c r="U8" s="296" t="e">
        <f ca="1">IF((INDEX(INDIRECT($3:$3),Table4[[#This Row],[No. Invoice :]]+$2:$2))=INDIRECT("pajak[@["&amp;Table4[#Headers]&amp;"]]"),1)</f>
        <v>#REF!</v>
      </c>
      <c r="V8" s="296" t="e">
        <f ca="1">IF((INDEX(INDIRECT($3:$3),Table4[[#This Row],[No. Invoice :]]+$2:$2))=INDIRECT("pajak[@["&amp;Table4[#Headers]&amp;"]]"),1)</f>
        <v>#REF!</v>
      </c>
      <c r="W8" s="296" t="e">
        <f ca="1">IF((INDEX(INDIRECT($3:$3),Table4[[#This Row],[No. Invoice :]]+$2:$2))=INDIRECT("pajak[@["&amp;Table4[#Headers]&amp;"]]"),1)</f>
        <v>#REF!</v>
      </c>
      <c r="X8" s="304" t="e">
        <f ca="1">IF((INDEX(INDIRECT($3:$3),Table4[[#This Row],[No. Invoice :]]+$2:$2))=INDIRECT("pajak[@["&amp;Table4[#Headers]&amp;"]]"),1)</f>
        <v>#REF!</v>
      </c>
    </row>
    <row r="9" spans="1:27" x14ac:dyDescent="0.25">
      <c r="A9" s="299">
        <v>15</v>
      </c>
      <c r="D9" s="3">
        <f t="shared" ca="1" si="0"/>
        <v>15</v>
      </c>
      <c r="E9" s="3" t="str">
        <f ca="1">IF(pajak[[#This Row],[//]]="","",INDEX(Table1[No. Invoice :],pajak[//]-offset))</f>
        <v>AM 23110005</v>
      </c>
      <c r="F9" s="293">
        <f ca="1">IF(pajak[[#This Row],[//]]="","",INDEX(Table1[Tgl Invoice :],pajak[//]-offset))</f>
        <v>45236</v>
      </c>
      <c r="G9" s="3" t="str">
        <f ca="1">IF(pajak[[#This Row],[//]]="","",INDEX(Table1[Kode Sales :],pajak[//]-offset))</f>
        <v>KO 4693</v>
      </c>
      <c r="H9" s="3" t="str">
        <f ca="1">IF(pajak[[#This Row],[//]]="","",INDEX(Table1[Toko],pajak[//]-offset))</f>
        <v>CV GANESHA WONOSOBO</v>
      </c>
      <c r="I9" s="294">
        <f ca="1">IF(pajak[[#This Row],[//]]="","",SUMIF(Table1[h_id],pajak[[#This Row],[//]],Table1[h_hargasebelumdiskon]))</f>
        <v>985200</v>
      </c>
      <c r="J9" s="294">
        <f ca="1">IF(pajak[[#This Row],[//]]="","",SUMIF(Table1[h_id],pajak[[#This Row],[//]],Table1[h_diskon]))</f>
        <v>98520</v>
      </c>
      <c r="K9" s="294">
        <f ca="1">IF(pajak[[#This Row],[//]]="","",SUMIF(Table1[h_id],pajak[[#This Row],[//]],Table1[h_hargasetelahdiskon]))</f>
        <v>886680</v>
      </c>
      <c r="L9" s="294">
        <f ca="1">IF(pajak[//]="","",pajak[[#This Row],[Sub Total]]/1.11*11%)</f>
        <v>87869.189189189186</v>
      </c>
      <c r="M9" s="294">
        <f ca="1">pajak[[#This Row],[Sub Total]]</f>
        <v>886680</v>
      </c>
      <c r="N9" s="295" t="str">
        <f ca="1">IF(pajak[[#This Row],[//]]="","",INDEX(Table1[pembuat nota :],pajak[//]-offset))</f>
        <v>NOVI / CONDRO</v>
      </c>
      <c r="O9" s="295" t="str">
        <f ca="1">IF(pajak[[#This Row],[//]]="","",IF(INDEX(Table1[edited :],pajak[//]-offset)="","",INDEX(Table1[edited :],pajak[//]-offset)))</f>
        <v/>
      </c>
      <c r="P9" s="294"/>
      <c r="R9" s="3" t="str">
        <f>Table4[[#Headers],[AM]]</f>
        <v>AM</v>
      </c>
      <c r="S9" s="3">
        <f t="shared" si="1"/>
        <v>23110005</v>
      </c>
      <c r="T9" s="296" t="e">
        <f ca="1">IF(Table4[[#This Row],[AM]]&amp;" "&amp;Table4[[#This Row],[---]]=INDIRECT("pajak[@["&amp;Table4[#Headers]&amp;"]]"),MATCH(Table4[[#This Row],[---]],INDIRECT($3:$3),0))</f>
        <v>#REF!</v>
      </c>
      <c r="U9" s="296" t="e">
        <f ca="1">IF((INDEX(INDIRECT($3:$3),Table4[[#This Row],[No. Invoice :]]+$2:$2))=INDIRECT("pajak[@["&amp;Table4[#Headers]&amp;"]]"),1)</f>
        <v>#REF!</v>
      </c>
      <c r="V9" s="296" t="e">
        <f ca="1">IF((INDEX(INDIRECT($3:$3),Table4[[#This Row],[No. Invoice :]]+$2:$2))=INDIRECT("pajak[@["&amp;Table4[#Headers]&amp;"]]"),1)</f>
        <v>#REF!</v>
      </c>
      <c r="W9" s="296" t="e">
        <f ca="1">IF((INDEX(INDIRECT($3:$3),Table4[[#This Row],[No. Invoice :]]+$2:$2))=INDIRECT("pajak[@["&amp;Table4[#Headers]&amp;"]]"),1)</f>
        <v>#REF!</v>
      </c>
      <c r="X9" s="304" t="e">
        <f ca="1">IF((INDEX(INDIRECT($3:$3),Table4[[#This Row],[No. Invoice :]]+$2:$2))=INDIRECT("pajak[@["&amp;Table4[#Headers]&amp;"]]"),1)</f>
        <v>#REF!</v>
      </c>
    </row>
    <row r="10" spans="1:27" x14ac:dyDescent="0.25">
      <c r="A10" s="299">
        <v>19</v>
      </c>
      <c r="D10" s="3">
        <f t="shared" ca="1" si="0"/>
        <v>19</v>
      </c>
      <c r="E10" s="3" t="str">
        <f ca="1">IF(pajak[[#This Row],[//]]="","",INDEX(Table1[No. Invoice :],pajak[//]-offset))</f>
        <v>AM 23110006</v>
      </c>
      <c r="F10" s="293">
        <f ca="1">IF(pajak[[#This Row],[//]]="","",INDEX(Table1[Tgl Invoice :],pajak[//]-offset))</f>
        <v>45236</v>
      </c>
      <c r="G10" s="3" t="str">
        <f ca="1">IF(pajak[[#This Row],[//]]="","",INDEX(Table1[Kode Sales :],pajak[//]-offset))</f>
        <v>KO 4694</v>
      </c>
      <c r="H10" s="3" t="str">
        <f ca="1">IF(pajak[[#This Row],[//]]="","",INDEX(Table1[Toko],pajak[//]-offset))</f>
        <v>CV TRINITY CENTRAAL PURWOKERTO</v>
      </c>
      <c r="I10" s="294">
        <f ca="1">IF(pajak[[#This Row],[//]]="","",SUMIF(Table1[h_id],pajak[[#This Row],[//]],Table1[h_hargasebelumdiskon]))</f>
        <v>760000</v>
      </c>
      <c r="J10" s="294">
        <f ca="1">IF(pajak[[#This Row],[//]]="","",SUMIF(Table1[h_id],pajak[[#This Row],[//]],Table1[h_diskon]))</f>
        <v>0</v>
      </c>
      <c r="K10" s="294">
        <f ca="1">IF(pajak[[#This Row],[//]]="","",SUMIF(Table1[h_id],pajak[[#This Row],[//]],Table1[h_hargasetelahdiskon]))</f>
        <v>760000</v>
      </c>
      <c r="L10" s="294">
        <f ca="1">IF(pajak[//]="","",pajak[[#This Row],[Sub Total]]/1.11*11%)</f>
        <v>75315.315315315311</v>
      </c>
      <c r="M10" s="294">
        <f ca="1">pajak[[#This Row],[Sub Total]]</f>
        <v>760000</v>
      </c>
      <c r="N10" s="295" t="str">
        <f ca="1">IF(pajak[[#This Row],[//]]="","",INDEX(Table1[pembuat nota :],pajak[//]-offset))</f>
        <v>NOVI / CONDRO</v>
      </c>
      <c r="O10" s="295" t="str">
        <f ca="1">IF(pajak[[#This Row],[//]]="","",IF(INDEX(Table1[edited :],pajak[//]-offset)="","",INDEX(Table1[edited :],pajak[//]-offset)))</f>
        <v/>
      </c>
      <c r="P10" s="294"/>
      <c r="R10" s="3" t="str">
        <f>Table4[[#Headers],[AM]]</f>
        <v>AM</v>
      </c>
      <c r="S10" s="3">
        <f t="shared" si="1"/>
        <v>23110006</v>
      </c>
      <c r="T10" s="296" t="e">
        <f ca="1">IF(Table4[[#This Row],[AM]]&amp;" "&amp;Table4[[#This Row],[---]]=INDIRECT("pajak[@["&amp;Table4[#Headers]&amp;"]]"),MATCH(Table4[[#This Row],[---]],INDIRECT($3:$3),0))</f>
        <v>#REF!</v>
      </c>
      <c r="U10" s="296" t="e">
        <f ca="1">IF((INDEX(INDIRECT($3:$3),Table4[[#This Row],[No. Invoice :]]+$2:$2))=INDIRECT("pajak[@["&amp;Table4[#Headers]&amp;"]]"),1)</f>
        <v>#REF!</v>
      </c>
      <c r="V10" s="296" t="e">
        <f ca="1">IF((INDEX(INDIRECT($3:$3),Table4[[#This Row],[No. Invoice :]]+$2:$2))=INDIRECT("pajak[@["&amp;Table4[#Headers]&amp;"]]"),1)</f>
        <v>#REF!</v>
      </c>
      <c r="W10" s="296" t="e">
        <f ca="1">IF((INDEX(INDIRECT($3:$3),Table4[[#This Row],[No. Invoice :]]+$2:$2))=INDIRECT("pajak[@["&amp;Table4[#Headers]&amp;"]]"),1)</f>
        <v>#REF!</v>
      </c>
      <c r="X10" s="304" t="e">
        <f ca="1">IF((INDEX(INDIRECT($3:$3),Table4[[#This Row],[No. Invoice :]]+$2:$2))=INDIRECT("pajak[@["&amp;Table4[#Headers]&amp;"]]"),1)</f>
        <v>#REF!</v>
      </c>
    </row>
    <row r="11" spans="1:27" x14ac:dyDescent="0.25">
      <c r="A11" s="299">
        <v>21</v>
      </c>
      <c r="D11" s="3">
        <f t="shared" ca="1" si="0"/>
        <v>21</v>
      </c>
      <c r="E11" s="3" t="str">
        <f ca="1">IF(pajak[[#This Row],[//]]="","",INDEX(Table1[No. Invoice :],pajak[//]-offset))</f>
        <v>AM 23110007</v>
      </c>
      <c r="F11" s="293">
        <f ca="1">IF(pajak[[#This Row],[//]]="","",INDEX(Table1[Tgl Invoice :],pajak[//]-offset))</f>
        <v>45236</v>
      </c>
      <c r="G11" s="3" t="str">
        <f ca="1">IF(pajak[[#This Row],[//]]="","",INDEX(Table1[Kode Sales :],pajak[//]-offset))</f>
        <v>KO 4758</v>
      </c>
      <c r="H11" s="3" t="str">
        <f ca="1">IF(pajak[[#This Row],[//]]="","",INDEX(Table1[Toko],pajak[//]-offset))</f>
        <v>CV PELITA JAYA (ANUGERAH SEJAHTERA) PURWOKERTO</v>
      </c>
      <c r="I11" s="294">
        <f ca="1">IF(pajak[[#This Row],[//]]="","",SUMIF(Table1[h_id],pajak[[#This Row],[//]],Table1[h_hargasebelumdiskon]))</f>
        <v>19789400</v>
      </c>
      <c r="J11" s="294">
        <f ca="1">IF(pajak[[#This Row],[//]]="","",SUMIF(Table1[h_id],pajak[[#This Row],[//]],Table1[h_diskon]))</f>
        <v>2671569</v>
      </c>
      <c r="K11" s="294">
        <f ca="1">IF(pajak[[#This Row],[//]]="","",SUMIF(Table1[h_id],pajak[[#This Row],[//]],Table1[h_hargasetelahdiskon]))</f>
        <v>17117831</v>
      </c>
      <c r="L11" s="294">
        <f ca="1">IF(pajak[//]="","",pajak[[#This Row],[Sub Total]]/1.11*11%)</f>
        <v>1696361.6306306303</v>
      </c>
      <c r="M11" s="294">
        <f ca="1">pajak[[#This Row],[Sub Total]]</f>
        <v>17117831</v>
      </c>
      <c r="N11" s="295" t="str">
        <f ca="1">IF(pajak[[#This Row],[//]]="","",INDEX(Table1[pembuat nota :],pajak[//]-offset))</f>
        <v>NOVI / CONDRO</v>
      </c>
      <c r="O11" s="295" t="str">
        <f ca="1">IF(pajak[[#This Row],[//]]="","",IF(INDEX(Table1[edited :],pajak[//]-offset)="","",INDEX(Table1[edited :],pajak[//]-offset)))</f>
        <v/>
      </c>
      <c r="P11" s="294"/>
      <c r="R11" s="3" t="str">
        <f>Table4[[#Headers],[AM]]</f>
        <v>AM</v>
      </c>
      <c r="S11" s="3">
        <f t="shared" si="1"/>
        <v>23110007</v>
      </c>
      <c r="T11" s="296" t="e">
        <f ca="1">IF(Table4[[#This Row],[AM]]&amp;" "&amp;Table4[[#This Row],[---]]=INDIRECT("pajak[@["&amp;Table4[#Headers]&amp;"]]"),MATCH(Table4[[#This Row],[---]],INDIRECT($3:$3),0))</f>
        <v>#REF!</v>
      </c>
      <c r="U11" s="296" t="e">
        <f ca="1">IF((INDEX(INDIRECT($3:$3),Table4[[#This Row],[No. Invoice :]]+$2:$2))=INDIRECT("pajak[@["&amp;Table4[#Headers]&amp;"]]"),1)</f>
        <v>#REF!</v>
      </c>
      <c r="V11" s="296" t="e">
        <f ca="1">IF((INDEX(INDIRECT($3:$3),Table4[[#This Row],[No. Invoice :]]+$2:$2))=INDIRECT("pajak[@["&amp;Table4[#Headers]&amp;"]]"),1)</f>
        <v>#REF!</v>
      </c>
      <c r="W11" s="296" t="e">
        <f ca="1">IF((INDEX(INDIRECT($3:$3),Table4[[#This Row],[No. Invoice :]]+$2:$2))=INDIRECT("pajak[@["&amp;Table4[#Headers]&amp;"]]"),1)</f>
        <v>#REF!</v>
      </c>
      <c r="X11" s="304" t="e">
        <f ca="1">IF((INDEX(INDIRECT($3:$3),Table4[[#This Row],[No. Invoice :]]+$2:$2))=INDIRECT("pajak[@["&amp;Table4[#Headers]&amp;"]]"),1)</f>
        <v>#REF!</v>
      </c>
    </row>
    <row r="12" spans="1:27" x14ac:dyDescent="0.25">
      <c r="A12" s="299">
        <v>25</v>
      </c>
      <c r="D12" s="3">
        <f t="shared" ca="1" si="0"/>
        <v>25</v>
      </c>
      <c r="E12" s="3" t="str">
        <f ca="1">IF(pajak[[#This Row],[//]]="","",INDEX(Table1[No. Invoice :],pajak[//]-offset))</f>
        <v>AM 23110008</v>
      </c>
      <c r="F12" s="293">
        <f ca="1">IF(pajak[[#This Row],[//]]="","",INDEX(Table1[Tgl Invoice :],pajak[//]-offset))</f>
        <v>45236</v>
      </c>
      <c r="G12" s="3" t="str">
        <f ca="1">IF(pajak[[#This Row],[//]]="","",INDEX(Table1[Kode Sales :],pajak[//]-offset))</f>
        <v>G 4755</v>
      </c>
      <c r="H12" s="3" t="str">
        <f ca="1">IF(pajak[[#This Row],[//]]="","",INDEX(Table1[Toko],pajak[//]-offset))</f>
        <v>LILY JULIAWATI (REJO AGUNG) JOMBANG</v>
      </c>
      <c r="I12" s="294">
        <f ca="1">IF(pajak[[#This Row],[//]]="","",SUMIF(Table1[h_id],pajak[[#This Row],[//]],Table1[h_hargasebelumdiskon]))</f>
        <v>4074000</v>
      </c>
      <c r="J12" s="294">
        <f ca="1">IF(pajak[[#This Row],[//]]="","",SUMIF(Table1[h_id],pajak[[#This Row],[//]],Table1[h_diskon]))</f>
        <v>509250</v>
      </c>
      <c r="K12" s="294">
        <f ca="1">IF(pajak[[#This Row],[//]]="","",SUMIF(Table1[h_id],pajak[[#This Row],[//]],Table1[h_hargasetelahdiskon]))</f>
        <v>3564750</v>
      </c>
      <c r="L12" s="294">
        <f ca="1">IF(pajak[//]="","",pajak[[#This Row],[Sub Total]]/1.11*11%)</f>
        <v>353263.51351351349</v>
      </c>
      <c r="M12" s="294">
        <f ca="1">pajak[[#This Row],[Sub Total]]</f>
        <v>3564750</v>
      </c>
      <c r="N12" s="295" t="str">
        <f ca="1">IF(pajak[[#This Row],[//]]="","",INDEX(Table1[pembuat nota :],pajak[//]-offset))</f>
        <v>NOVI / CONDRO</v>
      </c>
      <c r="O12" s="295" t="str">
        <f ca="1">IF(pajak[[#This Row],[//]]="","",IF(INDEX(Table1[edited :],pajak[//]-offset)="","",INDEX(Table1[edited :],pajak[//]-offset)))</f>
        <v/>
      </c>
      <c r="P12" s="294"/>
      <c r="R12" s="3" t="str">
        <f>Table4[[#Headers],[AM]]</f>
        <v>AM</v>
      </c>
      <c r="S12" s="3">
        <f t="shared" si="1"/>
        <v>23110008</v>
      </c>
      <c r="T12" s="296" t="e">
        <f ca="1">IF(Table4[[#This Row],[AM]]&amp;" "&amp;Table4[[#This Row],[---]]=INDIRECT("pajak[@["&amp;Table4[#Headers]&amp;"]]"),MATCH(Table4[[#This Row],[---]],INDIRECT($3:$3),0))</f>
        <v>#REF!</v>
      </c>
      <c r="U12" s="296" t="e">
        <f ca="1">IF((INDEX(INDIRECT($3:$3),Table4[[#This Row],[No. Invoice :]]+$2:$2))=INDIRECT("pajak[@["&amp;Table4[#Headers]&amp;"]]"),1)</f>
        <v>#REF!</v>
      </c>
      <c r="V12" s="296" t="e">
        <f ca="1">IF((INDEX(INDIRECT($3:$3),Table4[[#This Row],[No. Invoice :]]+$2:$2))=INDIRECT("pajak[@["&amp;Table4[#Headers]&amp;"]]"),1)</f>
        <v>#REF!</v>
      </c>
      <c r="W12" s="296" t="e">
        <f ca="1">IF((INDEX(INDIRECT($3:$3),Table4[[#This Row],[No. Invoice :]]+$2:$2))=INDIRECT("pajak[@["&amp;Table4[#Headers]&amp;"]]"),1)</f>
        <v>#REF!</v>
      </c>
      <c r="X12" s="304" t="e">
        <f ca="1">IF((INDEX(INDIRECT($3:$3),Table4[[#This Row],[No. Invoice :]]+$2:$2))=INDIRECT("pajak[@["&amp;Table4[#Headers]&amp;"]]"),1)</f>
        <v>#REF!</v>
      </c>
    </row>
    <row r="13" spans="1:27" x14ac:dyDescent="0.25">
      <c r="A13" s="299">
        <v>28</v>
      </c>
      <c r="D13" s="3">
        <f t="shared" ca="1" si="0"/>
        <v>28</v>
      </c>
      <c r="E13" s="3" t="str">
        <f ca="1">IF(pajak[[#This Row],[//]]="","",INDEX(Table1[No. Invoice :],pajak[//]-offset))</f>
        <v>AM 23110009</v>
      </c>
      <c r="F13" s="293">
        <f ca="1">IF(pajak[[#This Row],[//]]="","",INDEX(Table1[Tgl Invoice :],pajak[//]-offset))</f>
        <v>45238</v>
      </c>
      <c r="G13" s="3" t="str">
        <f ca="1">IF(pajak[[#This Row],[//]]="","",INDEX(Table1[Kode Sales :],pajak[//]-offset))</f>
        <v>G 4763</v>
      </c>
      <c r="H13" s="3" t="str">
        <f ca="1">IF(pajak[[#This Row],[//]]="","",INDEX(Table1[Toko],pajak[//]-offset))</f>
        <v>LILY JULIAWATI (REJO AGUNG) JOMBANG</v>
      </c>
      <c r="I13" s="294">
        <f ca="1">IF(pajak[[#This Row],[//]]="","",SUMIF(Table1[h_id],pajak[[#This Row],[//]],Table1[h_hargasebelumdiskon]))</f>
        <v>1554000</v>
      </c>
      <c r="J13" s="294">
        <f ca="1">IF(pajak[[#This Row],[//]]="","",SUMIF(Table1[h_id],pajak[[#This Row],[//]],Table1[h_diskon]))</f>
        <v>194250</v>
      </c>
      <c r="K13" s="294">
        <f ca="1">IF(pajak[[#This Row],[//]]="","",SUMIF(Table1[h_id],pajak[[#This Row],[//]],Table1[h_hargasetelahdiskon]))</f>
        <v>1359750</v>
      </c>
      <c r="L13" s="294">
        <f ca="1">IF(pajak[//]="","",pajak[[#This Row],[Sub Total]]/1.11*11%)</f>
        <v>134750</v>
      </c>
      <c r="M13" s="294">
        <f ca="1">pajak[[#This Row],[Sub Total]]</f>
        <v>1359750</v>
      </c>
      <c r="N13" s="295" t="str">
        <f ca="1">IF(pajak[[#This Row],[//]]="","",INDEX(Table1[pembuat nota :],pajak[//]-offset))</f>
        <v>LENA / YO</v>
      </c>
      <c r="O13" s="295" t="str">
        <f ca="1">IF(pajak[[#This Row],[//]]="","",IF(INDEX(Table1[edited :],pajak[//]-offset)="","",INDEX(Table1[edited :],pajak[//]-offset)))</f>
        <v/>
      </c>
      <c r="P13" s="294"/>
      <c r="R13" s="3" t="str">
        <f>Table4[[#Headers],[AM]]</f>
        <v>AM</v>
      </c>
      <c r="S13" s="3">
        <f t="shared" si="1"/>
        <v>23110009</v>
      </c>
      <c r="T13" s="296" t="e">
        <f ca="1">IF(Table4[[#This Row],[AM]]&amp;" "&amp;Table4[[#This Row],[---]]=INDIRECT("pajak[@["&amp;Table4[#Headers]&amp;"]]"),MATCH(Table4[[#This Row],[---]],INDIRECT($3:$3),0))</f>
        <v>#REF!</v>
      </c>
      <c r="U13" s="296" t="e">
        <f ca="1">IF((INDEX(INDIRECT($3:$3),Table4[[#This Row],[No. Invoice :]]+$2:$2))=INDIRECT("pajak[@["&amp;Table4[#Headers]&amp;"]]"),1)</f>
        <v>#REF!</v>
      </c>
      <c r="V13" s="296" t="e">
        <f ca="1">IF((INDEX(INDIRECT($3:$3),Table4[[#This Row],[No. Invoice :]]+$2:$2))=INDIRECT("pajak[@["&amp;Table4[#Headers]&amp;"]]"),1)</f>
        <v>#REF!</v>
      </c>
      <c r="W13" s="296" t="e">
        <f ca="1">IF((INDEX(INDIRECT($3:$3),Table4[[#This Row],[No. Invoice :]]+$2:$2))=INDIRECT("pajak[@["&amp;Table4[#Headers]&amp;"]]"),1)</f>
        <v>#REF!</v>
      </c>
      <c r="X13" s="304" t="e">
        <f ca="1">IF((INDEX(INDIRECT($3:$3),Table4[[#This Row],[No. Invoice :]]+$2:$2))=INDIRECT("pajak[@["&amp;Table4[#Headers]&amp;"]]"),1)</f>
        <v>#REF!</v>
      </c>
    </row>
    <row r="14" spans="1:27" x14ac:dyDescent="0.25">
      <c r="A14" s="299">
        <v>30</v>
      </c>
      <c r="D14" s="295">
        <f t="shared" ca="1" si="0"/>
        <v>30</v>
      </c>
      <c r="E14" s="3" t="str">
        <f ca="1">IF(pajak[[#This Row],[//]]="","",INDEX(Table1[No. Invoice :],pajak[//]-offset))</f>
        <v>AM 23110010</v>
      </c>
      <c r="F14" s="293">
        <f ca="1">IF(pajak[[#This Row],[//]]="","",INDEX(Table1[Tgl Invoice :],pajak[//]-offset))</f>
        <v>45238</v>
      </c>
      <c r="G14" s="295" t="str">
        <f ca="1">IF(pajak[[#This Row],[//]]="","",INDEX(Table1[Kode Sales :],pajak[//]-offset))</f>
        <v>KO 4764</v>
      </c>
      <c r="H14" s="295" t="str">
        <f ca="1">IF(pajak[[#This Row],[//]]="","",INDEX(Table1[Toko],pajak[//]-offset))</f>
        <v>CV PELITA JAYA (ANUGERAH SEJAHTERA) PURWOKERTO</v>
      </c>
      <c r="I14" s="294">
        <f ca="1">IF(pajak[[#This Row],[//]]="","",SUMIF(Table1[h_id],pajak[[#This Row],[//]],Table1[h_hargasebelumdiskon]))</f>
        <v>1526400</v>
      </c>
      <c r="J14" s="294">
        <f ca="1">IF(pajak[[#This Row],[//]]="","",SUMIF(Table1[h_id],pajak[[#This Row],[//]],Table1[h_diskon]))</f>
        <v>206064</v>
      </c>
      <c r="K14" s="294">
        <f ca="1">IF(pajak[[#This Row],[//]]="","",SUMIF(Table1[h_id],pajak[[#This Row],[//]],Table1[h_hargasetelahdiskon]))</f>
        <v>1320336</v>
      </c>
      <c r="L14" s="294">
        <f ca="1">IF(pajak[//]="","",pajak[[#This Row],[Sub Total]]/1.11*11%)</f>
        <v>130844.10810810811</v>
      </c>
      <c r="M14" s="294">
        <f ca="1">pajak[[#This Row],[Sub Total]]</f>
        <v>1320336</v>
      </c>
      <c r="N14" s="295" t="str">
        <f ca="1">IF(pajak[[#This Row],[//]]="","",INDEX(Table1[pembuat nota :],pajak[//]-offset))</f>
        <v>LENA / YO</v>
      </c>
      <c r="O14" s="295" t="str">
        <f ca="1">IF(pajak[[#This Row],[//]]="","",IF(INDEX(Table1[edited :],pajak[//]-offset)="","",INDEX(Table1[edited :],pajak[//]-offset)))</f>
        <v/>
      </c>
      <c r="P14" s="294"/>
      <c r="R14" s="3" t="str">
        <f>Table4[[#Headers],[AM]]</f>
        <v>AM</v>
      </c>
      <c r="S14" s="3">
        <f t="shared" si="1"/>
        <v>23110010</v>
      </c>
      <c r="T14" s="296" t="e">
        <f ca="1">IF(Table4[[#This Row],[AM]]&amp;" "&amp;Table4[[#This Row],[---]]=INDIRECT("pajak[@["&amp;Table4[#Headers]&amp;"]]"),MATCH(Table4[[#This Row],[---]],INDIRECT($3:$3),0))</f>
        <v>#REF!</v>
      </c>
      <c r="U14" s="296" t="e">
        <f ca="1">IF((INDEX(INDIRECT($3:$3),Table4[[#This Row],[No. Invoice :]]+$2:$2))=INDIRECT("pajak[@["&amp;Table4[#Headers]&amp;"]]"),1)</f>
        <v>#REF!</v>
      </c>
      <c r="V14" s="296" t="e">
        <f ca="1">IF((INDEX(INDIRECT($3:$3),Table4[[#This Row],[No. Invoice :]]+$2:$2))=INDIRECT("pajak[@["&amp;Table4[#Headers]&amp;"]]"),1)</f>
        <v>#REF!</v>
      </c>
      <c r="W14" s="296" t="e">
        <f ca="1">IF((INDEX(INDIRECT($3:$3),Table4[[#This Row],[No. Invoice :]]+$2:$2))=INDIRECT("pajak[@["&amp;Table4[#Headers]&amp;"]]"),1)</f>
        <v>#REF!</v>
      </c>
      <c r="X14" s="304" t="e">
        <f ca="1">IF((INDEX(INDIRECT($3:$3),Table4[[#This Row],[No. Invoice :]]+$2:$2))=INDIRECT("pajak[@["&amp;Table4[#Headers]&amp;"]]"),1)</f>
        <v>#REF!</v>
      </c>
    </row>
    <row r="15" spans="1:27" x14ac:dyDescent="0.25">
      <c r="A15" s="299">
        <v>32</v>
      </c>
      <c r="D15" s="295">
        <f t="shared" ca="1" si="0"/>
        <v>32</v>
      </c>
      <c r="E15" s="3" t="str">
        <f ca="1">IF(pajak[[#This Row],[//]]="","",INDEX(Table1[No. Invoice :],pajak[//]-offset))</f>
        <v>AM 23110011</v>
      </c>
      <c r="F15" s="293">
        <f ca="1">IF(pajak[[#This Row],[//]]="","",INDEX(Table1[Tgl Invoice :],pajak[//]-offset))</f>
        <v>45240</v>
      </c>
      <c r="G15" s="295" t="str">
        <f ca="1">IF(pajak[[#This Row],[//]]="","",INDEX(Table1[Kode Sales :],pajak[//]-offset))</f>
        <v>KO 4527</v>
      </c>
      <c r="H15" s="295" t="str">
        <f ca="1">IF(pajak[[#This Row],[//]]="","",INDEX(Table1[Toko],pajak[//]-offset))</f>
        <v>CV LANCAR JAYA SENTOSA MALANG</v>
      </c>
      <c r="I15" s="294">
        <f ca="1">IF(pajak[[#This Row],[//]]="","",SUMIF(Table1[h_id],pajak[[#This Row],[//]],Table1[h_hargasebelumdiskon]))</f>
        <v>13250000</v>
      </c>
      <c r="J15" s="294">
        <f ca="1">IF(pajak[[#This Row],[//]]="","",SUMIF(Table1[h_id],pajak[[#This Row],[//]],Table1[h_diskon]))</f>
        <v>0</v>
      </c>
      <c r="K15" s="294">
        <f ca="1">IF(pajak[[#This Row],[//]]="","",SUMIF(Table1[h_id],pajak[[#This Row],[//]],Table1[h_hargasetelahdiskon]))</f>
        <v>13250000</v>
      </c>
      <c r="L15" s="294">
        <f ca="1">IF(pajak[//]="","",pajak[[#This Row],[Sub Total]]/1.11*11%)</f>
        <v>1313063.063063063</v>
      </c>
      <c r="M15" s="294">
        <f ca="1">pajak[[#This Row],[Sub Total]]</f>
        <v>13250000</v>
      </c>
      <c r="N15" s="295" t="str">
        <f ca="1">IF(pajak[[#This Row],[//]]="","",INDEX(Table1[pembuat nota :],pajak[//]-offset))</f>
        <v>NOVI / CONDRO</v>
      </c>
      <c r="O15" s="295" t="str">
        <f ca="1">IF(pajak[[#This Row],[//]]="","",IF(INDEX(Table1[edited :],pajak[//]-offset)="","",INDEX(Table1[edited :],pajak[//]-offset)))</f>
        <v/>
      </c>
      <c r="P15" s="294"/>
      <c r="R15" s="3" t="str">
        <f>Table4[[#Headers],[AM]]</f>
        <v>AM</v>
      </c>
      <c r="S15" s="3">
        <f t="shared" si="1"/>
        <v>23110011</v>
      </c>
      <c r="T15" s="296" t="e">
        <f ca="1">IF(Table4[[#This Row],[AM]]&amp;" "&amp;Table4[[#This Row],[---]]=INDIRECT("pajak[@["&amp;Table4[#Headers]&amp;"]]"),MATCH(Table4[[#This Row],[---]],INDIRECT($3:$3),0))</f>
        <v>#REF!</v>
      </c>
      <c r="U15" s="296" t="e">
        <f ca="1">IF((INDEX(INDIRECT($3:$3),Table4[[#This Row],[No. Invoice :]]+$2:$2))=INDIRECT("pajak[@["&amp;Table4[#Headers]&amp;"]]"),1)</f>
        <v>#REF!</v>
      </c>
      <c r="V15" s="296" t="e">
        <f ca="1">IF((INDEX(INDIRECT($3:$3),Table4[[#This Row],[No. Invoice :]]+$2:$2))=INDIRECT("pajak[@["&amp;Table4[#Headers]&amp;"]]"),1)</f>
        <v>#REF!</v>
      </c>
      <c r="W15" s="296" t="e">
        <f ca="1">IF((INDEX(INDIRECT($3:$3),Table4[[#This Row],[No. Invoice :]]+$2:$2))=INDIRECT("pajak[@["&amp;Table4[#Headers]&amp;"]]"),1)</f>
        <v>#REF!</v>
      </c>
      <c r="X15" s="304" t="e">
        <f ca="1">IF((INDEX(INDIRECT($3:$3),Table4[[#This Row],[No. Invoice :]]+$2:$2))=INDIRECT("pajak[@["&amp;Table4[#Headers]&amp;"]]"),1)</f>
        <v>#REF!</v>
      </c>
    </row>
    <row r="16" spans="1:27" x14ac:dyDescent="0.25">
      <c r="A16" s="299">
        <v>34</v>
      </c>
      <c r="D16" s="295">
        <f t="shared" ca="1" si="0"/>
        <v>34</v>
      </c>
      <c r="E16" s="3" t="str">
        <f ca="1">IF(pajak[[#This Row],[//]]="","",INDEX(Table1[No. Invoice :],pajak[//]-offset))</f>
        <v>AM 23110012</v>
      </c>
      <c r="F16" s="293">
        <f ca="1">IF(pajak[[#This Row],[//]]="","",INDEX(Table1[Tgl Invoice :],pajak[//]-offset))</f>
        <v>45240</v>
      </c>
      <c r="G16" s="295" t="str">
        <f ca="1">IF(pajak[[#This Row],[//]]="","",INDEX(Table1[Kode Sales :],pajak[//]-offset))</f>
        <v>KO 4757</v>
      </c>
      <c r="H16" s="295" t="str">
        <f ca="1">IF(pajak[[#This Row],[//]]="","",INDEX(Table1[Toko],pajak[//]-offset))</f>
        <v>SANTOSO BUDIONO (  ARMADA  ) PURWOKERTO</v>
      </c>
      <c r="I16" s="294">
        <f ca="1">IF(pajak[[#This Row],[//]]="","",SUMIF(Table1[h_id],pajak[[#This Row],[//]],Table1[h_hargasebelumdiskon]))</f>
        <v>1712500</v>
      </c>
      <c r="J16" s="294">
        <f ca="1">IF(pajak[[#This Row],[//]]="","",SUMIF(Table1[h_id],pajak[[#This Row],[//]],Table1[h_diskon]))</f>
        <v>222625</v>
      </c>
      <c r="K16" s="294">
        <f ca="1">IF(pajak[[#This Row],[//]]="","",SUMIF(Table1[h_id],pajak[[#This Row],[//]],Table1[h_hargasetelahdiskon]))</f>
        <v>1489875</v>
      </c>
      <c r="L16" s="294">
        <f ca="1">IF(pajak[//]="","",pajak[[#This Row],[Sub Total]]/1.11*11%)</f>
        <v>147645.27027027027</v>
      </c>
      <c r="M16" s="294">
        <f ca="1">pajak[[#This Row],[Sub Total]]</f>
        <v>1489875</v>
      </c>
      <c r="N16" s="295" t="str">
        <f ca="1">IF(pajak[[#This Row],[//]]="","",INDEX(Table1[pembuat nota :],pajak[//]-offset))</f>
        <v>NOVI / CONDRO</v>
      </c>
      <c r="O16" s="295" t="str">
        <f ca="1">IF(pajak[[#This Row],[//]]="","",IF(INDEX(Table1[edited :],pajak[//]-offset)="","",INDEX(Table1[edited :],pajak[//]-offset)))</f>
        <v/>
      </c>
      <c r="P16" s="294"/>
      <c r="R16" s="3" t="str">
        <f>Table4[[#Headers],[AM]]</f>
        <v>AM</v>
      </c>
      <c r="S16" s="3">
        <f t="shared" si="1"/>
        <v>23110012</v>
      </c>
      <c r="T16" s="296" t="e">
        <f ca="1">IF(Table4[[#This Row],[AM]]&amp;" "&amp;Table4[[#This Row],[---]]=INDIRECT("pajak[@["&amp;Table4[#Headers]&amp;"]]"),MATCH(Table4[[#This Row],[---]],INDIRECT($3:$3),0))</f>
        <v>#REF!</v>
      </c>
      <c r="U16" s="296" t="e">
        <f ca="1">IF((INDEX(INDIRECT($3:$3),Table4[[#This Row],[No. Invoice :]]+$2:$2))=INDIRECT("pajak[@["&amp;Table4[#Headers]&amp;"]]"),1)</f>
        <v>#REF!</v>
      </c>
      <c r="V16" s="296" t="e">
        <f ca="1">IF((INDEX(INDIRECT($3:$3),Table4[[#This Row],[No. Invoice :]]+$2:$2))=INDIRECT("pajak[@["&amp;Table4[#Headers]&amp;"]]"),1)</f>
        <v>#REF!</v>
      </c>
      <c r="W16" s="296" t="e">
        <f ca="1">IF((INDEX(INDIRECT($3:$3),Table4[[#This Row],[No. Invoice :]]+$2:$2))=INDIRECT("pajak[@["&amp;Table4[#Headers]&amp;"]]"),1)</f>
        <v>#REF!</v>
      </c>
      <c r="X16" s="304" t="e">
        <f ca="1">IF((INDEX(INDIRECT($3:$3),Table4[[#This Row],[No. Invoice :]]+$2:$2))=INDIRECT("pajak[@["&amp;Table4[#Headers]&amp;"]]"),1)</f>
        <v>#REF!</v>
      </c>
    </row>
    <row r="17" spans="1:24" x14ac:dyDescent="0.25">
      <c r="A17" s="299"/>
      <c r="D17" s="295" t="str">
        <f t="shared" ca="1" si="0"/>
        <v/>
      </c>
      <c r="E17" s="3" t="str">
        <f ca="1">IF(pajak[[#This Row],[//]]="","",INDEX(Table1[No. Invoice :],pajak[//]-offset))</f>
        <v/>
      </c>
      <c r="F17" s="293" t="str">
        <f ca="1">IF(pajak[[#This Row],[//]]="","",INDEX(Table1[Tgl Invoice :],pajak[//]-offset))</f>
        <v/>
      </c>
      <c r="G17" s="295" t="str">
        <f ca="1">IF(pajak[[#This Row],[//]]="","",INDEX(Table1[Kode Sales :],pajak[//]-offset))</f>
        <v/>
      </c>
      <c r="H17" s="295" t="str">
        <f ca="1">IF(pajak[[#This Row],[//]]="","",INDEX(Table1[Toko],pajak[//]-offset))</f>
        <v/>
      </c>
      <c r="I17" s="294" t="str">
        <f ca="1">IF(pajak[[#This Row],[//]]="","",SUMIF(Table1[h_id],pajak[[#This Row],[//]],Table1[h_hargasebelumdiskon]))</f>
        <v/>
      </c>
      <c r="J17" s="294" t="str">
        <f ca="1">IF(pajak[[#This Row],[//]]="","",SUMIF(Table1[h_id],pajak[[#This Row],[//]],Table1[h_diskon]))</f>
        <v/>
      </c>
      <c r="K17" s="294" t="str">
        <f ca="1">IF(pajak[[#This Row],[//]]="","",SUMIF(Table1[h_id],pajak[[#This Row],[//]],Table1[h_hargasetelahdiskon]))</f>
        <v/>
      </c>
      <c r="L17" s="294" t="str">
        <f ca="1">IF(pajak[//]="","",pajak[[#This Row],[Sub Total]]/1.11*11%)</f>
        <v/>
      </c>
      <c r="M17" s="294" t="str">
        <f ca="1">pajak[[#This Row],[Sub Total]]</f>
        <v/>
      </c>
      <c r="N17" s="295" t="str">
        <f ca="1">IF(pajak[[#This Row],[//]]="","",INDEX(Table1[pembuat nota :],pajak[//]-offset))</f>
        <v/>
      </c>
      <c r="O17" s="295" t="str">
        <f ca="1">IF(pajak[[#This Row],[//]]="","",IF(INDEX(Table1[edited :],pajak[//]-offset)="","",INDEX(Table1[edited :],pajak[//]-offset)))</f>
        <v/>
      </c>
      <c r="P17" s="294"/>
      <c r="R17" s="3" t="str">
        <f>Table4[[#Headers],[AM]]</f>
        <v>AM</v>
      </c>
      <c r="S17" s="3">
        <f t="shared" si="1"/>
        <v>23110013</v>
      </c>
      <c r="T17" s="296" t="b">
        <f ca="1">IF(Table4[[#This Row],[AM]]&amp;" "&amp;Table4[[#This Row],[---]]=INDIRECT("pajak[@["&amp;Table4[#Headers]&amp;"]]"),MATCH(Table4[[#This Row],[---]],INDIRECT($3:$3),0))</f>
        <v>0</v>
      </c>
      <c r="U17" s="296" t="e">
        <f ca="1">IF((INDEX(INDIRECT($3:$3),Table4[[#This Row],[No. Invoice :]]+$2:$2))=INDIRECT("pajak[@["&amp;Table4[#Headers]&amp;"]]"),1)</f>
        <v>#REF!</v>
      </c>
      <c r="V17" s="296" t="e">
        <f ca="1">IF((INDEX(INDIRECT($3:$3),Table4[[#This Row],[No. Invoice :]]+$2:$2))=INDIRECT("pajak[@["&amp;Table4[#Headers]&amp;"]]"),1)</f>
        <v>#REF!</v>
      </c>
      <c r="W17" s="296" t="e">
        <f ca="1">IF((INDEX(INDIRECT($3:$3),Table4[[#This Row],[No. Invoice :]]+$2:$2))=INDIRECT("pajak[@["&amp;Table4[#Headers]&amp;"]]"),1)</f>
        <v>#REF!</v>
      </c>
      <c r="X17" s="304" t="e">
        <f ca="1">IF((INDEX(INDIRECT($3:$3),Table4[[#This Row],[No. Invoice :]]+$2:$2))=INDIRECT("pajak[@["&amp;Table4[#Headers]&amp;"]]"),1)</f>
        <v>#REF!</v>
      </c>
    </row>
    <row r="18" spans="1:24" x14ac:dyDescent="0.25">
      <c r="A18" s="299" t="s">
        <v>52</v>
      </c>
      <c r="D18" s="295" t="str">
        <f t="shared" ca="1" si="0"/>
        <v/>
      </c>
      <c r="E18" s="3" t="str">
        <f ca="1">IF(pajak[[#This Row],[//]]="","",INDEX(Table1[No. Invoice :],pajak[//]-offset))</f>
        <v/>
      </c>
      <c r="F18" s="293" t="str">
        <f ca="1">IF(pajak[[#This Row],[//]]="","",INDEX(Table1[Tgl Invoice :],pajak[//]-offset))</f>
        <v/>
      </c>
      <c r="G18" s="295" t="str">
        <f ca="1">IF(pajak[[#This Row],[//]]="","",INDEX(Table1[Kode Sales :],pajak[//]-offset))</f>
        <v/>
      </c>
      <c r="H18" s="295" t="str">
        <f ca="1">IF(pajak[[#This Row],[//]]="","",INDEX(Table1[Toko],pajak[//]-offset))</f>
        <v/>
      </c>
      <c r="I18" s="294" t="str">
        <f ca="1">IF(pajak[[#This Row],[//]]="","",SUMIF(Table1[h_id],pajak[[#This Row],[//]],Table1[h_hargasebelumdiskon]))</f>
        <v/>
      </c>
      <c r="J18" s="294" t="str">
        <f ca="1">IF(pajak[[#This Row],[//]]="","",SUMIF(Table1[h_id],pajak[[#This Row],[//]],Table1[h_diskon]))</f>
        <v/>
      </c>
      <c r="K18" s="294" t="str">
        <f ca="1">IF(pajak[[#This Row],[//]]="","",SUMIF(Table1[h_id],pajak[[#This Row],[//]],Table1[h_hargasetelahdiskon]))</f>
        <v/>
      </c>
      <c r="L18" s="294" t="str">
        <f ca="1">IF(pajak[//]="","",pajak[[#This Row],[Sub Total]]/1.11*11%)</f>
        <v/>
      </c>
      <c r="M18" s="294" t="str">
        <f ca="1">pajak[[#This Row],[Sub Total]]</f>
        <v/>
      </c>
      <c r="N18" s="295" t="str">
        <f ca="1">IF(pajak[[#This Row],[//]]="","",INDEX(Table1[pembuat nota :],pajak[//]-offset))</f>
        <v/>
      </c>
      <c r="O18" s="295" t="str">
        <f ca="1">IF(pajak[[#This Row],[//]]="","",IF(INDEX(Table1[edited :],pajak[//]-offset)="","",INDEX(Table1[edited :],pajak[//]-offset)))</f>
        <v/>
      </c>
      <c r="P18" s="294"/>
      <c r="R18" s="3" t="str">
        <f>Table4[[#Headers],[AM]]</f>
        <v>AM</v>
      </c>
      <c r="S18" s="3">
        <f t="shared" si="1"/>
        <v>23110014</v>
      </c>
      <c r="T18" s="296" t="b">
        <f ca="1">IF(Table4[[#This Row],[AM]]&amp;" "&amp;Table4[[#This Row],[---]]=INDIRECT("pajak[@["&amp;Table4[#Headers]&amp;"]]"),MATCH(Table4[[#This Row],[---]],INDIRECT($3:$3),0))</f>
        <v>0</v>
      </c>
      <c r="U18" s="296" t="e">
        <f ca="1">IF((INDEX(INDIRECT($3:$3),Table4[[#This Row],[No. Invoice :]]+$2:$2))=INDIRECT("pajak[@["&amp;Table4[#Headers]&amp;"]]"),1)</f>
        <v>#REF!</v>
      </c>
      <c r="V18" s="296" t="e">
        <f ca="1">IF((INDEX(INDIRECT($3:$3),Table4[[#This Row],[No. Invoice :]]+$2:$2))=INDIRECT("pajak[@["&amp;Table4[#Headers]&amp;"]]"),1)</f>
        <v>#REF!</v>
      </c>
      <c r="W18" s="296" t="e">
        <f ca="1">IF((INDEX(INDIRECT($3:$3),Table4[[#This Row],[No. Invoice :]]+$2:$2))=INDIRECT("pajak[@["&amp;Table4[#Headers]&amp;"]]"),1)</f>
        <v>#REF!</v>
      </c>
      <c r="X18" s="304" t="e">
        <f ca="1">IF((INDEX(INDIRECT($3:$3),Table4[[#This Row],[No. Invoice :]]+$2:$2))=INDIRECT("pajak[@["&amp;Table4[#Headers]&amp;"]]"),1)</f>
        <v>#REF!</v>
      </c>
    </row>
    <row r="19" spans="1:24" x14ac:dyDescent="0.25">
      <c r="A19"/>
      <c r="D19" s="295" t="str">
        <f t="shared" ca="1" si="0"/>
        <v/>
      </c>
      <c r="E19" s="3" t="str">
        <f ca="1">IF(pajak[[#This Row],[//]]="","",INDEX(Table1[No. Invoice :],pajak[//]-offset))</f>
        <v/>
      </c>
      <c r="F19" s="293" t="str">
        <f ca="1">IF(pajak[[#This Row],[//]]="","",INDEX(Table1[Tgl Invoice :],pajak[//]-offset))</f>
        <v/>
      </c>
      <c r="G19" s="295" t="str">
        <f ca="1">IF(pajak[[#This Row],[//]]="","",INDEX(Table1[Kode Sales :],pajak[//]-offset))</f>
        <v/>
      </c>
      <c r="H19" s="295" t="str">
        <f ca="1">IF(pajak[[#This Row],[//]]="","",INDEX(Table1[Toko],pajak[//]-offset))</f>
        <v/>
      </c>
      <c r="I19" s="294" t="str">
        <f ca="1">IF(pajak[[#This Row],[//]]="","",SUMIF(Table1[h_id],pajak[[#This Row],[//]],Table1[h_hargasebelumdiskon]))</f>
        <v/>
      </c>
      <c r="J19" s="294" t="str">
        <f ca="1">IF(pajak[[#This Row],[//]]="","",SUMIF(Table1[h_id],pajak[[#This Row],[//]],Table1[h_diskon]))</f>
        <v/>
      </c>
      <c r="K19" s="294" t="str">
        <f ca="1">IF(pajak[[#This Row],[//]]="","",SUMIF(Table1[h_id],pajak[[#This Row],[//]],Table1[h_hargasetelahdiskon]))</f>
        <v/>
      </c>
      <c r="L19" s="294" t="str">
        <f ca="1">IF(pajak[//]="","",pajak[[#This Row],[Sub Total]]/1.11*11%)</f>
        <v/>
      </c>
      <c r="M19" s="294" t="str">
        <f ca="1">pajak[[#This Row],[Sub Total]]</f>
        <v/>
      </c>
      <c r="N19" s="295" t="str">
        <f ca="1">IF(pajak[[#This Row],[//]]="","",INDEX(Table1[pembuat nota :],pajak[//]-offset))</f>
        <v/>
      </c>
      <c r="O19" s="295" t="str">
        <f ca="1">IF(pajak[[#This Row],[//]]="","",IF(INDEX(Table1[edited :],pajak[//]-offset)="","",INDEX(Table1[edited :],pajak[//]-offset)))</f>
        <v/>
      </c>
      <c r="P19" s="294"/>
      <c r="R19" s="3" t="str">
        <f>Table4[[#Headers],[AM]]</f>
        <v>AM</v>
      </c>
      <c r="S19" s="3">
        <f t="shared" si="1"/>
        <v>23110015</v>
      </c>
      <c r="T19" s="296" t="b">
        <f ca="1">IF(Table4[[#This Row],[AM]]&amp;" "&amp;Table4[[#This Row],[---]]=INDIRECT("pajak[@["&amp;Table4[#Headers]&amp;"]]"),MATCH(Table4[[#This Row],[---]],INDIRECT($3:$3),0))</f>
        <v>0</v>
      </c>
      <c r="U19" s="296" t="e">
        <f ca="1">IF((INDEX(INDIRECT($3:$3),Table4[[#This Row],[No. Invoice :]]+$2:$2))=INDIRECT("pajak[@["&amp;Table4[#Headers]&amp;"]]"),1)</f>
        <v>#REF!</v>
      </c>
      <c r="V19" s="296" t="e">
        <f ca="1">IF((INDEX(INDIRECT($3:$3),Table4[[#This Row],[No. Invoice :]]+$2:$2))=INDIRECT("pajak[@["&amp;Table4[#Headers]&amp;"]]"),1)</f>
        <v>#REF!</v>
      </c>
      <c r="W19" s="296" t="e">
        <f ca="1">IF((INDEX(INDIRECT($3:$3),Table4[[#This Row],[No. Invoice :]]+$2:$2))=INDIRECT("pajak[@["&amp;Table4[#Headers]&amp;"]]"),1)</f>
        <v>#REF!</v>
      </c>
      <c r="X19" s="304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95" t="str">
        <f t="shared" ca="1" si="0"/>
        <v/>
      </c>
      <c r="E20" s="3" t="str">
        <f ca="1">IF(pajak[[#This Row],[//]]="","",INDEX(Table1[No. Invoice :],pajak[//]-offset))</f>
        <v/>
      </c>
      <c r="F20" s="293" t="str">
        <f ca="1">IF(pajak[[#This Row],[//]]="","",INDEX(Table1[Tgl Invoice :],pajak[//]-offset))</f>
        <v/>
      </c>
      <c r="G20" s="295" t="str">
        <f ca="1">IF(pajak[[#This Row],[//]]="","",INDEX(Table1[Kode Sales :],pajak[//]-offset))</f>
        <v/>
      </c>
      <c r="H20" s="295" t="str">
        <f ca="1">IF(pajak[[#This Row],[//]]="","",INDEX(Table1[Toko],pajak[//]-offset))</f>
        <v/>
      </c>
      <c r="I20" s="294" t="str">
        <f ca="1">IF(pajak[[#This Row],[//]]="","",SUMIF(Table1[h_id],pajak[[#This Row],[//]],Table1[h_hargasebelumdiskon]))</f>
        <v/>
      </c>
      <c r="J20" s="294" t="str">
        <f ca="1">IF(pajak[[#This Row],[//]]="","",SUMIF(Table1[h_id],pajak[[#This Row],[//]],Table1[h_diskon]))</f>
        <v/>
      </c>
      <c r="K20" s="294" t="str">
        <f ca="1">IF(pajak[[#This Row],[//]]="","",SUMIF(Table1[h_id],pajak[[#This Row],[//]],Table1[h_hargasetelahdiskon]))</f>
        <v/>
      </c>
      <c r="L20" s="294" t="str">
        <f ca="1">IF(pajak[//]="","",pajak[[#This Row],[Sub Total]]/1.11*11%)</f>
        <v/>
      </c>
      <c r="M20" s="294" t="str">
        <f ca="1">pajak[[#This Row],[Sub Total]]</f>
        <v/>
      </c>
      <c r="N20" s="295" t="str">
        <f ca="1">IF(pajak[[#This Row],[//]]="","",INDEX(Table1[pembuat nota :],pajak[//]-offset))</f>
        <v/>
      </c>
      <c r="O20" s="295" t="str">
        <f ca="1">IF(pajak[[#This Row],[//]]="","",IF(INDEX(Table1[edited :],pajak[//]-offset)="","",INDEX(Table1[edited :],pajak[//]-offset)))</f>
        <v/>
      </c>
      <c r="P20" s="294"/>
      <c r="R20" s="3" t="str">
        <f>Table4[[#Headers],[AM]]</f>
        <v>AM</v>
      </c>
      <c r="S20" s="3">
        <f t="shared" si="1"/>
        <v>23110016</v>
      </c>
      <c r="T20" s="296" t="b">
        <f ca="1">IF(Table4[[#This Row],[AM]]&amp;" "&amp;Table4[[#This Row],[---]]=INDIRECT("pajak[@["&amp;Table4[#Headers]&amp;"]]"),MATCH(Table4[[#This Row],[---]],INDIRECT($3:$3),0))</f>
        <v>0</v>
      </c>
      <c r="U20" s="296" t="e">
        <f ca="1">IF((INDEX(INDIRECT($3:$3),Table4[[#This Row],[No. Invoice :]]+$2:$2))=INDIRECT("pajak[@["&amp;Table4[#Headers]&amp;"]]"),1)</f>
        <v>#REF!</v>
      </c>
      <c r="V20" s="296" t="e">
        <f ca="1">IF((INDEX(INDIRECT($3:$3),Table4[[#This Row],[No. Invoice :]]+$2:$2))=INDIRECT("pajak[@["&amp;Table4[#Headers]&amp;"]]"),1)</f>
        <v>#REF!</v>
      </c>
      <c r="W20" s="296" t="e">
        <f ca="1">IF((INDEX(INDIRECT($3:$3),Table4[[#This Row],[No. Invoice :]]+$2:$2))=INDIRECT("pajak[@["&amp;Table4[#Headers]&amp;"]]"),1)</f>
        <v>#REF!</v>
      </c>
      <c r="X20" s="304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95" t="str">
        <f t="shared" ca="1" si="0"/>
        <v/>
      </c>
      <c r="E21" s="3" t="str">
        <f ca="1">IF(pajak[[#This Row],[//]]="","",INDEX(Table1[No. Invoice :],pajak[//]-offset))</f>
        <v/>
      </c>
      <c r="F21" s="293" t="str">
        <f ca="1">IF(pajak[[#This Row],[//]]="","",INDEX(Table1[Tgl Invoice :],pajak[//]-offset))</f>
        <v/>
      </c>
      <c r="G21" s="295" t="str">
        <f ca="1">IF(pajak[[#This Row],[//]]="","",INDEX(Table1[Kode Sales :],pajak[//]-offset))</f>
        <v/>
      </c>
      <c r="H21" s="295" t="str">
        <f ca="1">IF(pajak[[#This Row],[//]]="","",INDEX(Table1[Toko],pajak[//]-offset))</f>
        <v/>
      </c>
      <c r="I21" s="294" t="str">
        <f ca="1">IF(pajak[[#This Row],[//]]="","",SUMIF(Table1[h_id],pajak[[#This Row],[//]],Table1[h_hargasebelumdiskon]))</f>
        <v/>
      </c>
      <c r="J21" s="294" t="str">
        <f ca="1">IF(pajak[[#This Row],[//]]="","",SUMIF(Table1[h_id],pajak[[#This Row],[//]],Table1[h_diskon]))</f>
        <v/>
      </c>
      <c r="K21" s="294" t="str">
        <f ca="1">IF(pajak[[#This Row],[//]]="","",SUMIF(Table1[h_id],pajak[[#This Row],[//]],Table1[h_hargasetelahdiskon]))</f>
        <v/>
      </c>
      <c r="L21" s="294" t="str">
        <f ca="1">IF(pajak[//]="","",pajak[[#This Row],[Sub Total]]/1.11*11%)</f>
        <v/>
      </c>
      <c r="M21" s="294" t="str">
        <f ca="1">pajak[[#This Row],[Sub Total]]</f>
        <v/>
      </c>
      <c r="N21" s="295" t="str">
        <f ca="1">IF(pajak[[#This Row],[//]]="","",INDEX(Table1[pembuat nota :],pajak[//]-offset))</f>
        <v/>
      </c>
      <c r="O21" s="295" t="str">
        <f ca="1">IF(pajak[[#This Row],[//]]="","",IF(INDEX(Table1[edited :],pajak[//]-offset)="","",INDEX(Table1[edited :],pajak[//]-offset)))</f>
        <v/>
      </c>
      <c r="P21" s="294"/>
      <c r="R21" s="3" t="str">
        <f>Table4[[#Headers],[AM]]</f>
        <v>AM</v>
      </c>
      <c r="S21" s="3">
        <f t="shared" si="1"/>
        <v>23110017</v>
      </c>
      <c r="T21" s="296" t="b">
        <f ca="1">IF(Table4[[#This Row],[AM]]&amp;" "&amp;Table4[[#This Row],[---]]=INDIRECT("pajak[@["&amp;Table4[#Headers]&amp;"]]"),MATCH(Table4[[#This Row],[---]],INDIRECT($3:$3),0))</f>
        <v>0</v>
      </c>
      <c r="U21" s="296" t="e">
        <f ca="1">IF((INDEX(INDIRECT($3:$3),Table4[[#This Row],[No. Invoice :]]+$2:$2))=INDIRECT("pajak[@["&amp;Table4[#Headers]&amp;"]]"),1)</f>
        <v>#REF!</v>
      </c>
      <c r="V21" s="296" t="e">
        <f ca="1">IF((INDEX(INDIRECT($3:$3),Table4[[#This Row],[No. Invoice :]]+$2:$2))=INDIRECT("pajak[@["&amp;Table4[#Headers]&amp;"]]"),1)</f>
        <v>#REF!</v>
      </c>
      <c r="W21" s="296" t="e">
        <f ca="1">IF((INDEX(INDIRECT($3:$3),Table4[[#This Row],[No. Invoice :]]+$2:$2))=INDIRECT("pajak[@["&amp;Table4[#Headers]&amp;"]]"),1)</f>
        <v>#REF!</v>
      </c>
      <c r="X21" s="304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9"/>
      <c r="D22" s="295" t="str">
        <f t="shared" ca="1" si="0"/>
        <v/>
      </c>
      <c r="E22" s="3" t="str">
        <f ca="1">IF(pajak[[#This Row],[//]]="","",INDEX(Table1[No. Invoice :],pajak[//]-offset))</f>
        <v/>
      </c>
      <c r="F22" s="293" t="str">
        <f ca="1">IF(pajak[[#This Row],[//]]="","",INDEX(Table1[Tgl Invoice :],pajak[//]-offset))</f>
        <v/>
      </c>
      <c r="G22" s="295" t="str">
        <f ca="1">IF(pajak[[#This Row],[//]]="","",INDEX(Table1[Kode Sales :],pajak[//]-offset))</f>
        <v/>
      </c>
      <c r="H22" s="295" t="str">
        <f ca="1">IF(pajak[[#This Row],[//]]="","",INDEX(Table1[Toko],pajak[//]-offset))</f>
        <v/>
      </c>
      <c r="I22" s="294" t="str">
        <f ca="1">IF(pajak[[#This Row],[//]]="","",SUMIF(Table1[h_id],pajak[[#This Row],[//]],Table1[h_hargasebelumdiskon]))</f>
        <v/>
      </c>
      <c r="J22" s="294" t="str">
        <f ca="1">IF(pajak[[#This Row],[//]]="","",SUMIF(Table1[h_id],pajak[[#This Row],[//]],Table1[h_diskon]))</f>
        <v/>
      </c>
      <c r="K22" s="294" t="str">
        <f ca="1">IF(pajak[[#This Row],[//]]="","",SUMIF(Table1[h_id],pajak[[#This Row],[//]],Table1[h_hargasetelahdiskon]))</f>
        <v/>
      </c>
      <c r="L22" s="294" t="str">
        <f ca="1">IF(pajak[//]="","",pajak[[#This Row],[Sub Total]]/1.11*11%)</f>
        <v/>
      </c>
      <c r="M22" s="294" t="str">
        <f ca="1">pajak[[#This Row],[Sub Total]]</f>
        <v/>
      </c>
      <c r="N22" s="295" t="str">
        <f ca="1">IF(pajak[[#This Row],[//]]="","",INDEX(Table1[pembuat nota :],pajak[//]-offset))</f>
        <v/>
      </c>
      <c r="O22" s="295" t="str">
        <f ca="1">IF(pajak[[#This Row],[//]]="","",IF(INDEX(Table1[edited :],pajak[//]-offset)="","",INDEX(Table1[edited :],pajak[//]-offset)))</f>
        <v/>
      </c>
      <c r="P22" s="294"/>
      <c r="R22" s="3" t="str">
        <f>Table4[[#Headers],[AM]]</f>
        <v>AM</v>
      </c>
      <c r="S22" s="3">
        <f t="shared" si="1"/>
        <v>23110018</v>
      </c>
      <c r="T22" s="296" t="b">
        <f ca="1">IF(Table4[[#This Row],[AM]]&amp;" "&amp;Table4[[#This Row],[---]]=INDIRECT("pajak[@["&amp;Table4[#Headers]&amp;"]]"),MATCH(Table4[[#This Row],[---]],INDIRECT($3:$3),0))</f>
        <v>0</v>
      </c>
      <c r="U22" s="296" t="e">
        <f ca="1">IF((INDEX(INDIRECT($3:$3),Table4[[#This Row],[No. Invoice :]]+$2:$2))=INDIRECT("pajak[@["&amp;Table4[#Headers]&amp;"]]"),1)</f>
        <v>#REF!</v>
      </c>
      <c r="V22" s="296" t="e">
        <f ca="1">IF((INDEX(INDIRECT($3:$3),Table4[[#This Row],[No. Invoice :]]+$2:$2))=INDIRECT("pajak[@["&amp;Table4[#Headers]&amp;"]]"),1)</f>
        <v>#REF!</v>
      </c>
      <c r="W22" s="296" t="e">
        <f ca="1">IF((INDEX(INDIRECT($3:$3),Table4[[#This Row],[No. Invoice :]]+$2:$2))=INDIRECT("pajak[@["&amp;Table4[#Headers]&amp;"]]"),1)</f>
        <v>#REF!</v>
      </c>
      <c r="X22" s="304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95" t="str">
        <f t="shared" ca="1" si="0"/>
        <v/>
      </c>
      <c r="E23" s="3" t="str">
        <f ca="1">IF(pajak[[#This Row],[//]]="","",INDEX(Table1[No. Invoice :],pajak[//]-offset))</f>
        <v/>
      </c>
      <c r="F23" s="293" t="str">
        <f ca="1">IF(pajak[[#This Row],[//]]="","",INDEX(Table1[Tgl Invoice :],pajak[//]-offset))</f>
        <v/>
      </c>
      <c r="G23" s="295" t="str">
        <f ca="1">IF(pajak[[#This Row],[//]]="","",INDEX(Table1[Kode Sales :],pajak[//]-offset))</f>
        <v/>
      </c>
      <c r="H23" s="295" t="str">
        <f ca="1">IF(pajak[[#This Row],[//]]="","",INDEX(Table1[Toko],pajak[//]-offset))</f>
        <v/>
      </c>
      <c r="I23" s="294" t="str">
        <f ca="1">IF(pajak[[#This Row],[//]]="","",SUMIF(Table1[h_id],pajak[[#This Row],[//]],Table1[h_hargasebelumdiskon]))</f>
        <v/>
      </c>
      <c r="J23" s="294" t="str">
        <f ca="1">IF(pajak[[#This Row],[//]]="","",SUMIF(Table1[h_id],pajak[[#This Row],[//]],Table1[h_diskon]))</f>
        <v/>
      </c>
      <c r="K23" s="294" t="str">
        <f ca="1">IF(pajak[[#This Row],[//]]="","",SUMIF(Table1[h_id],pajak[[#This Row],[//]],Table1[h_hargasetelahdiskon]))</f>
        <v/>
      </c>
      <c r="L23" s="294" t="str">
        <f ca="1">IF(pajak[//]="","",pajak[[#This Row],[Sub Total]]/1.11*11%)</f>
        <v/>
      </c>
      <c r="M23" s="294" t="str">
        <f ca="1">pajak[[#This Row],[Sub Total]]</f>
        <v/>
      </c>
      <c r="N23" s="295" t="str">
        <f ca="1">IF(pajak[[#This Row],[//]]="","",INDEX(Table1[pembuat nota :],pajak[//]-offset))</f>
        <v/>
      </c>
      <c r="O23" s="295" t="str">
        <f ca="1">IF(pajak[[#This Row],[//]]="","",IF(INDEX(Table1[edited :],pajak[//]-offset)="","",INDEX(Table1[edited :],pajak[//]-offset)))</f>
        <v/>
      </c>
      <c r="P23" s="294"/>
      <c r="R23" s="3" t="str">
        <f>Table4[[#Headers],[AM]]</f>
        <v>AM</v>
      </c>
      <c r="S23" s="3">
        <f t="shared" si="1"/>
        <v>23110019</v>
      </c>
      <c r="T23" s="296" t="b">
        <f ca="1">IF(Table4[[#This Row],[AM]]&amp;" "&amp;Table4[[#This Row],[---]]=INDIRECT("pajak[@["&amp;Table4[#Headers]&amp;"]]"),MATCH(Table4[[#This Row],[---]],INDIRECT($3:$3),0))</f>
        <v>0</v>
      </c>
      <c r="U23" s="296" t="e">
        <f ca="1">IF((INDEX(INDIRECT($3:$3),Table4[[#This Row],[No. Invoice :]]+$2:$2))=INDIRECT("pajak[@["&amp;Table4[#Headers]&amp;"]]"),1)</f>
        <v>#REF!</v>
      </c>
      <c r="V23" s="296" t="e">
        <f ca="1">IF((INDEX(INDIRECT($3:$3),Table4[[#This Row],[No. Invoice :]]+$2:$2))=INDIRECT("pajak[@["&amp;Table4[#Headers]&amp;"]]"),1)</f>
        <v>#REF!</v>
      </c>
      <c r="W23" s="296" t="e">
        <f ca="1">IF((INDEX(INDIRECT($3:$3),Table4[[#This Row],[No. Invoice :]]+$2:$2))=INDIRECT("pajak[@["&amp;Table4[#Headers]&amp;"]]"),1)</f>
        <v>#REF!</v>
      </c>
      <c r="X23" s="304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95" t="str">
        <f t="shared" ca="1" si="0"/>
        <v/>
      </c>
      <c r="E24" s="295" t="str">
        <f ca="1">IF(pajak[[#This Row],[//]]="","",INDEX(Table1[No. Invoice :],pajak[//]-offset))</f>
        <v/>
      </c>
      <c r="F24" s="293" t="str">
        <f ca="1">IF(pajak[[#This Row],[//]]="","",INDEX(Table1[Tgl Invoice :],pajak[//]-offset))</f>
        <v/>
      </c>
      <c r="G24" s="295" t="str">
        <f ca="1">IF(pajak[[#This Row],[//]]="","",INDEX(Table1[Kode Sales :],pajak[//]-offset))</f>
        <v/>
      </c>
      <c r="H24" s="295" t="str">
        <f ca="1">IF(pajak[[#This Row],[//]]="","",INDEX(Table1[Toko],pajak[//]-offset))</f>
        <v/>
      </c>
      <c r="I24" s="294" t="str">
        <f ca="1">IF(pajak[[#This Row],[//]]="","",SUMIF(Table1[h_id],pajak[[#This Row],[//]],Table1[h_hargasebelumdiskon]))</f>
        <v/>
      </c>
      <c r="J24" s="294" t="str">
        <f ca="1">IF(pajak[[#This Row],[//]]="","",SUMIF(Table1[h_id],pajak[[#This Row],[//]],Table1[h_diskon]))</f>
        <v/>
      </c>
      <c r="K24" s="294" t="str">
        <f ca="1">IF(pajak[[#This Row],[//]]="","",SUMIF(Table1[h_id],pajak[[#This Row],[//]],Table1[h_hargasetelahdiskon]))</f>
        <v/>
      </c>
      <c r="L24" s="294" t="str">
        <f ca="1">IF(pajak[//]="","",pajak[[#This Row],[Sub Total]]/1.11*11%)</f>
        <v/>
      </c>
      <c r="M24" s="294" t="str">
        <f ca="1">pajak[[#This Row],[Sub Total]]</f>
        <v/>
      </c>
      <c r="N24" s="295" t="str">
        <f ca="1">IF(pajak[[#This Row],[//]]="","",INDEX(Table1[pembuat nota :],pajak[//]-offset))</f>
        <v/>
      </c>
      <c r="O24" s="295" t="str">
        <f ca="1">IF(pajak[[#This Row],[//]]="","",IF(INDEX(Table1[edited :],pajak[//]-offset)="","",INDEX(Table1[edited :],pajak[//]-offset)))</f>
        <v/>
      </c>
      <c r="P24" s="294"/>
      <c r="R24" s="3" t="str">
        <f>Table4[[#Headers],[AM]]</f>
        <v>AM</v>
      </c>
      <c r="S24" s="3">
        <f t="shared" si="1"/>
        <v>23110020</v>
      </c>
      <c r="T24" s="296" t="b">
        <f ca="1">IF(Table4[[#This Row],[AM]]&amp;" "&amp;Table4[[#This Row],[---]]=INDIRECT("pajak[@["&amp;Table4[#Headers]&amp;"]]"),MATCH(Table4[[#This Row],[---]],INDIRECT($3:$3),0))</f>
        <v>0</v>
      </c>
      <c r="U24" s="296" t="e">
        <f ca="1">IF((INDEX(INDIRECT($3:$3),Table4[[#This Row],[No. Invoice :]]+$2:$2))=INDIRECT("pajak[@["&amp;Table4[#Headers]&amp;"]]"),1)</f>
        <v>#REF!</v>
      </c>
      <c r="V24" s="296" t="e">
        <f ca="1">IF((INDEX(INDIRECT($3:$3),Table4[[#This Row],[No. Invoice :]]+$2:$2))=INDIRECT("pajak[@["&amp;Table4[#Headers]&amp;"]]"),1)</f>
        <v>#REF!</v>
      </c>
      <c r="W24" s="296" t="e">
        <f ca="1">IF((INDEX(INDIRECT($3:$3),Table4[[#This Row],[No. Invoice :]]+$2:$2))=INDIRECT("pajak[@["&amp;Table4[#Headers]&amp;"]]"),1)</f>
        <v>#REF!</v>
      </c>
      <c r="X24" s="304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95" t="str">
        <f t="shared" ca="1" si="0"/>
        <v/>
      </c>
      <c r="E25" s="295" t="str">
        <f ca="1">IF(pajak[[#This Row],[//]]="","",INDEX(Table1[No. Invoice :],pajak[//]-offset))</f>
        <v/>
      </c>
      <c r="F25" s="293" t="str">
        <f ca="1">IF(pajak[[#This Row],[//]]="","",INDEX(Table1[Tgl Invoice :],pajak[//]-offset))</f>
        <v/>
      </c>
      <c r="G25" s="295" t="str">
        <f ca="1">IF(pajak[[#This Row],[//]]="","",INDEX(Table1[Kode Sales :],pajak[//]-offset))</f>
        <v/>
      </c>
      <c r="H25" s="295" t="str">
        <f ca="1">IF(pajak[[#This Row],[//]]="","",INDEX(Table1[Toko],pajak[//]-offset))</f>
        <v/>
      </c>
      <c r="I25" s="294" t="str">
        <f ca="1">IF(pajak[[#This Row],[//]]="","",SUMIF(Table1[h_id],pajak[[#This Row],[//]],Table1[h_hargasebelumdiskon]))</f>
        <v/>
      </c>
      <c r="J25" s="294" t="str">
        <f ca="1">IF(pajak[[#This Row],[//]]="","",SUMIF(Table1[h_id],pajak[[#This Row],[//]],Table1[h_diskon]))</f>
        <v/>
      </c>
      <c r="K25" s="294" t="str">
        <f ca="1">IF(pajak[[#This Row],[//]]="","",SUMIF(Table1[h_id],pajak[[#This Row],[//]],Table1[h_hargasetelahdiskon]))</f>
        <v/>
      </c>
      <c r="L25" s="294" t="str">
        <f ca="1">IF(pajak[//]="","",pajak[[#This Row],[Sub Total]]/1.11*11%)</f>
        <v/>
      </c>
      <c r="M25" s="294" t="str">
        <f ca="1">pajak[[#This Row],[Sub Total]]</f>
        <v/>
      </c>
      <c r="N25" s="295" t="str">
        <f ca="1">IF(pajak[[#This Row],[//]]="","",INDEX(Table1[pembuat nota :],pajak[//]-offset))</f>
        <v/>
      </c>
      <c r="O25" s="295" t="str">
        <f ca="1">IF(pajak[[#This Row],[//]]="","",IF(INDEX(Table1[edited :],pajak[//]-offset)="","",INDEX(Table1[edited :],pajak[//]-offset)))</f>
        <v/>
      </c>
      <c r="P25" s="294"/>
      <c r="R25" s="3" t="str">
        <f>Table4[[#Headers],[AM]]</f>
        <v>AM</v>
      </c>
      <c r="S25" s="3">
        <f t="shared" si="1"/>
        <v>23110021</v>
      </c>
      <c r="T25" s="296" t="b">
        <f ca="1">IF(Table4[[#This Row],[AM]]&amp;" "&amp;Table4[[#This Row],[---]]=INDIRECT("pajak[@["&amp;Table4[#Headers]&amp;"]]"),MATCH(Table4[[#This Row],[---]],INDIRECT($3:$3),0))</f>
        <v>0</v>
      </c>
      <c r="U25" s="296" t="e">
        <f ca="1">IF((INDEX(INDIRECT($3:$3),Table4[[#This Row],[No. Invoice :]]+$2:$2))=INDIRECT("pajak[@["&amp;Table4[#Headers]&amp;"]]"),1)</f>
        <v>#REF!</v>
      </c>
      <c r="V25" s="296" t="e">
        <f ca="1">IF((INDEX(INDIRECT($3:$3),Table4[[#This Row],[No. Invoice :]]+$2:$2))=INDIRECT("pajak[@["&amp;Table4[#Headers]&amp;"]]"),1)</f>
        <v>#REF!</v>
      </c>
      <c r="W25" s="296" t="e">
        <f ca="1">IF((INDEX(INDIRECT($3:$3),Table4[[#This Row],[No. Invoice :]]+$2:$2))=INDIRECT("pajak[@["&amp;Table4[#Headers]&amp;"]]"),1)</f>
        <v>#REF!</v>
      </c>
      <c r="X25" s="304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95" t="str">
        <f t="shared" ca="1" si="0"/>
        <v/>
      </c>
      <c r="E26" s="295" t="str">
        <f ca="1">IF(pajak[[#This Row],[//]]="","",INDEX(Table1[No. Invoice :],pajak[//]-offset))</f>
        <v/>
      </c>
      <c r="F26" s="293" t="str">
        <f ca="1">IF(pajak[[#This Row],[//]]="","",INDEX(Table1[Tgl Invoice :],pajak[//]-offset))</f>
        <v/>
      </c>
      <c r="G26" s="295" t="str">
        <f ca="1">IF(pajak[[#This Row],[//]]="","",INDEX(Table1[Kode Sales :],pajak[//]-offset))</f>
        <v/>
      </c>
      <c r="H26" s="295" t="str">
        <f ca="1">IF(pajak[[#This Row],[//]]="","",INDEX(Table1[Toko],pajak[//]-offset))</f>
        <v/>
      </c>
      <c r="I26" s="294" t="str">
        <f ca="1">IF(pajak[[#This Row],[//]]="","",SUMIF(Table1[h_id],pajak[[#This Row],[//]],Table1[h_hargasebelumdiskon]))</f>
        <v/>
      </c>
      <c r="J26" s="294" t="str">
        <f ca="1">IF(pajak[[#This Row],[//]]="","",SUMIF(Table1[h_id],pajak[[#This Row],[//]],Table1[h_diskon]))</f>
        <v/>
      </c>
      <c r="K26" s="294" t="str">
        <f ca="1">IF(pajak[[#This Row],[//]]="","",SUMIF(Table1[h_id],pajak[[#This Row],[//]],Table1[h_hargasetelahdiskon]))</f>
        <v/>
      </c>
      <c r="L26" s="294" t="str">
        <f ca="1">IF(pajak[//]="","",pajak[[#This Row],[Sub Total]]/1.11*11%)</f>
        <v/>
      </c>
      <c r="M26" s="294" t="str">
        <f ca="1">pajak[[#This Row],[Sub Total]]</f>
        <v/>
      </c>
      <c r="N26" s="295" t="str">
        <f ca="1">IF(pajak[[#This Row],[//]]="","",INDEX(Table1[pembuat nota :],pajak[//]-offset))</f>
        <v/>
      </c>
      <c r="O26" s="295" t="str">
        <f ca="1">IF(pajak[[#This Row],[//]]="","",IF(INDEX(Table1[edited :],pajak[//]-offset)="","",INDEX(Table1[edited :],pajak[//]-offset)))</f>
        <v/>
      </c>
      <c r="P26" s="294"/>
      <c r="R26" s="295" t="str">
        <f>Table4[[#Headers],[AM]]</f>
        <v>AM</v>
      </c>
      <c r="S26" s="295">
        <f t="shared" si="1"/>
        <v>23110022</v>
      </c>
      <c r="T26" s="304" t="b">
        <f ca="1">IF(Table4[[#This Row],[AM]]&amp;" "&amp;Table4[[#This Row],[---]]=INDIRECT("pajak[@["&amp;Table4[#Headers]&amp;"]]"),MATCH(Table4[[#This Row],[---]],INDIRECT($3:$3),0))</f>
        <v>0</v>
      </c>
      <c r="U26" s="304" t="e">
        <f ca="1">IF((INDEX(INDIRECT($3:$3),Table4[[#This Row],[No. Invoice :]]+$2:$2))=INDIRECT("pajak[@["&amp;Table4[#Headers]&amp;"]]"),1)</f>
        <v>#REF!</v>
      </c>
      <c r="V26" s="304" t="e">
        <f ca="1">IF((INDEX(INDIRECT($3:$3),Table4[[#This Row],[No. Invoice :]]+$2:$2))=INDIRECT("pajak[@["&amp;Table4[#Headers]&amp;"]]"),1)</f>
        <v>#REF!</v>
      </c>
      <c r="W26" s="304" t="e">
        <f ca="1">IF((INDEX(INDIRECT($3:$3),Table4[[#This Row],[No. Invoice :]]+$2:$2))=INDIRECT("pajak[@["&amp;Table4[#Headers]&amp;"]]"),1)</f>
        <v>#REF!</v>
      </c>
      <c r="X26" s="304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95" t="str">
        <f t="shared" ca="1" si="0"/>
        <v/>
      </c>
      <c r="E27" s="295" t="str">
        <f ca="1">IF(pajak[[#This Row],[//]]="","",INDEX(Table1[No. Invoice :],pajak[//]-offset))</f>
        <v/>
      </c>
      <c r="F27" s="293" t="str">
        <f ca="1">IF(pajak[[#This Row],[//]]="","",INDEX(Table1[Tgl Invoice :],pajak[//]-offset))</f>
        <v/>
      </c>
      <c r="G27" s="295" t="str">
        <f ca="1">IF(pajak[[#This Row],[//]]="","",INDEX(Table1[Kode Sales :],pajak[//]-offset))</f>
        <v/>
      </c>
      <c r="H27" s="295" t="str">
        <f ca="1">IF(pajak[[#This Row],[//]]="","",INDEX(Table1[Toko],pajak[//]-offset))</f>
        <v/>
      </c>
      <c r="I27" s="294" t="str">
        <f ca="1">IF(pajak[[#This Row],[//]]="","",SUMIF(Table1[h_id],pajak[[#This Row],[//]],Table1[h_hargasebelumdiskon]))</f>
        <v/>
      </c>
      <c r="J27" s="294" t="str">
        <f ca="1">IF(pajak[[#This Row],[//]]="","",SUMIF(Table1[h_id],pajak[[#This Row],[//]],Table1[h_diskon]))</f>
        <v/>
      </c>
      <c r="K27" s="294" t="str">
        <f ca="1">IF(pajak[[#This Row],[//]]="","",SUMIF(Table1[h_id],pajak[[#This Row],[//]],Table1[h_hargasetelahdiskon]))</f>
        <v/>
      </c>
      <c r="L27" s="294" t="str">
        <f ca="1">IF(pajak[//]="","",pajak[[#This Row],[Sub Total]]/1.11*11%)</f>
        <v/>
      </c>
      <c r="M27" s="294" t="str">
        <f ca="1">pajak[[#This Row],[Sub Total]]</f>
        <v/>
      </c>
      <c r="N27" s="295" t="str">
        <f ca="1">IF(pajak[[#This Row],[//]]="","",INDEX(Table1[pembuat nota :],pajak[//]-offset))</f>
        <v/>
      </c>
      <c r="O27" s="295" t="str">
        <f ca="1">IF(pajak[[#This Row],[//]]="","",IF(INDEX(Table1[edited :],pajak[//]-offset)="","",INDEX(Table1[edited :],pajak[//]-offset)))</f>
        <v/>
      </c>
      <c r="P27" s="294"/>
      <c r="R27" s="295" t="str">
        <f>Table4[[#Headers],[AM]]</f>
        <v>AM</v>
      </c>
      <c r="S27" s="295">
        <f t="shared" si="1"/>
        <v>23110023</v>
      </c>
      <c r="T27" s="304" t="b">
        <f ca="1">IF(Table4[[#This Row],[AM]]&amp;" "&amp;Table4[[#This Row],[---]]=INDIRECT("pajak[@["&amp;Table4[#Headers]&amp;"]]"),MATCH(Table4[[#This Row],[---]],INDIRECT($3:$3),0))</f>
        <v>0</v>
      </c>
      <c r="U27" s="304" t="e">
        <f ca="1">IF((INDEX(INDIRECT($3:$3),Table4[[#This Row],[No. Invoice :]]+$2:$2))=INDIRECT("pajak[@["&amp;Table4[#Headers]&amp;"]]"),1)</f>
        <v>#REF!</v>
      </c>
      <c r="V27" s="304" t="e">
        <f ca="1">IF((INDEX(INDIRECT($3:$3),Table4[[#This Row],[No. Invoice :]]+$2:$2))=INDIRECT("pajak[@["&amp;Table4[#Headers]&amp;"]]"),1)</f>
        <v>#REF!</v>
      </c>
      <c r="W27" s="304" t="e">
        <f ca="1">IF((INDEX(INDIRECT($3:$3),Table4[[#This Row],[No. Invoice :]]+$2:$2))=INDIRECT("pajak[@["&amp;Table4[#Headers]&amp;"]]"),1)</f>
        <v>#REF!</v>
      </c>
      <c r="X27" s="304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5" t="str">
        <f t="shared" ca="1" si="0"/>
        <v/>
      </c>
      <c r="E28" s="295" t="str">
        <f ca="1">IF(pajak[[#This Row],[//]]="","",INDEX(Table1[No. Invoice :],pajak[//]-offset))</f>
        <v/>
      </c>
      <c r="F28" s="293" t="str">
        <f ca="1">IF(pajak[[#This Row],[//]]="","",INDEX(Table1[Tgl Invoice :],pajak[//]-offset))</f>
        <v/>
      </c>
      <c r="G28" s="295" t="str">
        <f ca="1">IF(pajak[[#This Row],[//]]="","",INDEX(Table1[Kode Sales :],pajak[//]-offset))</f>
        <v/>
      </c>
      <c r="H28" s="295" t="str">
        <f ca="1">IF(pajak[[#This Row],[//]]="","",INDEX(Table1[Toko],pajak[//]-offset))</f>
        <v/>
      </c>
      <c r="I28" s="294" t="str">
        <f ca="1">IF(pajak[[#This Row],[//]]="","",SUMIF(Table1[h_id],pajak[[#This Row],[//]],Table1[h_hargasebelumdiskon]))</f>
        <v/>
      </c>
      <c r="J28" s="294" t="str">
        <f ca="1">IF(pajak[[#This Row],[//]]="","",SUMIF(Table1[h_id],pajak[[#This Row],[//]],Table1[h_diskon]))</f>
        <v/>
      </c>
      <c r="K28" s="294" t="str">
        <f ca="1">IF(pajak[[#This Row],[//]]="","",SUMIF(Table1[h_id],pajak[[#This Row],[//]],Table1[h_hargasetelahdiskon]))</f>
        <v/>
      </c>
      <c r="L28" s="294" t="str">
        <f ca="1">IF(pajak[//]="","",pajak[[#This Row],[Sub Total]]/1.11*11%)</f>
        <v/>
      </c>
      <c r="M28" s="294" t="str">
        <f ca="1">pajak[[#This Row],[Sub Total]]</f>
        <v/>
      </c>
      <c r="N28" s="295" t="str">
        <f ca="1">IF(pajak[[#This Row],[//]]="","",INDEX(Table1[pembuat nota :],pajak[//]-offset))</f>
        <v/>
      </c>
      <c r="O28" s="295" t="str">
        <f ca="1">IF(pajak[[#This Row],[//]]="","",IF(INDEX(Table1[edited :],pajak[//]-offset)="","",INDEX(Table1[edited :],pajak[//]-offset)))</f>
        <v/>
      </c>
      <c r="P28" s="294"/>
      <c r="R28" s="295" t="str">
        <f>Table4[[#Headers],[AM]]</f>
        <v>AM</v>
      </c>
      <c r="S28" s="295">
        <f t="shared" si="1"/>
        <v>23110024</v>
      </c>
      <c r="T28" s="304" t="b">
        <f ca="1">IF(Table4[[#This Row],[AM]]&amp;" "&amp;Table4[[#This Row],[---]]=INDIRECT("pajak[@["&amp;Table4[#Headers]&amp;"]]"),MATCH(Table4[[#This Row],[---]],INDIRECT($3:$3),0))</f>
        <v>0</v>
      </c>
      <c r="U28" s="304" t="e">
        <f ca="1">IF((INDEX(INDIRECT($3:$3),Table4[[#This Row],[No. Invoice :]]+$2:$2))=INDIRECT("pajak[@["&amp;Table4[#Headers]&amp;"]]"),1)</f>
        <v>#REF!</v>
      </c>
      <c r="V28" s="304" t="e">
        <f ca="1">IF((INDEX(INDIRECT($3:$3),Table4[[#This Row],[No. Invoice :]]+$2:$2))=INDIRECT("pajak[@["&amp;Table4[#Headers]&amp;"]]"),1)</f>
        <v>#REF!</v>
      </c>
      <c r="W28" s="304" t="e">
        <f ca="1">IF((INDEX(INDIRECT($3:$3),Table4[[#This Row],[No. Invoice :]]+$2:$2))=INDIRECT("pajak[@["&amp;Table4[#Headers]&amp;"]]"),1)</f>
        <v>#REF!</v>
      </c>
      <c r="X28" s="304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5" t="str">
        <f t="shared" ca="1" si="0"/>
        <v/>
      </c>
      <c r="E29" s="295" t="str">
        <f ca="1">IF(pajak[[#This Row],[//]]="","",INDEX(Table1[No. Invoice :],pajak[//]-offset))</f>
        <v/>
      </c>
      <c r="F29" s="293" t="str">
        <f ca="1">IF(pajak[[#This Row],[//]]="","",INDEX(Table1[Tgl Invoice :],pajak[//]-offset))</f>
        <v/>
      </c>
      <c r="G29" s="295" t="str">
        <f ca="1">IF(pajak[[#This Row],[//]]="","",INDEX(Table1[Kode Sales :],pajak[//]-offset))</f>
        <v/>
      </c>
      <c r="H29" s="295" t="str">
        <f ca="1">IF(pajak[[#This Row],[//]]="","",INDEX(Table1[Toko],pajak[//]-offset))</f>
        <v/>
      </c>
      <c r="I29" s="294" t="str">
        <f ca="1">IF(pajak[[#This Row],[//]]="","",SUMIF(Table1[h_id],pajak[[#This Row],[//]],Table1[h_hargasebelumdiskon]))</f>
        <v/>
      </c>
      <c r="J29" s="294" t="str">
        <f ca="1">IF(pajak[[#This Row],[//]]="","",SUMIF(Table1[h_id],pajak[[#This Row],[//]],Table1[h_diskon]))</f>
        <v/>
      </c>
      <c r="K29" s="294" t="str">
        <f ca="1">IF(pajak[[#This Row],[//]]="","",SUMIF(Table1[h_id],pajak[[#This Row],[//]],Table1[h_hargasetelahdiskon]))</f>
        <v/>
      </c>
      <c r="L29" s="294" t="str">
        <f ca="1">IF(pajak[//]="","",pajak[[#This Row],[Sub Total]]/1.11*11%)</f>
        <v/>
      </c>
      <c r="M29" s="294" t="str">
        <f ca="1">pajak[[#This Row],[Sub Total]]</f>
        <v/>
      </c>
      <c r="N29" s="295" t="str">
        <f ca="1">IF(pajak[[#This Row],[//]]="","",INDEX(Table1[pembuat nota :],pajak[//]-offset))</f>
        <v/>
      </c>
      <c r="O29" s="295" t="str">
        <f ca="1">IF(pajak[[#This Row],[//]]="","",IF(INDEX(Table1[edited :],pajak[//]-offset)="","",INDEX(Table1[edited :],pajak[//]-offset)))</f>
        <v/>
      </c>
      <c r="P29" s="294"/>
      <c r="R29" s="295" t="str">
        <f>Table4[[#Headers],[AM]]</f>
        <v>AM</v>
      </c>
      <c r="S29" s="295">
        <f t="shared" si="1"/>
        <v>23110025</v>
      </c>
      <c r="T29" s="304" t="b">
        <f ca="1">IF(Table4[[#This Row],[AM]]&amp;" "&amp;Table4[[#This Row],[---]]=INDIRECT("pajak[@["&amp;Table4[#Headers]&amp;"]]"),MATCH(Table4[[#This Row],[---]],INDIRECT($3:$3),0))</f>
        <v>0</v>
      </c>
      <c r="U29" s="304" t="e">
        <f ca="1">IF((INDEX(INDIRECT($3:$3),Table4[[#This Row],[No. Invoice :]]+$2:$2))=INDIRECT("pajak[@["&amp;Table4[#Headers]&amp;"]]"),1)</f>
        <v>#REF!</v>
      </c>
      <c r="V29" s="304" t="e">
        <f ca="1">IF((INDEX(INDIRECT($3:$3),Table4[[#This Row],[No. Invoice :]]+$2:$2))=INDIRECT("pajak[@["&amp;Table4[#Headers]&amp;"]]"),1)</f>
        <v>#REF!</v>
      </c>
      <c r="W29" s="304" t="e">
        <f ca="1">IF((INDEX(INDIRECT($3:$3),Table4[[#This Row],[No. Invoice :]]+$2:$2))=INDIRECT("pajak[@["&amp;Table4[#Headers]&amp;"]]"),1)</f>
        <v>#REF!</v>
      </c>
      <c r="X29" s="304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5" t="str">
        <f t="shared" ca="1" si="0"/>
        <v/>
      </c>
      <c r="E30" s="295" t="str">
        <f ca="1">IF(pajak[[#This Row],[//]]="","",INDEX(Table1[No. Invoice :],pajak[//]-offset))</f>
        <v/>
      </c>
      <c r="F30" s="293" t="str">
        <f ca="1">IF(pajak[[#This Row],[//]]="","",INDEX(Table1[Tgl Invoice :],pajak[//]-offset))</f>
        <v/>
      </c>
      <c r="G30" s="295" t="str">
        <f ca="1">IF(pajak[[#This Row],[//]]="","",INDEX(Table1[Kode Sales :],pajak[//]-offset))</f>
        <v/>
      </c>
      <c r="H30" s="295" t="str">
        <f ca="1">IF(pajak[[#This Row],[//]]="","",INDEX(Table1[Toko],pajak[//]-offset))</f>
        <v/>
      </c>
      <c r="I30" s="294" t="str">
        <f ca="1">IF(pajak[[#This Row],[//]]="","",SUMIF(Table1[h_id],pajak[[#This Row],[//]],Table1[h_hargasebelumdiskon]))</f>
        <v/>
      </c>
      <c r="J30" s="294" t="str">
        <f ca="1">IF(pajak[[#This Row],[//]]="","",SUMIF(Table1[h_id],pajak[[#This Row],[//]],Table1[h_diskon]))</f>
        <v/>
      </c>
      <c r="K30" s="294" t="str">
        <f ca="1">IF(pajak[[#This Row],[//]]="","",SUMIF(Table1[h_id],pajak[[#This Row],[//]],Table1[h_hargasetelahdiskon]))</f>
        <v/>
      </c>
      <c r="L30" s="294" t="str">
        <f ca="1">IF(pajak[//]="","",pajak[[#This Row],[Sub Total]]/1.11*11%)</f>
        <v/>
      </c>
      <c r="M30" s="294" t="str">
        <f ca="1">pajak[[#This Row],[Sub Total]]</f>
        <v/>
      </c>
      <c r="N30" s="295" t="str">
        <f ca="1">IF(pajak[[#This Row],[//]]="","",INDEX(Table1[pembuat nota :],pajak[//]-offset))</f>
        <v/>
      </c>
      <c r="O30" s="295" t="str">
        <f ca="1">IF(pajak[[#This Row],[//]]="","",IF(INDEX(Table1[edited :],pajak[//]-offset)="","",INDEX(Table1[edited :],pajak[//]-offset)))</f>
        <v/>
      </c>
      <c r="P30" s="294"/>
      <c r="Q30" s="3"/>
      <c r="R30" s="295" t="str">
        <f>Table4[[#Headers],[AM]]</f>
        <v>AM</v>
      </c>
      <c r="S30" s="295">
        <f t="shared" si="1"/>
        <v>23110026</v>
      </c>
      <c r="T30" s="304" t="b">
        <f ca="1">IF(Table4[[#This Row],[AM]]&amp;" "&amp;Table4[[#This Row],[---]]=INDIRECT("pajak[@["&amp;Table4[#Headers]&amp;"]]"),MATCH(Table4[[#This Row],[---]],INDIRECT($3:$3),0))</f>
        <v>0</v>
      </c>
      <c r="U30" s="304" t="e">
        <f ca="1">IF((INDEX(INDIRECT($3:$3),Table4[[#This Row],[No. Invoice :]]+$2:$2))=INDIRECT("pajak[@["&amp;Table4[#Headers]&amp;"]]"),1)</f>
        <v>#REF!</v>
      </c>
      <c r="V30" s="304" t="e">
        <f ca="1">IF((INDEX(INDIRECT($3:$3),Table4[[#This Row],[No. Invoice :]]+$2:$2))=INDIRECT("pajak[@["&amp;Table4[#Headers]&amp;"]]"),1)</f>
        <v>#REF!</v>
      </c>
      <c r="W30" s="304" t="e">
        <f ca="1">IF((INDEX(INDIRECT($3:$3),Table4[[#This Row],[No. Invoice :]]+$2:$2))=INDIRECT("pajak[@["&amp;Table4[#Headers]&amp;"]]"),1)</f>
        <v>#REF!</v>
      </c>
      <c r="X30" s="304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5" t="str">
        <f t="shared" ca="1" si="0"/>
        <v/>
      </c>
      <c r="E31" s="295" t="str">
        <f ca="1">IF(pajak[[#This Row],[//]]="","",INDEX(Table1[No. Invoice :],pajak[//]-offset))</f>
        <v/>
      </c>
      <c r="F31" s="293" t="str">
        <f ca="1">IF(pajak[[#This Row],[//]]="","",INDEX(Table1[Tgl Invoice :],pajak[//]-offset))</f>
        <v/>
      </c>
      <c r="G31" s="295" t="str">
        <f ca="1">IF(pajak[[#This Row],[//]]="","",INDEX(Table1[Kode Sales :],pajak[//]-offset))</f>
        <v/>
      </c>
      <c r="H31" s="295" t="str">
        <f ca="1">IF(pajak[[#This Row],[//]]="","",INDEX(Table1[Toko],pajak[//]-offset))</f>
        <v/>
      </c>
      <c r="I31" s="294" t="str">
        <f ca="1">IF(pajak[[#This Row],[//]]="","",SUMIF(Table1[h_id],pajak[[#This Row],[//]],Table1[h_hargasebelumdiskon]))</f>
        <v/>
      </c>
      <c r="J31" s="294" t="str">
        <f ca="1">IF(pajak[[#This Row],[//]]="","",SUMIF(Table1[h_id],pajak[[#This Row],[//]],Table1[h_diskon]))</f>
        <v/>
      </c>
      <c r="K31" s="294" t="str">
        <f ca="1">IF(pajak[[#This Row],[//]]="","",SUMIF(Table1[h_id],pajak[[#This Row],[//]],Table1[h_hargasetelahdiskon]))</f>
        <v/>
      </c>
      <c r="L31" s="294" t="str">
        <f ca="1">IF(pajak[//]="","",pajak[[#This Row],[Sub Total]]/1.11*11%)</f>
        <v/>
      </c>
      <c r="M31" s="294" t="str">
        <f ca="1">pajak[[#This Row],[Sub Total]]</f>
        <v/>
      </c>
      <c r="N31" s="295" t="str">
        <f ca="1">IF(pajak[[#This Row],[//]]="","",INDEX(Table1[pembuat nota :],pajak[//]-offset))</f>
        <v/>
      </c>
      <c r="O31" s="295" t="str">
        <f ca="1">IF(pajak[[#This Row],[//]]="","",IF(INDEX(Table1[edited :],pajak[//]-offset)="","",INDEX(Table1[edited :],pajak[//]-offset)))</f>
        <v/>
      </c>
      <c r="P31" s="294"/>
      <c r="R31" s="295" t="str">
        <f>Table4[[#Headers],[AM]]</f>
        <v>AM</v>
      </c>
      <c r="S31" s="295">
        <f t="shared" si="1"/>
        <v>23110027</v>
      </c>
      <c r="T31" s="304" t="b">
        <f ca="1">IF(Table4[[#This Row],[AM]]&amp;" "&amp;Table4[[#This Row],[---]]=INDIRECT("pajak[@["&amp;Table4[#Headers]&amp;"]]"),MATCH(Table4[[#This Row],[---]],INDIRECT($3:$3),0))</f>
        <v>0</v>
      </c>
      <c r="U31" s="304" t="e">
        <f ca="1">IF((INDEX(INDIRECT($3:$3),Table4[[#This Row],[No. Invoice :]]+$2:$2))=INDIRECT("pajak[@["&amp;Table4[#Headers]&amp;"]]"),1)</f>
        <v>#REF!</v>
      </c>
      <c r="V31" s="304" t="e">
        <f ca="1">IF((INDEX(INDIRECT($3:$3),Table4[[#This Row],[No. Invoice :]]+$2:$2))=INDIRECT("pajak[@["&amp;Table4[#Headers]&amp;"]]"),1)</f>
        <v>#REF!</v>
      </c>
      <c r="W31" s="304" t="e">
        <f ca="1">IF((INDEX(INDIRECT($3:$3),Table4[[#This Row],[No. Invoice :]]+$2:$2))=INDIRECT("pajak[@["&amp;Table4[#Headers]&amp;"]]"),1)</f>
        <v>#REF!</v>
      </c>
      <c r="X31" s="304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5" t="str">
        <f t="shared" ca="1" si="0"/>
        <v/>
      </c>
      <c r="E32" s="295" t="str">
        <f ca="1">IF(pajak[[#This Row],[//]]="","",INDEX(Table1[No. Invoice :],pajak[//]-offset))</f>
        <v/>
      </c>
      <c r="F32" s="293" t="str">
        <f ca="1">IF(pajak[[#This Row],[//]]="","",INDEX(Table1[Tgl Invoice :],pajak[//]-offset))</f>
        <v/>
      </c>
      <c r="G32" s="295" t="str">
        <f ca="1">IF(pajak[[#This Row],[//]]="","",INDEX(Table1[Kode Sales :],pajak[//]-offset))</f>
        <v/>
      </c>
      <c r="H32" s="295" t="str">
        <f ca="1">IF(pajak[[#This Row],[//]]="","",INDEX(Table1[Toko],pajak[//]-offset))</f>
        <v/>
      </c>
      <c r="I32" s="294" t="str">
        <f ca="1">IF(pajak[[#This Row],[//]]="","",SUMIF(Table1[h_id],pajak[[#This Row],[//]],Table1[h_hargasebelumdiskon]))</f>
        <v/>
      </c>
      <c r="J32" s="294" t="str">
        <f ca="1">IF(pajak[[#This Row],[//]]="","",SUMIF(Table1[h_id],pajak[[#This Row],[//]],Table1[h_diskon]))</f>
        <v/>
      </c>
      <c r="K32" s="294" t="str">
        <f ca="1">IF(pajak[[#This Row],[//]]="","",SUMIF(Table1[h_id],pajak[[#This Row],[//]],Table1[h_hargasetelahdiskon]))</f>
        <v/>
      </c>
      <c r="L32" s="294" t="str">
        <f ca="1">IF(pajak[//]="","",pajak[[#This Row],[Sub Total]]/1.11*11%)</f>
        <v/>
      </c>
      <c r="M32" s="294" t="str">
        <f ca="1">pajak[[#This Row],[Sub Total]]</f>
        <v/>
      </c>
      <c r="N32" s="295" t="str">
        <f ca="1">IF(pajak[[#This Row],[//]]="","",INDEX(Table1[pembuat nota :],pajak[//]-offset))</f>
        <v/>
      </c>
      <c r="O32" s="295" t="str">
        <f ca="1">IF(pajak[[#This Row],[//]]="","",IF(INDEX(Table1[edited :],pajak[//]-offset)="","",INDEX(Table1[edited :],pajak[//]-offset)))</f>
        <v/>
      </c>
      <c r="P32" s="294"/>
      <c r="R32" s="295" t="str">
        <f>Table4[[#Headers],[AM]]</f>
        <v>AM</v>
      </c>
      <c r="S32" s="295">
        <f t="shared" si="1"/>
        <v>23110028</v>
      </c>
      <c r="T32" s="304" t="b">
        <f ca="1">IF(Table4[[#This Row],[AM]]&amp;" "&amp;Table4[[#This Row],[---]]=INDIRECT("pajak[@["&amp;Table4[#Headers]&amp;"]]"),MATCH(Table4[[#This Row],[---]],INDIRECT($3:$3),0))</f>
        <v>0</v>
      </c>
      <c r="U32" s="304" t="e">
        <f ca="1">IF((INDEX(INDIRECT($3:$3),Table4[[#This Row],[No. Invoice :]]+$2:$2))=INDIRECT("pajak[@["&amp;Table4[#Headers]&amp;"]]"),1)</f>
        <v>#REF!</v>
      </c>
      <c r="V32" s="304" t="e">
        <f ca="1">IF((INDEX(INDIRECT($3:$3),Table4[[#This Row],[No. Invoice :]]+$2:$2))=INDIRECT("pajak[@["&amp;Table4[#Headers]&amp;"]]"),1)</f>
        <v>#REF!</v>
      </c>
      <c r="W32" s="304" t="e">
        <f ca="1">IF((INDEX(INDIRECT($3:$3),Table4[[#This Row],[No. Invoice :]]+$2:$2))=INDIRECT("pajak[@["&amp;Table4[#Headers]&amp;"]]"),1)</f>
        <v>#REF!</v>
      </c>
      <c r="X32" s="304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5" t="str">
        <f t="shared" ca="1" si="0"/>
        <v/>
      </c>
      <c r="E33" s="295" t="str">
        <f ca="1">IF(pajak[[#This Row],[//]]="","",INDEX(Table1[No. Invoice :],pajak[//]-offset))</f>
        <v/>
      </c>
      <c r="F33" s="293" t="str">
        <f ca="1">IF(pajak[[#This Row],[//]]="","",INDEX(Table1[Tgl Invoice :],pajak[//]-offset))</f>
        <v/>
      </c>
      <c r="G33" s="295" t="str">
        <f ca="1">IF(pajak[[#This Row],[//]]="","",INDEX(Table1[Kode Sales :],pajak[//]-offset))</f>
        <v/>
      </c>
      <c r="H33" s="295" t="str">
        <f ca="1">IF(pajak[[#This Row],[//]]="","",INDEX(Table1[Toko],pajak[//]-offset))</f>
        <v/>
      </c>
      <c r="I33" s="294" t="str">
        <f ca="1">IF(pajak[[#This Row],[//]]="","",SUMIF(Table1[h_id],pajak[[#This Row],[//]],Table1[h_hargasebelumdiskon]))</f>
        <v/>
      </c>
      <c r="J33" s="294" t="str">
        <f ca="1">IF(pajak[[#This Row],[//]]="","",SUMIF(Table1[h_id],pajak[[#This Row],[//]],Table1[h_diskon]))</f>
        <v/>
      </c>
      <c r="K33" s="294" t="str">
        <f ca="1">IF(pajak[[#This Row],[//]]="","",SUMIF(Table1[h_id],pajak[[#This Row],[//]],Table1[h_hargasetelahdiskon]))</f>
        <v/>
      </c>
      <c r="L33" s="294" t="str">
        <f ca="1">IF(pajak[//]="","",pajak[[#This Row],[Sub Total]]/1.11*11%)</f>
        <v/>
      </c>
      <c r="M33" s="294" t="str">
        <f ca="1">pajak[[#This Row],[Sub Total]]</f>
        <v/>
      </c>
      <c r="N33" s="295" t="str">
        <f ca="1">IF(pajak[[#This Row],[//]]="","",INDEX(Table1[pembuat nota :],pajak[//]-offset))</f>
        <v/>
      </c>
      <c r="O33" s="295" t="str">
        <f ca="1">IF(pajak[[#This Row],[//]]="","",IF(INDEX(Table1[edited :],pajak[//]-offset)="","",INDEX(Table1[edited :],pajak[//]-offset)))</f>
        <v/>
      </c>
      <c r="P33" s="294"/>
      <c r="R33" s="295" t="str">
        <f>Table4[[#Headers],[AM]]</f>
        <v>AM</v>
      </c>
      <c r="S33" s="295">
        <f t="shared" si="1"/>
        <v>23110029</v>
      </c>
      <c r="T33" s="304" t="b">
        <f ca="1">IF(Table4[[#This Row],[AM]]&amp;" "&amp;Table4[[#This Row],[---]]=INDIRECT("pajak[@["&amp;Table4[#Headers]&amp;"]]"),MATCH(Table4[[#This Row],[---]],INDIRECT($3:$3),0))</f>
        <v>0</v>
      </c>
      <c r="U33" s="304" t="e">
        <f ca="1">IF((INDEX(INDIRECT($3:$3),Table4[[#This Row],[No. Invoice :]]+$2:$2))=INDIRECT("pajak[@["&amp;Table4[#Headers]&amp;"]]"),1)</f>
        <v>#REF!</v>
      </c>
      <c r="V33" s="304" t="e">
        <f ca="1">IF((INDEX(INDIRECT($3:$3),Table4[[#This Row],[No. Invoice :]]+$2:$2))=INDIRECT("pajak[@["&amp;Table4[#Headers]&amp;"]]"),1)</f>
        <v>#REF!</v>
      </c>
      <c r="W33" s="304" t="e">
        <f ca="1">IF((INDEX(INDIRECT($3:$3),Table4[[#This Row],[No. Invoice :]]+$2:$2))=INDIRECT("pajak[@["&amp;Table4[#Headers]&amp;"]]"),1)</f>
        <v>#REF!</v>
      </c>
      <c r="X33" s="304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5" t="str">
        <f t="shared" ca="1" si="0"/>
        <v/>
      </c>
      <c r="E34" s="295" t="str">
        <f ca="1">IF(pajak[[#This Row],[//]]="","",INDEX(Table1[No. Invoice :],pajak[//]-offset))</f>
        <v/>
      </c>
      <c r="F34" s="293" t="str">
        <f ca="1">IF(pajak[[#This Row],[//]]="","",INDEX(Table1[Tgl Invoice :],pajak[//]-offset))</f>
        <v/>
      </c>
      <c r="G34" s="295" t="str">
        <f ca="1">IF(pajak[[#This Row],[//]]="","",INDEX(Table1[Kode Sales :],pajak[//]-offset))</f>
        <v/>
      </c>
      <c r="H34" s="295" t="str">
        <f ca="1">IF(pajak[[#This Row],[//]]="","",INDEX(Table1[Toko],pajak[//]-offset))</f>
        <v/>
      </c>
      <c r="I34" s="294" t="str">
        <f ca="1">IF(pajak[[#This Row],[//]]="","",SUMIF(Table1[h_id],pajak[[#This Row],[//]],Table1[h_hargasebelumdiskon]))</f>
        <v/>
      </c>
      <c r="J34" s="294" t="str">
        <f ca="1">IF(pajak[[#This Row],[//]]="","",SUMIF(Table1[h_id],pajak[[#This Row],[//]],Table1[h_diskon]))</f>
        <v/>
      </c>
      <c r="K34" s="294" t="str">
        <f ca="1">IF(pajak[[#This Row],[//]]="","",SUMIF(Table1[h_id],pajak[[#This Row],[//]],Table1[h_hargasetelahdiskon]))</f>
        <v/>
      </c>
      <c r="L34" s="294" t="str">
        <f ca="1">IF(pajak[//]="","",pajak[[#This Row],[Sub Total]]/1.11*11%)</f>
        <v/>
      </c>
      <c r="M34" s="294" t="str">
        <f ca="1">pajak[[#This Row],[Sub Total]]</f>
        <v/>
      </c>
      <c r="N34" s="295" t="str">
        <f ca="1">IF(pajak[[#This Row],[//]]="","",INDEX(Table1[pembuat nota :],pajak[//]-offset))</f>
        <v/>
      </c>
      <c r="O34" s="295" t="str">
        <f ca="1">IF(pajak[[#This Row],[//]]="","",IF(INDEX(Table1[edited :],pajak[//]-offset)="","",INDEX(Table1[edited :],pajak[//]-offset)))</f>
        <v/>
      </c>
      <c r="P34" s="294"/>
      <c r="R34" s="295" t="str">
        <f>Table4[[#Headers],[AM]]</f>
        <v>AM</v>
      </c>
      <c r="S34" s="295">
        <f t="shared" si="1"/>
        <v>23110030</v>
      </c>
      <c r="T34" s="304" t="b">
        <f ca="1">IF(Table4[[#This Row],[AM]]&amp;" "&amp;Table4[[#This Row],[---]]=INDIRECT("pajak[@["&amp;Table4[#Headers]&amp;"]]"),MATCH(Table4[[#This Row],[---]],INDIRECT($3:$3),0))</f>
        <v>0</v>
      </c>
      <c r="U34" s="304" t="e">
        <f ca="1">IF((INDEX(INDIRECT($3:$3),Table4[[#This Row],[No. Invoice :]]+$2:$2))=INDIRECT("pajak[@["&amp;Table4[#Headers]&amp;"]]"),1)</f>
        <v>#REF!</v>
      </c>
      <c r="V34" s="304" t="e">
        <f ca="1">IF((INDEX(INDIRECT($3:$3),Table4[[#This Row],[No. Invoice :]]+$2:$2))=INDIRECT("pajak[@["&amp;Table4[#Headers]&amp;"]]"),1)</f>
        <v>#REF!</v>
      </c>
      <c r="W34" s="304" t="e">
        <f ca="1">IF((INDEX(INDIRECT($3:$3),Table4[[#This Row],[No. Invoice :]]+$2:$2))=INDIRECT("pajak[@["&amp;Table4[#Headers]&amp;"]]"),1)</f>
        <v>#REF!</v>
      </c>
      <c r="X34" s="304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5" t="str">
        <f t="shared" ca="1" si="0"/>
        <v/>
      </c>
      <c r="E35" s="295" t="str">
        <f ca="1">IF(pajak[[#This Row],[//]]="","",INDEX(Table1[No. Invoice :],pajak[//]-offset))</f>
        <v/>
      </c>
      <c r="F35" s="293" t="str">
        <f ca="1">IF(pajak[[#This Row],[//]]="","",INDEX(Table1[Tgl Invoice :],pajak[//]-offset))</f>
        <v/>
      </c>
      <c r="G35" s="295" t="str">
        <f ca="1">IF(pajak[[#This Row],[//]]="","",INDEX(Table1[Kode Sales :],pajak[//]-offset))</f>
        <v/>
      </c>
      <c r="H35" s="295" t="str">
        <f ca="1">IF(pajak[[#This Row],[//]]="","",INDEX(Table1[Toko],pajak[//]-offset))</f>
        <v/>
      </c>
      <c r="I35" s="294" t="str">
        <f ca="1">IF(pajak[[#This Row],[//]]="","",SUMIF(Table1[h_id],pajak[[#This Row],[//]],Table1[h_hargasebelumdiskon]))</f>
        <v/>
      </c>
      <c r="J35" s="294" t="str">
        <f ca="1">IF(pajak[[#This Row],[//]]="","",SUMIF(Table1[h_id],pajak[[#This Row],[//]],Table1[h_diskon]))</f>
        <v/>
      </c>
      <c r="K35" s="294" t="str">
        <f ca="1">IF(pajak[[#This Row],[//]]="","",SUMIF(Table1[h_id],pajak[[#This Row],[//]],Table1[h_hargasetelahdiskon]))</f>
        <v/>
      </c>
      <c r="L35" s="294" t="str">
        <f ca="1">IF(pajak[//]="","",pajak[[#This Row],[Sub Total]]/1.11*11%)</f>
        <v/>
      </c>
      <c r="M35" s="294" t="str">
        <f ca="1">pajak[[#This Row],[Sub Total]]</f>
        <v/>
      </c>
      <c r="N35" s="295" t="str">
        <f ca="1">IF(pajak[[#This Row],[//]]="","",INDEX(Table1[pembuat nota :],pajak[//]-offset))</f>
        <v/>
      </c>
      <c r="O35" s="295" t="str">
        <f ca="1">IF(pajak[[#This Row],[//]]="","",IF(INDEX(Table1[edited :],pajak[//]-offset)="","",INDEX(Table1[edited :],pajak[//]-offset)))</f>
        <v/>
      </c>
      <c r="P35" s="294"/>
      <c r="R35" s="295" t="str">
        <f>Table4[[#Headers],[AM]]</f>
        <v>AM</v>
      </c>
      <c r="S35" s="295">
        <f t="shared" si="1"/>
        <v>23110031</v>
      </c>
      <c r="T35" s="304" t="b">
        <f ca="1">IF(Table4[[#This Row],[AM]]&amp;" "&amp;Table4[[#This Row],[---]]=INDIRECT("pajak[@["&amp;Table4[#Headers]&amp;"]]"),MATCH(Table4[[#This Row],[---]],INDIRECT($3:$3),0))</f>
        <v>0</v>
      </c>
      <c r="U35" s="304" t="e">
        <f ca="1">IF((INDEX(INDIRECT($3:$3),Table4[[#This Row],[No. Invoice :]]+$2:$2))=INDIRECT("pajak[@["&amp;Table4[#Headers]&amp;"]]"),1)</f>
        <v>#REF!</v>
      </c>
      <c r="V35" s="304" t="e">
        <f ca="1">IF((INDEX(INDIRECT($3:$3),Table4[[#This Row],[No. Invoice :]]+$2:$2))=INDIRECT("pajak[@["&amp;Table4[#Headers]&amp;"]]"),1)</f>
        <v>#REF!</v>
      </c>
      <c r="W35" s="304" t="e">
        <f ca="1">IF((INDEX(INDIRECT($3:$3),Table4[[#This Row],[No. Invoice :]]+$2:$2))=INDIRECT("pajak[@["&amp;Table4[#Headers]&amp;"]]"),1)</f>
        <v>#REF!</v>
      </c>
      <c r="X35" s="304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5" t="str">
        <f t="shared" ca="1" si="0"/>
        <v/>
      </c>
      <c r="E36" s="295" t="str">
        <f ca="1">IF(pajak[[#This Row],[//]]="","",INDEX(Table1[No. Invoice :],pajak[//]-offset))</f>
        <v/>
      </c>
      <c r="F36" s="293" t="str">
        <f ca="1">IF(pajak[[#This Row],[//]]="","",INDEX(Table1[Tgl Invoice :],pajak[//]-offset))</f>
        <v/>
      </c>
      <c r="G36" s="295" t="str">
        <f ca="1">IF(pajak[[#This Row],[//]]="","",INDEX(Table1[Kode Sales :],pajak[//]-offset))</f>
        <v/>
      </c>
      <c r="H36" s="295" t="str">
        <f ca="1">IF(pajak[[#This Row],[//]]="","",INDEX(Table1[Toko],pajak[//]-offset))</f>
        <v/>
      </c>
      <c r="I36" s="294" t="str">
        <f ca="1">IF(pajak[[#This Row],[//]]="","",SUMIF(Table1[h_id],pajak[[#This Row],[//]],Table1[h_hargasebelumdiskon]))</f>
        <v/>
      </c>
      <c r="J36" s="294" t="str">
        <f ca="1">IF(pajak[[#This Row],[//]]="","",SUMIF(Table1[h_id],pajak[[#This Row],[//]],Table1[h_diskon]))</f>
        <v/>
      </c>
      <c r="K36" s="294" t="str">
        <f ca="1">IF(pajak[[#This Row],[//]]="","",SUMIF(Table1[h_id],pajak[[#This Row],[//]],Table1[h_hargasetelahdiskon]))</f>
        <v/>
      </c>
      <c r="L36" s="294" t="str">
        <f ca="1">IF(pajak[//]="","",pajak[[#This Row],[Sub Total]]/1.11*11%)</f>
        <v/>
      </c>
      <c r="M36" s="294" t="str">
        <f ca="1">pajak[[#This Row],[Sub Total]]</f>
        <v/>
      </c>
      <c r="N36" s="295" t="str">
        <f ca="1">IF(pajak[[#This Row],[//]]="","",INDEX(Table1[pembuat nota :],pajak[//]-offset))</f>
        <v/>
      </c>
      <c r="O36" s="295" t="str">
        <f ca="1">IF(pajak[[#This Row],[//]]="","",IF(INDEX(Table1[edited :],pajak[//]-offset)="","",INDEX(Table1[edited :],pajak[//]-offset)))</f>
        <v/>
      </c>
      <c r="P36" s="294"/>
      <c r="R36" s="295" t="str">
        <f>Table4[[#Headers],[AM]]</f>
        <v>AM</v>
      </c>
      <c r="S36" s="295">
        <f t="shared" si="1"/>
        <v>23110032</v>
      </c>
      <c r="T36" s="304" t="b">
        <f ca="1">IF(Table4[[#This Row],[AM]]&amp;" "&amp;Table4[[#This Row],[---]]=INDIRECT("pajak[@["&amp;Table4[#Headers]&amp;"]]"),MATCH(Table4[[#This Row],[---]],INDIRECT($3:$3),0))</f>
        <v>0</v>
      </c>
      <c r="U36" s="304" t="e">
        <f ca="1">IF((INDEX(INDIRECT($3:$3),Table4[[#This Row],[No. Invoice :]]+$2:$2))=INDIRECT("pajak[@["&amp;Table4[#Headers]&amp;"]]"),1)</f>
        <v>#REF!</v>
      </c>
      <c r="V36" s="304" t="e">
        <f ca="1">IF((INDEX(INDIRECT($3:$3),Table4[[#This Row],[No. Invoice :]]+$2:$2))=INDIRECT("pajak[@["&amp;Table4[#Headers]&amp;"]]"),1)</f>
        <v>#REF!</v>
      </c>
      <c r="W36" s="304" t="e">
        <f ca="1">IF((INDEX(INDIRECT($3:$3),Table4[[#This Row],[No. Invoice :]]+$2:$2))=INDIRECT("pajak[@["&amp;Table4[#Headers]&amp;"]]"),1)</f>
        <v>#REF!</v>
      </c>
      <c r="X36" s="304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5" t="str">
        <f t="shared" ref="D37:D57" ca="1" si="2">IF(ROW()-(COUNTBLANK($D$1:$D$3)+1)&lt;=jNota,A37,"")</f>
        <v/>
      </c>
      <c r="E37" s="295" t="str">
        <f ca="1">IF(pajak[[#This Row],[//]]="","",INDEX(Table1[No. Invoice :],pajak[//]-offset))</f>
        <v/>
      </c>
      <c r="F37" s="293" t="str">
        <f ca="1">IF(pajak[[#This Row],[//]]="","",INDEX(Table1[Tgl Invoice :],pajak[//]-offset))</f>
        <v/>
      </c>
      <c r="G37" s="295" t="str">
        <f ca="1">IF(pajak[[#This Row],[//]]="","",INDEX(Table1[Kode Sales :],pajak[//]-offset))</f>
        <v/>
      </c>
      <c r="H37" s="295" t="str">
        <f ca="1">IF(pajak[[#This Row],[//]]="","",INDEX(Table1[Toko],pajak[//]-offset))</f>
        <v/>
      </c>
      <c r="I37" s="294" t="str">
        <f ca="1">IF(pajak[[#This Row],[//]]="","",SUMIF(Table1[h_id],pajak[[#This Row],[//]],Table1[h_hargasebelumdiskon]))</f>
        <v/>
      </c>
      <c r="J37" s="294" t="str">
        <f ca="1">IF(pajak[[#This Row],[//]]="","",SUMIF(Table1[h_id],pajak[[#This Row],[//]],Table1[h_diskon]))</f>
        <v/>
      </c>
      <c r="K37" s="294" t="str">
        <f ca="1">IF(pajak[[#This Row],[//]]="","",SUMIF(Table1[h_id],pajak[[#This Row],[//]],Table1[h_hargasetelahdiskon]))</f>
        <v/>
      </c>
      <c r="L37" s="294" t="str">
        <f ca="1">IF(pajak[//]="","",pajak[[#This Row],[Sub Total]]/1.11*11%)</f>
        <v/>
      </c>
      <c r="M37" s="294" t="str">
        <f ca="1">pajak[[#This Row],[Sub Total]]</f>
        <v/>
      </c>
      <c r="N37" s="295" t="str">
        <f ca="1">IF(pajak[[#This Row],[//]]="","",INDEX(Table1[pembuat nota :],pajak[//]-offset))</f>
        <v/>
      </c>
      <c r="O37" s="295" t="str">
        <f ca="1">IF(pajak[[#This Row],[//]]="","",IF(INDEX(Table1[edited :],pajak[//]-offset)="","",INDEX(Table1[edited :],pajak[//]-offset)))</f>
        <v/>
      </c>
      <c r="P37" s="294"/>
      <c r="R37" s="295" t="str">
        <f>Table4[[#Headers],[AM]]</f>
        <v>AM</v>
      </c>
      <c r="S37" s="295">
        <f t="shared" ref="S37:S57" si="3">S$3+ROW()-5</f>
        <v>23110033</v>
      </c>
      <c r="T37" s="304" t="b">
        <f ca="1">IF(Table4[[#This Row],[AM]]&amp;" "&amp;Table4[[#This Row],[---]]=INDIRECT("pajak[@["&amp;Table4[#Headers]&amp;"]]"),MATCH(Table4[[#This Row],[---]],INDIRECT($3:$3),0))</f>
        <v>0</v>
      </c>
      <c r="U37" s="304" t="e">
        <f ca="1">IF((INDEX(INDIRECT($3:$3),Table4[[#This Row],[No. Invoice :]]+$2:$2))=INDIRECT("pajak[@["&amp;Table4[#Headers]&amp;"]]"),1)</f>
        <v>#REF!</v>
      </c>
      <c r="V37" s="304" t="e">
        <f ca="1">IF((INDEX(INDIRECT($3:$3),Table4[[#This Row],[No. Invoice :]]+$2:$2))=INDIRECT("pajak[@["&amp;Table4[#Headers]&amp;"]]"),1)</f>
        <v>#REF!</v>
      </c>
      <c r="W37" s="304" t="e">
        <f ca="1">IF((INDEX(INDIRECT($3:$3),Table4[[#This Row],[No. Invoice :]]+$2:$2))=INDIRECT("pajak[@["&amp;Table4[#Headers]&amp;"]]"),1)</f>
        <v>#REF!</v>
      </c>
      <c r="X37" s="304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5" t="str">
        <f t="shared" ca="1" si="2"/>
        <v/>
      </c>
      <c r="E38" s="295" t="str">
        <f ca="1">IF(pajak[[#This Row],[//]]="","",INDEX(Table1[No. Invoice :],pajak[//]-offset))</f>
        <v/>
      </c>
      <c r="F38" s="293" t="str">
        <f ca="1">IF(pajak[[#This Row],[//]]="","",INDEX(Table1[Tgl Invoice :],pajak[//]-offset))</f>
        <v/>
      </c>
      <c r="G38" s="295" t="str">
        <f ca="1">IF(pajak[[#This Row],[//]]="","",INDEX(Table1[Kode Sales :],pajak[//]-offset))</f>
        <v/>
      </c>
      <c r="H38" s="295" t="str">
        <f ca="1">IF(pajak[[#This Row],[//]]="","",INDEX(Table1[Toko],pajak[//]-offset))</f>
        <v/>
      </c>
      <c r="I38" s="294" t="str">
        <f ca="1">IF(pajak[[#This Row],[//]]="","",SUMIF(Table1[h_id],pajak[[#This Row],[//]],Table1[h_hargasebelumdiskon]))</f>
        <v/>
      </c>
      <c r="J38" s="294" t="str">
        <f ca="1">IF(pajak[[#This Row],[//]]="","",SUMIF(Table1[h_id],pajak[[#This Row],[//]],Table1[h_diskon]))</f>
        <v/>
      </c>
      <c r="K38" s="294" t="str">
        <f ca="1">IF(pajak[[#This Row],[//]]="","",SUMIF(Table1[h_id],pajak[[#This Row],[//]],Table1[h_hargasetelahdiskon]))</f>
        <v/>
      </c>
      <c r="L38" s="294" t="str">
        <f ca="1">IF(pajak[//]="","",pajak[[#This Row],[Sub Total]]/1.11*11%)</f>
        <v/>
      </c>
      <c r="M38" s="294" t="str">
        <f ca="1">pajak[[#This Row],[Sub Total]]</f>
        <v/>
      </c>
      <c r="N38" s="295" t="str">
        <f ca="1">IF(pajak[[#This Row],[//]]="","",INDEX(Table1[pembuat nota :],pajak[//]-offset))</f>
        <v/>
      </c>
      <c r="O38" s="295" t="str">
        <f ca="1">IF(pajak[[#This Row],[//]]="","",IF(INDEX(Table1[edited :],pajak[//]-offset)="","",INDEX(Table1[edited :],pajak[//]-offset)))</f>
        <v/>
      </c>
      <c r="P38" s="294"/>
      <c r="R38" s="295" t="str">
        <f>Table4[[#Headers],[AM]]</f>
        <v>AM</v>
      </c>
      <c r="S38" s="295">
        <f t="shared" si="3"/>
        <v>23110034</v>
      </c>
      <c r="T38" s="304" t="b">
        <f ca="1">IF(Table4[[#This Row],[AM]]&amp;" "&amp;Table4[[#This Row],[---]]=INDIRECT("pajak[@["&amp;Table4[#Headers]&amp;"]]"),MATCH(Table4[[#This Row],[---]],INDIRECT($3:$3),0))</f>
        <v>0</v>
      </c>
      <c r="U38" s="304" t="e">
        <f ca="1">IF((INDEX(INDIRECT($3:$3),Table4[[#This Row],[No. Invoice :]]+$2:$2))=INDIRECT("pajak[@["&amp;Table4[#Headers]&amp;"]]"),1)</f>
        <v>#REF!</v>
      </c>
      <c r="V38" s="304" t="e">
        <f ca="1">IF((INDEX(INDIRECT($3:$3),Table4[[#This Row],[No. Invoice :]]+$2:$2))=INDIRECT("pajak[@["&amp;Table4[#Headers]&amp;"]]"),1)</f>
        <v>#REF!</v>
      </c>
      <c r="W38" s="304" t="e">
        <f ca="1">IF((INDEX(INDIRECT($3:$3),Table4[[#This Row],[No. Invoice :]]+$2:$2))=INDIRECT("pajak[@["&amp;Table4[#Headers]&amp;"]]"),1)</f>
        <v>#REF!</v>
      </c>
      <c r="X38" s="304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5" t="str">
        <f t="shared" ca="1" si="2"/>
        <v/>
      </c>
      <c r="E39" s="295" t="str">
        <f ca="1">IF(pajak[[#This Row],[//]]="","",INDEX(Table1[No. Invoice :],pajak[//]-offset))</f>
        <v/>
      </c>
      <c r="F39" s="293" t="str">
        <f ca="1">IF(pajak[[#This Row],[//]]="","",INDEX(Table1[Tgl Invoice :],pajak[//]-offset))</f>
        <v/>
      </c>
      <c r="G39" s="295" t="str">
        <f ca="1">IF(pajak[[#This Row],[//]]="","",INDEX(Table1[Kode Sales :],pajak[//]-offset))</f>
        <v/>
      </c>
      <c r="H39" s="295" t="str">
        <f ca="1">IF(pajak[[#This Row],[//]]="","",INDEX(Table1[Toko],pajak[//]-offset))</f>
        <v/>
      </c>
      <c r="I39" s="294" t="str">
        <f ca="1">IF(pajak[[#This Row],[//]]="","",SUMIF(Table1[h_id],pajak[[#This Row],[//]],Table1[h_hargasebelumdiskon]))</f>
        <v/>
      </c>
      <c r="J39" s="294" t="str">
        <f ca="1">IF(pajak[[#This Row],[//]]="","",SUMIF(Table1[h_id],pajak[[#This Row],[//]],Table1[h_diskon]))</f>
        <v/>
      </c>
      <c r="K39" s="294" t="str">
        <f ca="1">IF(pajak[[#This Row],[//]]="","",SUMIF(Table1[h_id],pajak[[#This Row],[//]],Table1[h_hargasetelahdiskon]))</f>
        <v/>
      </c>
      <c r="L39" s="294" t="str">
        <f ca="1">IF(pajak[//]="","",pajak[[#This Row],[Sub Total]]/1.11*11%)</f>
        <v/>
      </c>
      <c r="M39" s="294" t="str">
        <f ca="1">pajak[[#This Row],[Sub Total]]</f>
        <v/>
      </c>
      <c r="N39" s="295" t="str">
        <f ca="1">IF(pajak[[#This Row],[//]]="","",INDEX(Table1[pembuat nota :],pajak[//]-offset))</f>
        <v/>
      </c>
      <c r="O39" s="295" t="str">
        <f ca="1">IF(pajak[[#This Row],[//]]="","",IF(INDEX(Table1[edited :],pajak[//]-offset)="","",INDEX(Table1[edited :],pajak[//]-offset)))</f>
        <v/>
      </c>
      <c r="P39" s="294"/>
      <c r="R39" s="295" t="str">
        <f>Table4[[#Headers],[AM]]</f>
        <v>AM</v>
      </c>
      <c r="S39" s="295">
        <f t="shared" si="3"/>
        <v>23110035</v>
      </c>
      <c r="T39" s="304" t="b">
        <f ca="1">IF(Table4[[#This Row],[AM]]&amp;" "&amp;Table4[[#This Row],[---]]=INDIRECT("pajak[@["&amp;Table4[#Headers]&amp;"]]"),MATCH(Table4[[#This Row],[---]],INDIRECT($3:$3),0))</f>
        <v>0</v>
      </c>
      <c r="U39" s="304" t="e">
        <f ca="1">IF((INDEX(INDIRECT($3:$3),Table4[[#This Row],[No. Invoice :]]+$2:$2))=INDIRECT("pajak[@["&amp;Table4[#Headers]&amp;"]]"),1)</f>
        <v>#REF!</v>
      </c>
      <c r="V39" s="304" t="e">
        <f ca="1">IF((INDEX(INDIRECT($3:$3),Table4[[#This Row],[No. Invoice :]]+$2:$2))=INDIRECT("pajak[@["&amp;Table4[#Headers]&amp;"]]"),1)</f>
        <v>#REF!</v>
      </c>
      <c r="W39" s="304" t="e">
        <f ca="1">IF((INDEX(INDIRECT($3:$3),Table4[[#This Row],[No. Invoice :]]+$2:$2))=INDIRECT("pajak[@["&amp;Table4[#Headers]&amp;"]]"),1)</f>
        <v>#REF!</v>
      </c>
      <c r="X39" s="304" t="e">
        <f ca="1">IF((INDEX(INDIRECT($3:$3),Table4[[#This Row],[No. Invoice :]]+$2:$2))=INDIRECT("pajak[@["&amp;Table4[#Headers]&amp;"]]"),1)</f>
        <v>#REF!</v>
      </c>
    </row>
    <row r="40" spans="1:24" x14ac:dyDescent="0.25">
      <c r="D40" s="295" t="str">
        <f t="shared" ca="1" si="2"/>
        <v/>
      </c>
      <c r="E40" s="295" t="str">
        <f ca="1">IF(pajak[[#This Row],[//]]="","",INDEX(Table1[No. Invoice :],pajak[//]-offset))</f>
        <v/>
      </c>
      <c r="F40" s="293" t="str">
        <f ca="1">IF(pajak[[#This Row],[//]]="","",INDEX(Table1[Tgl Invoice :],pajak[//]-offset))</f>
        <v/>
      </c>
      <c r="G40" s="295" t="str">
        <f ca="1">IF(pajak[[#This Row],[//]]="","",INDEX(Table1[Kode Sales :],pajak[//]-offset))</f>
        <v/>
      </c>
      <c r="H40" s="295" t="str">
        <f ca="1">IF(pajak[[#This Row],[//]]="","",INDEX(Table1[Toko],pajak[//]-offset))</f>
        <v/>
      </c>
      <c r="I40" s="294" t="str">
        <f ca="1">IF(pajak[[#This Row],[//]]="","",SUMIF(Table1[h_id],pajak[[#This Row],[//]],Table1[h_hargasebelumdiskon]))</f>
        <v/>
      </c>
      <c r="J40" s="294" t="str">
        <f ca="1">IF(pajak[[#This Row],[//]]="","",SUMIF(Table1[h_id],pajak[[#This Row],[//]],Table1[h_diskon]))</f>
        <v/>
      </c>
      <c r="K40" s="294" t="str">
        <f ca="1">IF(pajak[[#This Row],[//]]="","",SUMIF(Table1[h_id],pajak[[#This Row],[//]],Table1[h_hargasetelahdiskon]))</f>
        <v/>
      </c>
      <c r="L40" s="294" t="str">
        <f ca="1">IF(pajak[//]="","",pajak[[#This Row],[Sub Total]]/1.11*11%)</f>
        <v/>
      </c>
      <c r="M40" s="294" t="str">
        <f ca="1">pajak[[#This Row],[Sub Total]]</f>
        <v/>
      </c>
      <c r="N40" s="295" t="str">
        <f ca="1">IF(pajak[[#This Row],[//]]="","",INDEX(Table1[pembuat nota :],pajak[//]-offset))</f>
        <v/>
      </c>
      <c r="O40" s="295" t="str">
        <f ca="1">IF(pajak[[#This Row],[//]]="","",IF(INDEX(Table1[edited :],pajak[//]-offset)="","",INDEX(Table1[edited :],pajak[//]-offset)))</f>
        <v/>
      </c>
      <c r="P40" s="294"/>
      <c r="R40" s="295" t="str">
        <f>Table4[[#Headers],[AM]]</f>
        <v>AM</v>
      </c>
      <c r="S40" s="295">
        <f t="shared" si="3"/>
        <v>23110036</v>
      </c>
      <c r="T40" s="304" t="b">
        <f ca="1">IF(Table4[[#This Row],[AM]]&amp;" "&amp;Table4[[#This Row],[---]]=INDIRECT("pajak[@["&amp;Table4[#Headers]&amp;"]]"),MATCH(Table4[[#This Row],[---]],INDIRECT($3:$3),0))</f>
        <v>0</v>
      </c>
      <c r="U40" s="304" t="e">
        <f ca="1">IF((INDEX(INDIRECT($3:$3),Table4[[#This Row],[No. Invoice :]]+$2:$2))=INDIRECT("pajak[@["&amp;Table4[#Headers]&amp;"]]"),1)</f>
        <v>#REF!</v>
      </c>
      <c r="V40" s="304" t="e">
        <f ca="1">IF((INDEX(INDIRECT($3:$3),Table4[[#This Row],[No. Invoice :]]+$2:$2))=INDIRECT("pajak[@["&amp;Table4[#Headers]&amp;"]]"),1)</f>
        <v>#REF!</v>
      </c>
      <c r="W40" s="304" t="e">
        <f ca="1">IF((INDEX(INDIRECT($3:$3),Table4[[#This Row],[No. Invoice :]]+$2:$2))=INDIRECT("pajak[@["&amp;Table4[#Headers]&amp;"]]"),1)</f>
        <v>#REF!</v>
      </c>
      <c r="X40" s="304" t="e">
        <f ca="1">IF((INDEX(INDIRECT($3:$3),Table4[[#This Row],[No. Invoice :]]+$2:$2))=INDIRECT("pajak[@["&amp;Table4[#Headers]&amp;"]]"),1)</f>
        <v>#REF!</v>
      </c>
    </row>
    <row r="41" spans="1:24" x14ac:dyDescent="0.25">
      <c r="D41" s="295" t="str">
        <f t="shared" ca="1" si="2"/>
        <v/>
      </c>
      <c r="E41" s="295" t="str">
        <f ca="1">IF(pajak[[#This Row],[//]]="","",INDEX(Table1[No. Invoice :],pajak[//]-offset))</f>
        <v/>
      </c>
      <c r="F41" s="293" t="str">
        <f ca="1">IF(pajak[[#This Row],[//]]="","",INDEX(Table1[Tgl Invoice :],pajak[//]-offset))</f>
        <v/>
      </c>
      <c r="G41" s="295" t="str">
        <f ca="1">IF(pajak[[#This Row],[//]]="","",INDEX(Table1[Kode Sales :],pajak[//]-offset))</f>
        <v/>
      </c>
      <c r="H41" s="295" t="str">
        <f ca="1">IF(pajak[[#This Row],[//]]="","",INDEX(Table1[Toko],pajak[//]-offset))</f>
        <v/>
      </c>
      <c r="I41" s="294" t="str">
        <f ca="1">IF(pajak[[#This Row],[//]]="","",SUMIF(Table1[h_id],pajak[[#This Row],[//]],Table1[h_hargasebelumdiskon]))</f>
        <v/>
      </c>
      <c r="J41" s="294" t="str">
        <f ca="1">IF(pajak[[#This Row],[//]]="","",SUMIF(Table1[h_id],pajak[[#This Row],[//]],Table1[h_diskon]))</f>
        <v/>
      </c>
      <c r="K41" s="294" t="str">
        <f ca="1">IF(pajak[[#This Row],[//]]="","",SUMIF(Table1[h_id],pajak[[#This Row],[//]],Table1[h_hargasetelahdiskon]))</f>
        <v/>
      </c>
      <c r="L41" s="294" t="str">
        <f ca="1">IF(pajak[//]="","",pajak[[#This Row],[Sub Total]]/1.11*11%)</f>
        <v/>
      </c>
      <c r="M41" s="294" t="str">
        <f ca="1">pajak[[#This Row],[Sub Total]]</f>
        <v/>
      </c>
      <c r="N41" s="295" t="str">
        <f ca="1">IF(pajak[[#This Row],[//]]="","",INDEX(Table1[pembuat nota :],pajak[//]-offset))</f>
        <v/>
      </c>
      <c r="O41" s="295" t="str">
        <f ca="1">IF(pajak[[#This Row],[//]]="","",IF(INDEX(Table1[edited :],pajak[//]-offset)="","",INDEX(Table1[edited :],pajak[//]-offset)))</f>
        <v/>
      </c>
      <c r="P41" s="294"/>
      <c r="R41" s="295" t="str">
        <f>Table4[[#Headers],[AM]]</f>
        <v>AM</v>
      </c>
      <c r="S41" s="295">
        <f t="shared" si="3"/>
        <v>23110037</v>
      </c>
      <c r="T41" s="304" t="b">
        <f ca="1">IF(Table4[[#This Row],[AM]]&amp;" "&amp;Table4[[#This Row],[---]]=INDIRECT("pajak[@["&amp;Table4[#Headers]&amp;"]]"),MATCH(Table4[[#This Row],[---]],INDIRECT($3:$3),0))</f>
        <v>0</v>
      </c>
      <c r="U41" s="304" t="e">
        <f ca="1">IF((INDEX(INDIRECT($3:$3),Table4[[#This Row],[No. Invoice :]]+$2:$2))=INDIRECT("pajak[@["&amp;Table4[#Headers]&amp;"]]"),1)</f>
        <v>#REF!</v>
      </c>
      <c r="V41" s="304" t="e">
        <f ca="1">IF((INDEX(INDIRECT($3:$3),Table4[[#This Row],[No. Invoice :]]+$2:$2))=INDIRECT("pajak[@["&amp;Table4[#Headers]&amp;"]]"),1)</f>
        <v>#REF!</v>
      </c>
      <c r="W41" s="304" t="e">
        <f ca="1">IF((INDEX(INDIRECT($3:$3),Table4[[#This Row],[No. Invoice :]]+$2:$2))=INDIRECT("pajak[@["&amp;Table4[#Headers]&amp;"]]"),1)</f>
        <v>#REF!</v>
      </c>
      <c r="X41" s="304" t="e">
        <f ca="1">IF((INDEX(INDIRECT($3:$3),Table4[[#This Row],[No. Invoice :]]+$2:$2))=INDIRECT("pajak[@["&amp;Table4[#Headers]&amp;"]]"),1)</f>
        <v>#REF!</v>
      </c>
    </row>
    <row r="42" spans="1:24" x14ac:dyDescent="0.25">
      <c r="D42" s="295" t="str">
        <f t="shared" ca="1" si="2"/>
        <v/>
      </c>
      <c r="E42" s="295" t="str">
        <f ca="1">IF(pajak[[#This Row],[//]]="","",INDEX(Table1[No. Invoice :],pajak[//]-offset))</f>
        <v/>
      </c>
      <c r="F42" s="293" t="str">
        <f ca="1">IF(pajak[[#This Row],[//]]="","",INDEX(Table1[Tgl Invoice :],pajak[//]-offset))</f>
        <v/>
      </c>
      <c r="G42" s="295" t="str">
        <f ca="1">IF(pajak[[#This Row],[//]]="","",INDEX(Table1[Kode Sales :],pajak[//]-offset))</f>
        <v/>
      </c>
      <c r="H42" s="295" t="str">
        <f ca="1">IF(pajak[[#This Row],[//]]="","",INDEX(Table1[Toko],pajak[//]-offset))</f>
        <v/>
      </c>
      <c r="I42" s="294" t="str">
        <f ca="1">IF(pajak[[#This Row],[//]]="","",SUMIF(Table1[h_id],pajak[[#This Row],[//]],Table1[h_hargasebelumdiskon]))</f>
        <v/>
      </c>
      <c r="J42" s="294" t="str">
        <f ca="1">IF(pajak[[#This Row],[//]]="","",SUMIF(Table1[h_id],pajak[[#This Row],[//]],Table1[h_diskon]))</f>
        <v/>
      </c>
      <c r="K42" s="294" t="str">
        <f ca="1">IF(pajak[[#This Row],[//]]="","",SUMIF(Table1[h_id],pajak[[#This Row],[//]],Table1[h_hargasetelahdiskon]))</f>
        <v/>
      </c>
      <c r="L42" s="294" t="str">
        <f ca="1">IF(pajak[//]="","",pajak[[#This Row],[Sub Total]]/1.11*11%)</f>
        <v/>
      </c>
      <c r="M42" s="294" t="str">
        <f ca="1">pajak[[#This Row],[Sub Total]]</f>
        <v/>
      </c>
      <c r="N42" s="295" t="str">
        <f ca="1">IF(pajak[[#This Row],[//]]="","",INDEX(Table1[pembuat nota :],pajak[//]-offset))</f>
        <v/>
      </c>
      <c r="O42" s="295" t="str">
        <f ca="1">IF(pajak[[#This Row],[//]]="","",IF(INDEX(Table1[edited :],pajak[//]-offset)="","",INDEX(Table1[edited :],pajak[//]-offset)))</f>
        <v/>
      </c>
      <c r="P42" s="294"/>
      <c r="R42" s="295" t="str">
        <f>Table4[[#Headers],[AM]]</f>
        <v>AM</v>
      </c>
      <c r="S42" s="295">
        <f t="shared" si="3"/>
        <v>23110038</v>
      </c>
      <c r="T42" s="304" t="b">
        <f ca="1">IF(Table4[[#This Row],[AM]]&amp;" "&amp;Table4[[#This Row],[---]]=INDIRECT("pajak[@["&amp;Table4[#Headers]&amp;"]]"),MATCH(Table4[[#This Row],[---]],INDIRECT($3:$3),0))</f>
        <v>0</v>
      </c>
      <c r="U42" s="304" t="e">
        <f ca="1">IF((INDEX(INDIRECT($3:$3),Table4[[#This Row],[No. Invoice :]]+$2:$2))=INDIRECT("pajak[@["&amp;Table4[#Headers]&amp;"]]"),1)</f>
        <v>#REF!</v>
      </c>
      <c r="V42" s="304" t="e">
        <f ca="1">IF((INDEX(INDIRECT($3:$3),Table4[[#This Row],[No. Invoice :]]+$2:$2))=INDIRECT("pajak[@["&amp;Table4[#Headers]&amp;"]]"),1)</f>
        <v>#REF!</v>
      </c>
      <c r="W42" s="304" t="e">
        <f ca="1">IF((INDEX(INDIRECT($3:$3),Table4[[#This Row],[No. Invoice :]]+$2:$2))=INDIRECT("pajak[@["&amp;Table4[#Headers]&amp;"]]"),1)</f>
        <v>#REF!</v>
      </c>
      <c r="X42" s="304" t="e">
        <f ca="1">IF((INDEX(INDIRECT($3:$3),Table4[[#This Row],[No. Invoice :]]+$2:$2))=INDIRECT("pajak[@["&amp;Table4[#Headers]&amp;"]]"),1)</f>
        <v>#REF!</v>
      </c>
    </row>
    <row r="43" spans="1:24" x14ac:dyDescent="0.25">
      <c r="D43" s="295" t="str">
        <f t="shared" ca="1" si="2"/>
        <v/>
      </c>
      <c r="E43" s="295" t="str">
        <f ca="1">IF(pajak[[#This Row],[//]]="","",INDEX(Table1[No. Invoice :],pajak[//]-offset))</f>
        <v/>
      </c>
      <c r="F43" s="293" t="str">
        <f ca="1">IF(pajak[[#This Row],[//]]="","",INDEX(Table1[Tgl Invoice :],pajak[//]-offset))</f>
        <v/>
      </c>
      <c r="G43" s="295" t="str">
        <f ca="1">IF(pajak[[#This Row],[//]]="","",INDEX(Table1[Kode Sales :],pajak[//]-offset))</f>
        <v/>
      </c>
      <c r="H43" s="295" t="str">
        <f ca="1">IF(pajak[[#This Row],[//]]="","",INDEX(Table1[Toko],pajak[//]-offset))</f>
        <v/>
      </c>
      <c r="I43" s="294" t="str">
        <f ca="1">IF(pajak[[#This Row],[//]]="","",SUMIF(Table1[h_id],pajak[[#This Row],[//]],Table1[h_hargasebelumdiskon]))</f>
        <v/>
      </c>
      <c r="J43" s="294" t="str">
        <f ca="1">IF(pajak[[#This Row],[//]]="","",SUMIF(Table1[h_id],pajak[[#This Row],[//]],Table1[h_diskon]))</f>
        <v/>
      </c>
      <c r="K43" s="294" t="str">
        <f ca="1">IF(pajak[[#This Row],[//]]="","",SUMIF(Table1[h_id],pajak[[#This Row],[//]],Table1[h_hargasetelahdiskon]))</f>
        <v/>
      </c>
      <c r="L43" s="294" t="str">
        <f ca="1">IF(pajak[//]="","",pajak[[#This Row],[Sub Total]]/1.11*11%)</f>
        <v/>
      </c>
      <c r="M43" s="294" t="str">
        <f ca="1">pajak[[#This Row],[Sub Total]]</f>
        <v/>
      </c>
      <c r="N43" s="295" t="str">
        <f ca="1">IF(pajak[[#This Row],[//]]="","",INDEX(Table1[pembuat nota :],pajak[//]-offset))</f>
        <v/>
      </c>
      <c r="O43" s="295" t="str">
        <f ca="1">IF(pajak[[#This Row],[//]]="","",IF(INDEX(Table1[edited :],pajak[//]-offset)="","",INDEX(Table1[edited :],pajak[//]-offset)))</f>
        <v/>
      </c>
      <c r="P43" s="294"/>
      <c r="R43" s="295" t="str">
        <f>Table4[[#Headers],[AM]]</f>
        <v>AM</v>
      </c>
      <c r="S43" s="295">
        <f t="shared" si="3"/>
        <v>23110039</v>
      </c>
      <c r="T43" s="304" t="b">
        <f ca="1">IF(Table4[[#This Row],[AM]]&amp;" "&amp;Table4[[#This Row],[---]]=INDIRECT("pajak[@["&amp;Table4[#Headers]&amp;"]]"),MATCH(Table4[[#This Row],[---]],INDIRECT($3:$3),0))</f>
        <v>0</v>
      </c>
      <c r="U43" s="304" t="e">
        <f ca="1">IF((INDEX(INDIRECT($3:$3),Table4[[#This Row],[No. Invoice :]]+$2:$2))=INDIRECT("pajak[@["&amp;Table4[#Headers]&amp;"]]"),1)</f>
        <v>#REF!</v>
      </c>
      <c r="V43" s="304" t="e">
        <f ca="1">IF((INDEX(INDIRECT($3:$3),Table4[[#This Row],[No. Invoice :]]+$2:$2))=INDIRECT("pajak[@["&amp;Table4[#Headers]&amp;"]]"),1)</f>
        <v>#REF!</v>
      </c>
      <c r="W43" s="304" t="e">
        <f ca="1">IF((INDEX(INDIRECT($3:$3),Table4[[#This Row],[No. Invoice :]]+$2:$2))=INDIRECT("pajak[@["&amp;Table4[#Headers]&amp;"]]"),1)</f>
        <v>#REF!</v>
      </c>
      <c r="X43" s="304" t="e">
        <f ca="1">IF((INDEX(INDIRECT($3:$3),Table4[[#This Row],[No. Invoice :]]+$2:$2))=INDIRECT("pajak[@["&amp;Table4[#Headers]&amp;"]]"),1)</f>
        <v>#REF!</v>
      </c>
    </row>
    <row r="44" spans="1:24" x14ac:dyDescent="0.25">
      <c r="D44" s="295" t="str">
        <f t="shared" ca="1" si="2"/>
        <v/>
      </c>
      <c r="E44" s="295" t="str">
        <f ca="1">IF(pajak[[#This Row],[//]]="","",INDEX(Table1[No. Invoice :],pajak[//]-offset))</f>
        <v/>
      </c>
      <c r="F44" s="293" t="str">
        <f ca="1">IF(pajak[[#This Row],[//]]="","",INDEX(Table1[Tgl Invoice :],pajak[//]-offset))</f>
        <v/>
      </c>
      <c r="G44" s="295" t="str">
        <f ca="1">IF(pajak[[#This Row],[//]]="","",INDEX(Table1[Kode Sales :],pajak[//]-offset))</f>
        <v/>
      </c>
      <c r="H44" s="295" t="str">
        <f ca="1">IF(pajak[[#This Row],[//]]="","",INDEX(Table1[Toko],pajak[//]-offset))</f>
        <v/>
      </c>
      <c r="I44" s="294" t="str">
        <f ca="1">IF(pajak[[#This Row],[//]]="","",SUMIF(Table1[h_id],pajak[[#This Row],[//]],Table1[h_hargasebelumdiskon]))</f>
        <v/>
      </c>
      <c r="J44" s="294" t="str">
        <f ca="1">IF(pajak[[#This Row],[//]]="","",SUMIF(Table1[h_id],pajak[[#This Row],[//]],Table1[h_diskon]))</f>
        <v/>
      </c>
      <c r="K44" s="294" t="str">
        <f ca="1">IF(pajak[[#This Row],[//]]="","",SUMIF(Table1[h_id],pajak[[#This Row],[//]],Table1[h_hargasetelahdiskon]))</f>
        <v/>
      </c>
      <c r="L44" s="294" t="str">
        <f ca="1">IF(pajak[//]="","",pajak[[#This Row],[Sub Total]]/1.11*11%)</f>
        <v/>
      </c>
      <c r="M44" s="294" t="str">
        <f ca="1">pajak[[#This Row],[Sub Total]]</f>
        <v/>
      </c>
      <c r="N44" s="295" t="str">
        <f ca="1">IF(pajak[[#This Row],[//]]="","",INDEX(Table1[pembuat nota :],pajak[//]-offset))</f>
        <v/>
      </c>
      <c r="O44" s="295" t="str">
        <f ca="1">IF(pajak[[#This Row],[//]]="","",IF(INDEX(Table1[edited :],pajak[//]-offset)="","",INDEX(Table1[edited :],pajak[//]-offset)))</f>
        <v/>
      </c>
      <c r="P44" s="294"/>
      <c r="R44" s="295" t="str">
        <f>Table4[[#Headers],[AM]]</f>
        <v>AM</v>
      </c>
      <c r="S44" s="295">
        <f t="shared" si="3"/>
        <v>23110040</v>
      </c>
      <c r="T44" s="304" t="b">
        <f ca="1">IF(Table4[[#This Row],[AM]]&amp;" "&amp;Table4[[#This Row],[---]]=INDIRECT("pajak[@["&amp;Table4[#Headers]&amp;"]]"),MATCH(Table4[[#This Row],[---]],INDIRECT($3:$3),0))</f>
        <v>0</v>
      </c>
      <c r="U44" s="304" t="e">
        <f ca="1">IF((INDEX(INDIRECT($3:$3),Table4[[#This Row],[No. Invoice :]]+$2:$2))=INDIRECT("pajak[@["&amp;Table4[#Headers]&amp;"]]"),1)</f>
        <v>#REF!</v>
      </c>
      <c r="V44" s="304" t="e">
        <f ca="1">IF((INDEX(INDIRECT($3:$3),Table4[[#This Row],[No. Invoice :]]+$2:$2))=INDIRECT("pajak[@["&amp;Table4[#Headers]&amp;"]]"),1)</f>
        <v>#REF!</v>
      </c>
      <c r="W44" s="304" t="e">
        <f ca="1">IF((INDEX(INDIRECT($3:$3),Table4[[#This Row],[No. Invoice :]]+$2:$2))=INDIRECT("pajak[@["&amp;Table4[#Headers]&amp;"]]"),1)</f>
        <v>#REF!</v>
      </c>
      <c r="X44" s="304" t="e">
        <f ca="1">IF((INDEX(INDIRECT($3:$3),Table4[[#This Row],[No. Invoice :]]+$2:$2))=INDIRECT("pajak[@["&amp;Table4[#Headers]&amp;"]]"),1)</f>
        <v>#REF!</v>
      </c>
    </row>
    <row r="45" spans="1:24" x14ac:dyDescent="0.25">
      <c r="D45" s="295" t="str">
        <f t="shared" ca="1" si="2"/>
        <v/>
      </c>
      <c r="E45" s="295" t="str">
        <f ca="1">IF(pajak[[#This Row],[//]]="","",INDEX(Table1[No. Invoice :],pajak[//]-offset))</f>
        <v/>
      </c>
      <c r="F45" s="293" t="str">
        <f ca="1">IF(pajak[[#This Row],[//]]="","",INDEX(Table1[Tgl Invoice :],pajak[//]-offset))</f>
        <v/>
      </c>
      <c r="G45" s="295" t="str">
        <f ca="1">IF(pajak[[#This Row],[//]]="","",INDEX(Table1[Kode Sales :],pajak[//]-offset))</f>
        <v/>
      </c>
      <c r="H45" s="295" t="str">
        <f ca="1">IF(pajak[[#This Row],[//]]="","",INDEX(Table1[Toko],pajak[//]-offset))</f>
        <v/>
      </c>
      <c r="I45" s="294" t="str">
        <f ca="1">IF(pajak[[#This Row],[//]]="","",SUMIF(Table1[h_id],pajak[[#This Row],[//]],Table1[h_hargasebelumdiskon]))</f>
        <v/>
      </c>
      <c r="J45" s="294" t="str">
        <f ca="1">IF(pajak[[#This Row],[//]]="","",SUMIF(Table1[h_id],pajak[[#This Row],[//]],Table1[h_diskon]))</f>
        <v/>
      </c>
      <c r="K45" s="294" t="str">
        <f ca="1">IF(pajak[[#This Row],[//]]="","",SUMIF(Table1[h_id],pajak[[#This Row],[//]],Table1[h_hargasetelahdiskon]))</f>
        <v/>
      </c>
      <c r="L45" s="294" t="str">
        <f ca="1">IF(pajak[//]="","",pajak[[#This Row],[Sub Total]]/1.11*11%)</f>
        <v/>
      </c>
      <c r="M45" s="294" t="str">
        <f ca="1">pajak[[#This Row],[Sub Total]]</f>
        <v/>
      </c>
      <c r="N45" s="295" t="str">
        <f ca="1">IF(pajak[[#This Row],[//]]="","",INDEX(Table1[pembuat nota :],pajak[//]-offset))</f>
        <v/>
      </c>
      <c r="O45" s="295" t="str">
        <f ca="1">IF(pajak[[#This Row],[//]]="","",IF(INDEX(Table1[edited :],pajak[//]-offset)="","",INDEX(Table1[edited :],pajak[//]-offset)))</f>
        <v/>
      </c>
      <c r="P45" s="294"/>
      <c r="R45" s="295" t="str">
        <f>Table4[[#Headers],[AM]]</f>
        <v>AM</v>
      </c>
      <c r="S45" s="295">
        <f t="shared" si="3"/>
        <v>23110041</v>
      </c>
      <c r="T45" s="304" t="b">
        <f ca="1">IF(Table4[[#This Row],[AM]]&amp;" "&amp;Table4[[#This Row],[---]]=INDIRECT("pajak[@["&amp;Table4[#Headers]&amp;"]]"),MATCH(Table4[[#This Row],[---]],INDIRECT($3:$3),0))</f>
        <v>0</v>
      </c>
      <c r="U45" s="304" t="e">
        <f ca="1">IF((INDEX(INDIRECT($3:$3),Table4[[#This Row],[No. Invoice :]]+$2:$2))=INDIRECT("pajak[@["&amp;Table4[#Headers]&amp;"]]"),1)</f>
        <v>#REF!</v>
      </c>
      <c r="V45" s="304" t="e">
        <f ca="1">IF((INDEX(INDIRECT($3:$3),Table4[[#This Row],[No. Invoice :]]+$2:$2))=INDIRECT("pajak[@["&amp;Table4[#Headers]&amp;"]]"),1)</f>
        <v>#REF!</v>
      </c>
      <c r="W45" s="304" t="e">
        <f ca="1">IF((INDEX(INDIRECT($3:$3),Table4[[#This Row],[No. Invoice :]]+$2:$2))=INDIRECT("pajak[@["&amp;Table4[#Headers]&amp;"]]"),1)</f>
        <v>#REF!</v>
      </c>
      <c r="X45" s="304" t="e">
        <f ca="1">IF((INDEX(INDIRECT($3:$3),Table4[[#This Row],[No. Invoice :]]+$2:$2))=INDIRECT("pajak[@["&amp;Table4[#Headers]&amp;"]]"),1)</f>
        <v>#REF!</v>
      </c>
    </row>
    <row r="46" spans="1:24" x14ac:dyDescent="0.25">
      <c r="D46" s="295" t="str">
        <f t="shared" ca="1" si="2"/>
        <v/>
      </c>
      <c r="E46" s="295" t="str">
        <f ca="1">IF(pajak[[#This Row],[//]]="","",INDEX(Table1[No. Invoice :],pajak[//]-offset))</f>
        <v/>
      </c>
      <c r="F46" s="293" t="str">
        <f ca="1">IF(pajak[[#This Row],[//]]="","",INDEX(Table1[Tgl Invoice :],pajak[//]-offset))</f>
        <v/>
      </c>
      <c r="G46" s="295" t="str">
        <f ca="1">IF(pajak[[#This Row],[//]]="","",INDEX(Table1[Kode Sales :],pajak[//]-offset))</f>
        <v/>
      </c>
      <c r="H46" s="295" t="str">
        <f ca="1">IF(pajak[[#This Row],[//]]="","",INDEX(Table1[Toko],pajak[//]-offset))</f>
        <v/>
      </c>
      <c r="I46" s="294" t="str">
        <f ca="1">IF(pajak[[#This Row],[//]]="","",SUMIF(Table1[h_id],pajak[[#This Row],[//]],Table1[h_hargasebelumdiskon]))</f>
        <v/>
      </c>
      <c r="J46" s="294" t="str">
        <f ca="1">IF(pajak[[#This Row],[//]]="","",SUMIF(Table1[h_id],pajak[[#This Row],[//]],Table1[h_diskon]))</f>
        <v/>
      </c>
      <c r="K46" s="294" t="str">
        <f ca="1">IF(pajak[[#This Row],[//]]="","",SUMIF(Table1[h_id],pajak[[#This Row],[//]],Table1[h_hargasetelahdiskon]))</f>
        <v/>
      </c>
      <c r="L46" s="294" t="str">
        <f ca="1">IF(pajak[//]="","",pajak[[#This Row],[Sub Total]]/1.11*11%)</f>
        <v/>
      </c>
      <c r="M46" s="294" t="str">
        <f ca="1">pajak[[#This Row],[Sub Total]]</f>
        <v/>
      </c>
      <c r="N46" s="295" t="str">
        <f ca="1">IF(pajak[[#This Row],[//]]="","",INDEX(Table1[pembuat nota :],pajak[//]-offset))</f>
        <v/>
      </c>
      <c r="O46" s="295" t="str">
        <f ca="1">IF(pajak[[#This Row],[//]]="","",IF(INDEX(Table1[edited :],pajak[//]-offset)="","",INDEX(Table1[edited :],pajak[//]-offset)))</f>
        <v/>
      </c>
      <c r="P46" s="294"/>
      <c r="R46" s="295" t="str">
        <f>Table4[[#Headers],[AM]]</f>
        <v>AM</v>
      </c>
      <c r="S46" s="295">
        <f t="shared" si="3"/>
        <v>23110042</v>
      </c>
      <c r="T46" s="304" t="b">
        <f ca="1">IF(Table4[[#This Row],[AM]]&amp;" "&amp;Table4[[#This Row],[---]]=INDIRECT("pajak[@["&amp;Table4[#Headers]&amp;"]]"),MATCH(Table4[[#This Row],[---]],INDIRECT($3:$3),0))</f>
        <v>0</v>
      </c>
      <c r="U46" s="304" t="e">
        <f ca="1">IF((INDEX(INDIRECT($3:$3),Table4[[#This Row],[No. Invoice :]]+$2:$2))=INDIRECT("pajak[@["&amp;Table4[#Headers]&amp;"]]"),1)</f>
        <v>#REF!</v>
      </c>
      <c r="V46" s="304" t="e">
        <f ca="1">IF((INDEX(INDIRECT($3:$3),Table4[[#This Row],[No. Invoice :]]+$2:$2))=INDIRECT("pajak[@["&amp;Table4[#Headers]&amp;"]]"),1)</f>
        <v>#REF!</v>
      </c>
      <c r="W46" s="304" t="e">
        <f ca="1">IF((INDEX(INDIRECT($3:$3),Table4[[#This Row],[No. Invoice :]]+$2:$2))=INDIRECT("pajak[@["&amp;Table4[#Headers]&amp;"]]"),1)</f>
        <v>#REF!</v>
      </c>
      <c r="X46" s="304" t="e">
        <f ca="1">IF((INDEX(INDIRECT($3:$3),Table4[[#This Row],[No. Invoice :]]+$2:$2))=INDIRECT("pajak[@["&amp;Table4[#Headers]&amp;"]]"),1)</f>
        <v>#REF!</v>
      </c>
    </row>
    <row r="47" spans="1:24" x14ac:dyDescent="0.25">
      <c r="D47" s="295" t="str">
        <f t="shared" ca="1" si="2"/>
        <v/>
      </c>
      <c r="E47" s="295" t="str">
        <f ca="1">IF(pajak[[#This Row],[//]]="","",INDEX(Table1[No. Invoice :],pajak[//]-offset))</f>
        <v/>
      </c>
      <c r="F47" s="293" t="str">
        <f ca="1">IF(pajak[[#This Row],[//]]="","",INDEX(Table1[Tgl Invoice :],pajak[//]-offset))</f>
        <v/>
      </c>
      <c r="G47" s="295" t="str">
        <f ca="1">IF(pajak[[#This Row],[//]]="","",INDEX(Table1[Kode Sales :],pajak[//]-offset))</f>
        <v/>
      </c>
      <c r="H47" s="295" t="str">
        <f ca="1">IF(pajak[[#This Row],[//]]="","",INDEX(Table1[Toko],pajak[//]-offset))</f>
        <v/>
      </c>
      <c r="I47" s="294" t="str">
        <f ca="1">IF(pajak[[#This Row],[//]]="","",SUMIF(Table1[h_id],pajak[[#This Row],[//]],Table1[h_hargasebelumdiskon]))</f>
        <v/>
      </c>
      <c r="J47" s="294" t="str">
        <f ca="1">IF(pajak[[#This Row],[//]]="","",SUMIF(Table1[h_id],pajak[[#This Row],[//]],Table1[h_diskon]))</f>
        <v/>
      </c>
      <c r="K47" s="294" t="str">
        <f ca="1">IF(pajak[[#This Row],[//]]="","",SUMIF(Table1[h_id],pajak[[#This Row],[//]],Table1[h_hargasetelahdiskon]))</f>
        <v/>
      </c>
      <c r="L47" s="294" t="str">
        <f ca="1">IF(pajak[//]="","",pajak[[#This Row],[Sub Total]]/1.11*11%)</f>
        <v/>
      </c>
      <c r="M47" s="294" t="str">
        <f ca="1">pajak[[#This Row],[Sub Total]]</f>
        <v/>
      </c>
      <c r="N47" s="295" t="str">
        <f ca="1">IF(pajak[[#This Row],[//]]="","",INDEX(Table1[pembuat nota :],pajak[//]-offset))</f>
        <v/>
      </c>
      <c r="O47" s="295" t="str">
        <f ca="1">IF(pajak[[#This Row],[//]]="","",IF(INDEX(Table1[edited :],pajak[//]-offset)="","",INDEX(Table1[edited :],pajak[//]-offset)))</f>
        <v/>
      </c>
      <c r="P47" s="294"/>
      <c r="R47" s="295" t="str">
        <f>Table4[[#Headers],[AM]]</f>
        <v>AM</v>
      </c>
      <c r="S47" s="295">
        <f t="shared" si="3"/>
        <v>23110043</v>
      </c>
      <c r="T47" s="304" t="b">
        <f ca="1">IF(Table4[[#This Row],[AM]]&amp;" "&amp;Table4[[#This Row],[---]]=INDIRECT("pajak[@["&amp;Table4[#Headers]&amp;"]]"),MATCH(Table4[[#This Row],[---]],INDIRECT($3:$3),0))</f>
        <v>0</v>
      </c>
      <c r="U47" s="304" t="e">
        <f ca="1">IF((INDEX(INDIRECT($3:$3),Table4[[#This Row],[No. Invoice :]]+$2:$2))=INDIRECT("pajak[@["&amp;Table4[#Headers]&amp;"]]"),1)</f>
        <v>#REF!</v>
      </c>
      <c r="V47" s="304" t="e">
        <f ca="1">IF((INDEX(INDIRECT($3:$3),Table4[[#This Row],[No. Invoice :]]+$2:$2))=INDIRECT("pajak[@["&amp;Table4[#Headers]&amp;"]]"),1)</f>
        <v>#REF!</v>
      </c>
      <c r="W47" s="304" t="e">
        <f ca="1">IF((INDEX(INDIRECT($3:$3),Table4[[#This Row],[No. Invoice :]]+$2:$2))=INDIRECT("pajak[@["&amp;Table4[#Headers]&amp;"]]"),1)</f>
        <v>#REF!</v>
      </c>
      <c r="X47" s="304" t="e">
        <f ca="1">IF((INDEX(INDIRECT($3:$3),Table4[[#This Row],[No. Invoice :]]+$2:$2))=INDIRECT("pajak[@["&amp;Table4[#Headers]&amp;"]]"),1)</f>
        <v>#REF!</v>
      </c>
    </row>
    <row r="48" spans="1:24" x14ac:dyDescent="0.25">
      <c r="D48" s="295" t="str">
        <f t="shared" ca="1" si="2"/>
        <v/>
      </c>
      <c r="E48" s="295" t="str">
        <f ca="1">IF(pajak[[#This Row],[//]]="","",INDEX(Table1[No. Invoice :],pajak[//]-offset))</f>
        <v/>
      </c>
      <c r="F48" s="293" t="str">
        <f ca="1">IF(pajak[[#This Row],[//]]="","",INDEX(Table1[Tgl Invoice :],pajak[//]-offset))</f>
        <v/>
      </c>
      <c r="G48" s="295" t="str">
        <f ca="1">IF(pajak[[#This Row],[//]]="","",INDEX(Table1[Kode Sales :],pajak[//]-offset))</f>
        <v/>
      </c>
      <c r="H48" s="295" t="str">
        <f ca="1">IF(pajak[[#This Row],[//]]="","",INDEX(Table1[Toko],pajak[//]-offset))</f>
        <v/>
      </c>
      <c r="I48" s="294" t="str">
        <f ca="1">IF(pajak[[#This Row],[//]]="","",SUMIF(Table1[h_id],pajak[[#This Row],[//]],Table1[h_hargasebelumdiskon]))</f>
        <v/>
      </c>
      <c r="J48" s="294" t="str">
        <f ca="1">IF(pajak[[#This Row],[//]]="","",SUMIF(Table1[h_id],pajak[[#This Row],[//]],Table1[h_diskon]))</f>
        <v/>
      </c>
      <c r="K48" s="294" t="str">
        <f ca="1">IF(pajak[[#This Row],[//]]="","",SUMIF(Table1[h_id],pajak[[#This Row],[//]],Table1[h_hargasetelahdiskon]))</f>
        <v/>
      </c>
      <c r="L48" s="294" t="str">
        <f ca="1">IF(pajak[//]="","",pajak[[#This Row],[Sub Total]]/1.11*11%)</f>
        <v/>
      </c>
      <c r="M48" s="294" t="str">
        <f ca="1">pajak[[#This Row],[Sub Total]]</f>
        <v/>
      </c>
      <c r="N48" s="295" t="str">
        <f ca="1">IF(pajak[[#This Row],[//]]="","",INDEX(Table1[pembuat nota :],pajak[//]-offset))</f>
        <v/>
      </c>
      <c r="O48" s="295" t="str">
        <f ca="1">IF(pajak[[#This Row],[//]]="","",IF(INDEX(Table1[edited :],pajak[//]-offset)="","",INDEX(Table1[edited :],pajak[//]-offset)))</f>
        <v/>
      </c>
      <c r="P48" s="294"/>
      <c r="R48" s="295" t="str">
        <f>Table4[[#Headers],[AM]]</f>
        <v>AM</v>
      </c>
      <c r="S48" s="295">
        <f t="shared" si="3"/>
        <v>23110044</v>
      </c>
      <c r="T48" s="304" t="b">
        <f ca="1">IF(Table4[[#This Row],[AM]]&amp;" "&amp;Table4[[#This Row],[---]]=INDIRECT("pajak[@["&amp;Table4[#Headers]&amp;"]]"),MATCH(Table4[[#This Row],[---]],INDIRECT($3:$3),0))</f>
        <v>0</v>
      </c>
      <c r="U48" s="304" t="e">
        <f ca="1">IF((INDEX(INDIRECT($3:$3),Table4[[#This Row],[No. Invoice :]]+$2:$2))=INDIRECT("pajak[@["&amp;Table4[#Headers]&amp;"]]"),1)</f>
        <v>#REF!</v>
      </c>
      <c r="V48" s="304" t="e">
        <f ca="1">IF((INDEX(INDIRECT($3:$3),Table4[[#This Row],[No. Invoice :]]+$2:$2))=INDIRECT("pajak[@["&amp;Table4[#Headers]&amp;"]]"),1)</f>
        <v>#REF!</v>
      </c>
      <c r="W48" s="304" t="e">
        <f ca="1">IF((INDEX(INDIRECT($3:$3),Table4[[#This Row],[No. Invoice :]]+$2:$2))=INDIRECT("pajak[@["&amp;Table4[#Headers]&amp;"]]"),1)</f>
        <v>#REF!</v>
      </c>
      <c r="X48" s="304" t="e">
        <f ca="1">IF((INDEX(INDIRECT($3:$3),Table4[[#This Row],[No. Invoice :]]+$2:$2))=INDIRECT("pajak[@["&amp;Table4[#Headers]&amp;"]]"),1)</f>
        <v>#REF!</v>
      </c>
    </row>
    <row r="49" spans="4:24" x14ac:dyDescent="0.25">
      <c r="D49" s="295" t="str">
        <f t="shared" ca="1" si="2"/>
        <v/>
      </c>
      <c r="E49" s="295" t="str">
        <f ca="1">IF(pajak[[#This Row],[//]]="","",INDEX(Table1[No. Invoice :],pajak[//]-offset))</f>
        <v/>
      </c>
      <c r="F49" s="293" t="str">
        <f ca="1">IF(pajak[[#This Row],[//]]="","",INDEX(Table1[Tgl Invoice :],pajak[//]-offset))</f>
        <v/>
      </c>
      <c r="G49" s="295" t="str">
        <f ca="1">IF(pajak[[#This Row],[//]]="","",INDEX(Table1[Kode Sales :],pajak[//]-offset))</f>
        <v/>
      </c>
      <c r="H49" s="295" t="str">
        <f ca="1">IF(pajak[[#This Row],[//]]="","",INDEX(Table1[Toko],pajak[//]-offset))</f>
        <v/>
      </c>
      <c r="I49" s="294" t="str">
        <f ca="1">IF(pajak[[#This Row],[//]]="","",SUMIF(Table1[h_id],pajak[[#This Row],[//]],Table1[h_hargasebelumdiskon]))</f>
        <v/>
      </c>
      <c r="J49" s="294" t="str">
        <f ca="1">IF(pajak[[#This Row],[//]]="","",SUMIF(Table1[h_id],pajak[[#This Row],[//]],Table1[h_diskon]))</f>
        <v/>
      </c>
      <c r="K49" s="294" t="str">
        <f ca="1">IF(pajak[[#This Row],[//]]="","",SUMIF(Table1[h_id],pajak[[#This Row],[//]],Table1[h_hargasetelahdiskon]))</f>
        <v/>
      </c>
      <c r="L49" s="294" t="str">
        <f ca="1">IF(pajak[//]="","",pajak[[#This Row],[Sub Total]]/1.11*11%)</f>
        <v/>
      </c>
      <c r="M49" s="294" t="str">
        <f ca="1">pajak[[#This Row],[Sub Total]]</f>
        <v/>
      </c>
      <c r="N49" s="295" t="str">
        <f ca="1">IF(pajak[[#This Row],[//]]="","",INDEX(Table1[pembuat nota :],pajak[//]-offset))</f>
        <v/>
      </c>
      <c r="O49" s="295" t="str">
        <f ca="1">IF(pajak[[#This Row],[//]]="","",IF(INDEX(Table1[edited :],pajak[//]-offset)="","",INDEX(Table1[edited :],pajak[//]-offset)))</f>
        <v/>
      </c>
      <c r="P49" s="294"/>
      <c r="R49" s="295" t="str">
        <f>Table4[[#Headers],[AM]]</f>
        <v>AM</v>
      </c>
      <c r="S49" s="295">
        <f t="shared" si="3"/>
        <v>23110045</v>
      </c>
      <c r="T49" s="304" t="b">
        <f ca="1">IF(Table4[[#This Row],[AM]]&amp;" "&amp;Table4[[#This Row],[---]]=INDIRECT("pajak[@["&amp;Table4[#Headers]&amp;"]]"),MATCH(Table4[[#This Row],[---]],INDIRECT($3:$3),0))</f>
        <v>0</v>
      </c>
      <c r="U49" s="304" t="e">
        <f ca="1">IF((INDEX(INDIRECT($3:$3),Table4[[#This Row],[No. Invoice :]]+$2:$2))=INDIRECT("pajak[@["&amp;Table4[#Headers]&amp;"]]"),1)</f>
        <v>#REF!</v>
      </c>
      <c r="V49" s="304" t="e">
        <f ca="1">IF((INDEX(INDIRECT($3:$3),Table4[[#This Row],[No. Invoice :]]+$2:$2))=INDIRECT("pajak[@["&amp;Table4[#Headers]&amp;"]]"),1)</f>
        <v>#REF!</v>
      </c>
      <c r="W49" s="304" t="e">
        <f ca="1">IF((INDEX(INDIRECT($3:$3),Table4[[#This Row],[No. Invoice :]]+$2:$2))=INDIRECT("pajak[@["&amp;Table4[#Headers]&amp;"]]"),1)</f>
        <v>#REF!</v>
      </c>
      <c r="X49" s="304" t="e">
        <f ca="1">IF((INDEX(INDIRECT($3:$3),Table4[[#This Row],[No. Invoice :]]+$2:$2))=INDIRECT("pajak[@["&amp;Table4[#Headers]&amp;"]]"),1)</f>
        <v>#REF!</v>
      </c>
    </row>
    <row r="50" spans="4:24" x14ac:dyDescent="0.25">
      <c r="D50" s="295" t="str">
        <f t="shared" ca="1" si="2"/>
        <v/>
      </c>
      <c r="E50" s="295" t="str">
        <f ca="1">IF(pajak[[#This Row],[//]]="","",INDEX(Table1[No. Invoice :],pajak[//]-offset))</f>
        <v/>
      </c>
      <c r="F50" s="293" t="str">
        <f ca="1">IF(pajak[[#This Row],[//]]="","",INDEX(Table1[Tgl Invoice :],pajak[//]-offset))</f>
        <v/>
      </c>
      <c r="G50" s="295" t="str">
        <f ca="1">IF(pajak[[#This Row],[//]]="","",INDEX(Table1[Kode Sales :],pajak[//]-offset))</f>
        <v/>
      </c>
      <c r="H50" s="295" t="str">
        <f ca="1">IF(pajak[[#This Row],[//]]="","",INDEX(Table1[Toko],pajak[//]-offset))</f>
        <v/>
      </c>
      <c r="I50" s="294" t="str">
        <f ca="1">IF(pajak[[#This Row],[//]]="","",SUMIF(Table1[h_id],pajak[[#This Row],[//]],Table1[h_hargasebelumdiskon]))</f>
        <v/>
      </c>
      <c r="J50" s="294" t="str">
        <f ca="1">IF(pajak[[#This Row],[//]]="","",SUMIF(Table1[h_id],pajak[[#This Row],[//]],Table1[h_diskon]))</f>
        <v/>
      </c>
      <c r="K50" s="294" t="str">
        <f ca="1">IF(pajak[[#This Row],[//]]="","",SUMIF(Table1[h_id],pajak[[#This Row],[//]],Table1[h_hargasetelahdiskon]))</f>
        <v/>
      </c>
      <c r="L50" s="294" t="str">
        <f ca="1">IF(pajak[//]="","",pajak[[#This Row],[Sub Total]]/1.11*11%)</f>
        <v/>
      </c>
      <c r="M50" s="294" t="str">
        <f ca="1">pajak[[#This Row],[Sub Total]]</f>
        <v/>
      </c>
      <c r="N50" s="295" t="str">
        <f ca="1">IF(pajak[[#This Row],[//]]="","",INDEX(Table1[pembuat nota :],pajak[//]-offset))</f>
        <v/>
      </c>
      <c r="O50" s="295" t="str">
        <f ca="1">IF(pajak[[#This Row],[//]]="","",IF(INDEX(Table1[edited :],pajak[//]-offset)="","",INDEX(Table1[edited :],pajak[//]-offset)))</f>
        <v/>
      </c>
      <c r="P50" s="294"/>
      <c r="R50" s="295" t="str">
        <f>Table4[[#Headers],[AM]]</f>
        <v>AM</v>
      </c>
      <c r="S50" s="295">
        <f t="shared" si="3"/>
        <v>23110046</v>
      </c>
      <c r="T50" s="304" t="b">
        <f ca="1">IF(Table4[[#This Row],[AM]]&amp;" "&amp;Table4[[#This Row],[---]]=INDIRECT("pajak[@["&amp;Table4[#Headers]&amp;"]]"),MATCH(Table4[[#This Row],[---]],INDIRECT($3:$3),0))</f>
        <v>0</v>
      </c>
      <c r="U50" s="304" t="e">
        <f ca="1">IF((INDEX(INDIRECT($3:$3),Table4[[#This Row],[No. Invoice :]]+$2:$2))=INDIRECT("pajak[@["&amp;Table4[#Headers]&amp;"]]"),1)</f>
        <v>#REF!</v>
      </c>
      <c r="V50" s="304" t="e">
        <f ca="1">IF((INDEX(INDIRECT($3:$3),Table4[[#This Row],[No. Invoice :]]+$2:$2))=INDIRECT("pajak[@["&amp;Table4[#Headers]&amp;"]]"),1)</f>
        <v>#REF!</v>
      </c>
      <c r="W50" s="304" t="e">
        <f ca="1">IF((INDEX(INDIRECT($3:$3),Table4[[#This Row],[No. Invoice :]]+$2:$2))=INDIRECT("pajak[@["&amp;Table4[#Headers]&amp;"]]"),1)</f>
        <v>#REF!</v>
      </c>
      <c r="X50" s="304" t="e">
        <f ca="1">IF((INDEX(INDIRECT($3:$3),Table4[[#This Row],[No. Invoice :]]+$2:$2))=INDIRECT("pajak[@["&amp;Table4[#Headers]&amp;"]]"),1)</f>
        <v>#REF!</v>
      </c>
    </row>
    <row r="51" spans="4:24" x14ac:dyDescent="0.25">
      <c r="D51" s="295" t="str">
        <f t="shared" ca="1" si="2"/>
        <v/>
      </c>
      <c r="E51" s="295" t="str">
        <f ca="1">IF(pajak[[#This Row],[//]]="","",INDEX(Table1[No. Invoice :],pajak[//]-offset))</f>
        <v/>
      </c>
      <c r="F51" s="293" t="str">
        <f ca="1">IF(pajak[[#This Row],[//]]="","",INDEX(Table1[Tgl Invoice :],pajak[//]-offset))</f>
        <v/>
      </c>
      <c r="G51" s="295" t="str">
        <f ca="1">IF(pajak[[#This Row],[//]]="","",INDEX(Table1[Kode Sales :],pajak[//]-offset))</f>
        <v/>
      </c>
      <c r="H51" s="295" t="str">
        <f ca="1">IF(pajak[[#This Row],[//]]="","",INDEX(Table1[Toko],pajak[//]-offset))</f>
        <v/>
      </c>
      <c r="I51" s="294" t="str">
        <f ca="1">IF(pajak[[#This Row],[//]]="","",SUMIF(Table1[h_id],pajak[[#This Row],[//]],Table1[h_hargasebelumdiskon]))</f>
        <v/>
      </c>
      <c r="J51" s="294" t="str">
        <f ca="1">IF(pajak[[#This Row],[//]]="","",SUMIF(Table1[h_id],pajak[[#This Row],[//]],Table1[h_diskon]))</f>
        <v/>
      </c>
      <c r="K51" s="294" t="str">
        <f ca="1">IF(pajak[[#This Row],[//]]="","",SUMIF(Table1[h_id],pajak[[#This Row],[//]],Table1[h_hargasetelahdiskon]))</f>
        <v/>
      </c>
      <c r="L51" s="294" t="str">
        <f ca="1">IF(pajak[//]="","",pajak[[#This Row],[Sub Total]]/1.11*11%)</f>
        <v/>
      </c>
      <c r="M51" s="294" t="str">
        <f ca="1">pajak[[#This Row],[Sub Total]]</f>
        <v/>
      </c>
      <c r="N51" s="295" t="str">
        <f ca="1">IF(pajak[[#This Row],[//]]="","",INDEX(Table1[pembuat nota :],pajak[//]-offset))</f>
        <v/>
      </c>
      <c r="O51" s="295" t="str">
        <f ca="1">IF(pajak[[#This Row],[//]]="","",IF(INDEX(Table1[edited :],pajak[//]-offset)="","",INDEX(Table1[edited :],pajak[//]-offset)))</f>
        <v/>
      </c>
      <c r="P51" s="294"/>
      <c r="R51" s="295" t="str">
        <f>Table4[[#Headers],[AM]]</f>
        <v>AM</v>
      </c>
      <c r="S51" s="295">
        <f t="shared" si="3"/>
        <v>23110047</v>
      </c>
      <c r="T51" s="304" t="b">
        <f ca="1">IF(Table4[[#This Row],[AM]]&amp;" "&amp;Table4[[#This Row],[---]]=INDIRECT("pajak[@["&amp;Table4[#Headers]&amp;"]]"),MATCH(Table4[[#This Row],[---]],INDIRECT($3:$3),0))</f>
        <v>0</v>
      </c>
      <c r="U51" s="304" t="e">
        <f ca="1">IF((INDEX(INDIRECT($3:$3),Table4[[#This Row],[No. Invoice :]]+$2:$2))=INDIRECT("pajak[@["&amp;Table4[#Headers]&amp;"]]"),1)</f>
        <v>#REF!</v>
      </c>
      <c r="V51" s="304" t="e">
        <f ca="1">IF((INDEX(INDIRECT($3:$3),Table4[[#This Row],[No. Invoice :]]+$2:$2))=INDIRECT("pajak[@["&amp;Table4[#Headers]&amp;"]]"),1)</f>
        <v>#REF!</v>
      </c>
      <c r="W51" s="304" t="e">
        <f ca="1">IF((INDEX(INDIRECT($3:$3),Table4[[#This Row],[No. Invoice :]]+$2:$2))=INDIRECT("pajak[@["&amp;Table4[#Headers]&amp;"]]"),1)</f>
        <v>#REF!</v>
      </c>
      <c r="X51" s="304" t="e">
        <f ca="1">IF((INDEX(INDIRECT($3:$3),Table4[[#This Row],[No. Invoice :]]+$2:$2))=INDIRECT("pajak[@["&amp;Table4[#Headers]&amp;"]]"),1)</f>
        <v>#REF!</v>
      </c>
    </row>
    <row r="52" spans="4:24" x14ac:dyDescent="0.25">
      <c r="D52" s="295" t="str">
        <f t="shared" ca="1" si="2"/>
        <v/>
      </c>
      <c r="E52" s="295" t="str">
        <f ca="1">IF(pajak[[#This Row],[//]]="","",INDEX(Table1[No. Invoice :],pajak[//]-offset))</f>
        <v/>
      </c>
      <c r="F52" s="293" t="str">
        <f ca="1">IF(pajak[[#This Row],[//]]="","",INDEX(Table1[Tgl Invoice :],pajak[//]-offset))</f>
        <v/>
      </c>
      <c r="G52" s="295" t="str">
        <f ca="1">IF(pajak[[#This Row],[//]]="","",INDEX(Table1[Kode Sales :],pajak[//]-offset))</f>
        <v/>
      </c>
      <c r="H52" s="295" t="str">
        <f ca="1">IF(pajak[[#This Row],[//]]="","",INDEX(Table1[Toko],pajak[//]-offset))</f>
        <v/>
      </c>
      <c r="I52" s="294" t="str">
        <f ca="1">IF(pajak[[#This Row],[//]]="","",SUMIF(Table1[h_id],pajak[[#This Row],[//]],Table1[h_hargasebelumdiskon]))</f>
        <v/>
      </c>
      <c r="J52" s="294" t="str">
        <f ca="1">IF(pajak[[#This Row],[//]]="","",SUMIF(Table1[h_id],pajak[[#This Row],[//]],Table1[h_diskon]))</f>
        <v/>
      </c>
      <c r="K52" s="294" t="str">
        <f ca="1">IF(pajak[[#This Row],[//]]="","",SUMIF(Table1[h_id],pajak[[#This Row],[//]],Table1[h_hargasetelahdiskon]))</f>
        <v/>
      </c>
      <c r="L52" s="294" t="str">
        <f ca="1">IF(pajak[//]="","",pajak[[#This Row],[Sub Total]]/1.11*11%)</f>
        <v/>
      </c>
      <c r="M52" s="294" t="str">
        <f ca="1">pajak[[#This Row],[Sub Total]]</f>
        <v/>
      </c>
      <c r="N52" s="295" t="str">
        <f ca="1">IF(pajak[[#This Row],[//]]="","",INDEX(Table1[pembuat nota :],pajak[//]-offset))</f>
        <v/>
      </c>
      <c r="O52" s="295" t="str">
        <f ca="1">IF(pajak[[#This Row],[//]]="","",IF(INDEX(Table1[edited :],pajak[//]-offset)="","",INDEX(Table1[edited :],pajak[//]-offset)))</f>
        <v/>
      </c>
      <c r="P52" s="294"/>
      <c r="R52" s="295" t="str">
        <f>Table4[[#Headers],[AM]]</f>
        <v>AM</v>
      </c>
      <c r="S52" s="295">
        <f t="shared" si="3"/>
        <v>23110048</v>
      </c>
      <c r="T52" s="304" t="b">
        <f ca="1">IF(Table4[[#This Row],[AM]]&amp;" "&amp;Table4[[#This Row],[---]]=INDIRECT("pajak[@["&amp;Table4[#Headers]&amp;"]]"),MATCH(Table4[[#This Row],[---]],INDIRECT($3:$3),0))</f>
        <v>0</v>
      </c>
      <c r="U52" s="304" t="e">
        <f ca="1">IF((INDEX(INDIRECT($3:$3),Table4[[#This Row],[No. Invoice :]]+$2:$2))=INDIRECT("pajak[@["&amp;Table4[#Headers]&amp;"]]"),1)</f>
        <v>#REF!</v>
      </c>
      <c r="V52" s="304" t="e">
        <f ca="1">IF((INDEX(INDIRECT($3:$3),Table4[[#This Row],[No. Invoice :]]+$2:$2))=INDIRECT("pajak[@["&amp;Table4[#Headers]&amp;"]]"),1)</f>
        <v>#REF!</v>
      </c>
      <c r="W52" s="304" t="e">
        <f ca="1">IF((INDEX(INDIRECT($3:$3),Table4[[#This Row],[No. Invoice :]]+$2:$2))=INDIRECT("pajak[@["&amp;Table4[#Headers]&amp;"]]"),1)</f>
        <v>#REF!</v>
      </c>
      <c r="X52" s="304" t="e">
        <f ca="1">IF((INDEX(INDIRECT($3:$3),Table4[[#This Row],[No. Invoice :]]+$2:$2))=INDIRECT("pajak[@["&amp;Table4[#Headers]&amp;"]]"),1)</f>
        <v>#REF!</v>
      </c>
    </row>
    <row r="53" spans="4:24" x14ac:dyDescent="0.25">
      <c r="D53" s="295" t="str">
        <f t="shared" ca="1" si="2"/>
        <v/>
      </c>
      <c r="E53" s="295" t="str">
        <f ca="1">IF(pajak[[#This Row],[//]]="","",INDEX(Table1[No. Invoice :],pajak[//]-offset))</f>
        <v/>
      </c>
      <c r="F53" s="293" t="str">
        <f ca="1">IF(pajak[[#This Row],[//]]="","",INDEX(Table1[Tgl Invoice :],pajak[//]-offset))</f>
        <v/>
      </c>
      <c r="G53" s="295" t="str">
        <f ca="1">IF(pajak[[#This Row],[//]]="","",INDEX(Table1[Kode Sales :],pajak[//]-offset))</f>
        <v/>
      </c>
      <c r="H53" s="295" t="str">
        <f ca="1">IF(pajak[[#This Row],[//]]="","",INDEX(Table1[Toko],pajak[//]-offset))</f>
        <v/>
      </c>
      <c r="I53" s="294" t="str">
        <f ca="1">IF(pajak[[#This Row],[//]]="","",SUMIF(Table1[h_id],pajak[[#This Row],[//]],Table1[h_hargasebelumdiskon]))</f>
        <v/>
      </c>
      <c r="J53" s="294" t="str">
        <f ca="1">IF(pajak[[#This Row],[//]]="","",SUMIF(Table1[h_id],pajak[[#This Row],[//]],Table1[h_diskon]))</f>
        <v/>
      </c>
      <c r="K53" s="294" t="str">
        <f ca="1">IF(pajak[[#This Row],[//]]="","",SUMIF(Table1[h_id],pajak[[#This Row],[//]],Table1[h_hargasetelahdiskon]))</f>
        <v/>
      </c>
      <c r="L53" s="294" t="str">
        <f ca="1">IF(pajak[//]="","",pajak[[#This Row],[Sub Total]]/1.11*11%)</f>
        <v/>
      </c>
      <c r="M53" s="294" t="str">
        <f ca="1">pajak[[#This Row],[Sub Total]]</f>
        <v/>
      </c>
      <c r="N53" s="295" t="str">
        <f ca="1">IF(pajak[[#This Row],[//]]="","",INDEX(Table1[pembuat nota :],pajak[//]-offset))</f>
        <v/>
      </c>
      <c r="O53" s="295" t="str">
        <f ca="1">IF(pajak[[#This Row],[//]]="","",IF(INDEX(Table1[edited :],pajak[//]-offset)="","",INDEX(Table1[edited :],pajak[//]-offset)))</f>
        <v/>
      </c>
      <c r="P53" s="294"/>
      <c r="R53" s="295" t="str">
        <f>Table4[[#Headers],[AM]]</f>
        <v>AM</v>
      </c>
      <c r="S53" s="295">
        <f t="shared" si="3"/>
        <v>23110049</v>
      </c>
      <c r="T53" s="304" t="b">
        <f ca="1">IF(Table4[[#This Row],[AM]]&amp;" "&amp;Table4[[#This Row],[---]]=INDIRECT("pajak[@["&amp;Table4[#Headers]&amp;"]]"),MATCH(Table4[[#This Row],[---]],INDIRECT($3:$3),0))</f>
        <v>0</v>
      </c>
      <c r="U53" s="304" t="e">
        <f ca="1">IF((INDEX(INDIRECT($3:$3),Table4[[#This Row],[No. Invoice :]]+$2:$2))=INDIRECT("pajak[@["&amp;Table4[#Headers]&amp;"]]"),1)</f>
        <v>#REF!</v>
      </c>
      <c r="V53" s="304" t="e">
        <f ca="1">IF((INDEX(INDIRECT($3:$3),Table4[[#This Row],[No. Invoice :]]+$2:$2))=INDIRECT("pajak[@["&amp;Table4[#Headers]&amp;"]]"),1)</f>
        <v>#REF!</v>
      </c>
      <c r="W53" s="304" t="e">
        <f ca="1">IF((INDEX(INDIRECT($3:$3),Table4[[#This Row],[No. Invoice :]]+$2:$2))=INDIRECT("pajak[@["&amp;Table4[#Headers]&amp;"]]"),1)</f>
        <v>#REF!</v>
      </c>
      <c r="X53" s="304" t="e">
        <f ca="1">IF((INDEX(INDIRECT($3:$3),Table4[[#This Row],[No. Invoice :]]+$2:$2))=INDIRECT("pajak[@["&amp;Table4[#Headers]&amp;"]]"),1)</f>
        <v>#REF!</v>
      </c>
    </row>
    <row r="54" spans="4:24" x14ac:dyDescent="0.25">
      <c r="D54" s="295" t="str">
        <f t="shared" ca="1" si="2"/>
        <v/>
      </c>
      <c r="E54" s="295" t="str">
        <f ca="1">IF(pajak[[#This Row],[//]]="","",INDEX(Table1[No. Invoice :],pajak[//]-offset))</f>
        <v/>
      </c>
      <c r="F54" s="293" t="str">
        <f ca="1">IF(pajak[[#This Row],[//]]="","",INDEX(Table1[Tgl Invoice :],pajak[//]-offset))</f>
        <v/>
      </c>
      <c r="G54" s="295" t="str">
        <f ca="1">IF(pajak[[#This Row],[//]]="","",INDEX(Table1[Kode Sales :],pajak[//]-offset))</f>
        <v/>
      </c>
      <c r="H54" s="295" t="str">
        <f ca="1">IF(pajak[[#This Row],[//]]="","",INDEX(Table1[Toko],pajak[//]-offset))</f>
        <v/>
      </c>
      <c r="I54" s="294" t="str">
        <f ca="1">IF(pajak[[#This Row],[//]]="","",SUMIF(Table1[h_id],pajak[[#This Row],[//]],Table1[h_hargasebelumdiskon]))</f>
        <v/>
      </c>
      <c r="J54" s="294" t="str">
        <f ca="1">IF(pajak[[#This Row],[//]]="","",SUMIF(Table1[h_id],pajak[[#This Row],[//]],Table1[h_diskon]))</f>
        <v/>
      </c>
      <c r="K54" s="294" t="str">
        <f ca="1">IF(pajak[[#This Row],[//]]="","",SUMIF(Table1[h_id],pajak[[#This Row],[//]],Table1[h_hargasetelahdiskon]))</f>
        <v/>
      </c>
      <c r="L54" s="294" t="str">
        <f ca="1">IF(pajak[//]="","",pajak[[#This Row],[Sub Total]]/1.11*11%)</f>
        <v/>
      </c>
      <c r="M54" s="294" t="str">
        <f ca="1">pajak[[#This Row],[Sub Total]]</f>
        <v/>
      </c>
      <c r="N54" s="295" t="str">
        <f ca="1">IF(pajak[[#This Row],[//]]="","",INDEX(Table1[pembuat nota :],pajak[//]-offset))</f>
        <v/>
      </c>
      <c r="O54" s="295" t="str">
        <f ca="1">IF(pajak[[#This Row],[//]]="","",IF(INDEX(Table1[edited :],pajak[//]-offset)="","",INDEX(Table1[edited :],pajak[//]-offset)))</f>
        <v/>
      </c>
      <c r="P54" s="294"/>
      <c r="R54" s="295" t="str">
        <f>Table4[[#Headers],[AM]]</f>
        <v>AM</v>
      </c>
      <c r="S54" s="295">
        <f t="shared" si="3"/>
        <v>23110050</v>
      </c>
      <c r="T54" s="304" t="b">
        <f ca="1">IF(Table4[[#This Row],[AM]]&amp;" "&amp;Table4[[#This Row],[---]]=INDIRECT("pajak[@["&amp;Table4[#Headers]&amp;"]]"),MATCH(Table4[[#This Row],[---]],INDIRECT($3:$3),0))</f>
        <v>0</v>
      </c>
      <c r="U54" s="304" t="e">
        <f ca="1">IF((INDEX(INDIRECT($3:$3),Table4[[#This Row],[No. Invoice :]]+$2:$2))=INDIRECT("pajak[@["&amp;Table4[#Headers]&amp;"]]"),1)</f>
        <v>#REF!</v>
      </c>
      <c r="V54" s="304" t="e">
        <f ca="1">IF((INDEX(INDIRECT($3:$3),Table4[[#This Row],[No. Invoice :]]+$2:$2))=INDIRECT("pajak[@["&amp;Table4[#Headers]&amp;"]]"),1)</f>
        <v>#REF!</v>
      </c>
      <c r="W54" s="304" t="e">
        <f ca="1">IF((INDEX(INDIRECT($3:$3),Table4[[#This Row],[No. Invoice :]]+$2:$2))=INDIRECT("pajak[@["&amp;Table4[#Headers]&amp;"]]"),1)</f>
        <v>#REF!</v>
      </c>
      <c r="X54" s="304" t="e">
        <f ca="1">IF((INDEX(INDIRECT($3:$3),Table4[[#This Row],[No. Invoice :]]+$2:$2))=INDIRECT("pajak[@["&amp;Table4[#Headers]&amp;"]]"),1)</f>
        <v>#REF!</v>
      </c>
    </row>
    <row r="55" spans="4:24" x14ac:dyDescent="0.25">
      <c r="D55" s="295" t="str">
        <f t="shared" ca="1" si="2"/>
        <v/>
      </c>
      <c r="E55" s="295" t="str">
        <f ca="1">IF(pajak[[#This Row],[//]]="","",INDEX(Table1[No. Invoice :],pajak[//]-offset))</f>
        <v/>
      </c>
      <c r="F55" s="293" t="str">
        <f ca="1">IF(pajak[[#This Row],[//]]="","",INDEX(Table1[Tgl Invoice :],pajak[//]-offset))</f>
        <v/>
      </c>
      <c r="G55" s="295" t="str">
        <f ca="1">IF(pajak[[#This Row],[//]]="","",INDEX(Table1[Kode Sales :],pajak[//]-offset))</f>
        <v/>
      </c>
      <c r="H55" s="295" t="str">
        <f ca="1">IF(pajak[[#This Row],[//]]="","",INDEX(Table1[Toko],pajak[//]-offset))</f>
        <v/>
      </c>
      <c r="I55" s="294" t="str">
        <f ca="1">IF(pajak[[#This Row],[//]]="","",SUMIF(Table1[h_id],pajak[[#This Row],[//]],Table1[h_hargasebelumdiskon]))</f>
        <v/>
      </c>
      <c r="J55" s="294" t="str">
        <f ca="1">IF(pajak[[#This Row],[//]]="","",SUMIF(Table1[h_id],pajak[[#This Row],[//]],Table1[h_diskon]))</f>
        <v/>
      </c>
      <c r="K55" s="294" t="str">
        <f ca="1">IF(pajak[[#This Row],[//]]="","",SUMIF(Table1[h_id],pajak[[#This Row],[//]],Table1[h_hargasetelahdiskon]))</f>
        <v/>
      </c>
      <c r="L55" s="294" t="str">
        <f ca="1">IF(pajak[//]="","",pajak[[#This Row],[Sub Total]]/1.11*11%)</f>
        <v/>
      </c>
      <c r="M55" s="294" t="str">
        <f ca="1">pajak[[#This Row],[Sub Total]]</f>
        <v/>
      </c>
      <c r="N55" s="295" t="str">
        <f ca="1">IF(pajak[[#This Row],[//]]="","",INDEX(Table1[pembuat nota :],pajak[//]-offset))</f>
        <v/>
      </c>
      <c r="O55" s="295" t="str">
        <f ca="1">IF(pajak[[#This Row],[//]]="","",IF(INDEX(Table1[edited :],pajak[//]-offset)="","",INDEX(Table1[edited :],pajak[//]-offset)))</f>
        <v/>
      </c>
      <c r="P55" s="294"/>
      <c r="R55" s="295" t="str">
        <f>Table4[[#Headers],[AM]]</f>
        <v>AM</v>
      </c>
      <c r="S55" s="295">
        <f t="shared" si="3"/>
        <v>23110051</v>
      </c>
      <c r="T55" s="304" t="b">
        <f ca="1">IF(Table4[[#This Row],[AM]]&amp;" "&amp;Table4[[#This Row],[---]]=INDIRECT("pajak[@["&amp;Table4[#Headers]&amp;"]]"),MATCH(Table4[[#This Row],[---]],INDIRECT($3:$3),0))</f>
        <v>0</v>
      </c>
      <c r="U55" s="304" t="e">
        <f ca="1">IF((INDEX(INDIRECT($3:$3),Table4[[#This Row],[No. Invoice :]]+$2:$2))=INDIRECT("pajak[@["&amp;Table4[#Headers]&amp;"]]"),1)</f>
        <v>#REF!</v>
      </c>
      <c r="V55" s="304" t="e">
        <f ca="1">IF((INDEX(INDIRECT($3:$3),Table4[[#This Row],[No. Invoice :]]+$2:$2))=INDIRECT("pajak[@["&amp;Table4[#Headers]&amp;"]]"),1)</f>
        <v>#REF!</v>
      </c>
      <c r="W55" s="304" t="e">
        <f ca="1">IF((INDEX(INDIRECT($3:$3),Table4[[#This Row],[No. Invoice :]]+$2:$2))=INDIRECT("pajak[@["&amp;Table4[#Headers]&amp;"]]"),1)</f>
        <v>#REF!</v>
      </c>
      <c r="X55" s="304" t="e">
        <f ca="1">IF((INDEX(INDIRECT($3:$3),Table4[[#This Row],[No. Invoice :]]+$2:$2))=INDIRECT("pajak[@["&amp;Table4[#Headers]&amp;"]]"),1)</f>
        <v>#REF!</v>
      </c>
    </row>
    <row r="56" spans="4:24" x14ac:dyDescent="0.25">
      <c r="D56" s="295" t="str">
        <f t="shared" ca="1" si="2"/>
        <v/>
      </c>
      <c r="E56" s="295" t="str">
        <f ca="1">IF(pajak[[#This Row],[//]]="","",INDEX(Table1[No. Invoice :],pajak[//]-offset))</f>
        <v/>
      </c>
      <c r="F56" s="293" t="str">
        <f ca="1">IF(pajak[[#This Row],[//]]="","",INDEX(Table1[Tgl Invoice :],pajak[//]-offset))</f>
        <v/>
      </c>
      <c r="G56" s="295" t="str">
        <f ca="1">IF(pajak[[#This Row],[//]]="","",INDEX(Table1[Kode Sales :],pajak[//]-offset))</f>
        <v/>
      </c>
      <c r="H56" s="295" t="str">
        <f ca="1">IF(pajak[[#This Row],[//]]="","",INDEX(Table1[Toko],pajak[//]-offset))</f>
        <v/>
      </c>
      <c r="I56" s="294" t="str">
        <f ca="1">IF(pajak[[#This Row],[//]]="","",SUMIF(Table1[h_id],pajak[[#This Row],[//]],Table1[h_hargasebelumdiskon]))</f>
        <v/>
      </c>
      <c r="J56" s="294" t="str">
        <f ca="1">IF(pajak[[#This Row],[//]]="","",SUMIF(Table1[h_id],pajak[[#This Row],[//]],Table1[h_diskon]))</f>
        <v/>
      </c>
      <c r="K56" s="294" t="str">
        <f ca="1">IF(pajak[[#This Row],[//]]="","",SUMIF(Table1[h_id],pajak[[#This Row],[//]],Table1[h_hargasetelahdiskon]))</f>
        <v/>
      </c>
      <c r="L56" s="294" t="str">
        <f ca="1">IF(pajak[//]="","",pajak[[#This Row],[Sub Total]]/1.11*11%)</f>
        <v/>
      </c>
      <c r="M56" s="294" t="str">
        <f ca="1">pajak[[#This Row],[Sub Total]]</f>
        <v/>
      </c>
      <c r="N56" s="295" t="str">
        <f ca="1">IF(pajak[[#This Row],[//]]="","",INDEX(Table1[pembuat nota :],pajak[//]-offset))</f>
        <v/>
      </c>
      <c r="O56" s="295" t="str">
        <f ca="1">IF(pajak[[#This Row],[//]]="","",IF(INDEX(Table1[edited :],pajak[//]-offset)="","",INDEX(Table1[edited :],pajak[//]-offset)))</f>
        <v/>
      </c>
      <c r="P56" s="294"/>
      <c r="R56" s="295" t="str">
        <f>Table4[[#Headers],[AM]]</f>
        <v>AM</v>
      </c>
      <c r="S56" s="295">
        <f t="shared" si="3"/>
        <v>23110052</v>
      </c>
      <c r="T56" s="304" t="b">
        <f ca="1">IF(Table4[[#This Row],[AM]]&amp;" "&amp;Table4[[#This Row],[---]]=INDIRECT("pajak[@["&amp;Table4[#Headers]&amp;"]]"),MATCH(Table4[[#This Row],[---]],INDIRECT($3:$3),0))</f>
        <v>0</v>
      </c>
      <c r="U56" s="304" t="e">
        <f ca="1">IF((INDEX(INDIRECT($3:$3),Table4[[#This Row],[No. Invoice :]]+$2:$2))=INDIRECT("pajak[@["&amp;Table4[#Headers]&amp;"]]"),1)</f>
        <v>#REF!</v>
      </c>
      <c r="V56" s="304" t="e">
        <f ca="1">IF((INDEX(INDIRECT($3:$3),Table4[[#This Row],[No. Invoice :]]+$2:$2))=INDIRECT("pajak[@["&amp;Table4[#Headers]&amp;"]]"),1)</f>
        <v>#REF!</v>
      </c>
      <c r="W56" s="304" t="e">
        <f ca="1">IF((INDEX(INDIRECT($3:$3),Table4[[#This Row],[No. Invoice :]]+$2:$2))=INDIRECT("pajak[@["&amp;Table4[#Headers]&amp;"]]"),1)</f>
        <v>#REF!</v>
      </c>
      <c r="X56" s="304" t="e">
        <f ca="1">IF((INDEX(INDIRECT($3:$3),Table4[[#This Row],[No. Invoice :]]+$2:$2))=INDIRECT("pajak[@["&amp;Table4[#Headers]&amp;"]]"),1)</f>
        <v>#REF!</v>
      </c>
    </row>
    <row r="57" spans="4:24" x14ac:dyDescent="0.25">
      <c r="D57" s="295" t="str">
        <f t="shared" ca="1" si="2"/>
        <v/>
      </c>
      <c r="E57" s="295" t="str">
        <f ca="1">IF(pajak[[#This Row],[//]]="","",INDEX(Table1[No. Invoice :],pajak[//]-offset))</f>
        <v/>
      </c>
      <c r="F57" s="293" t="str">
        <f ca="1">IF(pajak[[#This Row],[//]]="","",INDEX(Table1[Tgl Invoice :],pajak[//]-offset))</f>
        <v/>
      </c>
      <c r="G57" s="295" t="str">
        <f ca="1">IF(pajak[[#This Row],[//]]="","",INDEX(Table1[Kode Sales :],pajak[//]-offset))</f>
        <v/>
      </c>
      <c r="H57" s="295" t="str">
        <f ca="1">IF(pajak[[#This Row],[//]]="","",INDEX(Table1[Toko],pajak[//]-offset))</f>
        <v/>
      </c>
      <c r="I57" s="294" t="str">
        <f ca="1">IF(pajak[[#This Row],[//]]="","",SUMIF(Table1[h_id],pajak[[#This Row],[//]],Table1[h_hargasebelumdiskon]))</f>
        <v/>
      </c>
      <c r="J57" s="294" t="str">
        <f ca="1">IF(pajak[[#This Row],[//]]="","",SUMIF(Table1[h_id],pajak[[#This Row],[//]],Table1[h_diskon]))</f>
        <v/>
      </c>
      <c r="K57" s="294" t="str">
        <f ca="1">IF(pajak[[#This Row],[//]]="","",SUMIF(Table1[h_id],pajak[[#This Row],[//]],Table1[h_hargasetelahdiskon]))</f>
        <v/>
      </c>
      <c r="L57" s="294" t="str">
        <f ca="1">IF(pajak[//]="","",pajak[[#This Row],[Sub Total]]/1.11*11%)</f>
        <v/>
      </c>
      <c r="M57" s="294" t="str">
        <f ca="1">pajak[[#This Row],[Sub Total]]</f>
        <v/>
      </c>
      <c r="N57" s="295" t="str">
        <f ca="1">IF(pajak[[#This Row],[//]]="","",INDEX(Table1[pembuat nota :],pajak[//]-offset))</f>
        <v/>
      </c>
      <c r="O57" s="295" t="str">
        <f ca="1">IF(pajak[[#This Row],[//]]="","",IF(INDEX(Table1[edited :],pajak[//]-offset)="","",INDEX(Table1[edited :],pajak[//]-offset)))</f>
        <v/>
      </c>
      <c r="P57" s="294"/>
      <c r="R57" s="295" t="str">
        <f>Table4[[#Headers],[AM]]</f>
        <v>AM</v>
      </c>
      <c r="S57" s="295">
        <f t="shared" si="3"/>
        <v>23110053</v>
      </c>
      <c r="T57" s="304" t="b">
        <f ca="1">IF(Table4[[#This Row],[AM]]&amp;" "&amp;Table4[[#This Row],[---]]=INDIRECT("pajak[@["&amp;Table4[#Headers]&amp;"]]"),MATCH(Table4[[#This Row],[---]],INDIRECT($3:$3),0))</f>
        <v>0</v>
      </c>
      <c r="U57" s="304" t="e">
        <f ca="1">IF((INDEX(INDIRECT($3:$3),Table4[[#This Row],[No. Invoice :]]+$2:$2))=INDIRECT("pajak[@["&amp;Table4[#Headers]&amp;"]]"),1)</f>
        <v>#REF!</v>
      </c>
      <c r="V57" s="304" t="e">
        <f ca="1">IF((INDEX(INDIRECT($3:$3),Table4[[#This Row],[No. Invoice :]]+$2:$2))=INDIRECT("pajak[@["&amp;Table4[#Headers]&amp;"]]"),1)</f>
        <v>#REF!</v>
      </c>
      <c r="W57" s="304" t="e">
        <f ca="1">IF((INDEX(INDIRECT($3:$3),Table4[[#This Row],[No. Invoice :]]+$2:$2))=INDIRECT("pajak[@["&amp;Table4[#Headers]&amp;"]]"),1)</f>
        <v>#REF!</v>
      </c>
      <c r="X57" s="304" t="e">
        <f ca="1">IF((INDEX(INDIRECT($3:$3),Table4[[#This Row],[No. Invoice :]]+$2:$2))=INDIRECT("pajak[@["&amp;Table4[#Headers]&amp;"]]"),1)</f>
        <v>#REF!</v>
      </c>
    </row>
    <row r="58" spans="4:24" x14ac:dyDescent="0.25">
      <c r="D58" s="3" t="s">
        <v>48</v>
      </c>
      <c r="F58" s="3"/>
      <c r="I58" s="294">
        <f ca="1">SUBTOTAL(109,pajak[Total])</f>
        <v>85585900</v>
      </c>
      <c r="J58" s="294">
        <f ca="1">SUBTOTAL(109,pajak[Diskon])</f>
        <v>9441672</v>
      </c>
      <c r="K58" s="294">
        <f ca="1">SUBTOTAL(109,pajak[Sub Total])</f>
        <v>76144228</v>
      </c>
      <c r="L58" s="294">
        <f ca="1">SUBTOTAL(109,pajak[PPN 11%])</f>
        <v>7545824.3963963958</v>
      </c>
      <c r="M58" s="294">
        <f ca="1">SUBTOTAL(109,pajak[Total Invoice])</f>
        <v>76144228</v>
      </c>
      <c r="N58" s="3"/>
      <c r="O58" s="3"/>
      <c r="P58" s="3"/>
    </row>
  </sheetData>
  <conditionalFormatting sqref="G59:G1048576 G3:G57">
    <cfRule type="duplicateValues" dxfId="45" priority="9"/>
  </conditionalFormatting>
  <conditionalFormatting sqref="T1:X2 T4:X1048576">
    <cfRule type="containsText" dxfId="4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3"/>
  <sheetViews>
    <sheetView workbookViewId="0">
      <selection activeCell="A5" sqref="A5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161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showWhiteSpace="0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idden="1" outlineLevel="1" x14ac:dyDescent="0.25">
      <c r="A1">
        <f ca="1">IF(K1="",MAX(Table1[//]),INDEX(Table1[//],MATCH(K1,Table1[//],0)))</f>
        <v>34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ARMADA</v>
      </c>
      <c r="F1" t="s">
        <v>43</v>
      </c>
      <c r="G1">
        <f ca="1">INDEX(Table1[h_jumlahbarang],newestIdRow-offset)</f>
        <v>2</v>
      </c>
      <c r="I1" s="484" t="s">
        <v>71</v>
      </c>
      <c r="J1" s="484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23110012</v>
      </c>
      <c r="G3" s="10" t="s">
        <v>16</v>
      </c>
      <c r="H3" s="491" t="str">
        <f ca="1">INDEX(Table2[b],MATCH(kToko,Table2[a],0))</f>
        <v>SANTOSO BUDIONO</v>
      </c>
      <c r="I3" s="491"/>
      <c r="J3" s="491"/>
      <c r="K3" s="49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495" t="s">
        <v>18</v>
      </c>
      <c r="G4" s="16"/>
      <c r="H4" s="493"/>
      <c r="I4" s="493"/>
      <c r="J4" s="493"/>
      <c r="K4" s="494"/>
      <c r="L4" s="11"/>
    </row>
    <row r="5" spans="1:12" s="9" customFormat="1" ht="16.5" customHeight="1" x14ac:dyDescent="0.3">
      <c r="A5" s="6"/>
      <c r="B5" s="1" t="s">
        <v>2</v>
      </c>
      <c r="C5" s="7"/>
      <c r="D5" s="496">
        <f ca="1">INDEX(Table1[Tgl Invoice :],newestIdRow-offset)</f>
        <v>45240</v>
      </c>
      <c r="E5" s="497"/>
      <c r="F5" s="495"/>
      <c r="G5" s="17"/>
      <c r="H5" s="498" t="str">
        <f ca="1">IF(INDEX(Table2[c],MATCH(kToko,Table2[a],0))="","",INDEX(Table2[c],MATCH(kToko,Table2[a],0)))</f>
        <v>(  ARMADA  )</v>
      </c>
      <c r="I5" s="498"/>
      <c r="J5" s="498"/>
      <c r="K5" s="49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495"/>
      <c r="G6" s="17"/>
      <c r="H6" s="500" t="str">
        <f ca="1">INDEX(Table2[d],MATCH(kToko,Table2[a],0))</f>
        <v>PURWOKERTO</v>
      </c>
      <c r="I6" s="500"/>
      <c r="J6" s="500"/>
      <c r="K6" s="50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4757</v>
      </c>
      <c r="E7" s="8"/>
      <c r="F7" s="20"/>
      <c r="G7" s="21"/>
      <c r="H7" s="502"/>
      <c r="I7" s="502"/>
      <c r="J7" s="502"/>
      <c r="K7" s="50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500</v>
      </c>
      <c r="C11" s="45" t="str">
        <f ca="1">IF(A11&gt;jumlahBarang,"",UPPER((INDEX(Table1[Unit],newestIdRow-offset+A11-1))))</f>
        <v>PAK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PAPER TRIGONAL CLIP JOYKO NO. 3</v>
      </c>
      <c r="F11" s="48"/>
      <c r="G11" s="49"/>
      <c r="H11" s="50">
        <f ca="1">IF(A11&gt;jumlahBarang,"",INDEX(Table1[Unit Price],newestIdRow-offset+A11-1))</f>
        <v>1625</v>
      </c>
      <c r="I11" s="51">
        <f ca="1">IF(A11&gt;jumlahBarang,"",IF(INDEX(Table1[Disc 1],newestIdRow-offset+A11-1)="","",INDEX(Table1[Disc 1],newestIdRow-offset+A11-1)))</f>
        <v>0.13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706875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5</v>
      </c>
      <c r="C12" s="45" t="str">
        <f ca="1">IF(A12&gt;jumlahBarang,"",UPPER((INDEX(Table1[Unit],newestIdRow-offset+A12-1))))</f>
        <v>GRS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BINDER CLIP KENKO NO. 260</v>
      </c>
      <c r="F12" s="48"/>
      <c r="G12" s="49"/>
      <c r="H12" s="50">
        <f ca="1">IF(A12&gt;jumlahBarang,"",INDEX(Table1[Unit Price],newestIdRow-offset+A12-1))</f>
        <v>180000</v>
      </c>
      <c r="I12" s="51">
        <f ca="1">IF(A12&gt;jumlahBarang,"",IF(INDEX(Table1[Disc 1],newestIdRow-offset+A12-1)="","",INDEX(Table1[Disc 1],newestIdRow-offset+A12-1)))</f>
        <v>0.13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783000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490"/>
      <c r="K28" s="49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87">
        <f ca="1">INDEX(pajak[Sub Total],MATCH(newestIdRow,pajak[//],0))</f>
        <v>1489875</v>
      </c>
      <c r="K29" s="48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489"/>
      <c r="K30" s="48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490"/>
      <c r="K32" s="49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487">
        <f ca="1">INDEX(pajak[PPN 11%],MATCH(newestIdRow,pajak[//],0))</f>
        <v>147645.27027027027</v>
      </c>
      <c r="K33" s="48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490"/>
      <c r="K34" s="49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1489875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485" t="str">
        <f ca="1">INDEX(pajak[pembuat nota],MATCH(newestIdRow,pajak[//],0))</f>
        <v>NOVI / CONDRO</v>
      </c>
      <c r="K37" s="486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485" t="str">
        <f ca="1">INDEX(pajak[edited],MATCH(newestIdRow,pajak[//],0))</f>
        <v/>
      </c>
      <c r="K38" s="48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23110012</v>
      </c>
      <c r="F41" s="190"/>
      <c r="G41" s="191" t="s">
        <v>16</v>
      </c>
      <c r="H41" s="504" t="str">
        <f ca="1">H3</f>
        <v>SANTOSO BUDIONO</v>
      </c>
      <c r="I41" s="504"/>
      <c r="J41" s="504"/>
      <c r="K41" s="50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08" t="s">
        <v>18</v>
      </c>
      <c r="G42" s="197"/>
      <c r="H42" s="506"/>
      <c r="I42" s="506"/>
      <c r="J42" s="506"/>
      <c r="K42" s="50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09">
        <f ca="1">D5</f>
        <v>45240</v>
      </c>
      <c r="E43" s="510"/>
      <c r="F43" s="508"/>
      <c r="G43" s="198"/>
      <c r="H43" s="511" t="str">
        <f ca="1">H5</f>
        <v>(  ARMADA  )</v>
      </c>
      <c r="I43" s="511"/>
      <c r="J43" s="511"/>
      <c r="K43" s="51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08"/>
      <c r="G44" s="198"/>
      <c r="H44" s="513" t="str">
        <f ca="1">H6</f>
        <v>PURWOKERTO</v>
      </c>
      <c r="I44" s="513"/>
      <c r="J44" s="513"/>
      <c r="K44" s="51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4757</v>
      </c>
      <c r="E45" s="189"/>
      <c r="F45" s="202"/>
      <c r="G45" s="203"/>
      <c r="H45" s="515"/>
      <c r="I45" s="515"/>
      <c r="J45" s="515"/>
      <c r="K45" s="51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500</v>
      </c>
      <c r="C49" s="229" t="str">
        <f t="shared" ca="1" si="0"/>
        <v>PAK</v>
      </c>
      <c r="D49" s="230">
        <f t="shared" ca="1" si="0"/>
        <v>1</v>
      </c>
      <c r="E49" s="231" t="str">
        <f t="shared" ca="1" si="0"/>
        <v>PAPER TRIGONAL CLIP JOYKO NO. 3</v>
      </c>
      <c r="F49" s="232"/>
      <c r="G49" s="233"/>
      <c r="H49" s="234">
        <f t="shared" ref="H49:K64" ca="1" si="1">H11</f>
        <v>1625</v>
      </c>
      <c r="I49" s="235">
        <f t="shared" ca="1" si="1"/>
        <v>0.13</v>
      </c>
      <c r="J49" s="235" t="str">
        <f t="shared" ca="1" si="1"/>
        <v/>
      </c>
      <c r="K49" s="236">
        <f t="shared" ca="1" si="1"/>
        <v>706875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5</v>
      </c>
      <c r="C50" s="229" t="str">
        <f t="shared" ca="1" si="0"/>
        <v>GRS</v>
      </c>
      <c r="D50" s="230">
        <f t="shared" ca="1" si="0"/>
        <v>1</v>
      </c>
      <c r="E50" s="231" t="str">
        <f t="shared" ca="1" si="0"/>
        <v>BINDER CLIP KENKO NO. 260</v>
      </c>
      <c r="F50" s="232"/>
      <c r="G50" s="233"/>
      <c r="H50" s="234">
        <f t="shared" ca="1" si="1"/>
        <v>180000</v>
      </c>
      <c r="I50" s="235">
        <f t="shared" ca="1" si="1"/>
        <v>0.13</v>
      </c>
      <c r="J50" s="235" t="str">
        <f t="shared" ca="1" si="1"/>
        <v/>
      </c>
      <c r="K50" s="236">
        <f t="shared" ca="1" si="1"/>
        <v>783000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7"/>
      <c r="K66" s="517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8">
        <f ca="1">J29</f>
        <v>1489875</v>
      </c>
      <c r="K67" s="519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0"/>
      <c r="K68" s="520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7"/>
      <c r="K70" s="517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8">
        <f ca="1">J33</f>
        <v>147645.27027027027</v>
      </c>
      <c r="K71" s="519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7"/>
      <c r="K72" s="517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1489875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21" t="str">
        <f ca="1">J37</f>
        <v>NOVI / CONDRO</v>
      </c>
      <c r="K75" s="522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21" t="str">
        <f ca="1">J38</f>
        <v/>
      </c>
      <c r="K76" s="522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23110012</v>
      </c>
      <c r="F79" s="97"/>
      <c r="G79" s="98" t="s">
        <v>16</v>
      </c>
      <c r="H79" s="523" t="str">
        <f ca="1">H41</f>
        <v>SANTOSO BUDIONO</v>
      </c>
      <c r="I79" s="523"/>
      <c r="J79" s="523"/>
      <c r="K79" s="524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7" t="s">
        <v>18</v>
      </c>
      <c r="G80" s="104"/>
      <c r="H80" s="525"/>
      <c r="I80" s="525"/>
      <c r="J80" s="525"/>
      <c r="K80" s="526"/>
      <c r="L80" s="99"/>
    </row>
    <row r="81" spans="1:12" s="9" customFormat="1" ht="16.5" customHeight="1" x14ac:dyDescent="0.3">
      <c r="A81" s="92"/>
      <c r="B81" s="93" t="s">
        <v>2</v>
      </c>
      <c r="C81" s="94"/>
      <c r="D81" s="528">
        <f ca="1">D43</f>
        <v>45240</v>
      </c>
      <c r="E81" s="529"/>
      <c r="F81" s="527"/>
      <c r="G81" s="105"/>
      <c r="H81" s="530" t="str">
        <f ca="1">H43</f>
        <v>(  ARMADA  )</v>
      </c>
      <c r="I81" s="530"/>
      <c r="J81" s="530"/>
      <c r="K81" s="531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7"/>
      <c r="G82" s="105"/>
      <c r="H82" s="532" t="str">
        <f ca="1">H44</f>
        <v>PURWOKERTO</v>
      </c>
      <c r="I82" s="532"/>
      <c r="J82" s="532"/>
      <c r="K82" s="533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4757</v>
      </c>
      <c r="E83" s="96"/>
      <c r="F83" s="109"/>
      <c r="G83" s="110"/>
      <c r="H83" s="534"/>
      <c r="I83" s="534"/>
      <c r="J83" s="534"/>
      <c r="K83" s="535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500</v>
      </c>
      <c r="C87" s="136" t="str">
        <f t="shared" ca="1" si="2"/>
        <v>PAK</v>
      </c>
      <c r="D87" s="137">
        <f t="shared" ca="1" si="2"/>
        <v>1</v>
      </c>
      <c r="E87" s="138" t="str">
        <f t="shared" ca="1" si="2"/>
        <v>PAPER TRIGONAL CLIP JOYKO NO. 3</v>
      </c>
      <c r="F87" s="139"/>
      <c r="G87" s="140"/>
      <c r="H87" s="141">
        <f t="shared" ref="H87:K102" ca="1" si="3">H49</f>
        <v>1625</v>
      </c>
      <c r="I87" s="142">
        <f t="shared" ca="1" si="3"/>
        <v>0.13</v>
      </c>
      <c r="J87" s="142" t="str">
        <f t="shared" ca="1" si="3"/>
        <v/>
      </c>
      <c r="K87" s="143">
        <f t="shared" ca="1" si="3"/>
        <v>706875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5</v>
      </c>
      <c r="C88" s="136" t="str">
        <f t="shared" ca="1" si="2"/>
        <v>GRS</v>
      </c>
      <c r="D88" s="137">
        <f t="shared" ca="1" si="2"/>
        <v>1</v>
      </c>
      <c r="E88" s="138" t="str">
        <f t="shared" ca="1" si="2"/>
        <v>BINDER CLIP KENKO NO. 260</v>
      </c>
      <c r="F88" s="139"/>
      <c r="G88" s="140"/>
      <c r="H88" s="141">
        <f t="shared" ca="1" si="3"/>
        <v>180000</v>
      </c>
      <c r="I88" s="142">
        <f t="shared" ca="1" si="3"/>
        <v>0.13</v>
      </c>
      <c r="J88" s="142" t="str">
        <f t="shared" ca="1" si="3"/>
        <v/>
      </c>
      <c r="K88" s="143">
        <f t="shared" ca="1" si="3"/>
        <v>783000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36"/>
      <c r="K104" s="536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37">
        <f ca="1">J67</f>
        <v>1489875</v>
      </c>
      <c r="K105" s="538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41"/>
      <c r="K106" s="541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36"/>
      <c r="K108" s="536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37">
        <f ca="1">J71</f>
        <v>147645.27027027027</v>
      </c>
      <c r="K109" s="538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36"/>
      <c r="K110" s="536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1489875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39" t="str">
        <f ca="1">J75</f>
        <v>NOVI / CONDRO</v>
      </c>
      <c r="K113" s="540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39" t="str">
        <f ca="1">J76</f>
        <v/>
      </c>
      <c r="K114" s="540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1.0416666666666701E-2" top="0" bottom="4.7291666666666696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A2" zoomScaleNormal="85" workbookViewId="0">
      <selection activeCell="C1" sqref="C1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23" hidden="1" customHeight="1" outlineLevel="1" x14ac:dyDescent="0.25">
      <c r="A1">
        <f ca="1">IF(K1="",MAX(Table1[//]),INDEX(Table1[//],MATCH(K1,Table1[//],0)))</f>
        <v>34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ARMADA</v>
      </c>
      <c r="F1" t="s">
        <v>43</v>
      </c>
      <c r="G1">
        <f ca="1">INDEX(Table1[h_jumlahbarang],newestIdRow-offset)</f>
        <v>2</v>
      </c>
      <c r="I1" s="484" t="s">
        <v>71</v>
      </c>
      <c r="J1" s="484"/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5" t="s">
        <v>15</v>
      </c>
      <c r="E3" s="8">
        <f ca="1">INDEX(Table1[h_No. Invoice :],newestIdRow-offset)</f>
        <v>23110012</v>
      </c>
      <c r="G3" s="10" t="s">
        <v>16</v>
      </c>
      <c r="H3" s="491" t="str">
        <f ca="1">INDEX(Table2[b],MATCH(kToko,Table2[a],0))</f>
        <v>SANTOSO BUDIONO</v>
      </c>
      <c r="I3" s="491"/>
      <c r="J3" s="491"/>
      <c r="K3" s="49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495" t="s">
        <v>18</v>
      </c>
      <c r="G4" s="16"/>
      <c r="H4" s="493"/>
      <c r="I4" s="493"/>
      <c r="J4" s="493"/>
      <c r="K4" s="494"/>
      <c r="L4" s="11"/>
    </row>
    <row r="5" spans="1:12" s="9" customFormat="1" ht="16.5" customHeight="1" x14ac:dyDescent="0.3">
      <c r="A5" s="6"/>
      <c r="B5" s="1" t="s">
        <v>2</v>
      </c>
      <c r="C5" s="7"/>
      <c r="D5" s="496">
        <f ca="1">INDEX(Table1[Tgl Invoice :],newestIdRow-offset)</f>
        <v>45240</v>
      </c>
      <c r="E5" s="497"/>
      <c r="F5" s="495"/>
      <c r="G5" s="17"/>
      <c r="H5" s="498" t="str">
        <f ca="1">IF(INDEX(Table2[c],MATCH(kToko,Table2[a],0))="","",INDEX(Table2[c],MATCH(kToko,Table2[a],0)))</f>
        <v>(  ARMADA  )</v>
      </c>
      <c r="I5" s="498"/>
      <c r="J5" s="498"/>
      <c r="K5" s="49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495"/>
      <c r="G6" s="17"/>
      <c r="H6" s="500" t="str">
        <f ca="1">INDEX(Table2[d],MATCH(kToko,Table2[a],0))</f>
        <v>PURWOKERTO</v>
      </c>
      <c r="I6" s="500"/>
      <c r="J6" s="500"/>
      <c r="K6" s="50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4757</v>
      </c>
      <c r="E7" s="8"/>
      <c r="F7" s="20"/>
      <c r="G7" s="21"/>
      <c r="H7" s="502"/>
      <c r="I7" s="502"/>
      <c r="J7" s="502"/>
      <c r="K7" s="50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500</v>
      </c>
      <c r="C11" s="45" t="str">
        <f ca="1">IF(A11&gt;jumlahBarang,"",UPPER((INDEX(Table1[Unit],newestIdRow-offset+A11-1))))</f>
        <v>PAK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PAPER TRIGONAL CLIP JOYKO NO. 3</v>
      </c>
      <c r="F11" s="48"/>
      <c r="G11" s="49"/>
      <c r="H11" s="50">
        <f ca="1">IF(A11&gt;jumlahBarang,"",INDEX(Table1[Unit Price],newestIdRow-offset+A11-1))</f>
        <v>1625</v>
      </c>
      <c r="I11" s="51">
        <f ca="1">IF(A11&gt;jumlahBarang,"",IF(INDEX(Table1[Disc 1],newestIdRow-offset+A11-1)="","",INDEX(Table1[Disc 1],newestIdRow-offset+A11-1)))</f>
        <v>0.13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706875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5</v>
      </c>
      <c r="C12" s="45" t="str">
        <f ca="1">IF(A12&gt;jumlahBarang,"",UPPER((INDEX(Table1[Unit],newestIdRow-offset+A12-1))))</f>
        <v>GRS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BINDER CLIP KENKO NO. 260</v>
      </c>
      <c r="F12" s="48"/>
      <c r="G12" s="49"/>
      <c r="H12" s="50">
        <f ca="1">IF(A12&gt;jumlahBarang,"",INDEX(Table1[Unit Price],newestIdRow-offset+A12-1))</f>
        <v>180000</v>
      </c>
      <c r="I12" s="51">
        <f ca="1">IF(A12&gt;jumlahBarang,"",IF(INDEX(Table1[Disc 1],newestIdRow-offset+A12-1)="","",INDEX(Table1[Disc 1],newestIdRow-offset+A12-1)))</f>
        <v>0.13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783000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6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6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42"/>
      <c r="K28" s="54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87">
        <f ca="1">INDEX(pajak[Sub Total],MATCH(newestIdRow,pajak[//],0))</f>
        <v>1489875</v>
      </c>
      <c r="K29" s="54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45"/>
      <c r="K30" s="54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43"/>
      <c r="K32" s="54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46">
        <f ca="1">INDEX(pajak[PPN 11%],MATCH(newestIdRow,pajak[//],0))</f>
        <v>147645.27027027027</v>
      </c>
      <c r="K33" s="54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43"/>
      <c r="K34" s="54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1489875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7" t="s">
        <v>12</v>
      </c>
      <c r="J37" s="548" t="str">
        <f ca="1">INDEX(pajak[pembuat nota],MATCH(newestIdRow,pajak[//],0))</f>
        <v>NOVI / CONDRO</v>
      </c>
      <c r="K37" s="549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48" t="str">
        <f ca="1">INDEX(pajak[edited],MATCH(newestIdRow,pajak[//],0))</f>
        <v/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23110012</v>
      </c>
      <c r="F41" s="190"/>
      <c r="G41" s="191" t="s">
        <v>16</v>
      </c>
      <c r="H41" s="504" t="str">
        <f ca="1">H3</f>
        <v>SANTOSO BUDIONO</v>
      </c>
      <c r="I41" s="504"/>
      <c r="J41" s="504"/>
      <c r="K41" s="50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08" t="s">
        <v>18</v>
      </c>
      <c r="G42" s="197"/>
      <c r="H42" s="506"/>
      <c r="I42" s="506"/>
      <c r="J42" s="506"/>
      <c r="K42" s="50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09">
        <f ca="1">D5</f>
        <v>45240</v>
      </c>
      <c r="E43" s="510"/>
      <c r="F43" s="508"/>
      <c r="G43" s="198"/>
      <c r="H43" s="511" t="str">
        <f ca="1">H5</f>
        <v>(  ARMADA  )</v>
      </c>
      <c r="I43" s="511"/>
      <c r="J43" s="511"/>
      <c r="K43" s="51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08"/>
      <c r="G44" s="198"/>
      <c r="H44" s="513" t="str">
        <f ca="1">H6</f>
        <v>PURWOKERTO</v>
      </c>
      <c r="I44" s="513"/>
      <c r="J44" s="513"/>
      <c r="K44" s="51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4757</v>
      </c>
      <c r="E45" s="189"/>
      <c r="F45" s="202"/>
      <c r="G45" s="203"/>
      <c r="H45" s="515"/>
      <c r="I45" s="515"/>
      <c r="J45" s="515"/>
      <c r="K45" s="51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500</v>
      </c>
      <c r="C49" s="229" t="str">
        <f t="shared" ca="1" si="0"/>
        <v>PAK</v>
      </c>
      <c r="D49" s="230">
        <f t="shared" ca="1" si="0"/>
        <v>1</v>
      </c>
      <c r="E49" s="231" t="str">
        <f t="shared" ca="1" si="0"/>
        <v>PAPER TRIGONAL CLIP JOYKO NO. 3</v>
      </c>
      <c r="F49" s="232"/>
      <c r="G49" s="233"/>
      <c r="H49" s="234">
        <f t="shared" ref="H49:K64" ca="1" si="1">H11</f>
        <v>1625</v>
      </c>
      <c r="I49" s="235">
        <f t="shared" ca="1" si="1"/>
        <v>0.13</v>
      </c>
      <c r="J49" s="235" t="str">
        <f t="shared" ca="1" si="1"/>
        <v/>
      </c>
      <c r="K49" s="236">
        <f t="shared" ca="1" si="1"/>
        <v>706875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5</v>
      </c>
      <c r="C50" s="229" t="str">
        <f t="shared" ca="1" si="0"/>
        <v>GRS</v>
      </c>
      <c r="D50" s="230">
        <f t="shared" ca="1" si="0"/>
        <v>1</v>
      </c>
      <c r="E50" s="231" t="str">
        <f t="shared" ca="1" si="0"/>
        <v>BINDER CLIP KENKO NO. 260</v>
      </c>
      <c r="F50" s="232"/>
      <c r="G50" s="233"/>
      <c r="H50" s="234">
        <f t="shared" ca="1" si="1"/>
        <v>180000</v>
      </c>
      <c r="I50" s="235">
        <f t="shared" ca="1" si="1"/>
        <v>0.13</v>
      </c>
      <c r="J50" s="235" t="str">
        <f t="shared" ca="1" si="1"/>
        <v/>
      </c>
      <c r="K50" s="236">
        <f t="shared" ca="1" si="1"/>
        <v>783000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7"/>
      <c r="K66" s="517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8">
        <f ca="1">J29</f>
        <v>1489875</v>
      </c>
      <c r="K67" s="519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0"/>
      <c r="K68" s="520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7"/>
      <c r="K70" s="517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8">
        <f ca="1">J33</f>
        <v>147645.27027027027</v>
      </c>
      <c r="K71" s="519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7"/>
      <c r="K72" s="517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1489875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21" t="str">
        <f ca="1">J37</f>
        <v>NOVI / CONDRO</v>
      </c>
      <c r="K75" s="522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21" t="str">
        <f ca="1">J38</f>
        <v/>
      </c>
      <c r="K76" s="522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23110012</v>
      </c>
      <c r="F79" s="97"/>
      <c r="G79" s="98" t="s">
        <v>16</v>
      </c>
      <c r="H79" s="523" t="str">
        <f ca="1">H41</f>
        <v>SANTOSO BUDIONO</v>
      </c>
      <c r="I79" s="523"/>
      <c r="J79" s="523"/>
      <c r="K79" s="524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7" t="s">
        <v>18</v>
      </c>
      <c r="G80" s="104"/>
      <c r="H80" s="525"/>
      <c r="I80" s="525"/>
      <c r="J80" s="525"/>
      <c r="K80" s="526"/>
      <c r="L80" s="99"/>
    </row>
    <row r="81" spans="1:12" s="9" customFormat="1" ht="16.5" customHeight="1" x14ac:dyDescent="0.3">
      <c r="A81" s="92"/>
      <c r="B81" s="93" t="s">
        <v>2</v>
      </c>
      <c r="C81" s="94"/>
      <c r="D81" s="528">
        <f ca="1">D43</f>
        <v>45240</v>
      </c>
      <c r="E81" s="529"/>
      <c r="F81" s="527"/>
      <c r="G81" s="105"/>
      <c r="H81" s="530" t="str">
        <f ca="1">H43</f>
        <v>(  ARMADA  )</v>
      </c>
      <c r="I81" s="530"/>
      <c r="J81" s="530"/>
      <c r="K81" s="531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7"/>
      <c r="G82" s="105"/>
      <c r="H82" s="532" t="str">
        <f ca="1">H44</f>
        <v>PURWOKERTO</v>
      </c>
      <c r="I82" s="532"/>
      <c r="J82" s="532"/>
      <c r="K82" s="533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4757</v>
      </c>
      <c r="E83" s="96"/>
      <c r="F83" s="109"/>
      <c r="G83" s="110"/>
      <c r="H83" s="534"/>
      <c r="I83" s="534"/>
      <c r="J83" s="534"/>
      <c r="K83" s="535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500</v>
      </c>
      <c r="C87" s="136" t="str">
        <f t="shared" ca="1" si="2"/>
        <v>PAK</v>
      </c>
      <c r="D87" s="137">
        <f t="shared" ca="1" si="2"/>
        <v>1</v>
      </c>
      <c r="E87" s="138" t="str">
        <f t="shared" ca="1" si="2"/>
        <v>PAPER TRIGONAL CLIP JOYKO NO. 3</v>
      </c>
      <c r="F87" s="139"/>
      <c r="G87" s="140"/>
      <c r="H87" s="141">
        <f t="shared" ref="H87:K102" ca="1" si="3">H49</f>
        <v>1625</v>
      </c>
      <c r="I87" s="142">
        <f t="shared" ca="1" si="3"/>
        <v>0.13</v>
      </c>
      <c r="J87" s="142" t="str">
        <f t="shared" ca="1" si="3"/>
        <v/>
      </c>
      <c r="K87" s="143">
        <f t="shared" ca="1" si="3"/>
        <v>706875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5</v>
      </c>
      <c r="C88" s="136" t="str">
        <f t="shared" ca="1" si="2"/>
        <v>GRS</v>
      </c>
      <c r="D88" s="137">
        <f t="shared" ca="1" si="2"/>
        <v>1</v>
      </c>
      <c r="E88" s="138" t="str">
        <f t="shared" ca="1" si="2"/>
        <v>BINDER CLIP KENKO NO. 260</v>
      </c>
      <c r="F88" s="139"/>
      <c r="G88" s="140"/>
      <c r="H88" s="141">
        <f t="shared" ca="1" si="3"/>
        <v>180000</v>
      </c>
      <c r="I88" s="142">
        <f t="shared" ca="1" si="3"/>
        <v>0.13</v>
      </c>
      <c r="J88" s="142" t="str">
        <f t="shared" ca="1" si="3"/>
        <v/>
      </c>
      <c r="K88" s="143">
        <f t="shared" ca="1" si="3"/>
        <v>783000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36"/>
      <c r="K104" s="536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37">
        <f ca="1">J67</f>
        <v>1489875</v>
      </c>
      <c r="K105" s="538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41"/>
      <c r="K106" s="541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36"/>
      <c r="K108" s="536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37">
        <f ca="1">J71</f>
        <v>147645.27027027027</v>
      </c>
      <c r="K109" s="538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36"/>
      <c r="K110" s="536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1489875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39" t="str">
        <f ca="1">J75</f>
        <v>NOVI / CONDRO</v>
      </c>
      <c r="K113" s="540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39" t="str">
        <f ca="1">J76</f>
        <v/>
      </c>
      <c r="K114" s="540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1.0416666666666701E-2" top="0" bottom="6.6041666666666696" header="0" footer="0"/>
  <pageSetup paperSize="256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5" t="s">
        <v>15</v>
      </c>
      <c r="E2" s="8">
        <v>23110001</v>
      </c>
      <c r="G2" s="10" t="s">
        <v>16</v>
      </c>
      <c r="H2" s="491" t="s">
        <v>17</v>
      </c>
      <c r="I2" s="491"/>
      <c r="J2" s="491"/>
      <c r="K2" s="492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50" t="s">
        <v>18</v>
      </c>
      <c r="G3" s="16"/>
      <c r="H3" s="493"/>
      <c r="I3" s="493"/>
      <c r="J3" s="493"/>
      <c r="K3" s="494"/>
      <c r="L3" s="11"/>
    </row>
    <row r="4" spans="1:12" s="9" customFormat="1" ht="16.5" customHeight="1" x14ac:dyDescent="0.3">
      <c r="A4" s="6"/>
      <c r="B4" s="1" t="s">
        <v>2</v>
      </c>
      <c r="C4" s="7"/>
      <c r="D4" s="496">
        <v>45232</v>
      </c>
      <c r="E4" s="497"/>
      <c r="F4" s="550"/>
      <c r="G4" s="17"/>
      <c r="H4" s="498" t="s">
        <v>157</v>
      </c>
      <c r="I4" s="498"/>
      <c r="J4" s="498"/>
      <c r="K4" s="49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50"/>
      <c r="G5" s="17"/>
      <c r="H5" s="500" t="s">
        <v>19</v>
      </c>
      <c r="I5" s="500"/>
      <c r="J5" s="500"/>
      <c r="K5" s="50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158</v>
      </c>
      <c r="E6" s="8"/>
      <c r="F6" s="20"/>
      <c r="G6" s="21"/>
      <c r="H6" s="502"/>
      <c r="I6" s="502"/>
      <c r="J6" s="502"/>
      <c r="K6" s="50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157</v>
      </c>
      <c r="E10" s="47" t="s">
        <v>159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6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6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42"/>
      <c r="K27" s="543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487">
        <f>SUM(K10:K25)</f>
        <v>750000</v>
      </c>
      <c r="K28" s="544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45"/>
      <c r="K29" s="545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43"/>
      <c r="K31" s="543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46">
        <f>((J28/1.11)+(K30/1.11))*11%</f>
        <v>74324.32432432432</v>
      </c>
      <c r="K32" s="547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43"/>
      <c r="K33" s="543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7" t="s">
        <v>12</v>
      </c>
      <c r="J36" s="548" t="s">
        <v>130</v>
      </c>
      <c r="K36" s="549"/>
    </row>
    <row r="37" spans="1:12" s="9" customFormat="1" ht="13.5" customHeight="1" x14ac:dyDescent="0.25">
      <c r="A37" s="77"/>
      <c r="B37" s="82"/>
      <c r="D37" s="48"/>
      <c r="H37" s="81"/>
      <c r="I37" s="83" t="s">
        <v>160</v>
      </c>
      <c r="J37" s="548"/>
      <c r="K37" s="549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8"/>
      <c r="B39" s="309"/>
      <c r="C39" s="309"/>
      <c r="D39" s="310"/>
      <c r="E39" s="309"/>
      <c r="F39" s="309"/>
      <c r="G39" s="309"/>
      <c r="H39" s="309"/>
      <c r="I39" s="311"/>
      <c r="J39" s="311"/>
      <c r="K39" s="309"/>
      <c r="L39" s="309"/>
    </row>
    <row r="40" spans="1:12" s="9" customFormat="1" ht="16.5" customHeight="1" x14ac:dyDescent="0.3">
      <c r="A40" s="312"/>
      <c r="B40" s="313" t="s">
        <v>1</v>
      </c>
      <c r="C40" s="314"/>
      <c r="D40" s="315" t="str">
        <f>D2</f>
        <v>AM</v>
      </c>
      <c r="E40" s="316">
        <f>E2</f>
        <v>23110001</v>
      </c>
      <c r="F40" s="317"/>
      <c r="G40" s="318" t="s">
        <v>16</v>
      </c>
      <c r="H40" s="552" t="str">
        <f>H2</f>
        <v>CV TRINITY CENTRAAL</v>
      </c>
      <c r="I40" s="552"/>
      <c r="J40" s="552"/>
      <c r="K40" s="553"/>
      <c r="L40" s="319"/>
    </row>
    <row r="41" spans="1:12" s="9" customFormat="1" ht="7.5" customHeight="1" x14ac:dyDescent="0.3">
      <c r="A41" s="312"/>
      <c r="B41" s="320"/>
      <c r="C41" s="321"/>
      <c r="D41" s="322"/>
      <c r="E41" s="323"/>
      <c r="F41" s="556" t="s">
        <v>18</v>
      </c>
      <c r="G41" s="324"/>
      <c r="H41" s="554"/>
      <c r="I41" s="554"/>
      <c r="J41" s="554"/>
      <c r="K41" s="555"/>
      <c r="L41" s="319"/>
    </row>
    <row r="42" spans="1:12" s="9" customFormat="1" ht="16.5" customHeight="1" x14ac:dyDescent="0.3">
      <c r="A42" s="312"/>
      <c r="B42" s="313" t="s">
        <v>2</v>
      </c>
      <c r="C42" s="314"/>
      <c r="D42" s="557">
        <f>D4</f>
        <v>45232</v>
      </c>
      <c r="E42" s="558"/>
      <c r="F42" s="556"/>
      <c r="G42" s="325"/>
      <c r="H42" s="559" t="str">
        <f>H4</f>
        <v/>
      </c>
      <c r="I42" s="559"/>
      <c r="J42" s="559"/>
      <c r="K42" s="560"/>
      <c r="L42" s="325"/>
    </row>
    <row r="43" spans="1:12" s="9" customFormat="1" ht="7.5" customHeight="1" x14ac:dyDescent="0.3">
      <c r="A43" s="312"/>
      <c r="B43" s="320"/>
      <c r="C43" s="321"/>
      <c r="D43" s="322"/>
      <c r="E43" s="323"/>
      <c r="F43" s="556"/>
      <c r="G43" s="325"/>
      <c r="H43" s="561" t="str">
        <f>H5</f>
        <v>PURWOKERTO</v>
      </c>
      <c r="I43" s="561"/>
      <c r="J43" s="561"/>
      <c r="K43" s="562"/>
      <c r="L43" s="326"/>
    </row>
    <row r="44" spans="1:12" s="9" customFormat="1" ht="16.5" customHeight="1" x14ac:dyDescent="0.4">
      <c r="A44" s="312"/>
      <c r="B44" s="313" t="s">
        <v>3</v>
      </c>
      <c r="C44" s="314"/>
      <c r="D44" s="327" t="str">
        <f>D6</f>
        <v>KO 4680</v>
      </c>
      <c r="E44" s="316"/>
      <c r="F44" s="328"/>
      <c r="G44" s="329"/>
      <c r="H44" s="563"/>
      <c r="I44" s="563"/>
      <c r="J44" s="563"/>
      <c r="K44" s="564"/>
      <c r="L44" s="326"/>
    </row>
    <row r="45" spans="1:12" s="9" customFormat="1" ht="7.5" customHeight="1" x14ac:dyDescent="0.45">
      <c r="A45" s="312"/>
      <c r="B45" s="330"/>
      <c r="C45" s="331"/>
      <c r="D45" s="332"/>
      <c r="E45" s="317"/>
      <c r="F45" s="333"/>
      <c r="G45" s="317"/>
      <c r="H45" s="317"/>
      <c r="I45" s="334"/>
      <c r="J45" s="334"/>
      <c r="K45" s="335"/>
      <c r="L45" s="317"/>
    </row>
    <row r="46" spans="1:12" s="9" customFormat="1" ht="14.25" thickBot="1" x14ac:dyDescent="0.3">
      <c r="A46" s="312"/>
      <c r="B46" s="336" t="s">
        <v>5</v>
      </c>
      <c r="C46" s="336" t="s">
        <v>6</v>
      </c>
      <c r="D46" s="337" t="s">
        <v>7</v>
      </c>
      <c r="E46" s="338"/>
      <c r="F46" s="339" t="s">
        <v>8</v>
      </c>
      <c r="G46" s="340"/>
      <c r="H46" s="336" t="s">
        <v>9</v>
      </c>
      <c r="I46" s="341" t="s">
        <v>10</v>
      </c>
      <c r="J46" s="341" t="s">
        <v>11</v>
      </c>
      <c r="K46" s="342" t="s">
        <v>20</v>
      </c>
      <c r="L46" s="343"/>
    </row>
    <row r="47" spans="1:12" s="9" customFormat="1" ht="9.9499999999999993" customHeight="1" thickTop="1" x14ac:dyDescent="0.25">
      <c r="A47" s="312"/>
      <c r="B47" s="344"/>
      <c r="C47" s="345"/>
      <c r="D47" s="346"/>
      <c r="E47" s="347"/>
      <c r="F47" s="348"/>
      <c r="G47" s="349"/>
      <c r="H47" s="344"/>
      <c r="I47" s="350"/>
      <c r="J47" s="350"/>
      <c r="K47" s="351"/>
      <c r="L47" s="343"/>
    </row>
    <row r="48" spans="1:12" s="9" customFormat="1" ht="14.1" customHeight="1" x14ac:dyDescent="0.25">
      <c r="A48" s="352">
        <v>1</v>
      </c>
      <c r="B48" s="353">
        <f t="shared" ref="B48:E63" si="1">B10</f>
        <v>20</v>
      </c>
      <c r="C48" s="354" t="str">
        <f t="shared" si="1"/>
        <v>PAK</v>
      </c>
      <c r="D48" s="355" t="str">
        <f t="shared" si="1"/>
        <v/>
      </c>
      <c r="E48" s="356" t="str">
        <f t="shared" si="1"/>
        <v>KARTU STOCK FOLIO (4 WARNA)</v>
      </c>
      <c r="F48" s="357"/>
      <c r="G48" s="358"/>
      <c r="H48" s="359">
        <f t="shared" ref="H48:J63" si="2">H10</f>
        <v>37500</v>
      </c>
      <c r="I48" s="360">
        <f t="shared" si="2"/>
        <v>0</v>
      </c>
      <c r="J48" s="360">
        <f t="shared" si="2"/>
        <v>0</v>
      </c>
      <c r="K48" s="361">
        <f t="shared" ref="K48:K63" si="3">(B48*H48-((B48*H48)*I48))-((B48*H48-((B48*H48)*I48))*J48)</f>
        <v>750000</v>
      </c>
      <c r="L48" s="343"/>
    </row>
    <row r="49" spans="1:12" s="9" customFormat="1" ht="14.1" customHeight="1" x14ac:dyDescent="0.25">
      <c r="A49" s="352">
        <v>2</v>
      </c>
      <c r="B49" s="353">
        <f t="shared" si="1"/>
        <v>0</v>
      </c>
      <c r="C49" s="354">
        <f t="shared" si="1"/>
        <v>0</v>
      </c>
      <c r="D49" s="355">
        <f t="shared" si="1"/>
        <v>0</v>
      </c>
      <c r="E49" s="356">
        <f t="shared" si="1"/>
        <v>0</v>
      </c>
      <c r="F49" s="357"/>
      <c r="G49" s="358"/>
      <c r="H49" s="359">
        <f t="shared" si="2"/>
        <v>0</v>
      </c>
      <c r="I49" s="360">
        <f t="shared" si="2"/>
        <v>0</v>
      </c>
      <c r="J49" s="360">
        <f t="shared" si="2"/>
        <v>0</v>
      </c>
      <c r="K49" s="361">
        <f t="shared" si="3"/>
        <v>0</v>
      </c>
      <c r="L49" s="343"/>
    </row>
    <row r="50" spans="1:12" s="9" customFormat="1" ht="14.1" customHeight="1" x14ac:dyDescent="0.25">
      <c r="A50" s="352">
        <v>3</v>
      </c>
      <c r="B50" s="353">
        <f t="shared" si="1"/>
        <v>0</v>
      </c>
      <c r="C50" s="354">
        <f t="shared" si="1"/>
        <v>0</v>
      </c>
      <c r="D50" s="355">
        <f t="shared" si="1"/>
        <v>0</v>
      </c>
      <c r="E50" s="356">
        <f t="shared" si="1"/>
        <v>0</v>
      </c>
      <c r="F50" s="357"/>
      <c r="G50" s="358"/>
      <c r="H50" s="359">
        <f t="shared" si="2"/>
        <v>0</v>
      </c>
      <c r="I50" s="360">
        <f t="shared" si="2"/>
        <v>0</v>
      </c>
      <c r="J50" s="360">
        <f t="shared" si="2"/>
        <v>0</v>
      </c>
      <c r="K50" s="361">
        <f t="shared" si="3"/>
        <v>0</v>
      </c>
      <c r="L50" s="343"/>
    </row>
    <row r="51" spans="1:12" s="9" customFormat="1" ht="14.1" customHeight="1" x14ac:dyDescent="0.25">
      <c r="A51" s="352">
        <v>4</v>
      </c>
      <c r="B51" s="353">
        <f t="shared" si="1"/>
        <v>0</v>
      </c>
      <c r="C51" s="354">
        <f t="shared" si="1"/>
        <v>0</v>
      </c>
      <c r="D51" s="355">
        <f t="shared" si="1"/>
        <v>0</v>
      </c>
      <c r="E51" s="356">
        <f t="shared" si="1"/>
        <v>0</v>
      </c>
      <c r="F51" s="357"/>
      <c r="G51" s="358"/>
      <c r="H51" s="359">
        <f t="shared" si="2"/>
        <v>0</v>
      </c>
      <c r="I51" s="360">
        <f t="shared" si="2"/>
        <v>0</v>
      </c>
      <c r="J51" s="360">
        <f t="shared" si="2"/>
        <v>0</v>
      </c>
      <c r="K51" s="361">
        <f t="shared" si="3"/>
        <v>0</v>
      </c>
      <c r="L51" s="343"/>
    </row>
    <row r="52" spans="1:12" s="9" customFormat="1" ht="14.1" customHeight="1" x14ac:dyDescent="0.25">
      <c r="A52" s="352">
        <v>5</v>
      </c>
      <c r="B52" s="353">
        <f t="shared" si="1"/>
        <v>0</v>
      </c>
      <c r="C52" s="354">
        <f t="shared" si="1"/>
        <v>0</v>
      </c>
      <c r="D52" s="355">
        <f t="shared" si="1"/>
        <v>0</v>
      </c>
      <c r="E52" s="356">
        <f t="shared" si="1"/>
        <v>0</v>
      </c>
      <c r="F52" s="357"/>
      <c r="G52" s="358"/>
      <c r="H52" s="359">
        <f t="shared" si="2"/>
        <v>0</v>
      </c>
      <c r="I52" s="360">
        <f t="shared" si="2"/>
        <v>0</v>
      </c>
      <c r="J52" s="360">
        <f t="shared" si="2"/>
        <v>0</v>
      </c>
      <c r="K52" s="361">
        <f t="shared" si="3"/>
        <v>0</v>
      </c>
      <c r="L52" s="343"/>
    </row>
    <row r="53" spans="1:12" s="9" customFormat="1" ht="14.1" customHeight="1" x14ac:dyDescent="0.25">
      <c r="A53" s="352">
        <v>6</v>
      </c>
      <c r="B53" s="353">
        <f t="shared" si="1"/>
        <v>0</v>
      </c>
      <c r="C53" s="354">
        <f t="shared" si="1"/>
        <v>0</v>
      </c>
      <c r="D53" s="355">
        <f t="shared" si="1"/>
        <v>0</v>
      </c>
      <c r="E53" s="356">
        <f t="shared" si="1"/>
        <v>0</v>
      </c>
      <c r="F53" s="357"/>
      <c r="G53" s="358"/>
      <c r="H53" s="359">
        <f t="shared" si="2"/>
        <v>0</v>
      </c>
      <c r="I53" s="360">
        <f t="shared" si="2"/>
        <v>0</v>
      </c>
      <c r="J53" s="360">
        <f t="shared" si="2"/>
        <v>0</v>
      </c>
      <c r="K53" s="361">
        <f t="shared" si="3"/>
        <v>0</v>
      </c>
      <c r="L53" s="343"/>
    </row>
    <row r="54" spans="1:12" s="9" customFormat="1" ht="14.1" customHeight="1" x14ac:dyDescent="0.25">
      <c r="A54" s="352">
        <v>7</v>
      </c>
      <c r="B54" s="353">
        <f t="shared" si="1"/>
        <v>0</v>
      </c>
      <c r="C54" s="354">
        <f t="shared" si="1"/>
        <v>0</v>
      </c>
      <c r="D54" s="355">
        <f t="shared" si="1"/>
        <v>0</v>
      </c>
      <c r="E54" s="356">
        <f t="shared" si="1"/>
        <v>0</v>
      </c>
      <c r="F54" s="357"/>
      <c r="G54" s="358"/>
      <c r="H54" s="359">
        <f t="shared" si="2"/>
        <v>0</v>
      </c>
      <c r="I54" s="360">
        <f t="shared" si="2"/>
        <v>0</v>
      </c>
      <c r="J54" s="360">
        <f t="shared" si="2"/>
        <v>0</v>
      </c>
      <c r="K54" s="361">
        <f t="shared" si="3"/>
        <v>0</v>
      </c>
      <c r="L54" s="343"/>
    </row>
    <row r="55" spans="1:12" s="9" customFormat="1" ht="14.1" customHeight="1" x14ac:dyDescent="0.25">
      <c r="A55" s="352">
        <v>8</v>
      </c>
      <c r="B55" s="353">
        <f t="shared" si="1"/>
        <v>0</v>
      </c>
      <c r="C55" s="354">
        <f t="shared" si="1"/>
        <v>0</v>
      </c>
      <c r="D55" s="355">
        <f t="shared" si="1"/>
        <v>0</v>
      </c>
      <c r="E55" s="362">
        <f t="shared" si="1"/>
        <v>0</v>
      </c>
      <c r="F55" s="357"/>
      <c r="G55" s="358"/>
      <c r="H55" s="359">
        <f t="shared" si="2"/>
        <v>0</v>
      </c>
      <c r="I55" s="360">
        <f t="shared" si="2"/>
        <v>0</v>
      </c>
      <c r="J55" s="360">
        <f t="shared" si="2"/>
        <v>0</v>
      </c>
      <c r="K55" s="361">
        <f t="shared" si="3"/>
        <v>0</v>
      </c>
      <c r="L55" s="343"/>
    </row>
    <row r="56" spans="1:12" s="9" customFormat="1" ht="14.1" customHeight="1" x14ac:dyDescent="0.25">
      <c r="A56" s="352">
        <v>9</v>
      </c>
      <c r="B56" s="353">
        <f t="shared" si="1"/>
        <v>0</v>
      </c>
      <c r="C56" s="354">
        <f t="shared" si="1"/>
        <v>0</v>
      </c>
      <c r="D56" s="355">
        <f t="shared" si="1"/>
        <v>0</v>
      </c>
      <c r="E56" s="356">
        <f t="shared" si="1"/>
        <v>0</v>
      </c>
      <c r="F56" s="357"/>
      <c r="G56" s="358"/>
      <c r="H56" s="359">
        <f t="shared" si="2"/>
        <v>0</v>
      </c>
      <c r="I56" s="360">
        <f t="shared" si="2"/>
        <v>0</v>
      </c>
      <c r="J56" s="360">
        <f t="shared" si="2"/>
        <v>0</v>
      </c>
      <c r="K56" s="361">
        <f t="shared" si="3"/>
        <v>0</v>
      </c>
      <c r="L56" s="343"/>
    </row>
    <row r="57" spans="1:12" s="9" customFormat="1" ht="14.1" customHeight="1" x14ac:dyDescent="0.25">
      <c r="A57" s="352">
        <v>10</v>
      </c>
      <c r="B57" s="353">
        <f t="shared" si="1"/>
        <v>0</v>
      </c>
      <c r="C57" s="354">
        <f t="shared" si="1"/>
        <v>0</v>
      </c>
      <c r="D57" s="355">
        <f t="shared" si="1"/>
        <v>0</v>
      </c>
      <c r="E57" s="356">
        <f t="shared" si="1"/>
        <v>0</v>
      </c>
      <c r="F57" s="357"/>
      <c r="G57" s="358"/>
      <c r="H57" s="359">
        <f t="shared" si="2"/>
        <v>0</v>
      </c>
      <c r="I57" s="360">
        <f t="shared" si="2"/>
        <v>0</v>
      </c>
      <c r="J57" s="360">
        <f t="shared" si="2"/>
        <v>0</v>
      </c>
      <c r="K57" s="361">
        <f t="shared" si="3"/>
        <v>0</v>
      </c>
      <c r="L57" s="343"/>
    </row>
    <row r="58" spans="1:12" s="9" customFormat="1" ht="14.1" customHeight="1" x14ac:dyDescent="0.25">
      <c r="A58" s="352">
        <v>11</v>
      </c>
      <c r="B58" s="353">
        <f t="shared" si="1"/>
        <v>0</v>
      </c>
      <c r="C58" s="354">
        <f t="shared" si="1"/>
        <v>0</v>
      </c>
      <c r="D58" s="355">
        <f t="shared" si="1"/>
        <v>0</v>
      </c>
      <c r="E58" s="356">
        <f t="shared" si="1"/>
        <v>0</v>
      </c>
      <c r="F58" s="357"/>
      <c r="G58" s="358"/>
      <c r="H58" s="359">
        <f t="shared" si="2"/>
        <v>0</v>
      </c>
      <c r="I58" s="360">
        <f t="shared" si="2"/>
        <v>0</v>
      </c>
      <c r="J58" s="360">
        <f t="shared" si="2"/>
        <v>0</v>
      </c>
      <c r="K58" s="361">
        <f t="shared" si="3"/>
        <v>0</v>
      </c>
      <c r="L58" s="343"/>
    </row>
    <row r="59" spans="1:12" s="9" customFormat="1" ht="14.1" customHeight="1" x14ac:dyDescent="0.25">
      <c r="A59" s="352">
        <v>12</v>
      </c>
      <c r="B59" s="353">
        <f t="shared" si="1"/>
        <v>0</v>
      </c>
      <c r="C59" s="354">
        <f t="shared" si="1"/>
        <v>0</v>
      </c>
      <c r="D59" s="355">
        <f t="shared" si="1"/>
        <v>0</v>
      </c>
      <c r="E59" s="356">
        <f t="shared" si="1"/>
        <v>0</v>
      </c>
      <c r="F59" s="357"/>
      <c r="G59" s="358"/>
      <c r="H59" s="359">
        <f t="shared" si="2"/>
        <v>0</v>
      </c>
      <c r="I59" s="360">
        <f t="shared" si="2"/>
        <v>0</v>
      </c>
      <c r="J59" s="360">
        <f t="shared" si="2"/>
        <v>0</v>
      </c>
      <c r="K59" s="361">
        <f t="shared" si="3"/>
        <v>0</v>
      </c>
      <c r="L59" s="343"/>
    </row>
    <row r="60" spans="1:12" s="9" customFormat="1" ht="14.1" customHeight="1" x14ac:dyDescent="0.25">
      <c r="A60" s="352">
        <v>13</v>
      </c>
      <c r="B60" s="353">
        <f t="shared" si="1"/>
        <v>0</v>
      </c>
      <c r="C60" s="354">
        <f t="shared" si="1"/>
        <v>0</v>
      </c>
      <c r="D60" s="355">
        <f t="shared" si="1"/>
        <v>0</v>
      </c>
      <c r="E60" s="356">
        <f t="shared" si="1"/>
        <v>0</v>
      </c>
      <c r="F60" s="357"/>
      <c r="G60" s="358"/>
      <c r="H60" s="359">
        <f t="shared" si="2"/>
        <v>0</v>
      </c>
      <c r="I60" s="360">
        <f t="shared" si="2"/>
        <v>0</v>
      </c>
      <c r="J60" s="360">
        <f t="shared" si="2"/>
        <v>0</v>
      </c>
      <c r="K60" s="361">
        <f t="shared" si="3"/>
        <v>0</v>
      </c>
      <c r="L60" s="343"/>
    </row>
    <row r="61" spans="1:12" s="9" customFormat="1" ht="14.1" customHeight="1" x14ac:dyDescent="0.25">
      <c r="A61" s="352">
        <v>14</v>
      </c>
      <c r="B61" s="353">
        <f t="shared" si="1"/>
        <v>0</v>
      </c>
      <c r="C61" s="354">
        <f t="shared" si="1"/>
        <v>0</v>
      </c>
      <c r="D61" s="355">
        <f t="shared" si="1"/>
        <v>0</v>
      </c>
      <c r="E61" s="356">
        <f t="shared" si="1"/>
        <v>0</v>
      </c>
      <c r="F61" s="357"/>
      <c r="G61" s="358"/>
      <c r="H61" s="359">
        <f t="shared" si="2"/>
        <v>0</v>
      </c>
      <c r="I61" s="360">
        <f t="shared" si="2"/>
        <v>0</v>
      </c>
      <c r="J61" s="360">
        <f t="shared" si="2"/>
        <v>0</v>
      </c>
      <c r="K61" s="361">
        <f t="shared" si="3"/>
        <v>0</v>
      </c>
      <c r="L61" s="343"/>
    </row>
    <row r="62" spans="1:12" s="9" customFormat="1" ht="14.1" customHeight="1" x14ac:dyDescent="0.25">
      <c r="A62" s="352">
        <v>15</v>
      </c>
      <c r="B62" s="353">
        <f t="shared" si="1"/>
        <v>0</v>
      </c>
      <c r="C62" s="354">
        <f t="shared" si="1"/>
        <v>0</v>
      </c>
      <c r="D62" s="355">
        <f t="shared" si="1"/>
        <v>0</v>
      </c>
      <c r="E62" s="356">
        <f t="shared" si="1"/>
        <v>0</v>
      </c>
      <c r="F62" s="357"/>
      <c r="G62" s="358"/>
      <c r="H62" s="359">
        <f t="shared" si="2"/>
        <v>0</v>
      </c>
      <c r="I62" s="360">
        <f t="shared" si="2"/>
        <v>0</v>
      </c>
      <c r="J62" s="360">
        <f t="shared" si="2"/>
        <v>0</v>
      </c>
      <c r="K62" s="361">
        <f t="shared" si="3"/>
        <v>0</v>
      </c>
      <c r="L62" s="343"/>
    </row>
    <row r="63" spans="1:12" s="9" customFormat="1" ht="14.1" customHeight="1" x14ac:dyDescent="0.25">
      <c r="A63" s="352">
        <v>16</v>
      </c>
      <c r="B63" s="353">
        <f t="shared" si="1"/>
        <v>0</v>
      </c>
      <c r="C63" s="354">
        <f t="shared" si="1"/>
        <v>0</v>
      </c>
      <c r="D63" s="355">
        <f t="shared" si="1"/>
        <v>0</v>
      </c>
      <c r="E63" s="362">
        <f t="shared" si="1"/>
        <v>0</v>
      </c>
      <c r="F63" s="357"/>
      <c r="G63" s="358"/>
      <c r="H63" s="359">
        <f t="shared" si="2"/>
        <v>0</v>
      </c>
      <c r="I63" s="360">
        <f t="shared" si="2"/>
        <v>0</v>
      </c>
      <c r="J63" s="360">
        <f t="shared" si="2"/>
        <v>0</v>
      </c>
      <c r="K63" s="361">
        <f t="shared" si="3"/>
        <v>0</v>
      </c>
      <c r="L63" s="343"/>
    </row>
    <row r="64" spans="1:12" s="9" customFormat="1" ht="9.9499999999999993" customHeight="1" x14ac:dyDescent="0.25">
      <c r="A64" s="312"/>
      <c r="B64" s="363"/>
      <c r="C64" s="363"/>
      <c r="D64" s="364"/>
      <c r="E64" s="365"/>
      <c r="F64" s="366"/>
      <c r="G64" s="367"/>
      <c r="H64" s="368"/>
      <c r="I64" s="369"/>
      <c r="J64" s="369"/>
      <c r="K64" s="370"/>
      <c r="L64" s="343"/>
    </row>
    <row r="65" spans="1:12" s="9" customFormat="1" ht="5.0999999999999996" customHeight="1" x14ac:dyDescent="0.25">
      <c r="A65" s="312"/>
      <c r="B65" s="371"/>
      <c r="C65" s="371"/>
      <c r="D65" s="372"/>
      <c r="E65" s="373"/>
      <c r="F65" s="373"/>
      <c r="G65" s="373"/>
      <c r="H65" s="373"/>
      <c r="I65" s="374"/>
      <c r="J65" s="565"/>
      <c r="K65" s="551"/>
      <c r="L65" s="317"/>
    </row>
    <row r="66" spans="1:12" s="9" customFormat="1" ht="16.5" customHeight="1" x14ac:dyDescent="0.3">
      <c r="A66" s="312"/>
      <c r="B66" s="375"/>
      <c r="C66" s="375"/>
      <c r="D66" s="332"/>
      <c r="E66" s="317"/>
      <c r="F66" s="317"/>
      <c r="G66" s="317"/>
      <c r="H66" s="317"/>
      <c r="I66" s="376" t="s">
        <v>21</v>
      </c>
      <c r="J66" s="566">
        <f>SUM(K48:K63)</f>
        <v>750000</v>
      </c>
      <c r="K66" s="567"/>
      <c r="L66" s="343"/>
    </row>
    <row r="67" spans="1:12" s="9" customFormat="1" ht="5.0999999999999996" customHeight="1" x14ac:dyDescent="0.3">
      <c r="A67" s="312"/>
      <c r="B67" s="375"/>
      <c r="C67" s="375"/>
      <c r="D67" s="332"/>
      <c r="E67" s="317"/>
      <c r="F67" s="317"/>
      <c r="G67" s="317"/>
      <c r="H67" s="317"/>
      <c r="I67" s="377"/>
      <c r="J67" s="568"/>
      <c r="K67" s="568"/>
      <c r="L67" s="317"/>
    </row>
    <row r="68" spans="1:12" s="9" customFormat="1" ht="16.5" customHeight="1" x14ac:dyDescent="0.3">
      <c r="A68" s="312"/>
      <c r="B68" s="375"/>
      <c r="C68" s="375"/>
      <c r="D68" s="332"/>
      <c r="E68" s="317"/>
      <c r="F68" s="317"/>
      <c r="G68" s="317"/>
      <c r="H68" s="317"/>
      <c r="I68" s="376" t="s">
        <v>22</v>
      </c>
      <c r="J68" s="378">
        <f>J30</f>
        <v>0</v>
      </c>
      <c r="K68" s="379">
        <f>J66*J68</f>
        <v>0</v>
      </c>
      <c r="L68" s="380"/>
    </row>
    <row r="69" spans="1:12" s="9" customFormat="1" ht="5.0999999999999996" customHeight="1" x14ac:dyDescent="0.3">
      <c r="A69" s="312"/>
      <c r="B69" s="375"/>
      <c r="C69" s="375"/>
      <c r="D69" s="332"/>
      <c r="E69" s="317"/>
      <c r="F69" s="317"/>
      <c r="G69" s="317"/>
      <c r="H69" s="317"/>
      <c r="I69" s="377"/>
      <c r="J69" s="551"/>
      <c r="K69" s="551"/>
      <c r="L69" s="317"/>
    </row>
    <row r="70" spans="1:12" s="9" customFormat="1" ht="16.5" customHeight="1" x14ac:dyDescent="0.3">
      <c r="A70" s="312"/>
      <c r="B70" s="381" t="s">
        <v>23</v>
      </c>
      <c r="C70" s="381"/>
      <c r="D70" s="332"/>
      <c r="E70" s="332" t="s">
        <v>24</v>
      </c>
      <c r="F70" s="317"/>
      <c r="G70" s="317"/>
      <c r="H70" s="317"/>
      <c r="I70" s="376" t="s">
        <v>25</v>
      </c>
      <c r="J70" s="569">
        <f>((J66/1.11)+(K68/1.11))*11%</f>
        <v>74324.32432432432</v>
      </c>
      <c r="K70" s="570"/>
      <c r="L70" s="382"/>
    </row>
    <row r="71" spans="1:12" s="9" customFormat="1" ht="5.0999999999999996" customHeight="1" x14ac:dyDescent="0.3">
      <c r="A71" s="312"/>
      <c r="B71" s="375"/>
      <c r="C71" s="375"/>
      <c r="D71" s="332"/>
      <c r="E71" s="317"/>
      <c r="F71" s="317"/>
      <c r="G71" s="317"/>
      <c r="H71" s="317"/>
      <c r="I71" s="377"/>
      <c r="J71" s="551"/>
      <c r="K71" s="551"/>
      <c r="L71" s="317"/>
    </row>
    <row r="72" spans="1:12" s="9" customFormat="1" ht="16.5" customHeight="1" x14ac:dyDescent="0.3">
      <c r="A72" s="312"/>
      <c r="B72" s="383"/>
      <c r="C72" s="384"/>
      <c r="D72" s="332"/>
      <c r="E72" s="332"/>
      <c r="F72" s="317"/>
      <c r="G72" s="317"/>
      <c r="H72" s="317"/>
      <c r="I72" s="376" t="s">
        <v>26</v>
      </c>
      <c r="J72" s="385"/>
      <c r="K72" s="386">
        <f>J66-K68</f>
        <v>750000</v>
      </c>
      <c r="L72" s="382"/>
    </row>
    <row r="73" spans="1:12" s="9" customFormat="1" ht="7.5" customHeight="1" x14ac:dyDescent="0.25">
      <c r="A73" s="387"/>
      <c r="B73" s="373"/>
      <c r="C73" s="373"/>
      <c r="D73" s="372"/>
      <c r="E73" s="388"/>
      <c r="F73" s="371"/>
      <c r="G73" s="317"/>
      <c r="H73" s="317"/>
      <c r="I73" s="389"/>
      <c r="J73" s="388"/>
      <c r="K73" s="371"/>
      <c r="L73" s="373"/>
    </row>
    <row r="74" spans="1:12" s="9" customFormat="1" ht="13.5" customHeight="1" x14ac:dyDescent="0.25">
      <c r="A74" s="312"/>
      <c r="B74" s="390" t="s">
        <v>27</v>
      </c>
      <c r="C74" s="373"/>
      <c r="D74" s="372"/>
      <c r="E74" s="317"/>
      <c r="F74" s="317"/>
      <c r="G74" s="317"/>
      <c r="H74" s="391"/>
      <c r="I74" s="392" t="s">
        <v>12</v>
      </c>
      <c r="J74" s="571" t="str">
        <f>J36</f>
        <v>NOVI / CONDRO</v>
      </c>
      <c r="K74" s="572"/>
      <c r="L74" s="317"/>
    </row>
    <row r="75" spans="1:12" s="9" customFormat="1" ht="13.5" customHeight="1" x14ac:dyDescent="0.25">
      <c r="A75" s="387"/>
      <c r="B75" s="393"/>
      <c r="C75" s="317"/>
      <c r="D75" s="357"/>
      <c r="E75" s="317"/>
      <c r="F75" s="317"/>
      <c r="G75" s="317"/>
      <c r="H75" s="391"/>
      <c r="I75" s="394" t="s">
        <v>160</v>
      </c>
      <c r="J75" s="571">
        <f>J37</f>
        <v>0</v>
      </c>
      <c r="K75" s="572"/>
      <c r="L75" s="373"/>
    </row>
    <row r="76" spans="1:12" s="9" customFormat="1" ht="7.5" customHeight="1" x14ac:dyDescent="0.25">
      <c r="A76" s="387"/>
      <c r="B76" s="393"/>
      <c r="C76" s="317"/>
      <c r="D76" s="357"/>
      <c r="E76" s="317"/>
      <c r="F76" s="317"/>
      <c r="G76" s="317"/>
      <c r="H76" s="391"/>
      <c r="I76" s="394"/>
      <c r="J76" s="395"/>
      <c r="K76" s="395"/>
      <c r="L76" s="373"/>
    </row>
    <row r="77" spans="1:12" ht="7.5" customHeight="1" x14ac:dyDescent="0.25">
      <c r="A77" s="396"/>
      <c r="B77" s="397"/>
      <c r="C77" s="397"/>
      <c r="D77" s="398"/>
      <c r="E77" s="397"/>
      <c r="F77" s="397"/>
      <c r="G77" s="397"/>
      <c r="H77" s="397"/>
      <c r="I77" s="399"/>
      <c r="J77" s="399"/>
      <c r="K77" s="397"/>
      <c r="L77" s="397"/>
    </row>
    <row r="78" spans="1:12" s="9" customFormat="1" ht="16.5" customHeight="1" x14ac:dyDescent="0.3">
      <c r="A78" s="400"/>
      <c r="B78" s="401" t="s">
        <v>1</v>
      </c>
      <c r="C78" s="402"/>
      <c r="D78" s="403" t="str">
        <f>D40</f>
        <v>AM</v>
      </c>
      <c r="E78" s="404">
        <f>E40</f>
        <v>23110001</v>
      </c>
      <c r="F78" s="405"/>
      <c r="G78" s="406" t="s">
        <v>16</v>
      </c>
      <c r="H78" s="573" t="str">
        <f>H40</f>
        <v>CV TRINITY CENTRAAL</v>
      </c>
      <c r="I78" s="573"/>
      <c r="J78" s="573"/>
      <c r="K78" s="574"/>
      <c r="L78" s="407"/>
    </row>
    <row r="79" spans="1:12" s="9" customFormat="1" ht="7.5" customHeight="1" x14ac:dyDescent="0.3">
      <c r="A79" s="400"/>
      <c r="B79" s="408"/>
      <c r="C79" s="409"/>
      <c r="D79" s="410"/>
      <c r="E79" s="411"/>
      <c r="F79" s="577" t="s">
        <v>18</v>
      </c>
      <c r="G79" s="412"/>
      <c r="H79" s="575"/>
      <c r="I79" s="575"/>
      <c r="J79" s="575"/>
      <c r="K79" s="576"/>
      <c r="L79" s="407"/>
    </row>
    <row r="80" spans="1:12" s="9" customFormat="1" ht="16.5" customHeight="1" x14ac:dyDescent="0.3">
      <c r="A80" s="400"/>
      <c r="B80" s="401" t="s">
        <v>2</v>
      </c>
      <c r="C80" s="402"/>
      <c r="D80" s="578">
        <f>D42</f>
        <v>45232</v>
      </c>
      <c r="E80" s="579"/>
      <c r="F80" s="577"/>
      <c r="G80" s="413"/>
      <c r="H80" s="580" t="str">
        <f>H42</f>
        <v/>
      </c>
      <c r="I80" s="580"/>
      <c r="J80" s="580"/>
      <c r="K80" s="581"/>
      <c r="L80" s="413"/>
    </row>
    <row r="81" spans="1:12" s="9" customFormat="1" ht="7.5" customHeight="1" x14ac:dyDescent="0.3">
      <c r="A81" s="400"/>
      <c r="B81" s="408"/>
      <c r="C81" s="409"/>
      <c r="D81" s="410"/>
      <c r="E81" s="411"/>
      <c r="F81" s="577"/>
      <c r="G81" s="413"/>
      <c r="H81" s="582" t="str">
        <f>H43</f>
        <v>PURWOKERTO</v>
      </c>
      <c r="I81" s="582"/>
      <c r="J81" s="582"/>
      <c r="K81" s="583"/>
      <c r="L81" s="414"/>
    </row>
    <row r="82" spans="1:12" s="9" customFormat="1" ht="16.5" customHeight="1" x14ac:dyDescent="0.4">
      <c r="A82" s="400"/>
      <c r="B82" s="401" t="s">
        <v>3</v>
      </c>
      <c r="C82" s="402"/>
      <c r="D82" s="415" t="str">
        <f>D44</f>
        <v>KO 4680</v>
      </c>
      <c r="E82" s="404"/>
      <c r="F82" s="416"/>
      <c r="G82" s="417"/>
      <c r="H82" s="584"/>
      <c r="I82" s="584"/>
      <c r="J82" s="584"/>
      <c r="K82" s="585"/>
      <c r="L82" s="414"/>
    </row>
    <row r="83" spans="1:12" s="9" customFormat="1" ht="7.5" customHeight="1" x14ac:dyDescent="0.45">
      <c r="A83" s="400"/>
      <c r="B83" s="418"/>
      <c r="C83" s="419"/>
      <c r="D83" s="420"/>
      <c r="E83" s="405"/>
      <c r="F83" s="421"/>
      <c r="G83" s="405"/>
      <c r="H83" s="405"/>
      <c r="I83" s="422"/>
      <c r="J83" s="422"/>
      <c r="K83" s="423"/>
      <c r="L83" s="405"/>
    </row>
    <row r="84" spans="1:12" s="9" customFormat="1" ht="14.25" thickBot="1" x14ac:dyDescent="0.3">
      <c r="A84" s="400"/>
      <c r="B84" s="424" t="s">
        <v>5</v>
      </c>
      <c r="C84" s="424" t="s">
        <v>6</v>
      </c>
      <c r="D84" s="425" t="s">
        <v>7</v>
      </c>
      <c r="E84" s="426"/>
      <c r="F84" s="427" t="s">
        <v>8</v>
      </c>
      <c r="G84" s="428"/>
      <c r="H84" s="424" t="s">
        <v>9</v>
      </c>
      <c r="I84" s="429" t="s">
        <v>10</v>
      </c>
      <c r="J84" s="429" t="s">
        <v>11</v>
      </c>
      <c r="K84" s="430" t="s">
        <v>20</v>
      </c>
      <c r="L84" s="431"/>
    </row>
    <row r="85" spans="1:12" s="9" customFormat="1" ht="9.9499999999999993" customHeight="1" thickTop="1" x14ac:dyDescent="0.25">
      <c r="A85" s="400"/>
      <c r="B85" s="432"/>
      <c r="C85" s="433"/>
      <c r="D85" s="434"/>
      <c r="E85" s="435"/>
      <c r="F85" s="436"/>
      <c r="G85" s="437"/>
      <c r="H85" s="432"/>
      <c r="I85" s="438"/>
      <c r="J85" s="438"/>
      <c r="K85" s="439"/>
      <c r="L85" s="431"/>
    </row>
    <row r="86" spans="1:12" s="9" customFormat="1" ht="14.1" customHeight="1" x14ac:dyDescent="0.25">
      <c r="A86" s="440">
        <v>1</v>
      </c>
      <c r="B86" s="441">
        <f t="shared" ref="B86:E101" si="4">B48</f>
        <v>20</v>
      </c>
      <c r="C86" s="442" t="str">
        <f t="shared" si="4"/>
        <v>PAK</v>
      </c>
      <c r="D86" s="443" t="str">
        <f t="shared" si="4"/>
        <v/>
      </c>
      <c r="E86" s="444" t="str">
        <f t="shared" si="4"/>
        <v>KARTU STOCK FOLIO (4 WARNA)</v>
      </c>
      <c r="F86" s="445"/>
      <c r="G86" s="446"/>
      <c r="H86" s="447">
        <f t="shared" ref="H86:J101" si="5">H48</f>
        <v>37500</v>
      </c>
      <c r="I86" s="448">
        <f t="shared" si="5"/>
        <v>0</v>
      </c>
      <c r="J86" s="448">
        <f t="shared" si="5"/>
        <v>0</v>
      </c>
      <c r="K86" s="449">
        <f t="shared" ref="K86:K101" si="6">(B86*H86-((B86*H86)*I86))-((B86*H86-((B86*H86)*I86))*J86)</f>
        <v>750000</v>
      </c>
      <c r="L86" s="431"/>
    </row>
    <row r="87" spans="1:12" s="9" customFormat="1" ht="14.1" customHeight="1" x14ac:dyDescent="0.25">
      <c r="A87" s="440">
        <v>2</v>
      </c>
      <c r="B87" s="441">
        <f t="shared" si="4"/>
        <v>0</v>
      </c>
      <c r="C87" s="442">
        <f t="shared" si="4"/>
        <v>0</v>
      </c>
      <c r="D87" s="443">
        <f t="shared" si="4"/>
        <v>0</v>
      </c>
      <c r="E87" s="444">
        <f t="shared" si="4"/>
        <v>0</v>
      </c>
      <c r="F87" s="445"/>
      <c r="G87" s="446"/>
      <c r="H87" s="447">
        <f t="shared" si="5"/>
        <v>0</v>
      </c>
      <c r="I87" s="448">
        <f t="shared" si="5"/>
        <v>0</v>
      </c>
      <c r="J87" s="448">
        <f t="shared" si="5"/>
        <v>0</v>
      </c>
      <c r="K87" s="449">
        <f t="shared" si="6"/>
        <v>0</v>
      </c>
      <c r="L87" s="431"/>
    </row>
    <row r="88" spans="1:12" s="9" customFormat="1" ht="14.1" customHeight="1" x14ac:dyDescent="0.25">
      <c r="A88" s="440">
        <v>3</v>
      </c>
      <c r="B88" s="441">
        <f t="shared" si="4"/>
        <v>0</v>
      </c>
      <c r="C88" s="442">
        <f t="shared" si="4"/>
        <v>0</v>
      </c>
      <c r="D88" s="443">
        <f t="shared" si="4"/>
        <v>0</v>
      </c>
      <c r="E88" s="444">
        <f t="shared" si="4"/>
        <v>0</v>
      </c>
      <c r="F88" s="445"/>
      <c r="G88" s="446"/>
      <c r="H88" s="447">
        <f t="shared" si="5"/>
        <v>0</v>
      </c>
      <c r="I88" s="448">
        <f t="shared" si="5"/>
        <v>0</v>
      </c>
      <c r="J88" s="448">
        <f t="shared" si="5"/>
        <v>0</v>
      </c>
      <c r="K88" s="449">
        <f t="shared" si="6"/>
        <v>0</v>
      </c>
      <c r="L88" s="431"/>
    </row>
    <row r="89" spans="1:12" s="9" customFormat="1" ht="14.1" customHeight="1" x14ac:dyDescent="0.25">
      <c r="A89" s="440">
        <v>4</v>
      </c>
      <c r="B89" s="441">
        <f t="shared" si="4"/>
        <v>0</v>
      </c>
      <c r="C89" s="442">
        <f t="shared" si="4"/>
        <v>0</v>
      </c>
      <c r="D89" s="443">
        <f t="shared" si="4"/>
        <v>0</v>
      </c>
      <c r="E89" s="444">
        <f t="shared" si="4"/>
        <v>0</v>
      </c>
      <c r="F89" s="445"/>
      <c r="G89" s="446"/>
      <c r="H89" s="447">
        <f t="shared" si="5"/>
        <v>0</v>
      </c>
      <c r="I89" s="448">
        <f t="shared" si="5"/>
        <v>0</v>
      </c>
      <c r="J89" s="448">
        <f t="shared" si="5"/>
        <v>0</v>
      </c>
      <c r="K89" s="449">
        <f t="shared" si="6"/>
        <v>0</v>
      </c>
      <c r="L89" s="431"/>
    </row>
    <row r="90" spans="1:12" s="9" customFormat="1" ht="14.1" customHeight="1" x14ac:dyDescent="0.25">
      <c r="A90" s="440">
        <v>5</v>
      </c>
      <c r="B90" s="441">
        <f t="shared" si="4"/>
        <v>0</v>
      </c>
      <c r="C90" s="442">
        <f t="shared" si="4"/>
        <v>0</v>
      </c>
      <c r="D90" s="443">
        <f t="shared" si="4"/>
        <v>0</v>
      </c>
      <c r="E90" s="444">
        <f t="shared" si="4"/>
        <v>0</v>
      </c>
      <c r="F90" s="445"/>
      <c r="G90" s="446"/>
      <c r="H90" s="447">
        <f t="shared" si="5"/>
        <v>0</v>
      </c>
      <c r="I90" s="448">
        <f t="shared" si="5"/>
        <v>0</v>
      </c>
      <c r="J90" s="448">
        <f t="shared" si="5"/>
        <v>0</v>
      </c>
      <c r="K90" s="449">
        <f t="shared" si="6"/>
        <v>0</v>
      </c>
      <c r="L90" s="431"/>
    </row>
    <row r="91" spans="1:12" s="9" customFormat="1" ht="14.1" customHeight="1" x14ac:dyDescent="0.25">
      <c r="A91" s="440">
        <v>6</v>
      </c>
      <c r="B91" s="441">
        <f t="shared" si="4"/>
        <v>0</v>
      </c>
      <c r="C91" s="442">
        <f t="shared" si="4"/>
        <v>0</v>
      </c>
      <c r="D91" s="443">
        <f t="shared" si="4"/>
        <v>0</v>
      </c>
      <c r="E91" s="444">
        <f t="shared" si="4"/>
        <v>0</v>
      </c>
      <c r="F91" s="445"/>
      <c r="G91" s="446"/>
      <c r="H91" s="447">
        <f t="shared" si="5"/>
        <v>0</v>
      </c>
      <c r="I91" s="448">
        <f t="shared" si="5"/>
        <v>0</v>
      </c>
      <c r="J91" s="448">
        <f t="shared" si="5"/>
        <v>0</v>
      </c>
      <c r="K91" s="449">
        <f t="shared" si="6"/>
        <v>0</v>
      </c>
      <c r="L91" s="431"/>
    </row>
    <row r="92" spans="1:12" s="9" customFormat="1" ht="14.1" customHeight="1" x14ac:dyDescent="0.25">
      <c r="A92" s="440">
        <v>7</v>
      </c>
      <c r="B92" s="441">
        <f t="shared" si="4"/>
        <v>0</v>
      </c>
      <c r="C92" s="442">
        <f t="shared" si="4"/>
        <v>0</v>
      </c>
      <c r="D92" s="443">
        <f t="shared" si="4"/>
        <v>0</v>
      </c>
      <c r="E92" s="444">
        <f t="shared" si="4"/>
        <v>0</v>
      </c>
      <c r="F92" s="445"/>
      <c r="G92" s="446"/>
      <c r="H92" s="447">
        <f t="shared" si="5"/>
        <v>0</v>
      </c>
      <c r="I92" s="448">
        <f t="shared" si="5"/>
        <v>0</v>
      </c>
      <c r="J92" s="448">
        <f t="shared" si="5"/>
        <v>0</v>
      </c>
      <c r="K92" s="449">
        <f t="shared" si="6"/>
        <v>0</v>
      </c>
      <c r="L92" s="431"/>
    </row>
    <row r="93" spans="1:12" s="9" customFormat="1" ht="14.1" customHeight="1" x14ac:dyDescent="0.25">
      <c r="A93" s="440">
        <v>8</v>
      </c>
      <c r="B93" s="441">
        <f t="shared" si="4"/>
        <v>0</v>
      </c>
      <c r="C93" s="442">
        <f t="shared" si="4"/>
        <v>0</v>
      </c>
      <c r="D93" s="443">
        <f t="shared" si="4"/>
        <v>0</v>
      </c>
      <c r="E93" s="450">
        <f t="shared" si="4"/>
        <v>0</v>
      </c>
      <c r="F93" s="445"/>
      <c r="G93" s="446"/>
      <c r="H93" s="447">
        <f t="shared" si="5"/>
        <v>0</v>
      </c>
      <c r="I93" s="448">
        <f t="shared" si="5"/>
        <v>0</v>
      </c>
      <c r="J93" s="448">
        <f t="shared" si="5"/>
        <v>0</v>
      </c>
      <c r="K93" s="449">
        <f t="shared" si="6"/>
        <v>0</v>
      </c>
      <c r="L93" s="431"/>
    </row>
    <row r="94" spans="1:12" s="9" customFormat="1" ht="14.1" customHeight="1" x14ac:dyDescent="0.25">
      <c r="A94" s="440">
        <v>9</v>
      </c>
      <c r="B94" s="441">
        <f t="shared" si="4"/>
        <v>0</v>
      </c>
      <c r="C94" s="442">
        <f t="shared" si="4"/>
        <v>0</v>
      </c>
      <c r="D94" s="443">
        <f t="shared" si="4"/>
        <v>0</v>
      </c>
      <c r="E94" s="444">
        <f t="shared" si="4"/>
        <v>0</v>
      </c>
      <c r="F94" s="445"/>
      <c r="G94" s="446"/>
      <c r="H94" s="447">
        <f t="shared" si="5"/>
        <v>0</v>
      </c>
      <c r="I94" s="448">
        <f t="shared" si="5"/>
        <v>0</v>
      </c>
      <c r="J94" s="448">
        <f t="shared" si="5"/>
        <v>0</v>
      </c>
      <c r="K94" s="449">
        <f t="shared" si="6"/>
        <v>0</v>
      </c>
      <c r="L94" s="431"/>
    </row>
    <row r="95" spans="1:12" s="9" customFormat="1" ht="14.1" customHeight="1" x14ac:dyDescent="0.25">
      <c r="A95" s="440">
        <v>10</v>
      </c>
      <c r="B95" s="441">
        <f t="shared" si="4"/>
        <v>0</v>
      </c>
      <c r="C95" s="442">
        <f t="shared" si="4"/>
        <v>0</v>
      </c>
      <c r="D95" s="443">
        <f t="shared" si="4"/>
        <v>0</v>
      </c>
      <c r="E95" s="444">
        <f t="shared" si="4"/>
        <v>0</v>
      </c>
      <c r="F95" s="445"/>
      <c r="G95" s="446"/>
      <c r="H95" s="447">
        <f t="shared" si="5"/>
        <v>0</v>
      </c>
      <c r="I95" s="448">
        <f t="shared" si="5"/>
        <v>0</v>
      </c>
      <c r="J95" s="448">
        <f t="shared" si="5"/>
        <v>0</v>
      </c>
      <c r="K95" s="449">
        <f t="shared" si="6"/>
        <v>0</v>
      </c>
      <c r="L95" s="431"/>
    </row>
    <row r="96" spans="1:12" s="9" customFormat="1" ht="14.1" customHeight="1" x14ac:dyDescent="0.25">
      <c r="A96" s="440">
        <v>11</v>
      </c>
      <c r="B96" s="441">
        <f t="shared" si="4"/>
        <v>0</v>
      </c>
      <c r="C96" s="442">
        <f t="shared" si="4"/>
        <v>0</v>
      </c>
      <c r="D96" s="443">
        <f t="shared" si="4"/>
        <v>0</v>
      </c>
      <c r="E96" s="444">
        <f t="shared" si="4"/>
        <v>0</v>
      </c>
      <c r="F96" s="445"/>
      <c r="G96" s="446"/>
      <c r="H96" s="447">
        <f t="shared" si="5"/>
        <v>0</v>
      </c>
      <c r="I96" s="448">
        <f t="shared" si="5"/>
        <v>0</v>
      </c>
      <c r="J96" s="448">
        <f t="shared" si="5"/>
        <v>0</v>
      </c>
      <c r="K96" s="449">
        <f t="shared" si="6"/>
        <v>0</v>
      </c>
      <c r="L96" s="431"/>
    </row>
    <row r="97" spans="1:12" s="9" customFormat="1" ht="14.1" customHeight="1" x14ac:dyDescent="0.25">
      <c r="A97" s="440">
        <v>12</v>
      </c>
      <c r="B97" s="441">
        <f t="shared" si="4"/>
        <v>0</v>
      </c>
      <c r="C97" s="442">
        <f t="shared" si="4"/>
        <v>0</v>
      </c>
      <c r="D97" s="443">
        <f t="shared" si="4"/>
        <v>0</v>
      </c>
      <c r="E97" s="444">
        <f t="shared" si="4"/>
        <v>0</v>
      </c>
      <c r="F97" s="445"/>
      <c r="G97" s="446"/>
      <c r="H97" s="447">
        <f t="shared" si="5"/>
        <v>0</v>
      </c>
      <c r="I97" s="448">
        <f t="shared" si="5"/>
        <v>0</v>
      </c>
      <c r="J97" s="448">
        <f t="shared" si="5"/>
        <v>0</v>
      </c>
      <c r="K97" s="449">
        <f t="shared" si="6"/>
        <v>0</v>
      </c>
      <c r="L97" s="431"/>
    </row>
    <row r="98" spans="1:12" s="9" customFormat="1" ht="14.1" customHeight="1" x14ac:dyDescent="0.25">
      <c r="A98" s="440">
        <v>13</v>
      </c>
      <c r="B98" s="441">
        <f t="shared" si="4"/>
        <v>0</v>
      </c>
      <c r="C98" s="442">
        <f t="shared" si="4"/>
        <v>0</v>
      </c>
      <c r="D98" s="443">
        <f t="shared" si="4"/>
        <v>0</v>
      </c>
      <c r="E98" s="444">
        <f t="shared" si="4"/>
        <v>0</v>
      </c>
      <c r="F98" s="445"/>
      <c r="G98" s="446"/>
      <c r="H98" s="447">
        <f t="shared" si="5"/>
        <v>0</v>
      </c>
      <c r="I98" s="448">
        <f t="shared" si="5"/>
        <v>0</v>
      </c>
      <c r="J98" s="448">
        <f t="shared" si="5"/>
        <v>0</v>
      </c>
      <c r="K98" s="449">
        <f t="shared" si="6"/>
        <v>0</v>
      </c>
      <c r="L98" s="431"/>
    </row>
    <row r="99" spans="1:12" s="9" customFormat="1" ht="14.1" customHeight="1" x14ac:dyDescent="0.25">
      <c r="A99" s="440">
        <v>14</v>
      </c>
      <c r="B99" s="441">
        <f t="shared" si="4"/>
        <v>0</v>
      </c>
      <c r="C99" s="442">
        <f t="shared" si="4"/>
        <v>0</v>
      </c>
      <c r="D99" s="443">
        <f t="shared" si="4"/>
        <v>0</v>
      </c>
      <c r="E99" s="444">
        <f t="shared" si="4"/>
        <v>0</v>
      </c>
      <c r="F99" s="445"/>
      <c r="G99" s="446"/>
      <c r="H99" s="447">
        <f t="shared" si="5"/>
        <v>0</v>
      </c>
      <c r="I99" s="448">
        <f t="shared" si="5"/>
        <v>0</v>
      </c>
      <c r="J99" s="448">
        <f t="shared" si="5"/>
        <v>0</v>
      </c>
      <c r="K99" s="449">
        <f t="shared" si="6"/>
        <v>0</v>
      </c>
      <c r="L99" s="431"/>
    </row>
    <row r="100" spans="1:12" s="9" customFormat="1" ht="14.1" customHeight="1" x14ac:dyDescent="0.25">
      <c r="A100" s="440">
        <v>15</v>
      </c>
      <c r="B100" s="441">
        <f t="shared" si="4"/>
        <v>0</v>
      </c>
      <c r="C100" s="442">
        <f t="shared" si="4"/>
        <v>0</v>
      </c>
      <c r="D100" s="443">
        <f t="shared" si="4"/>
        <v>0</v>
      </c>
      <c r="E100" s="444">
        <f t="shared" si="4"/>
        <v>0</v>
      </c>
      <c r="F100" s="445"/>
      <c r="G100" s="446"/>
      <c r="H100" s="447">
        <f t="shared" si="5"/>
        <v>0</v>
      </c>
      <c r="I100" s="448">
        <f t="shared" si="5"/>
        <v>0</v>
      </c>
      <c r="J100" s="448">
        <f t="shared" si="5"/>
        <v>0</v>
      </c>
      <c r="K100" s="449">
        <f t="shared" si="6"/>
        <v>0</v>
      </c>
      <c r="L100" s="431"/>
    </row>
    <row r="101" spans="1:12" s="9" customFormat="1" ht="14.1" customHeight="1" x14ac:dyDescent="0.25">
      <c r="A101" s="440">
        <v>16</v>
      </c>
      <c r="B101" s="441">
        <f t="shared" si="4"/>
        <v>0</v>
      </c>
      <c r="C101" s="442">
        <f t="shared" si="4"/>
        <v>0</v>
      </c>
      <c r="D101" s="443">
        <f t="shared" si="4"/>
        <v>0</v>
      </c>
      <c r="E101" s="450">
        <f t="shared" si="4"/>
        <v>0</v>
      </c>
      <c r="F101" s="445"/>
      <c r="G101" s="446"/>
      <c r="H101" s="447">
        <f t="shared" si="5"/>
        <v>0</v>
      </c>
      <c r="I101" s="448">
        <f t="shared" si="5"/>
        <v>0</v>
      </c>
      <c r="J101" s="448">
        <f t="shared" si="5"/>
        <v>0</v>
      </c>
      <c r="K101" s="449">
        <f t="shared" si="6"/>
        <v>0</v>
      </c>
      <c r="L101" s="431"/>
    </row>
    <row r="102" spans="1:12" s="9" customFormat="1" ht="9.9499999999999993" customHeight="1" x14ac:dyDescent="0.25">
      <c r="A102" s="400"/>
      <c r="B102" s="451"/>
      <c r="C102" s="451"/>
      <c r="D102" s="452"/>
      <c r="E102" s="453"/>
      <c r="F102" s="454"/>
      <c r="G102" s="455"/>
      <c r="H102" s="456"/>
      <c r="I102" s="457"/>
      <c r="J102" s="457"/>
      <c r="K102" s="458"/>
      <c r="L102" s="431"/>
    </row>
    <row r="103" spans="1:12" s="9" customFormat="1" ht="5.0999999999999996" customHeight="1" x14ac:dyDescent="0.25">
      <c r="A103" s="400"/>
      <c r="B103" s="459"/>
      <c r="C103" s="459"/>
      <c r="D103" s="460"/>
      <c r="E103" s="461"/>
      <c r="F103" s="461"/>
      <c r="G103" s="461"/>
      <c r="H103" s="461"/>
      <c r="I103" s="462"/>
      <c r="J103" s="588"/>
      <c r="K103" s="589"/>
      <c r="L103" s="405"/>
    </row>
    <row r="104" spans="1:12" s="9" customFormat="1" ht="16.5" customHeight="1" x14ac:dyDescent="0.3">
      <c r="A104" s="400"/>
      <c r="B104" s="463"/>
      <c r="C104" s="463"/>
      <c r="D104" s="420"/>
      <c r="E104" s="405"/>
      <c r="F104" s="405"/>
      <c r="G104" s="405"/>
      <c r="H104" s="405"/>
      <c r="I104" s="464" t="s">
        <v>21</v>
      </c>
      <c r="J104" s="590">
        <f>SUM(K86:K101)</f>
        <v>750000</v>
      </c>
      <c r="K104" s="591"/>
      <c r="L104" s="431"/>
    </row>
    <row r="105" spans="1:12" s="9" customFormat="1" ht="5.0999999999999996" customHeight="1" x14ac:dyDescent="0.3">
      <c r="A105" s="400"/>
      <c r="B105" s="463"/>
      <c r="C105" s="463"/>
      <c r="D105" s="420"/>
      <c r="E105" s="405"/>
      <c r="F105" s="405"/>
      <c r="G105" s="405"/>
      <c r="H105" s="405"/>
      <c r="I105" s="465"/>
      <c r="J105" s="592"/>
      <c r="K105" s="592"/>
      <c r="L105" s="405"/>
    </row>
    <row r="106" spans="1:12" s="9" customFormat="1" ht="16.5" customHeight="1" x14ac:dyDescent="0.3">
      <c r="A106" s="400"/>
      <c r="B106" s="463"/>
      <c r="C106" s="463"/>
      <c r="D106" s="420"/>
      <c r="E106" s="405"/>
      <c r="F106" s="405"/>
      <c r="G106" s="405"/>
      <c r="H106" s="405"/>
      <c r="I106" s="464" t="s">
        <v>22</v>
      </c>
      <c r="J106" s="466">
        <f>J68</f>
        <v>0</v>
      </c>
      <c r="K106" s="467">
        <f>J104*J106</f>
        <v>0</v>
      </c>
      <c r="L106" s="468"/>
    </row>
    <row r="107" spans="1:12" s="9" customFormat="1" ht="5.0999999999999996" customHeight="1" x14ac:dyDescent="0.3">
      <c r="A107" s="400"/>
      <c r="B107" s="463"/>
      <c r="C107" s="463"/>
      <c r="D107" s="420"/>
      <c r="E107" s="405"/>
      <c r="F107" s="405"/>
      <c r="G107" s="405"/>
      <c r="H107" s="405"/>
      <c r="I107" s="465"/>
      <c r="J107" s="589"/>
      <c r="K107" s="589"/>
      <c r="L107" s="405"/>
    </row>
    <row r="108" spans="1:12" s="9" customFormat="1" ht="16.5" customHeight="1" x14ac:dyDescent="0.3">
      <c r="A108" s="400"/>
      <c r="B108" s="469" t="s">
        <v>23</v>
      </c>
      <c r="C108" s="469"/>
      <c r="D108" s="420"/>
      <c r="E108" s="420" t="s">
        <v>24</v>
      </c>
      <c r="F108" s="405"/>
      <c r="G108" s="405"/>
      <c r="H108" s="405"/>
      <c r="I108" s="464" t="s">
        <v>25</v>
      </c>
      <c r="J108" s="593">
        <f>((J104/1.11)+(K106/1.11))*11%</f>
        <v>74324.32432432432</v>
      </c>
      <c r="K108" s="594"/>
      <c r="L108" s="470"/>
    </row>
    <row r="109" spans="1:12" s="9" customFormat="1" ht="5.0999999999999996" customHeight="1" x14ac:dyDescent="0.3">
      <c r="A109" s="400"/>
      <c r="B109" s="463"/>
      <c r="C109" s="463"/>
      <c r="D109" s="420"/>
      <c r="E109" s="405"/>
      <c r="F109" s="405"/>
      <c r="G109" s="405"/>
      <c r="H109" s="405"/>
      <c r="I109" s="465"/>
      <c r="J109" s="589"/>
      <c r="K109" s="589"/>
      <c r="L109" s="405"/>
    </row>
    <row r="110" spans="1:12" s="9" customFormat="1" ht="16.5" customHeight="1" x14ac:dyDescent="0.3">
      <c r="A110" s="400"/>
      <c r="B110" s="471"/>
      <c r="C110" s="472"/>
      <c r="D110" s="420"/>
      <c r="E110" s="420"/>
      <c r="F110" s="405"/>
      <c r="G110" s="405"/>
      <c r="H110" s="405"/>
      <c r="I110" s="464" t="s">
        <v>26</v>
      </c>
      <c r="J110" s="473"/>
      <c r="K110" s="474">
        <f>J104-K106</f>
        <v>750000</v>
      </c>
      <c r="L110" s="470"/>
    </row>
    <row r="111" spans="1:12" s="9" customFormat="1" ht="7.5" customHeight="1" x14ac:dyDescent="0.25">
      <c r="A111" s="475"/>
      <c r="B111" s="461"/>
      <c r="C111" s="461"/>
      <c r="D111" s="460"/>
      <c r="E111" s="476"/>
      <c r="F111" s="459"/>
      <c r="G111" s="405"/>
      <c r="H111" s="405"/>
      <c r="I111" s="477"/>
      <c r="J111" s="476"/>
      <c r="K111" s="459"/>
      <c r="L111" s="461"/>
    </row>
    <row r="112" spans="1:12" s="9" customFormat="1" ht="13.5" customHeight="1" x14ac:dyDescent="0.25">
      <c r="A112" s="400"/>
      <c r="B112" s="478" t="s">
        <v>27</v>
      </c>
      <c r="C112" s="461"/>
      <c r="D112" s="460"/>
      <c r="E112" s="405"/>
      <c r="F112" s="405"/>
      <c r="G112" s="405"/>
      <c r="H112" s="479"/>
      <c r="I112" s="480" t="s">
        <v>12</v>
      </c>
      <c r="J112" s="586" t="str">
        <f>J74</f>
        <v>NOVI / CONDRO</v>
      </c>
      <c r="K112" s="587"/>
      <c r="L112" s="405"/>
    </row>
    <row r="113" spans="1:12" s="9" customFormat="1" ht="13.5" customHeight="1" x14ac:dyDescent="0.25">
      <c r="A113" s="475"/>
      <c r="B113" s="481"/>
      <c r="C113" s="405"/>
      <c r="D113" s="445"/>
      <c r="E113" s="405"/>
      <c r="F113" s="405"/>
      <c r="G113" s="405"/>
      <c r="H113" s="479"/>
      <c r="I113" s="482" t="s">
        <v>160</v>
      </c>
      <c r="J113" s="586">
        <f>J75</f>
        <v>0</v>
      </c>
      <c r="K113" s="587"/>
      <c r="L113" s="461"/>
    </row>
    <row r="114" spans="1:12" s="9" customFormat="1" ht="7.5" customHeight="1" x14ac:dyDescent="0.25">
      <c r="A114" s="475"/>
      <c r="B114" s="481"/>
      <c r="C114" s="405"/>
      <c r="D114" s="445"/>
      <c r="E114" s="405"/>
      <c r="F114" s="405"/>
      <c r="G114" s="405"/>
      <c r="H114" s="479"/>
      <c r="I114" s="482"/>
      <c r="J114" s="483"/>
      <c r="K114" s="483"/>
      <c r="L114" s="461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2023-11-11T08:53:48Z</dcterms:modified>
</cp:coreProperties>
</file>